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 userName="Volkart Kathrin Andrea" reservationPassword="C368"/>
  <workbookPr defaultThemeVersion="124226"/>
  <workbookProtection workbookPassword="C368" lockStructure="1"/>
  <bookViews>
    <workbookView xWindow="480" yWindow="135" windowWidth="18195" windowHeight="9975" tabRatio="725"/>
  </bookViews>
  <sheets>
    <sheet name="(1) Introduction" sheetId="1" r:id="rId1"/>
    <sheet name="(2) FCH pathways" sheetId="2" r:id="rId2"/>
    <sheet name="(3) FCH technology assessment" sheetId="3" r:id="rId3"/>
    <sheet name="(4) FCH pathway assessment" sheetId="4" r:id="rId4"/>
    <sheet name="Assumptions" sheetId="5" state="hidden" r:id="rId5"/>
    <sheet name="Unit conversions" sheetId="6" state="hidden" r:id="rId6"/>
    <sheet name="Merit calculation" sheetId="7" state="hidden" r:id="rId7"/>
    <sheet name="TA database" sheetId="8" state="hidden" r:id="rId8"/>
    <sheet name="Paths database" sheetId="9" state="hidden" r:id="rId9"/>
    <sheet name="H2-FlexibilityCurtailment" sheetId="11" state="hidden" r:id="rId10"/>
  </sheets>
  <definedNames>
    <definedName name="_xlnm._FilterDatabase" localSheetId="2" hidden="1">'(3) FCH technology assessment'!#REF!</definedName>
    <definedName name="_xlnm._FilterDatabase" localSheetId="8" hidden="1">'Paths database'!$B$59:$AJ$1991</definedName>
    <definedName name="_xlnm._FilterDatabase" localSheetId="7" hidden="1">'TA database'!$B$7:$C$7</definedName>
    <definedName name="average" localSheetId="9">'(4) FCH pathway assessment'!$K$24:INDEX('(4) FCH pathway assessment'!$K$24:$K$149,'(4) FCH pathway assessment'!$F$24)</definedName>
    <definedName name="average">'(4) FCH pathway assessment'!$K$24:INDEX('(4) FCH pathway assessment'!$K$24:$K$138,'(4) FCH pathway assessment'!$F$24)</definedName>
    <definedName name="biomassPrice" localSheetId="9">'(1) Introduction'!$C$146</definedName>
    <definedName name="biomassPrice">'(1) Introduction'!$C$146</definedName>
    <definedName name="CHFInEuro2010" localSheetId="9">'Unit conversions'!$E$34</definedName>
    <definedName name="CHFInEuro2010">'Unit conversions'!$E$34</definedName>
    <definedName name="CO2emissionBiomass" localSheetId="9">'Unit conversions'!$C$17</definedName>
    <definedName name="CO2emissionBiomass">'Unit conversions'!$C$17</definedName>
    <definedName name="CO2emissionNG" localSheetId="9">'Unit conversions'!$C$16</definedName>
    <definedName name="CO2emissionNG">'Unit conversions'!$C$16</definedName>
    <definedName name="CO2price" localSheetId="9">'(1) Introduction'!$C$150</definedName>
    <definedName name="CO2price">'(1) Introduction'!$C$150</definedName>
    <definedName name="_xlnm.Criteria" localSheetId="2">'(3) FCH technology assessment'!#REF!</definedName>
    <definedName name="_xlnm.Criteria" localSheetId="7">'TA database'!$B$1:$C$6</definedName>
    <definedName name="DollarInEuro2000">'Unit conversions'!$F$24</definedName>
    <definedName name="DollarInEuro2010">'Unit conversions'!$F$34</definedName>
    <definedName name="DollarInPound2000">'Unit conversions'!$C$24</definedName>
    <definedName name="DollarInPound2001">'Unit conversions'!$C$25</definedName>
    <definedName name="DollarInPound2002">'Unit conversions'!$C$26</definedName>
    <definedName name="DollarInPound2003">'Unit conversions'!$C$27</definedName>
    <definedName name="DollarInPound2004">'Unit conversions'!$C$28</definedName>
    <definedName name="DollarInPound2005">'Unit conversions'!$C$29</definedName>
    <definedName name="DollarInPound2006">'Unit conversions'!$C$30</definedName>
    <definedName name="DollarInPound2007">'Unit conversions'!$C$31</definedName>
    <definedName name="DollarInPound2008">'Unit conversions'!$C$32</definedName>
    <definedName name="DollarInPound2009">'Unit conversions'!$C$33</definedName>
    <definedName name="DollarInPound2010">'Unit conversions'!$C$34</definedName>
    <definedName name="DollarInPound2011">'Unit conversions'!$C$35</definedName>
    <definedName name="DollarInPound2012">'Unit conversions'!$C$36</definedName>
    <definedName name="DollarInPound2013">'Unit conversions'!$C$37</definedName>
    <definedName name="DollarInPound2014">'Unit conversions'!$C$38</definedName>
    <definedName name="electricityMix" localSheetId="9">'(1) Introduction'!$C$153</definedName>
    <definedName name="electricityMix">'(1) Introduction'!$C$153</definedName>
    <definedName name="electricityPrice" localSheetId="9">'(1) Introduction'!$C$144</definedName>
    <definedName name="electricityPrice">'(1) Introduction'!$C$144</definedName>
    <definedName name="energyContentH2" localSheetId="9">'Unit conversions'!$C$7</definedName>
    <definedName name="energyContentH2">'Unit conversions'!$C$7</definedName>
    <definedName name="energyContentNG">'Unit conversions'!$C$9</definedName>
    <definedName name="energyContentWood">'Unit conversions'!$C$10</definedName>
    <definedName name="euroDeflator2000">'Unit conversions'!$D$45</definedName>
    <definedName name="euroDeflator2001">'Unit conversions'!$D$46</definedName>
    <definedName name="euroDeflator2002">'Unit conversions'!$D$47</definedName>
    <definedName name="euroDeflator2003">'Unit conversions'!$D$48</definedName>
    <definedName name="euroDeflator2004">'Unit conversions'!$D$49</definedName>
    <definedName name="euroDeflator2005">'Unit conversions'!$D$50</definedName>
    <definedName name="euroDeflator2006">'Unit conversions'!$D$51</definedName>
    <definedName name="euroDeflator2007">'Unit conversions'!$D$52</definedName>
    <definedName name="euroDeflator2008">'Unit conversions'!$D$53</definedName>
    <definedName name="euroDeflator2009">'Unit conversions'!$D$54</definedName>
    <definedName name="euroDeflator2010" localSheetId="9">'Unit conversions'!$D$55</definedName>
    <definedName name="euroDeflator2010">'Unit conversions'!$D$55</definedName>
    <definedName name="euroDeflator2011">'Unit conversions'!$D$56</definedName>
    <definedName name="euroDeflator2012">'Unit conversions'!$D$57</definedName>
    <definedName name="euroDeflator2013">'Unit conversions'!$D$58</definedName>
    <definedName name="euroDeflator2014">'Unit conversions'!$D$59</definedName>
    <definedName name="EuroInPound2000">'Unit conversions'!$D$24</definedName>
    <definedName name="EuroInPound2001">'Unit conversions'!$D$25</definedName>
    <definedName name="EuroInPound2002">'Unit conversions'!$D$26</definedName>
    <definedName name="EuroInPound2003">'Unit conversions'!$D$27</definedName>
    <definedName name="EuroInPound2004">'Unit conversions'!$D$28</definedName>
    <definedName name="EuroInPound2005">'Unit conversions'!$D$29</definedName>
    <definedName name="EuroInPound2006">'Unit conversions'!$D$30</definedName>
    <definedName name="EuroInPound2007">'Unit conversions'!$D$31</definedName>
    <definedName name="EuroInPound2008">'Unit conversions'!$D$32</definedName>
    <definedName name="EuroInPound2009">'Unit conversions'!$D$33</definedName>
    <definedName name="EuroInPound2010">'Unit conversions'!$D$34</definedName>
    <definedName name="EuroInPound2011">'Unit conversions'!$D$35</definedName>
    <definedName name="EuroInPound2012">'Unit conversions'!$D$36</definedName>
    <definedName name="EuroInPound2013">'Unit conversions'!$D$37</definedName>
    <definedName name="EuroInPound2014">'Unit conversions'!$D$38</definedName>
    <definedName name="H2generationTechs">'Merit calculation'!$B$17:$B$27</definedName>
    <definedName name="H2use" localSheetId="9">'(1) Introduction'!$C$156</definedName>
    <definedName name="H2use">'(1) Introduction'!$C$156</definedName>
    <definedName name="hydrogenPrice" localSheetId="9">'(1) Introduction'!$C$147</definedName>
    <definedName name="hydrogenPrice">'(1) Introduction'!$C$147</definedName>
    <definedName name="interestRate" localSheetId="9">'(1) Introduction'!$C$141</definedName>
    <definedName name="interestRate">'(1) Introduction'!$C$141</definedName>
    <definedName name="larger" localSheetId="9">'(4) FCH pathway assessment'!$J$24:INDEX('(4) FCH pathway assessment'!$J$24:$J$138,'(4) FCH pathway assessment'!$F$24)</definedName>
    <definedName name="larger">'(4) FCH pathway assessment'!$J$24:INDEX('(4) FCH pathway assessment'!$J$24:$J$149,'(4) FCH pathway assessment'!$F$24)</definedName>
    <definedName name="merits1" localSheetId="9">Assumptions!$C$86:$C$91</definedName>
    <definedName name="merits1">Assumptions!$C$86:$C$91</definedName>
    <definedName name="merits2" localSheetId="9">Assumptions!$C$93:$C$96</definedName>
    <definedName name="merits2">Assumptions!$C$93:$C$96</definedName>
    <definedName name="merits3" localSheetId="9">Assumptions!$C$98:$C$103</definedName>
    <definedName name="merits3">Assumptions!$C$98:$C$103</definedName>
    <definedName name="merits4" localSheetId="9">Assumptions!$C$105:$C$110</definedName>
    <definedName name="merits4">Assumptions!$C$105:$C$110</definedName>
    <definedName name="naturalGasPrice" localSheetId="9">'(1) Introduction'!$C$145</definedName>
    <definedName name="naturalGasPrice">'(1) Introduction'!$C$145</definedName>
    <definedName name="PA">#REF!</definedName>
    <definedName name="PAC">#REF!</definedName>
    <definedName name="PAlong" localSheetId="9">'(1) Introduction'!$C$186</definedName>
    <definedName name="PAlong">'(1) Introduction'!$C$186</definedName>
    <definedName name="PAmedium" localSheetId="9">'(1) Introduction'!$C$183</definedName>
    <definedName name="PAmedium">'(1) Introduction'!$C$183</definedName>
    <definedName name="Pathway" localSheetId="9">'(4) FCH pathway assessment'!$G$24:INDEX('(4) FCH pathway assessment'!$G$24:$G$107,'(4) FCH pathway assessment'!$F$24)</definedName>
    <definedName name="Pathway">'(4) FCH pathway assessment'!$G$24:INDEX('(4) FCH pathway assessment'!$G$24:$G$149,'(4) FCH pathway assessment'!$F$24)</definedName>
    <definedName name="poundDeflator2000">'Unit conversions'!$C$45</definedName>
    <definedName name="poundDeflator2001">'Unit conversions'!$C$46</definedName>
    <definedName name="poundDeflator2002">'Unit conversions'!$C$47</definedName>
    <definedName name="poundDeflator2003">'Unit conversions'!$C$48</definedName>
    <definedName name="poundDeflator2004">'Unit conversions'!$C$49</definedName>
    <definedName name="poundDeflator2005">'Unit conversions'!$C$50</definedName>
    <definedName name="poundDeflator2006">'Unit conversions'!$C$51</definedName>
    <definedName name="poundDeflator2007">'Unit conversions'!$C$52</definedName>
    <definedName name="poundDeflator2008">'Unit conversions'!$C$53</definedName>
    <definedName name="poundDeflator2009">'Unit conversions'!$C$54</definedName>
    <definedName name="poundDeflator2010">'Unit conversions'!$C$55</definedName>
    <definedName name="poundDeflator2011">'Unit conversions'!$C$56</definedName>
    <definedName name="poundDeflator2012">'Unit conversions'!$C$57</definedName>
    <definedName name="poundDeflator2013">'Unit conversions'!$C$58</definedName>
    <definedName name="poundDeflator2014">'Unit conversions'!$C$59</definedName>
    <definedName name="RPA">#REF!</definedName>
    <definedName name="smaller" localSheetId="9">'(4) FCH pathway assessment'!$I$24:INDEX('(4) FCH pathway assessment'!$I$24:$I$138,'(4) FCH pathway assessment'!$F$24)</definedName>
    <definedName name="smaller">'(4) FCH pathway assessment'!$I$24:INDEX('(4) FCH pathway assessment'!$I$24:$I$149,'(4) FCH pathway assessment'!$F$24)</definedName>
    <definedName name="startYearWeighting" localSheetId="9">'Unit conversions'!$C$65</definedName>
    <definedName name="startYearWeighting">'Unit conversions'!$C$65</definedName>
    <definedName name="timePeriod" localSheetId="9">'(1) Introduction'!$C$138</definedName>
    <definedName name="timePeriod">'(1) Introduction'!$C$138</definedName>
    <definedName name="TRLthreshold" localSheetId="9">'(1) Introduction'!$C$159</definedName>
    <definedName name="TRLthreshold">'(1) Introduction'!$C$159</definedName>
    <definedName name="Value" localSheetId="9">'(4) FCH pathway assessment'!$H$24:INDEX('(4) FCH pathway assessment'!$H$24:$H$107,'(4) FCH pathway assessment'!$F$24)</definedName>
    <definedName name="Value">'(4) FCH pathway assessment'!$H$24:INDEX('(4) FCH pathway assessment'!$H$24:$H$107,'(4) FCH pathway assessment'!$F$24)</definedName>
    <definedName name="VRShare" localSheetId="9">'H2-FlexibilityCurtailment'!$K$3:$O$3</definedName>
    <definedName name="VRshare">'H2-FlexibilityCurtailment'!$K$3:$O$3</definedName>
    <definedName name="year" localSheetId="7">#REF!</definedName>
    <definedName name="year">#REF!</definedName>
  </definedNames>
  <calcPr calcId="145621"/>
</workbook>
</file>

<file path=xl/calcChain.xml><?xml version="1.0" encoding="utf-8"?>
<calcChain xmlns="http://schemas.openxmlformats.org/spreadsheetml/2006/main">
  <c r="BK73" i="7" l="1"/>
  <c r="BM73" i="7"/>
  <c r="AB73" i="7"/>
  <c r="BL73" i="7" s="1"/>
  <c r="Z73" i="7"/>
  <c r="BJ73" i="7" s="1"/>
  <c r="BJ124" i="7"/>
  <c r="BJ123" i="7"/>
  <c r="BJ122" i="7"/>
  <c r="BJ121" i="7"/>
  <c r="BJ119" i="7"/>
  <c r="BJ118" i="7"/>
  <c r="BJ117" i="7"/>
  <c r="F278" i="8"/>
  <c r="D389" i="8"/>
  <c r="J389" i="8" s="1"/>
  <c r="D390" i="8"/>
  <c r="J390" i="8" s="1"/>
  <c r="D391" i="8"/>
  <c r="J391" i="8" s="1"/>
  <c r="D388" i="8"/>
  <c r="J388" i="8" s="1"/>
  <c r="D377" i="8"/>
  <c r="J377" i="8" s="1"/>
  <c r="D378" i="8"/>
  <c r="J378" i="8" s="1"/>
  <c r="D379" i="8"/>
  <c r="J379" i="8" s="1"/>
  <c r="D376" i="8"/>
  <c r="J376" i="8" s="1"/>
  <c r="D365" i="8"/>
  <c r="J365" i="8" s="1"/>
  <c r="D366" i="8"/>
  <c r="J366" i="8" s="1"/>
  <c r="D367" i="8"/>
  <c r="J367" i="8" s="1"/>
  <c r="D364" i="8"/>
  <c r="J364" i="8" s="1"/>
  <c r="D356" i="8"/>
  <c r="J356" i="8" s="1"/>
  <c r="D316" i="8"/>
  <c r="J316" i="8" s="1"/>
  <c r="D317" i="8"/>
  <c r="J317" i="8" s="1"/>
  <c r="D315" i="8"/>
  <c r="J315" i="8" s="1"/>
  <c r="D308" i="8"/>
  <c r="J308" i="8" s="1"/>
  <c r="D309" i="8"/>
  <c r="J309" i="8" s="1"/>
  <c r="D307" i="8"/>
  <c r="J307" i="8" s="1"/>
  <c r="D300" i="8"/>
  <c r="J300" i="8" s="1"/>
  <c r="D301" i="8"/>
  <c r="J301" i="8" s="1"/>
  <c r="D299" i="8"/>
  <c r="J299" i="8" s="1"/>
  <c r="D298" i="8"/>
  <c r="J298" i="8" s="1"/>
  <c r="F146" i="8"/>
  <c r="F332" i="8"/>
  <c r="D381" i="8"/>
  <c r="J381" i="8" s="1"/>
  <c r="D382" i="8"/>
  <c r="J382" i="8" s="1"/>
  <c r="D383" i="8"/>
  <c r="J383" i="8" s="1"/>
  <c r="D384" i="8"/>
  <c r="J384" i="8" s="1"/>
  <c r="D385" i="8"/>
  <c r="J385" i="8" s="1"/>
  <c r="D386" i="8"/>
  <c r="J386" i="8" s="1"/>
  <c r="D387" i="8"/>
  <c r="J387" i="8" s="1"/>
  <c r="D380" i="8"/>
  <c r="J380" i="8" s="1"/>
  <c r="D368" i="8"/>
  <c r="J368" i="8" s="1"/>
  <c r="D369" i="8"/>
  <c r="J369" i="8" s="1"/>
  <c r="D370" i="8"/>
  <c r="J370" i="8" s="1"/>
  <c r="D371" i="8"/>
  <c r="J371" i="8" s="1"/>
  <c r="D372" i="8"/>
  <c r="J372" i="8" s="1"/>
  <c r="D373" i="8"/>
  <c r="J373" i="8" s="1"/>
  <c r="D374" i="8"/>
  <c r="J374" i="8" s="1"/>
  <c r="D375" i="8"/>
  <c r="J375" i="8" s="1"/>
  <c r="D357" i="8"/>
  <c r="J357" i="8" s="1"/>
  <c r="D358" i="8"/>
  <c r="J358" i="8" s="1"/>
  <c r="D359" i="8"/>
  <c r="J359" i="8" s="1"/>
  <c r="D360" i="8"/>
  <c r="J360" i="8" s="1"/>
  <c r="D361" i="8"/>
  <c r="J361" i="8" s="1"/>
  <c r="D362" i="8"/>
  <c r="J362" i="8" s="1"/>
  <c r="D363" i="8"/>
  <c r="J363" i="8" s="1"/>
  <c r="J352" i="8"/>
  <c r="J353" i="8"/>
  <c r="J354" i="8"/>
  <c r="J355" i="8"/>
  <c r="D311" i="8"/>
  <c r="J311" i="8" s="1"/>
  <c r="D312" i="8"/>
  <c r="J312" i="8" s="1"/>
  <c r="D313" i="8"/>
  <c r="J313" i="8" s="1"/>
  <c r="D314" i="8"/>
  <c r="J314" i="8" s="1"/>
  <c r="D310" i="8"/>
  <c r="J310" i="8" s="1"/>
  <c r="D303" i="8"/>
  <c r="J303" i="8" s="1"/>
  <c r="D304" i="8"/>
  <c r="J304" i="8" s="1"/>
  <c r="D305" i="8"/>
  <c r="J305" i="8" s="1"/>
  <c r="D306" i="8"/>
  <c r="J306" i="8" s="1"/>
  <c r="D302" i="8"/>
  <c r="J302" i="8" s="1"/>
  <c r="D295" i="8"/>
  <c r="J295" i="8" s="1"/>
  <c r="D296" i="8"/>
  <c r="J296" i="8" s="1"/>
  <c r="D297" i="8"/>
  <c r="J297" i="8" s="1"/>
  <c r="D294" i="8"/>
  <c r="J294" i="8" s="1"/>
  <c r="J291" i="8"/>
  <c r="J292" i="8"/>
  <c r="J293" i="8"/>
  <c r="F154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I403" i="8"/>
  <c r="F403" i="8"/>
  <c r="I402" i="8"/>
  <c r="F402" i="8"/>
  <c r="I401" i="8"/>
  <c r="F401" i="8"/>
  <c r="I400" i="8"/>
  <c r="F400" i="8"/>
  <c r="I399" i="8"/>
  <c r="F399" i="8"/>
  <c r="I398" i="8"/>
  <c r="F398" i="8"/>
  <c r="I397" i="8"/>
  <c r="F397" i="8"/>
  <c r="I396" i="8"/>
  <c r="F396" i="8"/>
  <c r="I395" i="8"/>
  <c r="F395" i="8"/>
  <c r="I394" i="8"/>
  <c r="F394" i="8"/>
  <c r="I393" i="8"/>
  <c r="F393" i="8"/>
  <c r="I392" i="8"/>
  <c r="F392" i="8"/>
  <c r="I391" i="8"/>
  <c r="F391" i="8"/>
  <c r="I390" i="8"/>
  <c r="F390" i="8"/>
  <c r="I389" i="8"/>
  <c r="F389" i="8"/>
  <c r="I388" i="8"/>
  <c r="F388" i="8"/>
  <c r="I387" i="8"/>
  <c r="F387" i="8"/>
  <c r="I386" i="8"/>
  <c r="F386" i="8"/>
  <c r="I385" i="8"/>
  <c r="F385" i="8"/>
  <c r="I384" i="8"/>
  <c r="F384" i="8"/>
  <c r="I383" i="8"/>
  <c r="F383" i="8"/>
  <c r="I382" i="8"/>
  <c r="F382" i="8"/>
  <c r="I381" i="8"/>
  <c r="F381" i="8"/>
  <c r="I380" i="8"/>
  <c r="F380" i="8"/>
  <c r="I379" i="8"/>
  <c r="F379" i="8"/>
  <c r="I378" i="8"/>
  <c r="F378" i="8"/>
  <c r="I377" i="8"/>
  <c r="F377" i="8"/>
  <c r="I376" i="8"/>
  <c r="F376" i="8"/>
  <c r="I375" i="8"/>
  <c r="F375" i="8"/>
  <c r="I374" i="8"/>
  <c r="F374" i="8"/>
  <c r="I373" i="8"/>
  <c r="F373" i="8"/>
  <c r="I372" i="8"/>
  <c r="F372" i="8"/>
  <c r="I371" i="8"/>
  <c r="F371" i="8"/>
  <c r="I370" i="8"/>
  <c r="F370" i="8"/>
  <c r="I369" i="8"/>
  <c r="F369" i="8"/>
  <c r="I368" i="8"/>
  <c r="F368" i="8"/>
  <c r="I367" i="8"/>
  <c r="F367" i="8"/>
  <c r="I366" i="8"/>
  <c r="F366" i="8"/>
  <c r="I365" i="8"/>
  <c r="F365" i="8"/>
  <c r="I364" i="8"/>
  <c r="F364" i="8"/>
  <c r="I363" i="8"/>
  <c r="F363" i="8"/>
  <c r="I362" i="8"/>
  <c r="F362" i="8"/>
  <c r="I361" i="8"/>
  <c r="F361" i="8"/>
  <c r="I360" i="8"/>
  <c r="F360" i="8"/>
  <c r="I359" i="8"/>
  <c r="F359" i="8"/>
  <c r="I358" i="8"/>
  <c r="F358" i="8"/>
  <c r="I357" i="8"/>
  <c r="F357" i="8"/>
  <c r="I356" i="8"/>
  <c r="F356" i="8"/>
  <c r="I355" i="8"/>
  <c r="F355" i="8"/>
  <c r="I354" i="8"/>
  <c r="F354" i="8"/>
  <c r="I353" i="8"/>
  <c r="F353" i="8"/>
  <c r="I352" i="8"/>
  <c r="F352" i="8"/>
  <c r="I351" i="8"/>
  <c r="F351" i="8"/>
  <c r="I350" i="8"/>
  <c r="F350" i="8"/>
  <c r="I349" i="8"/>
  <c r="F349" i="8"/>
  <c r="I348" i="8"/>
  <c r="F348" i="8"/>
  <c r="I347" i="8"/>
  <c r="F347" i="8"/>
  <c r="I346" i="8"/>
  <c r="F346" i="8"/>
  <c r="I345" i="8"/>
  <c r="F345" i="8"/>
  <c r="I344" i="8"/>
  <c r="F344" i="8"/>
  <c r="I343" i="8"/>
  <c r="F343" i="8"/>
  <c r="I342" i="8"/>
  <c r="F342" i="8"/>
  <c r="I341" i="8"/>
  <c r="F341" i="8"/>
  <c r="I340" i="8"/>
  <c r="F340" i="8"/>
  <c r="I339" i="8"/>
  <c r="F339" i="8"/>
  <c r="I338" i="8"/>
  <c r="F338" i="8"/>
  <c r="I337" i="8"/>
  <c r="F337" i="8"/>
  <c r="I336" i="8"/>
  <c r="F336" i="8"/>
  <c r="I335" i="8"/>
  <c r="F335" i="8"/>
  <c r="I334" i="8"/>
  <c r="F334" i="8"/>
  <c r="I333" i="8"/>
  <c r="F333" i="8"/>
  <c r="I332" i="8"/>
  <c r="I325" i="8"/>
  <c r="I324" i="8"/>
  <c r="I323" i="8"/>
  <c r="I322" i="8"/>
  <c r="I321" i="8"/>
  <c r="I320" i="8"/>
  <c r="I319" i="8"/>
  <c r="I318" i="8"/>
  <c r="I317" i="8"/>
  <c r="I316" i="8"/>
  <c r="I315" i="8"/>
  <c r="I314" i="8"/>
  <c r="I313" i="8"/>
  <c r="I312" i="8"/>
  <c r="I311" i="8"/>
  <c r="I310" i="8"/>
  <c r="I309" i="8"/>
  <c r="I308" i="8"/>
  <c r="I307" i="8"/>
  <c r="I306" i="8"/>
  <c r="I305" i="8"/>
  <c r="I304" i="8"/>
  <c r="I303" i="8"/>
  <c r="I302" i="8"/>
  <c r="I301" i="8"/>
  <c r="I300" i="8"/>
  <c r="I299" i="8"/>
  <c r="I298" i="8"/>
  <c r="I297" i="8"/>
  <c r="I296" i="8"/>
  <c r="I295" i="8"/>
  <c r="I294" i="8"/>
  <c r="I293" i="8"/>
  <c r="I292" i="8"/>
  <c r="I291" i="8"/>
  <c r="I290" i="8"/>
  <c r="I289" i="8"/>
  <c r="I288" i="8"/>
  <c r="I287" i="8"/>
  <c r="I286" i="8"/>
  <c r="I285" i="8"/>
  <c r="I284" i="8"/>
  <c r="I283" i="8"/>
  <c r="I282" i="8"/>
  <c r="I281" i="8"/>
  <c r="I280" i="8"/>
  <c r="I279" i="8"/>
  <c r="I278" i="8"/>
  <c r="BL103" i="7"/>
  <c r="BL102" i="7"/>
  <c r="BL101" i="7"/>
  <c r="BL100" i="7"/>
  <c r="BL99" i="7"/>
  <c r="BL98" i="7"/>
  <c r="BL97" i="7"/>
  <c r="BL96" i="7"/>
  <c r="BL94" i="7"/>
  <c r="BL93" i="7"/>
  <c r="BL92" i="7"/>
  <c r="BL91" i="7"/>
  <c r="BL90" i="7"/>
  <c r="BJ103" i="7"/>
  <c r="BJ102" i="7"/>
  <c r="BJ101" i="7"/>
  <c r="BJ100" i="7"/>
  <c r="BJ99" i="7"/>
  <c r="BJ98" i="7"/>
  <c r="BJ97" i="7"/>
  <c r="BJ96" i="7"/>
  <c r="BJ94" i="7"/>
  <c r="BJ93" i="7"/>
  <c r="BJ92" i="7"/>
  <c r="BJ91" i="7"/>
  <c r="BJ90" i="7"/>
  <c r="G284" i="8" l="1"/>
  <c r="C99" i="3" s="1" a="1"/>
  <c r="C99" i="3" s="1"/>
  <c r="G281" i="8"/>
  <c r="C96" i="3" s="1" a="1"/>
  <c r="C96" i="3" s="1"/>
  <c r="G282" i="8"/>
  <c r="G333" i="8"/>
  <c r="C118" i="3" s="1" a="1"/>
  <c r="C118" i="3" s="1"/>
  <c r="G340" i="8"/>
  <c r="C125" i="3" s="1" a="1"/>
  <c r="C125" i="3" s="1"/>
  <c r="G321" i="8"/>
  <c r="G309" i="8"/>
  <c r="G301" i="8"/>
  <c r="G293" i="8"/>
  <c r="G320" i="8"/>
  <c r="G312" i="8"/>
  <c r="G304" i="8"/>
  <c r="G296" i="8"/>
  <c r="G288" i="8"/>
  <c r="G280" i="8"/>
  <c r="C95" i="3" s="1" a="1"/>
  <c r="C95" i="3" s="1"/>
  <c r="G323" i="8"/>
  <c r="G319" i="8"/>
  <c r="G315" i="8"/>
  <c r="G311" i="8"/>
  <c r="G307" i="8"/>
  <c r="G303" i="8"/>
  <c r="G299" i="8"/>
  <c r="G295" i="8"/>
  <c r="G291" i="8"/>
  <c r="G287" i="8"/>
  <c r="G283" i="8"/>
  <c r="C98" i="3" s="1" a="1"/>
  <c r="C98" i="3" s="1"/>
  <c r="G279" i="8"/>
  <c r="C94" i="3" s="1" a="1"/>
  <c r="C94" i="3" s="1"/>
  <c r="G325" i="8"/>
  <c r="G278" i="8"/>
  <c r="C93" i="3" s="1" a="1"/>
  <c r="C93" i="3" s="1"/>
  <c r="G317" i="8"/>
  <c r="G313" i="8"/>
  <c r="G305" i="8"/>
  <c r="G297" i="8"/>
  <c r="G289" i="8"/>
  <c r="G285" i="8"/>
  <c r="C100" i="3" s="1" a="1"/>
  <c r="C100" i="3" s="1"/>
  <c r="G324" i="8"/>
  <c r="G316" i="8"/>
  <c r="G308" i="8"/>
  <c r="G300" i="8"/>
  <c r="G292" i="8"/>
  <c r="G322" i="8"/>
  <c r="G318" i="8"/>
  <c r="G314" i="8"/>
  <c r="G310" i="8"/>
  <c r="G306" i="8"/>
  <c r="G302" i="8"/>
  <c r="G298" i="8"/>
  <c r="G294" i="8"/>
  <c r="G290" i="8"/>
  <c r="G286" i="8"/>
  <c r="G400" i="8"/>
  <c r="G392" i="8"/>
  <c r="G384" i="8"/>
  <c r="G380" i="8"/>
  <c r="G372" i="8"/>
  <c r="G364" i="8"/>
  <c r="G356" i="8"/>
  <c r="G344" i="8"/>
  <c r="G336" i="8"/>
  <c r="C121" i="3" s="1" a="1"/>
  <c r="C121" i="3" s="1"/>
  <c r="G343" i="8"/>
  <c r="C128" i="3" s="1" a="1"/>
  <c r="C128" i="3" s="1"/>
  <c r="G332" i="8"/>
  <c r="C117" i="3" s="1" a="1"/>
  <c r="C117" i="3" s="1"/>
  <c r="G396" i="8"/>
  <c r="G388" i="8"/>
  <c r="G376" i="8"/>
  <c r="G368" i="8"/>
  <c r="G360" i="8"/>
  <c r="G352" i="8"/>
  <c r="G348" i="8"/>
  <c r="G403" i="8"/>
  <c r="G399" i="8"/>
  <c r="G395" i="8"/>
  <c r="G391" i="8"/>
  <c r="G387" i="8"/>
  <c r="G383" i="8"/>
  <c r="G379" i="8"/>
  <c r="G375" i="8"/>
  <c r="G371" i="8"/>
  <c r="G367" i="8"/>
  <c r="G363" i="8"/>
  <c r="G359" i="8"/>
  <c r="G355" i="8"/>
  <c r="G351" i="8"/>
  <c r="G347" i="8"/>
  <c r="G339" i="8"/>
  <c r="C124" i="3" s="1" a="1"/>
  <c r="C124" i="3" s="1"/>
  <c r="G335" i="8"/>
  <c r="C120" i="3" s="1" a="1"/>
  <c r="C120" i="3" s="1"/>
  <c r="G402" i="8"/>
  <c r="G398" i="8"/>
  <c r="G394" i="8"/>
  <c r="G390" i="8"/>
  <c r="G386" i="8"/>
  <c r="G382" i="8"/>
  <c r="G378" i="8"/>
  <c r="G374" i="8"/>
  <c r="G370" i="8"/>
  <c r="G366" i="8"/>
  <c r="G362" i="8"/>
  <c r="G358" i="8"/>
  <c r="G354" i="8"/>
  <c r="G350" i="8"/>
  <c r="G346" i="8"/>
  <c r="G342" i="8"/>
  <c r="G338" i="8"/>
  <c r="C123" i="3" s="1" a="1"/>
  <c r="C123" i="3" s="1"/>
  <c r="G334" i="8"/>
  <c r="C119" i="3" s="1" a="1"/>
  <c r="C119" i="3" s="1"/>
  <c r="G401" i="8"/>
  <c r="G397" i="8"/>
  <c r="G393" i="8"/>
  <c r="G389" i="8"/>
  <c r="G385" i="8"/>
  <c r="G381" i="8"/>
  <c r="G377" i="8"/>
  <c r="G373" i="8"/>
  <c r="G369" i="8"/>
  <c r="G365" i="8"/>
  <c r="G361" i="8"/>
  <c r="G357" i="8"/>
  <c r="G353" i="8"/>
  <c r="G349" i="8"/>
  <c r="G345" i="8"/>
  <c r="G341" i="8"/>
  <c r="C126" i="3" s="1" a="1"/>
  <c r="C126" i="3" s="1"/>
  <c r="G337" i="8"/>
  <c r="C122" i="3" s="1" a="1"/>
  <c r="C122" i="3" s="1"/>
  <c r="P25" i="9"/>
  <c r="C97" i="3" l="1" a="1"/>
  <c r="C97" i="3" s="1"/>
  <c r="C127" i="3" a="1"/>
  <c r="C127" i="3" s="1"/>
  <c r="E7" i="9"/>
  <c r="AJ40" i="9"/>
  <c r="AJ39" i="9"/>
  <c r="AD26" i="9"/>
  <c r="AB26" i="9"/>
  <c r="Z26" i="9"/>
  <c r="Y26" i="9"/>
  <c r="X26" i="9"/>
  <c r="S26" i="9"/>
  <c r="Q26" i="9"/>
  <c r="P26" i="9"/>
  <c r="N20" i="9"/>
  <c r="K20" i="9"/>
  <c r="J20" i="9"/>
  <c r="N19" i="9"/>
  <c r="K19" i="9"/>
  <c r="J19" i="9"/>
  <c r="G14" i="9"/>
  <c r="D14" i="9"/>
  <c r="G13" i="9"/>
  <c r="D13" i="9"/>
  <c r="D7" i="9"/>
  <c r="BR118" i="7" l="1"/>
  <c r="BR92" i="7"/>
  <c r="F147" i="8"/>
  <c r="F148" i="8"/>
  <c r="F149" i="8"/>
  <c r="F150" i="8"/>
  <c r="F151" i="8"/>
  <c r="F152" i="8"/>
  <c r="F153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CJ124" i="7"/>
  <c r="CH124" i="7"/>
  <c r="D403" i="8" s="1"/>
  <c r="J403" i="8" s="1"/>
  <c r="CJ123" i="7"/>
  <c r="CH123" i="7"/>
  <c r="D402" i="8" s="1"/>
  <c r="J402" i="8" s="1"/>
  <c r="CJ122" i="7"/>
  <c r="CH122" i="7"/>
  <c r="D401" i="8" s="1"/>
  <c r="J401" i="8" s="1"/>
  <c r="CJ121" i="7"/>
  <c r="CH121" i="7"/>
  <c r="D400" i="8" s="1"/>
  <c r="J400" i="8" s="1"/>
  <c r="CJ119" i="7"/>
  <c r="CH119" i="7"/>
  <c r="D325" i="8" s="1"/>
  <c r="J325" i="8" s="1"/>
  <c r="CJ118" i="7"/>
  <c r="CH118" i="7"/>
  <c r="D324" i="8" s="1"/>
  <c r="J324" i="8" s="1"/>
  <c r="CJ117" i="7"/>
  <c r="CH117" i="7"/>
  <c r="D323" i="8" s="1"/>
  <c r="J323" i="8" s="1"/>
  <c r="CJ103" i="7"/>
  <c r="CH103" i="7"/>
  <c r="D399" i="8" s="1"/>
  <c r="J399" i="8" s="1"/>
  <c r="CJ102" i="7"/>
  <c r="CH102" i="7"/>
  <c r="D398" i="8" s="1"/>
  <c r="J398" i="8" s="1"/>
  <c r="CJ101" i="7"/>
  <c r="CH101" i="7"/>
  <c r="D397" i="8" s="1"/>
  <c r="J397" i="8" s="1"/>
  <c r="CJ100" i="7"/>
  <c r="CH100" i="7"/>
  <c r="D396" i="8" s="1"/>
  <c r="J396" i="8" s="1"/>
  <c r="CJ99" i="7"/>
  <c r="CH99" i="7"/>
  <c r="D395" i="8" s="1"/>
  <c r="J395" i="8" s="1"/>
  <c r="CJ98" i="7"/>
  <c r="CH98" i="7"/>
  <c r="D394" i="8" s="1"/>
  <c r="J394" i="8" s="1"/>
  <c r="CJ97" i="7"/>
  <c r="CH97" i="7"/>
  <c r="D393" i="8" s="1"/>
  <c r="J393" i="8" s="1"/>
  <c r="CJ96" i="7"/>
  <c r="CH96" i="7"/>
  <c r="D392" i="8" s="1"/>
  <c r="J392" i="8" s="1"/>
  <c r="CJ94" i="7"/>
  <c r="CH94" i="7"/>
  <c r="D322" i="8" s="1"/>
  <c r="J322" i="8" s="1"/>
  <c r="CJ93" i="7"/>
  <c r="CH93" i="7"/>
  <c r="D321" i="8" s="1"/>
  <c r="J321" i="8" s="1"/>
  <c r="CJ92" i="7"/>
  <c r="CH92" i="7"/>
  <c r="D320" i="8" s="1"/>
  <c r="J320" i="8" s="1"/>
  <c r="CJ91" i="7"/>
  <c r="CH91" i="7"/>
  <c r="D319" i="8" s="1"/>
  <c r="J319" i="8" s="1"/>
  <c r="CJ90" i="7"/>
  <c r="CH90" i="7"/>
  <c r="D318" i="8" s="1"/>
  <c r="J318" i="8" s="1"/>
  <c r="CJ73" i="7"/>
  <c r="CH73" i="7"/>
  <c r="CJ72" i="7"/>
  <c r="CH72" i="7"/>
  <c r="CJ71" i="7"/>
  <c r="CH71" i="7"/>
  <c r="CJ70" i="7"/>
  <c r="CH70" i="7"/>
  <c r="CJ69" i="7"/>
  <c r="CH69" i="7"/>
  <c r="CJ68" i="7"/>
  <c r="CH68" i="7"/>
  <c r="CJ67" i="7"/>
  <c r="CH67" i="7"/>
  <c r="CJ52" i="7"/>
  <c r="CH52" i="7"/>
  <c r="CJ51" i="7"/>
  <c r="CH51" i="7"/>
  <c r="CJ50" i="7"/>
  <c r="CH50" i="7"/>
  <c r="CJ49" i="7"/>
  <c r="CH49" i="7"/>
  <c r="CJ48" i="7"/>
  <c r="CH48" i="7"/>
  <c r="CJ28" i="7"/>
  <c r="CH28" i="7"/>
  <c r="CJ27" i="7"/>
  <c r="CH27" i="7"/>
  <c r="CJ26" i="7"/>
  <c r="CH26" i="7"/>
  <c r="CJ25" i="7"/>
  <c r="CH25" i="7"/>
  <c r="CJ24" i="7"/>
  <c r="CH24" i="7"/>
  <c r="CJ23" i="7"/>
  <c r="CH23" i="7"/>
  <c r="CJ22" i="7"/>
  <c r="CH22" i="7"/>
  <c r="CJ21" i="7"/>
  <c r="CH21" i="7"/>
  <c r="CJ20" i="7"/>
  <c r="CH20" i="7"/>
  <c r="CJ19" i="7"/>
  <c r="CH19" i="7"/>
  <c r="CJ18" i="7"/>
  <c r="CH18" i="7"/>
  <c r="CJ17" i="7"/>
  <c r="CH17" i="7"/>
  <c r="I212" i="8"/>
  <c r="I213" i="8"/>
  <c r="I214" i="8"/>
  <c r="I215" i="8"/>
  <c r="I216" i="8"/>
  <c r="I217" i="8"/>
  <c r="I218" i="8"/>
  <c r="I219" i="8"/>
  <c r="I220" i="8"/>
  <c r="I221" i="8"/>
  <c r="I222" i="8"/>
  <c r="I223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J220" i="8"/>
  <c r="J221" i="8"/>
  <c r="J222" i="8"/>
  <c r="J223" i="8"/>
  <c r="I154" i="8"/>
  <c r="I155" i="8"/>
  <c r="I156" i="8"/>
  <c r="I157" i="8"/>
  <c r="I158" i="8"/>
  <c r="I159" i="8"/>
  <c r="I160" i="8"/>
  <c r="I161" i="8"/>
  <c r="I153" i="8"/>
  <c r="J159" i="8"/>
  <c r="J160" i="8"/>
  <c r="J161" i="8"/>
  <c r="D256" i="8"/>
  <c r="G146" i="8" l="1"/>
  <c r="G164" i="8"/>
  <c r="G154" i="8"/>
  <c r="G152" i="8"/>
  <c r="G184" i="8"/>
  <c r="G176" i="8"/>
  <c r="G170" i="8"/>
  <c r="G160" i="8"/>
  <c r="G150" i="8"/>
  <c r="G192" i="8"/>
  <c r="G178" i="8"/>
  <c r="G172" i="8"/>
  <c r="G156" i="8"/>
  <c r="G186" i="8"/>
  <c r="G180" i="8"/>
  <c r="G148" i="8"/>
  <c r="G188" i="8"/>
  <c r="G168" i="8"/>
  <c r="G162" i="8"/>
  <c r="G147" i="8"/>
  <c r="G190" i="8"/>
  <c r="G182" i="8"/>
  <c r="G174" i="8"/>
  <c r="G166" i="8"/>
  <c r="G158" i="8"/>
  <c r="G185" i="8"/>
  <c r="G193" i="8"/>
  <c r="G191" i="8"/>
  <c r="G189" i="8"/>
  <c r="G187" i="8"/>
  <c r="G183" i="8"/>
  <c r="G181" i="8"/>
  <c r="G179" i="8"/>
  <c r="G177" i="8"/>
  <c r="G175" i="8"/>
  <c r="G173" i="8"/>
  <c r="G171" i="8"/>
  <c r="G169" i="8"/>
  <c r="G167" i="8"/>
  <c r="G165" i="8"/>
  <c r="G163" i="8"/>
  <c r="G161" i="8"/>
  <c r="G159" i="8"/>
  <c r="G157" i="8"/>
  <c r="G155" i="8"/>
  <c r="G153" i="8"/>
  <c r="G151" i="8"/>
  <c r="G149" i="8"/>
  <c r="BD71" i="7"/>
  <c r="BB71" i="7"/>
  <c r="AZ71" i="7"/>
  <c r="BL71" i="7" s="1"/>
  <c r="AX71" i="7"/>
  <c r="BJ48" i="7"/>
  <c r="BJ70" i="7"/>
  <c r="BH71" i="7"/>
  <c r="BF71" i="7"/>
  <c r="Q42" i="4"/>
  <c r="R42" i="4"/>
  <c r="Q43" i="4"/>
  <c r="R43" i="4"/>
  <c r="Q44" i="4"/>
  <c r="R44" i="4"/>
  <c r="Q45" i="4"/>
  <c r="R45" i="4"/>
  <c r="Q46" i="4"/>
  <c r="R46" i="4"/>
  <c r="Q47" i="4"/>
  <c r="R47" i="4"/>
  <c r="Q48" i="4"/>
  <c r="R48" i="4"/>
  <c r="Q49" i="4"/>
  <c r="R49" i="4"/>
  <c r="Q50" i="4"/>
  <c r="R50" i="4"/>
  <c r="Q51" i="4"/>
  <c r="R51" i="4"/>
  <c r="Q52" i="4"/>
  <c r="R52" i="4"/>
  <c r="Q53" i="4"/>
  <c r="R53" i="4"/>
  <c r="Q54" i="4"/>
  <c r="R54" i="4"/>
  <c r="Q55" i="4"/>
  <c r="R55" i="4"/>
  <c r="Q56" i="4"/>
  <c r="R56" i="4"/>
  <c r="Q57" i="4"/>
  <c r="R57" i="4"/>
  <c r="Q58" i="4"/>
  <c r="R58" i="4"/>
  <c r="Q59" i="4"/>
  <c r="R59" i="4"/>
  <c r="Q60" i="4"/>
  <c r="R60" i="4"/>
  <c r="R41" i="4"/>
  <c r="Q41" i="4"/>
  <c r="Q33" i="4"/>
  <c r="R33" i="4"/>
  <c r="Q34" i="4"/>
  <c r="R34" i="4"/>
  <c r="Q35" i="4"/>
  <c r="R35" i="4"/>
  <c r="Q36" i="4"/>
  <c r="R36" i="4"/>
  <c r="Q37" i="4"/>
  <c r="R37" i="4"/>
  <c r="Q38" i="4"/>
  <c r="R38" i="4"/>
  <c r="R32" i="4"/>
  <c r="Q32" i="4"/>
  <c r="Q29" i="4"/>
  <c r="R29" i="4"/>
  <c r="Q26" i="4"/>
  <c r="R26" i="4"/>
  <c r="Q27" i="4"/>
  <c r="R27" i="4"/>
  <c r="Q28" i="4"/>
  <c r="R28" i="4"/>
  <c r="R25" i="4"/>
  <c r="Q25" i="4"/>
  <c r="Q12" i="4"/>
  <c r="R12" i="4"/>
  <c r="Q13" i="4"/>
  <c r="R13" i="4"/>
  <c r="Q14" i="4"/>
  <c r="R14" i="4"/>
  <c r="Q15" i="4"/>
  <c r="R15" i="4"/>
  <c r="Q16" i="4"/>
  <c r="R16" i="4"/>
  <c r="Q17" i="4"/>
  <c r="R17" i="4"/>
  <c r="Q18" i="4"/>
  <c r="R18" i="4"/>
  <c r="Q19" i="4"/>
  <c r="R19" i="4"/>
  <c r="Q20" i="4"/>
  <c r="R20" i="4"/>
  <c r="Q21" i="4"/>
  <c r="R21" i="4"/>
  <c r="Q22" i="4"/>
  <c r="R22" i="4"/>
  <c r="R11" i="4"/>
  <c r="Q11" i="4"/>
  <c r="BJ71" i="7" l="1"/>
  <c r="BL67" i="7"/>
  <c r="BR100" i="7" l="1"/>
  <c r="BR101" i="7"/>
  <c r="BJ67" i="7" l="1"/>
  <c r="V67" i="7"/>
  <c r="X69" i="7"/>
  <c r="X68" i="7"/>
  <c r="X67" i="7"/>
  <c r="V69" i="7"/>
  <c r="V68" i="7"/>
  <c r="BL50" i="7" l="1"/>
  <c r="BL49" i="7"/>
  <c r="BL48" i="7"/>
  <c r="BJ50" i="7"/>
  <c r="BJ49" i="7"/>
  <c r="BR90" i="7" l="1"/>
  <c r="BF70" i="7"/>
  <c r="BT121" i="7"/>
  <c r="BD124" i="7"/>
  <c r="BD123" i="7"/>
  <c r="BD122" i="7"/>
  <c r="BD121" i="7"/>
  <c r="BD119" i="7"/>
  <c r="BD118" i="7"/>
  <c r="BD117" i="7"/>
  <c r="BB122" i="7"/>
  <c r="BB123" i="7"/>
  <c r="BB124" i="7"/>
  <c r="BB121" i="7"/>
  <c r="BB119" i="7"/>
  <c r="BB118" i="7"/>
  <c r="BB117" i="7"/>
  <c r="BD103" i="7"/>
  <c r="BD102" i="7"/>
  <c r="BD101" i="7"/>
  <c r="BD100" i="7"/>
  <c r="BD99" i="7"/>
  <c r="BD98" i="7"/>
  <c r="BD97" i="7"/>
  <c r="BD96" i="7"/>
  <c r="BD94" i="7"/>
  <c r="BD93" i="7"/>
  <c r="BD92" i="7"/>
  <c r="BD91" i="7"/>
  <c r="BD90" i="7"/>
  <c r="BB103" i="7"/>
  <c r="BB102" i="7"/>
  <c r="BB101" i="7"/>
  <c r="BB100" i="7"/>
  <c r="BB99" i="7"/>
  <c r="BB98" i="7"/>
  <c r="BB97" i="7"/>
  <c r="BB96" i="7"/>
  <c r="BB91" i="7"/>
  <c r="BB92" i="7"/>
  <c r="BB93" i="7"/>
  <c r="BB94" i="7"/>
  <c r="BB90" i="7"/>
  <c r="BH70" i="7"/>
  <c r="BH67" i="7" l="1"/>
  <c r="BF67" i="7"/>
  <c r="BB67" i="7"/>
  <c r="AX67" i="7"/>
  <c r="BD68" i="7"/>
  <c r="V17" i="7"/>
  <c r="BB17" i="7" s="1"/>
  <c r="X27" i="7"/>
  <c r="BD27" i="7" s="1"/>
  <c r="X26" i="7"/>
  <c r="BD26" i="7" s="1"/>
  <c r="X25" i="7"/>
  <c r="BD25" i="7" s="1"/>
  <c r="X24" i="7"/>
  <c r="BD24" i="7" s="1"/>
  <c r="X23" i="7"/>
  <c r="BD23" i="7" s="1"/>
  <c r="X22" i="7"/>
  <c r="BD22" i="7" s="1"/>
  <c r="X21" i="7"/>
  <c r="BD21" i="7" s="1"/>
  <c r="X20" i="7"/>
  <c r="BD20" i="7" s="1"/>
  <c r="X19" i="7"/>
  <c r="BD19" i="7" s="1"/>
  <c r="X18" i="7"/>
  <c r="BD18" i="7" s="1"/>
  <c r="V27" i="7"/>
  <c r="BB27" i="7" s="1"/>
  <c r="V26" i="7"/>
  <c r="BB26" i="7" s="1"/>
  <c r="V25" i="7"/>
  <c r="BB25" i="7" s="1"/>
  <c r="V24" i="7"/>
  <c r="BB24" i="7" s="1"/>
  <c r="V23" i="7"/>
  <c r="BB23" i="7" s="1"/>
  <c r="V22" i="7"/>
  <c r="BB22" i="7" s="1"/>
  <c r="V21" i="7"/>
  <c r="BB21" i="7" s="1"/>
  <c r="V20" i="7"/>
  <c r="BB20" i="7" s="1"/>
  <c r="V19" i="7"/>
  <c r="BB19" i="7" s="1"/>
  <c r="V18" i="7"/>
  <c r="BB18" i="7" s="1"/>
  <c r="BF48" i="7"/>
  <c r="X17" i="7"/>
  <c r="BD17" i="7" s="1"/>
  <c r="AX17" i="7"/>
  <c r="AX18" i="7"/>
  <c r="AX19" i="7"/>
  <c r="AF21" i="7"/>
  <c r="AD21" i="7"/>
  <c r="BL70" i="7"/>
  <c r="BD70" i="7"/>
  <c r="BD69" i="7"/>
  <c r="BD67" i="7"/>
  <c r="BB70" i="7"/>
  <c r="BB69" i="7"/>
  <c r="BB68" i="7"/>
  <c r="AZ70" i="7"/>
  <c r="AZ69" i="7"/>
  <c r="AZ68" i="7"/>
  <c r="AZ67" i="7"/>
  <c r="AX70" i="7"/>
  <c r="AX69" i="7"/>
  <c r="AX68" i="7"/>
  <c r="T69" i="7"/>
  <c r="T68" i="7"/>
  <c r="T67" i="7"/>
  <c r="R69" i="7"/>
  <c r="R68" i="7"/>
  <c r="R67" i="7"/>
  <c r="BH50" i="7"/>
  <c r="BH49" i="7"/>
  <c r="BH48" i="7"/>
  <c r="BD49" i="7"/>
  <c r="BD50" i="7"/>
  <c r="BD48" i="7"/>
  <c r="BB49" i="7"/>
  <c r="BB50" i="7"/>
  <c r="BB48" i="7"/>
  <c r="AZ49" i="7"/>
  <c r="AZ50" i="7"/>
  <c r="AZ48" i="7"/>
  <c r="AX49" i="7"/>
  <c r="AX50" i="7"/>
  <c r="AX48" i="7"/>
  <c r="X48" i="7"/>
  <c r="R48" i="7"/>
  <c r="R49" i="7"/>
  <c r="R50" i="7"/>
  <c r="BJ28" i="7"/>
  <c r="Z68" i="7"/>
  <c r="BF68" i="7" s="1"/>
  <c r="BJ68" i="7" l="1"/>
  <c r="D112" i="8"/>
  <c r="P60" i="9"/>
  <c r="Q60" i="9"/>
  <c r="R60" i="9"/>
  <c r="S60" i="9"/>
  <c r="P61" i="9"/>
  <c r="Q61" i="9"/>
  <c r="R61" i="9"/>
  <c r="S61" i="9"/>
  <c r="P62" i="9"/>
  <c r="Q62" i="9"/>
  <c r="R62" i="9"/>
  <c r="S62" i="9"/>
  <c r="P63" i="9"/>
  <c r="Q63" i="9"/>
  <c r="R63" i="9"/>
  <c r="S63" i="9"/>
  <c r="P64" i="9"/>
  <c r="Q64" i="9"/>
  <c r="R64" i="9"/>
  <c r="S64" i="9"/>
  <c r="P65" i="9"/>
  <c r="Q65" i="9"/>
  <c r="R65" i="9"/>
  <c r="S65" i="9"/>
  <c r="P66" i="9"/>
  <c r="Q66" i="9"/>
  <c r="R66" i="9"/>
  <c r="S66" i="9"/>
  <c r="P67" i="9"/>
  <c r="Q67" i="9"/>
  <c r="R67" i="9"/>
  <c r="S67" i="9"/>
  <c r="P68" i="9"/>
  <c r="Q68" i="9"/>
  <c r="R68" i="9"/>
  <c r="S68" i="9"/>
  <c r="P69" i="9"/>
  <c r="Q69" i="9"/>
  <c r="R69" i="9"/>
  <c r="S69" i="9"/>
  <c r="P70" i="9"/>
  <c r="Q70" i="9"/>
  <c r="R70" i="9"/>
  <c r="S70" i="9"/>
  <c r="P71" i="9"/>
  <c r="Q71" i="9"/>
  <c r="R71" i="9"/>
  <c r="S71" i="9"/>
  <c r="P72" i="9"/>
  <c r="Q72" i="9"/>
  <c r="R72" i="9"/>
  <c r="S72" i="9"/>
  <c r="P73" i="9"/>
  <c r="Q73" i="9"/>
  <c r="R73" i="9"/>
  <c r="S73" i="9"/>
  <c r="P74" i="9"/>
  <c r="Q74" i="9"/>
  <c r="R74" i="9"/>
  <c r="S74" i="9"/>
  <c r="P75" i="9"/>
  <c r="Q75" i="9"/>
  <c r="R75" i="9"/>
  <c r="S75" i="9"/>
  <c r="P76" i="9"/>
  <c r="Q76" i="9"/>
  <c r="R76" i="9"/>
  <c r="S76" i="9"/>
  <c r="P77" i="9"/>
  <c r="Q77" i="9"/>
  <c r="R77" i="9"/>
  <c r="S77" i="9"/>
  <c r="P78" i="9"/>
  <c r="Q78" i="9"/>
  <c r="R78" i="9"/>
  <c r="S78" i="9"/>
  <c r="P79" i="9"/>
  <c r="Q79" i="9"/>
  <c r="R79" i="9"/>
  <c r="S79" i="9"/>
  <c r="P80" i="9"/>
  <c r="Q80" i="9"/>
  <c r="R80" i="9"/>
  <c r="S80" i="9"/>
  <c r="P81" i="9"/>
  <c r="Q81" i="9"/>
  <c r="R81" i="9"/>
  <c r="S81" i="9"/>
  <c r="P82" i="9"/>
  <c r="Q82" i="9"/>
  <c r="R82" i="9"/>
  <c r="S82" i="9"/>
  <c r="P83" i="9"/>
  <c r="Q83" i="9"/>
  <c r="R83" i="9"/>
  <c r="S83" i="9"/>
  <c r="P84" i="9"/>
  <c r="Q84" i="9"/>
  <c r="R84" i="9"/>
  <c r="S84" i="9"/>
  <c r="P85" i="9"/>
  <c r="Q85" i="9"/>
  <c r="R85" i="9"/>
  <c r="S85" i="9"/>
  <c r="P86" i="9"/>
  <c r="Q86" i="9"/>
  <c r="R86" i="9"/>
  <c r="S86" i="9"/>
  <c r="P87" i="9"/>
  <c r="Q87" i="9"/>
  <c r="R87" i="9"/>
  <c r="S87" i="9"/>
  <c r="P88" i="9"/>
  <c r="Q88" i="9"/>
  <c r="R88" i="9"/>
  <c r="S88" i="9"/>
  <c r="P89" i="9"/>
  <c r="Q89" i="9"/>
  <c r="R89" i="9"/>
  <c r="S89" i="9"/>
  <c r="P90" i="9"/>
  <c r="Q90" i="9"/>
  <c r="R90" i="9"/>
  <c r="S90" i="9"/>
  <c r="P91" i="9"/>
  <c r="Q91" i="9"/>
  <c r="R91" i="9"/>
  <c r="S91" i="9"/>
  <c r="P92" i="9"/>
  <c r="Q92" i="9"/>
  <c r="R92" i="9"/>
  <c r="S92" i="9"/>
  <c r="P93" i="9"/>
  <c r="Q93" i="9"/>
  <c r="R93" i="9"/>
  <c r="S93" i="9"/>
  <c r="P94" i="9"/>
  <c r="Q94" i="9"/>
  <c r="R94" i="9"/>
  <c r="S94" i="9"/>
  <c r="P95" i="9"/>
  <c r="Q95" i="9"/>
  <c r="R95" i="9"/>
  <c r="S95" i="9"/>
  <c r="P96" i="9"/>
  <c r="Q96" i="9"/>
  <c r="R96" i="9"/>
  <c r="S96" i="9"/>
  <c r="P97" i="9"/>
  <c r="Q97" i="9"/>
  <c r="R97" i="9"/>
  <c r="S97" i="9"/>
  <c r="P98" i="9"/>
  <c r="Q98" i="9"/>
  <c r="R98" i="9"/>
  <c r="S98" i="9"/>
  <c r="P99" i="9"/>
  <c r="Q99" i="9"/>
  <c r="R99" i="9"/>
  <c r="S99" i="9"/>
  <c r="P100" i="9"/>
  <c r="Q100" i="9"/>
  <c r="R100" i="9"/>
  <c r="S100" i="9"/>
  <c r="P101" i="9"/>
  <c r="Q101" i="9"/>
  <c r="R101" i="9"/>
  <c r="S101" i="9"/>
  <c r="P102" i="9"/>
  <c r="Q102" i="9"/>
  <c r="R102" i="9"/>
  <c r="S102" i="9"/>
  <c r="P103" i="9"/>
  <c r="Q103" i="9"/>
  <c r="R103" i="9"/>
  <c r="S103" i="9"/>
  <c r="P104" i="9"/>
  <c r="Q104" i="9"/>
  <c r="R104" i="9"/>
  <c r="S104" i="9"/>
  <c r="P105" i="9"/>
  <c r="Q105" i="9"/>
  <c r="R105" i="9"/>
  <c r="S105" i="9"/>
  <c r="P106" i="9"/>
  <c r="Q106" i="9"/>
  <c r="R106" i="9"/>
  <c r="S106" i="9"/>
  <c r="P107" i="9"/>
  <c r="Q107" i="9"/>
  <c r="R107" i="9"/>
  <c r="S107" i="9"/>
  <c r="P108" i="9"/>
  <c r="Q108" i="9"/>
  <c r="R108" i="9"/>
  <c r="S108" i="9"/>
  <c r="P109" i="9"/>
  <c r="Q109" i="9"/>
  <c r="R109" i="9"/>
  <c r="S109" i="9"/>
  <c r="P110" i="9"/>
  <c r="Q110" i="9"/>
  <c r="R110" i="9"/>
  <c r="S110" i="9"/>
  <c r="P111" i="9"/>
  <c r="Q111" i="9"/>
  <c r="R111" i="9"/>
  <c r="S111" i="9"/>
  <c r="P112" i="9"/>
  <c r="Q112" i="9"/>
  <c r="R112" i="9"/>
  <c r="S112" i="9"/>
  <c r="P113" i="9"/>
  <c r="Q113" i="9"/>
  <c r="R113" i="9"/>
  <c r="S113" i="9"/>
  <c r="P114" i="9"/>
  <c r="Q114" i="9"/>
  <c r="R114" i="9"/>
  <c r="S114" i="9"/>
  <c r="P115" i="9"/>
  <c r="Q115" i="9"/>
  <c r="R115" i="9"/>
  <c r="S115" i="9"/>
  <c r="P116" i="9"/>
  <c r="Q116" i="9"/>
  <c r="R116" i="9"/>
  <c r="S116" i="9"/>
  <c r="P117" i="9"/>
  <c r="Q117" i="9"/>
  <c r="R117" i="9"/>
  <c r="S117" i="9"/>
  <c r="P118" i="9"/>
  <c r="Q118" i="9"/>
  <c r="R118" i="9"/>
  <c r="S118" i="9"/>
  <c r="P119" i="9"/>
  <c r="Q119" i="9"/>
  <c r="R119" i="9"/>
  <c r="S119" i="9"/>
  <c r="P120" i="9"/>
  <c r="Q120" i="9"/>
  <c r="R120" i="9"/>
  <c r="S120" i="9"/>
  <c r="P121" i="9"/>
  <c r="Q121" i="9"/>
  <c r="R121" i="9"/>
  <c r="S121" i="9"/>
  <c r="P122" i="9"/>
  <c r="Q122" i="9"/>
  <c r="R122" i="9"/>
  <c r="S122" i="9"/>
  <c r="P123" i="9"/>
  <c r="Q123" i="9"/>
  <c r="R123" i="9"/>
  <c r="S123" i="9"/>
  <c r="P124" i="9"/>
  <c r="Q124" i="9"/>
  <c r="R124" i="9"/>
  <c r="S124" i="9"/>
  <c r="P125" i="9"/>
  <c r="Q125" i="9"/>
  <c r="R125" i="9"/>
  <c r="S125" i="9"/>
  <c r="P126" i="9"/>
  <c r="Q126" i="9"/>
  <c r="R126" i="9"/>
  <c r="S126" i="9"/>
  <c r="P127" i="9"/>
  <c r="Q127" i="9"/>
  <c r="R127" i="9"/>
  <c r="S127" i="9"/>
  <c r="P128" i="9"/>
  <c r="Q128" i="9"/>
  <c r="R128" i="9"/>
  <c r="S128" i="9"/>
  <c r="P129" i="9"/>
  <c r="Q129" i="9"/>
  <c r="R129" i="9"/>
  <c r="S129" i="9"/>
  <c r="P130" i="9"/>
  <c r="Q130" i="9"/>
  <c r="R130" i="9"/>
  <c r="S130" i="9"/>
  <c r="P131" i="9"/>
  <c r="Q131" i="9"/>
  <c r="R131" i="9"/>
  <c r="S131" i="9"/>
  <c r="P132" i="9"/>
  <c r="Q132" i="9"/>
  <c r="R132" i="9"/>
  <c r="S132" i="9"/>
  <c r="P133" i="9"/>
  <c r="Q133" i="9"/>
  <c r="R133" i="9"/>
  <c r="S133" i="9"/>
  <c r="P134" i="9"/>
  <c r="Q134" i="9"/>
  <c r="R134" i="9"/>
  <c r="S134" i="9"/>
  <c r="P135" i="9"/>
  <c r="Q135" i="9"/>
  <c r="R135" i="9"/>
  <c r="S135" i="9"/>
  <c r="P136" i="9"/>
  <c r="Q136" i="9"/>
  <c r="R136" i="9"/>
  <c r="S136" i="9"/>
  <c r="P137" i="9"/>
  <c r="Q137" i="9"/>
  <c r="R137" i="9"/>
  <c r="S137" i="9"/>
  <c r="P138" i="9"/>
  <c r="Q138" i="9"/>
  <c r="R138" i="9"/>
  <c r="S138" i="9"/>
  <c r="P139" i="9"/>
  <c r="Q139" i="9"/>
  <c r="R139" i="9"/>
  <c r="S139" i="9"/>
  <c r="P140" i="9"/>
  <c r="Q140" i="9"/>
  <c r="R140" i="9"/>
  <c r="S140" i="9"/>
  <c r="P141" i="9"/>
  <c r="Q141" i="9"/>
  <c r="R141" i="9"/>
  <c r="S141" i="9"/>
  <c r="P142" i="9"/>
  <c r="Q142" i="9"/>
  <c r="R142" i="9"/>
  <c r="S142" i="9"/>
  <c r="P143" i="9"/>
  <c r="Q143" i="9"/>
  <c r="R143" i="9"/>
  <c r="S143" i="9"/>
  <c r="P144" i="9"/>
  <c r="Q144" i="9"/>
  <c r="R144" i="9"/>
  <c r="S144" i="9"/>
  <c r="P145" i="9"/>
  <c r="Q145" i="9"/>
  <c r="R145" i="9"/>
  <c r="S145" i="9"/>
  <c r="P146" i="9"/>
  <c r="Q146" i="9"/>
  <c r="R146" i="9"/>
  <c r="S146" i="9"/>
  <c r="P147" i="9"/>
  <c r="Q147" i="9"/>
  <c r="R147" i="9"/>
  <c r="S147" i="9"/>
  <c r="P148" i="9"/>
  <c r="Q148" i="9"/>
  <c r="R148" i="9"/>
  <c r="S148" i="9"/>
  <c r="P149" i="9"/>
  <c r="Q149" i="9"/>
  <c r="R149" i="9"/>
  <c r="S149" i="9"/>
  <c r="P150" i="9"/>
  <c r="Q150" i="9"/>
  <c r="R150" i="9"/>
  <c r="S150" i="9"/>
  <c r="P151" i="9"/>
  <c r="Q151" i="9"/>
  <c r="R151" i="9"/>
  <c r="S151" i="9"/>
  <c r="P152" i="9"/>
  <c r="Q152" i="9"/>
  <c r="R152" i="9"/>
  <c r="S152" i="9"/>
  <c r="P153" i="9"/>
  <c r="Q153" i="9"/>
  <c r="R153" i="9"/>
  <c r="S153" i="9"/>
  <c r="P154" i="9"/>
  <c r="Q154" i="9"/>
  <c r="R154" i="9"/>
  <c r="S154" i="9"/>
  <c r="P155" i="9"/>
  <c r="Q155" i="9"/>
  <c r="R155" i="9"/>
  <c r="S155" i="9"/>
  <c r="P156" i="9"/>
  <c r="Q156" i="9"/>
  <c r="R156" i="9"/>
  <c r="S156" i="9"/>
  <c r="P157" i="9"/>
  <c r="Q157" i="9"/>
  <c r="R157" i="9"/>
  <c r="S157" i="9"/>
  <c r="P158" i="9"/>
  <c r="Q158" i="9"/>
  <c r="R158" i="9"/>
  <c r="S158" i="9"/>
  <c r="P159" i="9"/>
  <c r="Q159" i="9"/>
  <c r="R159" i="9"/>
  <c r="S159" i="9"/>
  <c r="P160" i="9"/>
  <c r="Q160" i="9"/>
  <c r="R160" i="9"/>
  <c r="S160" i="9"/>
  <c r="P161" i="9"/>
  <c r="Q161" i="9"/>
  <c r="R161" i="9"/>
  <c r="S161" i="9"/>
  <c r="P162" i="9"/>
  <c r="Q162" i="9"/>
  <c r="R162" i="9"/>
  <c r="S162" i="9"/>
  <c r="P163" i="9"/>
  <c r="Q163" i="9"/>
  <c r="R163" i="9"/>
  <c r="S163" i="9"/>
  <c r="P164" i="9"/>
  <c r="Q164" i="9"/>
  <c r="R164" i="9"/>
  <c r="S164" i="9"/>
  <c r="P165" i="9"/>
  <c r="Q165" i="9"/>
  <c r="R165" i="9"/>
  <c r="S165" i="9"/>
  <c r="P166" i="9"/>
  <c r="Q166" i="9"/>
  <c r="R166" i="9"/>
  <c r="S166" i="9"/>
  <c r="P167" i="9"/>
  <c r="Q167" i="9"/>
  <c r="R167" i="9"/>
  <c r="S167" i="9"/>
  <c r="P168" i="9"/>
  <c r="Q168" i="9"/>
  <c r="R168" i="9"/>
  <c r="S168" i="9"/>
  <c r="P169" i="9"/>
  <c r="Q169" i="9"/>
  <c r="R169" i="9"/>
  <c r="S169" i="9"/>
  <c r="P170" i="9"/>
  <c r="Q170" i="9"/>
  <c r="R170" i="9"/>
  <c r="S170" i="9"/>
  <c r="P171" i="9"/>
  <c r="Q171" i="9"/>
  <c r="R171" i="9"/>
  <c r="S171" i="9"/>
  <c r="P172" i="9"/>
  <c r="Q172" i="9"/>
  <c r="R172" i="9"/>
  <c r="S172" i="9"/>
  <c r="P173" i="9"/>
  <c r="Q173" i="9"/>
  <c r="R173" i="9"/>
  <c r="S173" i="9"/>
  <c r="P174" i="9"/>
  <c r="Q174" i="9"/>
  <c r="R174" i="9"/>
  <c r="S174" i="9"/>
  <c r="P175" i="9"/>
  <c r="Q175" i="9"/>
  <c r="R175" i="9"/>
  <c r="S175" i="9"/>
  <c r="P176" i="9"/>
  <c r="Q176" i="9"/>
  <c r="R176" i="9"/>
  <c r="S176" i="9"/>
  <c r="P177" i="9"/>
  <c r="Q177" i="9"/>
  <c r="R177" i="9"/>
  <c r="S177" i="9"/>
  <c r="P178" i="9"/>
  <c r="Q178" i="9"/>
  <c r="R178" i="9"/>
  <c r="S178" i="9"/>
  <c r="P179" i="9"/>
  <c r="Q179" i="9"/>
  <c r="R179" i="9"/>
  <c r="S179" i="9"/>
  <c r="P180" i="9"/>
  <c r="Q180" i="9"/>
  <c r="R180" i="9"/>
  <c r="S180" i="9"/>
  <c r="P181" i="9"/>
  <c r="Q181" i="9"/>
  <c r="R181" i="9"/>
  <c r="S181" i="9"/>
  <c r="P182" i="9"/>
  <c r="Q182" i="9"/>
  <c r="R182" i="9"/>
  <c r="S182" i="9"/>
  <c r="P183" i="9"/>
  <c r="Q183" i="9"/>
  <c r="R183" i="9"/>
  <c r="S183" i="9"/>
  <c r="P184" i="9"/>
  <c r="Q184" i="9"/>
  <c r="R184" i="9"/>
  <c r="S184" i="9"/>
  <c r="P185" i="9"/>
  <c r="Q185" i="9"/>
  <c r="R185" i="9"/>
  <c r="S185" i="9"/>
  <c r="P186" i="9"/>
  <c r="Q186" i="9"/>
  <c r="R186" i="9"/>
  <c r="S186" i="9"/>
  <c r="P187" i="9"/>
  <c r="Q187" i="9"/>
  <c r="R187" i="9"/>
  <c r="S187" i="9"/>
  <c r="P188" i="9"/>
  <c r="Q188" i="9"/>
  <c r="R188" i="9"/>
  <c r="S188" i="9"/>
  <c r="P189" i="9"/>
  <c r="Q189" i="9"/>
  <c r="R189" i="9"/>
  <c r="S189" i="9"/>
  <c r="P190" i="9"/>
  <c r="Q190" i="9"/>
  <c r="R190" i="9"/>
  <c r="S190" i="9"/>
  <c r="P191" i="9"/>
  <c r="Q191" i="9"/>
  <c r="R191" i="9"/>
  <c r="S191" i="9"/>
  <c r="P192" i="9"/>
  <c r="Q192" i="9"/>
  <c r="R192" i="9"/>
  <c r="S192" i="9"/>
  <c r="P193" i="9"/>
  <c r="Q193" i="9"/>
  <c r="R193" i="9"/>
  <c r="S193" i="9"/>
  <c r="P194" i="9"/>
  <c r="Q194" i="9"/>
  <c r="R194" i="9"/>
  <c r="S194" i="9"/>
  <c r="P195" i="9"/>
  <c r="Q195" i="9"/>
  <c r="R195" i="9"/>
  <c r="S195" i="9"/>
  <c r="P196" i="9"/>
  <c r="Q196" i="9"/>
  <c r="R196" i="9"/>
  <c r="S196" i="9"/>
  <c r="P197" i="9"/>
  <c r="Q197" i="9"/>
  <c r="R197" i="9"/>
  <c r="S197" i="9"/>
  <c r="P198" i="9"/>
  <c r="Q198" i="9"/>
  <c r="R198" i="9"/>
  <c r="S198" i="9"/>
  <c r="P199" i="9"/>
  <c r="Q199" i="9"/>
  <c r="R199" i="9"/>
  <c r="S199" i="9"/>
  <c r="P200" i="9"/>
  <c r="Q200" i="9"/>
  <c r="R200" i="9"/>
  <c r="S200" i="9"/>
  <c r="P201" i="9"/>
  <c r="Q201" i="9"/>
  <c r="R201" i="9"/>
  <c r="S201" i="9"/>
  <c r="P202" i="9"/>
  <c r="Q202" i="9"/>
  <c r="R202" i="9"/>
  <c r="S202" i="9"/>
  <c r="P203" i="9"/>
  <c r="Q203" i="9"/>
  <c r="R203" i="9"/>
  <c r="S203" i="9"/>
  <c r="P204" i="9"/>
  <c r="Q204" i="9"/>
  <c r="R204" i="9"/>
  <c r="S204" i="9"/>
  <c r="P205" i="9"/>
  <c r="Q205" i="9"/>
  <c r="R205" i="9"/>
  <c r="S205" i="9"/>
  <c r="P206" i="9"/>
  <c r="Q206" i="9"/>
  <c r="R206" i="9"/>
  <c r="S206" i="9"/>
  <c r="P207" i="9"/>
  <c r="Q207" i="9"/>
  <c r="R207" i="9"/>
  <c r="S207" i="9"/>
  <c r="P208" i="9"/>
  <c r="Q208" i="9"/>
  <c r="R208" i="9"/>
  <c r="S208" i="9"/>
  <c r="P209" i="9"/>
  <c r="Q209" i="9"/>
  <c r="R209" i="9"/>
  <c r="S209" i="9"/>
  <c r="P210" i="9"/>
  <c r="Q210" i="9"/>
  <c r="R210" i="9"/>
  <c r="S210" i="9"/>
  <c r="P211" i="9"/>
  <c r="Q211" i="9"/>
  <c r="R211" i="9"/>
  <c r="S211" i="9"/>
  <c r="P212" i="9"/>
  <c r="Q212" i="9"/>
  <c r="R212" i="9"/>
  <c r="S212" i="9"/>
  <c r="P213" i="9"/>
  <c r="Q213" i="9"/>
  <c r="R213" i="9"/>
  <c r="S213" i="9"/>
  <c r="P214" i="9"/>
  <c r="Q214" i="9"/>
  <c r="R214" i="9"/>
  <c r="S214" i="9"/>
  <c r="P215" i="9"/>
  <c r="Q215" i="9"/>
  <c r="R215" i="9"/>
  <c r="S215" i="9"/>
  <c r="P216" i="9"/>
  <c r="Q216" i="9"/>
  <c r="R216" i="9"/>
  <c r="S216" i="9"/>
  <c r="P217" i="9"/>
  <c r="Q217" i="9"/>
  <c r="R217" i="9"/>
  <c r="S217" i="9"/>
  <c r="P218" i="9"/>
  <c r="Q218" i="9"/>
  <c r="R218" i="9"/>
  <c r="S218" i="9"/>
  <c r="P219" i="9"/>
  <c r="Q219" i="9"/>
  <c r="R219" i="9"/>
  <c r="S219" i="9"/>
  <c r="P220" i="9"/>
  <c r="Q220" i="9"/>
  <c r="R220" i="9"/>
  <c r="S220" i="9"/>
  <c r="P221" i="9"/>
  <c r="Q221" i="9"/>
  <c r="R221" i="9"/>
  <c r="S221" i="9"/>
  <c r="P222" i="9"/>
  <c r="Q222" i="9"/>
  <c r="R222" i="9"/>
  <c r="S222" i="9"/>
  <c r="P223" i="9"/>
  <c r="Q223" i="9"/>
  <c r="R223" i="9"/>
  <c r="S223" i="9"/>
  <c r="P224" i="9"/>
  <c r="Q224" i="9"/>
  <c r="R224" i="9"/>
  <c r="S224" i="9"/>
  <c r="P225" i="9"/>
  <c r="Q225" i="9"/>
  <c r="R225" i="9"/>
  <c r="S225" i="9"/>
  <c r="P226" i="9"/>
  <c r="Q226" i="9"/>
  <c r="R226" i="9"/>
  <c r="S226" i="9"/>
  <c r="P227" i="9"/>
  <c r="Q227" i="9"/>
  <c r="R227" i="9"/>
  <c r="S227" i="9"/>
  <c r="P228" i="9"/>
  <c r="Q228" i="9"/>
  <c r="R228" i="9"/>
  <c r="S228" i="9"/>
  <c r="P229" i="9"/>
  <c r="Q229" i="9"/>
  <c r="R229" i="9"/>
  <c r="S229" i="9"/>
  <c r="P230" i="9"/>
  <c r="Q230" i="9"/>
  <c r="R230" i="9"/>
  <c r="S230" i="9"/>
  <c r="P231" i="9"/>
  <c r="Q231" i="9"/>
  <c r="R231" i="9"/>
  <c r="S231" i="9"/>
  <c r="P232" i="9"/>
  <c r="Q232" i="9"/>
  <c r="R232" i="9"/>
  <c r="S232" i="9"/>
  <c r="P233" i="9"/>
  <c r="Q233" i="9"/>
  <c r="R233" i="9"/>
  <c r="S233" i="9"/>
  <c r="P234" i="9"/>
  <c r="Q234" i="9"/>
  <c r="R234" i="9"/>
  <c r="S234" i="9"/>
  <c r="P235" i="9"/>
  <c r="Q235" i="9"/>
  <c r="R235" i="9"/>
  <c r="S235" i="9"/>
  <c r="P236" i="9"/>
  <c r="Q236" i="9"/>
  <c r="R236" i="9"/>
  <c r="S236" i="9"/>
  <c r="P237" i="9"/>
  <c r="Q237" i="9"/>
  <c r="R237" i="9"/>
  <c r="S237" i="9"/>
  <c r="P238" i="9"/>
  <c r="Q238" i="9"/>
  <c r="R238" i="9"/>
  <c r="S238" i="9"/>
  <c r="P239" i="9"/>
  <c r="Q239" i="9"/>
  <c r="R239" i="9"/>
  <c r="S239" i="9"/>
  <c r="P240" i="9"/>
  <c r="Q240" i="9"/>
  <c r="R240" i="9"/>
  <c r="S240" i="9"/>
  <c r="P241" i="9"/>
  <c r="Q241" i="9"/>
  <c r="R241" i="9"/>
  <c r="S241" i="9"/>
  <c r="P242" i="9"/>
  <c r="Q242" i="9"/>
  <c r="R242" i="9"/>
  <c r="S242" i="9"/>
  <c r="P243" i="9"/>
  <c r="Q243" i="9"/>
  <c r="R243" i="9"/>
  <c r="S243" i="9"/>
  <c r="P244" i="9"/>
  <c r="Q244" i="9"/>
  <c r="R244" i="9"/>
  <c r="S244" i="9"/>
  <c r="P245" i="9"/>
  <c r="Q245" i="9"/>
  <c r="R245" i="9"/>
  <c r="S245" i="9"/>
  <c r="P246" i="9"/>
  <c r="Q246" i="9"/>
  <c r="R246" i="9"/>
  <c r="S246" i="9"/>
  <c r="P247" i="9"/>
  <c r="Q247" i="9"/>
  <c r="R247" i="9"/>
  <c r="S247" i="9"/>
  <c r="P248" i="9"/>
  <c r="Q248" i="9"/>
  <c r="R248" i="9"/>
  <c r="S248" i="9"/>
  <c r="P249" i="9"/>
  <c r="Q249" i="9"/>
  <c r="R249" i="9"/>
  <c r="S249" i="9"/>
  <c r="P250" i="9"/>
  <c r="Q250" i="9"/>
  <c r="R250" i="9"/>
  <c r="S250" i="9"/>
  <c r="P251" i="9"/>
  <c r="Q251" i="9"/>
  <c r="R251" i="9"/>
  <c r="S251" i="9"/>
  <c r="P252" i="9"/>
  <c r="Q252" i="9"/>
  <c r="R252" i="9"/>
  <c r="S252" i="9"/>
  <c r="P253" i="9"/>
  <c r="Q253" i="9"/>
  <c r="R253" i="9"/>
  <c r="S253" i="9"/>
  <c r="P254" i="9"/>
  <c r="Q254" i="9"/>
  <c r="R254" i="9"/>
  <c r="S254" i="9"/>
  <c r="P255" i="9"/>
  <c r="Q255" i="9"/>
  <c r="R255" i="9"/>
  <c r="S255" i="9"/>
  <c r="P256" i="9"/>
  <c r="Q256" i="9"/>
  <c r="R256" i="9"/>
  <c r="S256" i="9"/>
  <c r="P257" i="9"/>
  <c r="Q257" i="9"/>
  <c r="R257" i="9"/>
  <c r="S257" i="9"/>
  <c r="P258" i="9"/>
  <c r="Q258" i="9"/>
  <c r="R258" i="9"/>
  <c r="S258" i="9"/>
  <c r="P259" i="9"/>
  <c r="Q259" i="9"/>
  <c r="R259" i="9"/>
  <c r="S259" i="9"/>
  <c r="P260" i="9"/>
  <c r="Q260" i="9"/>
  <c r="R260" i="9"/>
  <c r="S260" i="9"/>
  <c r="P261" i="9"/>
  <c r="Q261" i="9"/>
  <c r="R261" i="9"/>
  <c r="S261" i="9"/>
  <c r="P262" i="9"/>
  <c r="Q262" i="9"/>
  <c r="R262" i="9"/>
  <c r="S262" i="9"/>
  <c r="P263" i="9"/>
  <c r="Q263" i="9"/>
  <c r="R263" i="9"/>
  <c r="S263" i="9"/>
  <c r="P264" i="9"/>
  <c r="Q264" i="9"/>
  <c r="R264" i="9"/>
  <c r="S264" i="9"/>
  <c r="P265" i="9"/>
  <c r="Q265" i="9"/>
  <c r="R265" i="9"/>
  <c r="S265" i="9"/>
  <c r="P266" i="9"/>
  <c r="Q266" i="9"/>
  <c r="R266" i="9"/>
  <c r="S266" i="9"/>
  <c r="P267" i="9"/>
  <c r="Q267" i="9"/>
  <c r="R267" i="9"/>
  <c r="S267" i="9"/>
  <c r="P268" i="9"/>
  <c r="Q268" i="9"/>
  <c r="R268" i="9"/>
  <c r="S268" i="9"/>
  <c r="P269" i="9"/>
  <c r="Q269" i="9"/>
  <c r="R269" i="9"/>
  <c r="S269" i="9"/>
  <c r="P270" i="9"/>
  <c r="Q270" i="9"/>
  <c r="R270" i="9"/>
  <c r="S270" i="9"/>
  <c r="P271" i="9"/>
  <c r="Q271" i="9"/>
  <c r="R271" i="9"/>
  <c r="S271" i="9"/>
  <c r="P272" i="9"/>
  <c r="Q272" i="9"/>
  <c r="R272" i="9"/>
  <c r="S272" i="9"/>
  <c r="P273" i="9"/>
  <c r="Q273" i="9"/>
  <c r="R273" i="9"/>
  <c r="S273" i="9"/>
  <c r="P274" i="9"/>
  <c r="Q274" i="9"/>
  <c r="R274" i="9"/>
  <c r="S274" i="9"/>
  <c r="P275" i="9"/>
  <c r="Q275" i="9"/>
  <c r="R275" i="9"/>
  <c r="S275" i="9"/>
  <c r="P276" i="9"/>
  <c r="Q276" i="9"/>
  <c r="R276" i="9"/>
  <c r="S276" i="9"/>
  <c r="P277" i="9"/>
  <c r="Q277" i="9"/>
  <c r="R277" i="9"/>
  <c r="S277" i="9"/>
  <c r="P278" i="9"/>
  <c r="Q278" i="9"/>
  <c r="R278" i="9"/>
  <c r="S278" i="9"/>
  <c r="P279" i="9"/>
  <c r="Q279" i="9"/>
  <c r="R279" i="9"/>
  <c r="S279" i="9"/>
  <c r="P280" i="9"/>
  <c r="Q280" i="9"/>
  <c r="R280" i="9"/>
  <c r="S280" i="9"/>
  <c r="P281" i="9"/>
  <c r="Q281" i="9"/>
  <c r="R281" i="9"/>
  <c r="S281" i="9"/>
  <c r="P282" i="9"/>
  <c r="Q282" i="9"/>
  <c r="R282" i="9"/>
  <c r="S282" i="9"/>
  <c r="P283" i="9"/>
  <c r="Q283" i="9"/>
  <c r="R283" i="9"/>
  <c r="S283" i="9"/>
  <c r="P284" i="9"/>
  <c r="Q284" i="9"/>
  <c r="R284" i="9"/>
  <c r="S284" i="9"/>
  <c r="P285" i="9"/>
  <c r="Q285" i="9"/>
  <c r="R285" i="9"/>
  <c r="S285" i="9"/>
  <c r="P286" i="9"/>
  <c r="Q286" i="9"/>
  <c r="R286" i="9"/>
  <c r="S286" i="9"/>
  <c r="P287" i="9"/>
  <c r="Q287" i="9"/>
  <c r="R287" i="9"/>
  <c r="S287" i="9"/>
  <c r="P288" i="9"/>
  <c r="Q288" i="9"/>
  <c r="R288" i="9"/>
  <c r="S288" i="9"/>
  <c r="P289" i="9"/>
  <c r="Q289" i="9"/>
  <c r="R289" i="9"/>
  <c r="S289" i="9"/>
  <c r="P290" i="9"/>
  <c r="Q290" i="9"/>
  <c r="R290" i="9"/>
  <c r="S290" i="9"/>
  <c r="P291" i="9"/>
  <c r="Q291" i="9"/>
  <c r="R291" i="9"/>
  <c r="S291" i="9"/>
  <c r="P292" i="9"/>
  <c r="Q292" i="9"/>
  <c r="R292" i="9"/>
  <c r="S292" i="9"/>
  <c r="P293" i="9"/>
  <c r="Q293" i="9"/>
  <c r="R293" i="9"/>
  <c r="S293" i="9"/>
  <c r="P294" i="9"/>
  <c r="Q294" i="9"/>
  <c r="R294" i="9"/>
  <c r="S294" i="9"/>
  <c r="P295" i="9"/>
  <c r="Q295" i="9"/>
  <c r="R295" i="9"/>
  <c r="S295" i="9"/>
  <c r="P296" i="9"/>
  <c r="Q296" i="9"/>
  <c r="R296" i="9"/>
  <c r="S296" i="9"/>
  <c r="P297" i="9"/>
  <c r="Q297" i="9"/>
  <c r="R297" i="9"/>
  <c r="S297" i="9"/>
  <c r="P298" i="9"/>
  <c r="Q298" i="9"/>
  <c r="R298" i="9"/>
  <c r="S298" i="9"/>
  <c r="P299" i="9"/>
  <c r="Q299" i="9"/>
  <c r="R299" i="9"/>
  <c r="S299" i="9"/>
  <c r="P300" i="9"/>
  <c r="Q300" i="9"/>
  <c r="R300" i="9"/>
  <c r="S300" i="9"/>
  <c r="P301" i="9"/>
  <c r="Q301" i="9"/>
  <c r="R301" i="9"/>
  <c r="S301" i="9"/>
  <c r="P302" i="9"/>
  <c r="Q302" i="9"/>
  <c r="R302" i="9"/>
  <c r="S302" i="9"/>
  <c r="P303" i="9"/>
  <c r="Q303" i="9"/>
  <c r="R303" i="9"/>
  <c r="S303" i="9"/>
  <c r="P304" i="9"/>
  <c r="Q304" i="9"/>
  <c r="R304" i="9"/>
  <c r="S304" i="9"/>
  <c r="P305" i="9"/>
  <c r="Q305" i="9"/>
  <c r="R305" i="9"/>
  <c r="S305" i="9"/>
  <c r="P306" i="9"/>
  <c r="Q306" i="9"/>
  <c r="R306" i="9"/>
  <c r="S306" i="9"/>
  <c r="P307" i="9"/>
  <c r="Q307" i="9"/>
  <c r="R307" i="9"/>
  <c r="S307" i="9"/>
  <c r="P308" i="9"/>
  <c r="Q308" i="9"/>
  <c r="R308" i="9"/>
  <c r="S308" i="9"/>
  <c r="P309" i="9"/>
  <c r="Q309" i="9"/>
  <c r="R309" i="9"/>
  <c r="S309" i="9"/>
  <c r="P310" i="9"/>
  <c r="Q310" i="9"/>
  <c r="R310" i="9"/>
  <c r="S310" i="9"/>
  <c r="P311" i="9"/>
  <c r="Q311" i="9"/>
  <c r="R311" i="9"/>
  <c r="S311" i="9"/>
  <c r="P312" i="9"/>
  <c r="Q312" i="9"/>
  <c r="R312" i="9"/>
  <c r="S312" i="9"/>
  <c r="P313" i="9"/>
  <c r="Q313" i="9"/>
  <c r="R313" i="9"/>
  <c r="S313" i="9"/>
  <c r="P314" i="9"/>
  <c r="Q314" i="9"/>
  <c r="R314" i="9"/>
  <c r="S314" i="9"/>
  <c r="P315" i="9"/>
  <c r="Q315" i="9"/>
  <c r="R315" i="9"/>
  <c r="S315" i="9"/>
  <c r="P316" i="9"/>
  <c r="Q316" i="9"/>
  <c r="R316" i="9"/>
  <c r="S316" i="9"/>
  <c r="P317" i="9"/>
  <c r="Q317" i="9"/>
  <c r="R317" i="9"/>
  <c r="S317" i="9"/>
  <c r="P318" i="9"/>
  <c r="Q318" i="9"/>
  <c r="R318" i="9"/>
  <c r="S318" i="9"/>
  <c r="P319" i="9"/>
  <c r="Q319" i="9"/>
  <c r="R319" i="9"/>
  <c r="S319" i="9"/>
  <c r="P320" i="9"/>
  <c r="Q320" i="9"/>
  <c r="R320" i="9"/>
  <c r="S320" i="9"/>
  <c r="P321" i="9"/>
  <c r="Q321" i="9"/>
  <c r="R321" i="9"/>
  <c r="S321" i="9"/>
  <c r="P322" i="9"/>
  <c r="Q322" i="9"/>
  <c r="R322" i="9"/>
  <c r="S322" i="9"/>
  <c r="P323" i="9"/>
  <c r="Q323" i="9"/>
  <c r="R323" i="9"/>
  <c r="S323" i="9"/>
  <c r="P324" i="9"/>
  <c r="Q324" i="9"/>
  <c r="R324" i="9"/>
  <c r="S324" i="9"/>
  <c r="P325" i="9"/>
  <c r="Q325" i="9"/>
  <c r="R325" i="9"/>
  <c r="S325" i="9"/>
  <c r="P326" i="9"/>
  <c r="Q326" i="9"/>
  <c r="R326" i="9"/>
  <c r="S326" i="9"/>
  <c r="P327" i="9"/>
  <c r="Q327" i="9"/>
  <c r="R327" i="9"/>
  <c r="S327" i="9"/>
  <c r="P328" i="9"/>
  <c r="Q328" i="9"/>
  <c r="R328" i="9"/>
  <c r="S328" i="9"/>
  <c r="P329" i="9"/>
  <c r="Q329" i="9"/>
  <c r="R329" i="9"/>
  <c r="S329" i="9"/>
  <c r="P330" i="9"/>
  <c r="Q330" i="9"/>
  <c r="R330" i="9"/>
  <c r="S330" i="9"/>
  <c r="P331" i="9"/>
  <c r="Q331" i="9"/>
  <c r="R331" i="9"/>
  <c r="S331" i="9"/>
  <c r="P332" i="9"/>
  <c r="Q332" i="9"/>
  <c r="R332" i="9"/>
  <c r="S332" i="9"/>
  <c r="P333" i="9"/>
  <c r="Q333" i="9"/>
  <c r="R333" i="9"/>
  <c r="S333" i="9"/>
  <c r="P334" i="9"/>
  <c r="Q334" i="9"/>
  <c r="R334" i="9"/>
  <c r="S334" i="9"/>
  <c r="P335" i="9"/>
  <c r="Q335" i="9"/>
  <c r="R335" i="9"/>
  <c r="S335" i="9"/>
  <c r="P336" i="9"/>
  <c r="Q336" i="9"/>
  <c r="R336" i="9"/>
  <c r="S336" i="9"/>
  <c r="P337" i="9"/>
  <c r="Q337" i="9"/>
  <c r="R337" i="9"/>
  <c r="S337" i="9"/>
  <c r="P338" i="9"/>
  <c r="Q338" i="9"/>
  <c r="R338" i="9"/>
  <c r="S338" i="9"/>
  <c r="P339" i="9"/>
  <c r="Q339" i="9"/>
  <c r="R339" i="9"/>
  <c r="S339" i="9"/>
  <c r="P340" i="9"/>
  <c r="Q340" i="9"/>
  <c r="R340" i="9"/>
  <c r="S340" i="9"/>
  <c r="P341" i="9"/>
  <c r="Q341" i="9"/>
  <c r="R341" i="9"/>
  <c r="S341" i="9"/>
  <c r="P342" i="9"/>
  <c r="Q342" i="9"/>
  <c r="R342" i="9"/>
  <c r="S342" i="9"/>
  <c r="P343" i="9"/>
  <c r="Q343" i="9"/>
  <c r="R343" i="9"/>
  <c r="S343" i="9"/>
  <c r="P344" i="9"/>
  <c r="Q344" i="9"/>
  <c r="R344" i="9"/>
  <c r="S344" i="9"/>
  <c r="P345" i="9"/>
  <c r="Q345" i="9"/>
  <c r="R345" i="9"/>
  <c r="S345" i="9"/>
  <c r="P346" i="9"/>
  <c r="Q346" i="9"/>
  <c r="R346" i="9"/>
  <c r="S346" i="9"/>
  <c r="P347" i="9"/>
  <c r="Q347" i="9"/>
  <c r="R347" i="9"/>
  <c r="S347" i="9"/>
  <c r="P348" i="9"/>
  <c r="Q348" i="9"/>
  <c r="R348" i="9"/>
  <c r="S348" i="9"/>
  <c r="P349" i="9"/>
  <c r="Q349" i="9"/>
  <c r="R349" i="9"/>
  <c r="S349" i="9"/>
  <c r="P350" i="9"/>
  <c r="Q350" i="9"/>
  <c r="R350" i="9"/>
  <c r="S350" i="9"/>
  <c r="P351" i="9"/>
  <c r="Q351" i="9"/>
  <c r="R351" i="9"/>
  <c r="S351" i="9"/>
  <c r="P352" i="9"/>
  <c r="Q352" i="9"/>
  <c r="R352" i="9"/>
  <c r="S352" i="9"/>
  <c r="P353" i="9"/>
  <c r="Q353" i="9"/>
  <c r="R353" i="9"/>
  <c r="S353" i="9"/>
  <c r="P354" i="9"/>
  <c r="Q354" i="9"/>
  <c r="R354" i="9"/>
  <c r="S354" i="9"/>
  <c r="P355" i="9"/>
  <c r="Q355" i="9"/>
  <c r="R355" i="9"/>
  <c r="S355" i="9"/>
  <c r="P356" i="9"/>
  <c r="Q356" i="9"/>
  <c r="R356" i="9"/>
  <c r="S356" i="9"/>
  <c r="P357" i="9"/>
  <c r="Q357" i="9"/>
  <c r="R357" i="9"/>
  <c r="S357" i="9"/>
  <c r="P358" i="9"/>
  <c r="Q358" i="9"/>
  <c r="R358" i="9"/>
  <c r="S358" i="9"/>
  <c r="P359" i="9"/>
  <c r="Q359" i="9"/>
  <c r="R359" i="9"/>
  <c r="S359" i="9"/>
  <c r="P360" i="9"/>
  <c r="Q360" i="9"/>
  <c r="R360" i="9"/>
  <c r="S360" i="9"/>
  <c r="P361" i="9"/>
  <c r="Q361" i="9"/>
  <c r="R361" i="9"/>
  <c r="S361" i="9"/>
  <c r="P362" i="9"/>
  <c r="Q362" i="9"/>
  <c r="R362" i="9"/>
  <c r="S362" i="9"/>
  <c r="P363" i="9"/>
  <c r="Q363" i="9"/>
  <c r="R363" i="9"/>
  <c r="S363" i="9"/>
  <c r="P364" i="9"/>
  <c r="Q364" i="9"/>
  <c r="R364" i="9"/>
  <c r="S364" i="9"/>
  <c r="P365" i="9"/>
  <c r="Q365" i="9"/>
  <c r="R365" i="9"/>
  <c r="S365" i="9"/>
  <c r="P366" i="9"/>
  <c r="Q366" i="9"/>
  <c r="R366" i="9"/>
  <c r="S366" i="9"/>
  <c r="P367" i="9"/>
  <c r="Q367" i="9"/>
  <c r="R367" i="9"/>
  <c r="S367" i="9"/>
  <c r="P368" i="9"/>
  <c r="Q368" i="9"/>
  <c r="R368" i="9"/>
  <c r="S368" i="9"/>
  <c r="P369" i="9"/>
  <c r="Q369" i="9"/>
  <c r="R369" i="9"/>
  <c r="S369" i="9"/>
  <c r="P370" i="9"/>
  <c r="Q370" i="9"/>
  <c r="R370" i="9"/>
  <c r="S370" i="9"/>
  <c r="P371" i="9"/>
  <c r="Q371" i="9"/>
  <c r="R371" i="9"/>
  <c r="S371" i="9"/>
  <c r="P372" i="9"/>
  <c r="Q372" i="9"/>
  <c r="R372" i="9"/>
  <c r="S372" i="9"/>
  <c r="P373" i="9"/>
  <c r="Q373" i="9"/>
  <c r="R373" i="9"/>
  <c r="S373" i="9"/>
  <c r="P374" i="9"/>
  <c r="Q374" i="9"/>
  <c r="R374" i="9"/>
  <c r="S374" i="9"/>
  <c r="P375" i="9"/>
  <c r="Q375" i="9"/>
  <c r="R375" i="9"/>
  <c r="S375" i="9"/>
  <c r="P376" i="9"/>
  <c r="Q376" i="9"/>
  <c r="R376" i="9"/>
  <c r="S376" i="9"/>
  <c r="P377" i="9"/>
  <c r="Q377" i="9"/>
  <c r="R377" i="9"/>
  <c r="S377" i="9"/>
  <c r="P378" i="9"/>
  <c r="Q378" i="9"/>
  <c r="R378" i="9"/>
  <c r="S378" i="9"/>
  <c r="P379" i="9"/>
  <c r="Q379" i="9"/>
  <c r="R379" i="9"/>
  <c r="S379" i="9"/>
  <c r="P380" i="9"/>
  <c r="Q380" i="9"/>
  <c r="R380" i="9"/>
  <c r="S380" i="9"/>
  <c r="P381" i="9"/>
  <c r="Q381" i="9"/>
  <c r="R381" i="9"/>
  <c r="S381" i="9"/>
  <c r="P382" i="9"/>
  <c r="Q382" i="9"/>
  <c r="R382" i="9"/>
  <c r="S382" i="9"/>
  <c r="P383" i="9"/>
  <c r="Q383" i="9"/>
  <c r="R383" i="9"/>
  <c r="S383" i="9"/>
  <c r="P384" i="9"/>
  <c r="Q384" i="9"/>
  <c r="R384" i="9"/>
  <c r="S384" i="9"/>
  <c r="P385" i="9"/>
  <c r="Q385" i="9"/>
  <c r="R385" i="9"/>
  <c r="S385" i="9"/>
  <c r="P386" i="9"/>
  <c r="Q386" i="9"/>
  <c r="R386" i="9"/>
  <c r="S386" i="9"/>
  <c r="P387" i="9"/>
  <c r="Q387" i="9"/>
  <c r="R387" i="9"/>
  <c r="S387" i="9"/>
  <c r="P388" i="9"/>
  <c r="Q388" i="9"/>
  <c r="R388" i="9"/>
  <c r="S388" i="9"/>
  <c r="P389" i="9"/>
  <c r="Q389" i="9"/>
  <c r="R389" i="9"/>
  <c r="S389" i="9"/>
  <c r="P390" i="9"/>
  <c r="Q390" i="9"/>
  <c r="R390" i="9"/>
  <c r="S390" i="9"/>
  <c r="P391" i="9"/>
  <c r="Q391" i="9"/>
  <c r="R391" i="9"/>
  <c r="S391" i="9"/>
  <c r="P392" i="9"/>
  <c r="Q392" i="9"/>
  <c r="R392" i="9"/>
  <c r="S392" i="9"/>
  <c r="P393" i="9"/>
  <c r="Q393" i="9"/>
  <c r="R393" i="9"/>
  <c r="S393" i="9"/>
  <c r="P394" i="9"/>
  <c r="Q394" i="9"/>
  <c r="R394" i="9"/>
  <c r="S394" i="9"/>
  <c r="P395" i="9"/>
  <c r="Q395" i="9"/>
  <c r="R395" i="9"/>
  <c r="S395" i="9"/>
  <c r="P396" i="9"/>
  <c r="Q396" i="9"/>
  <c r="R396" i="9"/>
  <c r="S396" i="9"/>
  <c r="P397" i="9"/>
  <c r="Q397" i="9"/>
  <c r="R397" i="9"/>
  <c r="S397" i="9"/>
  <c r="P398" i="9"/>
  <c r="Q398" i="9"/>
  <c r="R398" i="9"/>
  <c r="S398" i="9"/>
  <c r="P399" i="9"/>
  <c r="Q399" i="9"/>
  <c r="R399" i="9"/>
  <c r="S399" i="9"/>
  <c r="P400" i="9"/>
  <c r="Q400" i="9"/>
  <c r="R400" i="9"/>
  <c r="S400" i="9"/>
  <c r="P401" i="9"/>
  <c r="Q401" i="9"/>
  <c r="R401" i="9"/>
  <c r="S401" i="9"/>
  <c r="P402" i="9"/>
  <c r="Q402" i="9"/>
  <c r="R402" i="9"/>
  <c r="S402" i="9"/>
  <c r="P403" i="9"/>
  <c r="Q403" i="9"/>
  <c r="R403" i="9"/>
  <c r="S403" i="9"/>
  <c r="P404" i="9"/>
  <c r="Q404" i="9"/>
  <c r="R404" i="9"/>
  <c r="S404" i="9"/>
  <c r="P405" i="9"/>
  <c r="Q405" i="9"/>
  <c r="R405" i="9"/>
  <c r="S405" i="9"/>
  <c r="P406" i="9"/>
  <c r="Q406" i="9"/>
  <c r="R406" i="9"/>
  <c r="S406" i="9"/>
  <c r="P407" i="9"/>
  <c r="Q407" i="9"/>
  <c r="R407" i="9"/>
  <c r="S407" i="9"/>
  <c r="P408" i="9"/>
  <c r="Q408" i="9"/>
  <c r="R408" i="9"/>
  <c r="S408" i="9"/>
  <c r="P409" i="9"/>
  <c r="Q409" i="9"/>
  <c r="R409" i="9"/>
  <c r="S409" i="9"/>
  <c r="P410" i="9"/>
  <c r="Q410" i="9"/>
  <c r="R410" i="9"/>
  <c r="S410" i="9"/>
  <c r="P411" i="9"/>
  <c r="Q411" i="9"/>
  <c r="R411" i="9"/>
  <c r="S411" i="9"/>
  <c r="P412" i="9"/>
  <c r="Q412" i="9"/>
  <c r="R412" i="9"/>
  <c r="S412" i="9"/>
  <c r="P413" i="9"/>
  <c r="Q413" i="9"/>
  <c r="R413" i="9"/>
  <c r="S413" i="9"/>
  <c r="P414" i="9"/>
  <c r="Q414" i="9"/>
  <c r="R414" i="9"/>
  <c r="S414" i="9"/>
  <c r="P415" i="9"/>
  <c r="Q415" i="9"/>
  <c r="R415" i="9"/>
  <c r="S415" i="9"/>
  <c r="P416" i="9"/>
  <c r="Q416" i="9"/>
  <c r="R416" i="9"/>
  <c r="S416" i="9"/>
  <c r="P417" i="9"/>
  <c r="Q417" i="9"/>
  <c r="R417" i="9"/>
  <c r="S417" i="9"/>
  <c r="P418" i="9"/>
  <c r="Q418" i="9"/>
  <c r="R418" i="9"/>
  <c r="S418" i="9"/>
  <c r="P419" i="9"/>
  <c r="Q419" i="9"/>
  <c r="R419" i="9"/>
  <c r="S419" i="9"/>
  <c r="P420" i="9"/>
  <c r="Q420" i="9"/>
  <c r="R420" i="9"/>
  <c r="S420" i="9"/>
  <c r="P421" i="9"/>
  <c r="Q421" i="9"/>
  <c r="R421" i="9"/>
  <c r="S421" i="9"/>
  <c r="P422" i="9"/>
  <c r="Q422" i="9"/>
  <c r="R422" i="9"/>
  <c r="S422" i="9"/>
  <c r="P423" i="9"/>
  <c r="Q423" i="9"/>
  <c r="R423" i="9"/>
  <c r="S423" i="9"/>
  <c r="P424" i="9"/>
  <c r="Q424" i="9"/>
  <c r="R424" i="9"/>
  <c r="S424" i="9"/>
  <c r="P425" i="9"/>
  <c r="Q425" i="9"/>
  <c r="R425" i="9"/>
  <c r="S425" i="9"/>
  <c r="P426" i="9"/>
  <c r="Q426" i="9"/>
  <c r="R426" i="9"/>
  <c r="S426" i="9"/>
  <c r="P427" i="9"/>
  <c r="Q427" i="9"/>
  <c r="R427" i="9"/>
  <c r="S427" i="9"/>
  <c r="P428" i="9"/>
  <c r="Q428" i="9"/>
  <c r="R428" i="9"/>
  <c r="S428" i="9"/>
  <c r="P429" i="9"/>
  <c r="Q429" i="9"/>
  <c r="R429" i="9"/>
  <c r="S429" i="9"/>
  <c r="P430" i="9"/>
  <c r="Q430" i="9"/>
  <c r="R430" i="9"/>
  <c r="S430" i="9"/>
  <c r="P431" i="9"/>
  <c r="Q431" i="9"/>
  <c r="R431" i="9"/>
  <c r="S431" i="9"/>
  <c r="P432" i="9"/>
  <c r="Q432" i="9"/>
  <c r="R432" i="9"/>
  <c r="S432" i="9"/>
  <c r="P433" i="9"/>
  <c r="Q433" i="9"/>
  <c r="R433" i="9"/>
  <c r="S433" i="9"/>
  <c r="P434" i="9"/>
  <c r="Q434" i="9"/>
  <c r="R434" i="9"/>
  <c r="S434" i="9"/>
  <c r="P435" i="9"/>
  <c r="Q435" i="9"/>
  <c r="R435" i="9"/>
  <c r="S435" i="9"/>
  <c r="P436" i="9"/>
  <c r="Q436" i="9"/>
  <c r="R436" i="9"/>
  <c r="S436" i="9"/>
  <c r="P437" i="9"/>
  <c r="Q437" i="9"/>
  <c r="R437" i="9"/>
  <c r="S437" i="9"/>
  <c r="P438" i="9"/>
  <c r="Q438" i="9"/>
  <c r="R438" i="9"/>
  <c r="S438" i="9"/>
  <c r="P439" i="9"/>
  <c r="Q439" i="9"/>
  <c r="R439" i="9"/>
  <c r="S439" i="9"/>
  <c r="P440" i="9"/>
  <c r="Q440" i="9"/>
  <c r="R440" i="9"/>
  <c r="S440" i="9"/>
  <c r="P441" i="9"/>
  <c r="Q441" i="9"/>
  <c r="R441" i="9"/>
  <c r="S441" i="9"/>
  <c r="P442" i="9"/>
  <c r="Q442" i="9"/>
  <c r="R442" i="9"/>
  <c r="S442" i="9"/>
  <c r="P443" i="9"/>
  <c r="Q443" i="9"/>
  <c r="R443" i="9"/>
  <c r="S443" i="9"/>
  <c r="P444" i="9"/>
  <c r="Q444" i="9"/>
  <c r="R444" i="9"/>
  <c r="S444" i="9"/>
  <c r="P445" i="9"/>
  <c r="Q445" i="9"/>
  <c r="R445" i="9"/>
  <c r="S445" i="9"/>
  <c r="P446" i="9"/>
  <c r="Q446" i="9"/>
  <c r="R446" i="9"/>
  <c r="S446" i="9"/>
  <c r="P447" i="9"/>
  <c r="Q447" i="9"/>
  <c r="R447" i="9"/>
  <c r="S447" i="9"/>
  <c r="P448" i="9"/>
  <c r="Q448" i="9"/>
  <c r="R448" i="9"/>
  <c r="S448" i="9"/>
  <c r="P449" i="9"/>
  <c r="Q449" i="9"/>
  <c r="R449" i="9"/>
  <c r="S449" i="9"/>
  <c r="P450" i="9"/>
  <c r="Q450" i="9"/>
  <c r="R450" i="9"/>
  <c r="S450" i="9"/>
  <c r="P451" i="9"/>
  <c r="Q451" i="9"/>
  <c r="R451" i="9"/>
  <c r="S451" i="9"/>
  <c r="P452" i="9"/>
  <c r="Q452" i="9"/>
  <c r="R452" i="9"/>
  <c r="S452" i="9"/>
  <c r="P453" i="9"/>
  <c r="Q453" i="9"/>
  <c r="R453" i="9"/>
  <c r="S453" i="9"/>
  <c r="P454" i="9"/>
  <c r="Q454" i="9"/>
  <c r="R454" i="9"/>
  <c r="S454" i="9"/>
  <c r="P455" i="9"/>
  <c r="Q455" i="9"/>
  <c r="R455" i="9"/>
  <c r="S455" i="9"/>
  <c r="P456" i="9"/>
  <c r="Q456" i="9"/>
  <c r="R456" i="9"/>
  <c r="S456" i="9"/>
  <c r="P457" i="9"/>
  <c r="Q457" i="9"/>
  <c r="R457" i="9"/>
  <c r="S457" i="9"/>
  <c r="P458" i="9"/>
  <c r="Q458" i="9"/>
  <c r="R458" i="9"/>
  <c r="S458" i="9"/>
  <c r="P459" i="9"/>
  <c r="Q459" i="9"/>
  <c r="R459" i="9"/>
  <c r="S459" i="9"/>
  <c r="P460" i="9"/>
  <c r="Q460" i="9"/>
  <c r="R460" i="9"/>
  <c r="S460" i="9"/>
  <c r="P461" i="9"/>
  <c r="Q461" i="9"/>
  <c r="R461" i="9"/>
  <c r="S461" i="9"/>
  <c r="P462" i="9"/>
  <c r="Q462" i="9"/>
  <c r="R462" i="9"/>
  <c r="S462" i="9"/>
  <c r="P463" i="9"/>
  <c r="Q463" i="9"/>
  <c r="R463" i="9"/>
  <c r="S463" i="9"/>
  <c r="P464" i="9"/>
  <c r="Q464" i="9"/>
  <c r="R464" i="9"/>
  <c r="S464" i="9"/>
  <c r="P465" i="9"/>
  <c r="Q465" i="9"/>
  <c r="R465" i="9"/>
  <c r="S465" i="9"/>
  <c r="P466" i="9"/>
  <c r="Q466" i="9"/>
  <c r="R466" i="9"/>
  <c r="S466" i="9"/>
  <c r="P467" i="9"/>
  <c r="Q467" i="9"/>
  <c r="R467" i="9"/>
  <c r="S467" i="9"/>
  <c r="P468" i="9"/>
  <c r="Q468" i="9"/>
  <c r="R468" i="9"/>
  <c r="S468" i="9"/>
  <c r="P469" i="9"/>
  <c r="Q469" i="9"/>
  <c r="R469" i="9"/>
  <c r="S469" i="9"/>
  <c r="P470" i="9"/>
  <c r="Q470" i="9"/>
  <c r="R470" i="9"/>
  <c r="S470" i="9"/>
  <c r="P471" i="9"/>
  <c r="Q471" i="9"/>
  <c r="R471" i="9"/>
  <c r="S471" i="9"/>
  <c r="P472" i="9"/>
  <c r="Q472" i="9"/>
  <c r="R472" i="9"/>
  <c r="S472" i="9"/>
  <c r="P473" i="9"/>
  <c r="Q473" i="9"/>
  <c r="R473" i="9"/>
  <c r="S473" i="9"/>
  <c r="P474" i="9"/>
  <c r="Q474" i="9"/>
  <c r="R474" i="9"/>
  <c r="S474" i="9"/>
  <c r="P475" i="9"/>
  <c r="Q475" i="9"/>
  <c r="R475" i="9"/>
  <c r="S475" i="9"/>
  <c r="P476" i="9"/>
  <c r="Q476" i="9"/>
  <c r="R476" i="9"/>
  <c r="S476" i="9"/>
  <c r="P477" i="9"/>
  <c r="Q477" i="9"/>
  <c r="R477" i="9"/>
  <c r="S477" i="9"/>
  <c r="P478" i="9"/>
  <c r="Q478" i="9"/>
  <c r="R478" i="9"/>
  <c r="S478" i="9"/>
  <c r="P479" i="9"/>
  <c r="Q479" i="9"/>
  <c r="R479" i="9"/>
  <c r="S479" i="9"/>
  <c r="P480" i="9"/>
  <c r="Q480" i="9"/>
  <c r="R480" i="9"/>
  <c r="S480" i="9"/>
  <c r="P481" i="9"/>
  <c r="Q481" i="9"/>
  <c r="R481" i="9"/>
  <c r="S481" i="9"/>
  <c r="P482" i="9"/>
  <c r="Q482" i="9"/>
  <c r="R482" i="9"/>
  <c r="S482" i="9"/>
  <c r="P483" i="9"/>
  <c r="Q483" i="9"/>
  <c r="R483" i="9"/>
  <c r="S483" i="9"/>
  <c r="P484" i="9"/>
  <c r="Q484" i="9"/>
  <c r="R484" i="9"/>
  <c r="S484" i="9"/>
  <c r="P485" i="9"/>
  <c r="Q485" i="9"/>
  <c r="R485" i="9"/>
  <c r="S485" i="9"/>
  <c r="P486" i="9"/>
  <c r="Q486" i="9"/>
  <c r="R486" i="9"/>
  <c r="S486" i="9"/>
  <c r="P487" i="9"/>
  <c r="Q487" i="9"/>
  <c r="R487" i="9"/>
  <c r="S487" i="9"/>
  <c r="P488" i="9"/>
  <c r="Q488" i="9"/>
  <c r="R488" i="9"/>
  <c r="S488" i="9"/>
  <c r="P489" i="9"/>
  <c r="Q489" i="9"/>
  <c r="R489" i="9"/>
  <c r="S489" i="9"/>
  <c r="P490" i="9"/>
  <c r="Q490" i="9"/>
  <c r="R490" i="9"/>
  <c r="S490" i="9"/>
  <c r="P491" i="9"/>
  <c r="Q491" i="9"/>
  <c r="R491" i="9"/>
  <c r="S491" i="9"/>
  <c r="P492" i="9"/>
  <c r="Q492" i="9"/>
  <c r="R492" i="9"/>
  <c r="S492" i="9"/>
  <c r="P493" i="9"/>
  <c r="Q493" i="9"/>
  <c r="R493" i="9"/>
  <c r="S493" i="9"/>
  <c r="P494" i="9"/>
  <c r="Q494" i="9"/>
  <c r="R494" i="9"/>
  <c r="S494" i="9"/>
  <c r="P495" i="9"/>
  <c r="Q495" i="9"/>
  <c r="R495" i="9"/>
  <c r="S495" i="9"/>
  <c r="P496" i="9"/>
  <c r="Q496" i="9"/>
  <c r="R496" i="9"/>
  <c r="S496" i="9"/>
  <c r="P497" i="9"/>
  <c r="Q497" i="9"/>
  <c r="R497" i="9"/>
  <c r="S497" i="9"/>
  <c r="P498" i="9"/>
  <c r="Q498" i="9"/>
  <c r="R498" i="9"/>
  <c r="S498" i="9"/>
  <c r="P499" i="9"/>
  <c r="Q499" i="9"/>
  <c r="R499" i="9"/>
  <c r="S499" i="9"/>
  <c r="P500" i="9"/>
  <c r="Q500" i="9"/>
  <c r="R500" i="9"/>
  <c r="S500" i="9"/>
  <c r="P501" i="9"/>
  <c r="Q501" i="9"/>
  <c r="R501" i="9"/>
  <c r="S501" i="9"/>
  <c r="P502" i="9"/>
  <c r="Q502" i="9"/>
  <c r="R502" i="9"/>
  <c r="S502" i="9"/>
  <c r="P503" i="9"/>
  <c r="Q503" i="9"/>
  <c r="R503" i="9"/>
  <c r="S503" i="9"/>
  <c r="P504" i="9"/>
  <c r="Q504" i="9"/>
  <c r="R504" i="9"/>
  <c r="S504" i="9"/>
  <c r="P505" i="9"/>
  <c r="Q505" i="9"/>
  <c r="R505" i="9"/>
  <c r="S505" i="9"/>
  <c r="P506" i="9"/>
  <c r="Q506" i="9"/>
  <c r="R506" i="9"/>
  <c r="S506" i="9"/>
  <c r="P507" i="9"/>
  <c r="Q507" i="9"/>
  <c r="R507" i="9"/>
  <c r="S507" i="9"/>
  <c r="P508" i="9"/>
  <c r="Q508" i="9"/>
  <c r="R508" i="9"/>
  <c r="S508" i="9"/>
  <c r="P509" i="9"/>
  <c r="Q509" i="9"/>
  <c r="R509" i="9"/>
  <c r="S509" i="9"/>
  <c r="P510" i="9"/>
  <c r="Q510" i="9"/>
  <c r="R510" i="9"/>
  <c r="S510" i="9"/>
  <c r="P511" i="9"/>
  <c r="Q511" i="9"/>
  <c r="R511" i="9"/>
  <c r="S511" i="9"/>
  <c r="P512" i="9"/>
  <c r="Q512" i="9"/>
  <c r="R512" i="9"/>
  <c r="S512" i="9"/>
  <c r="P513" i="9"/>
  <c r="Q513" i="9"/>
  <c r="R513" i="9"/>
  <c r="S513" i="9"/>
  <c r="P514" i="9"/>
  <c r="Q514" i="9"/>
  <c r="R514" i="9"/>
  <c r="S514" i="9"/>
  <c r="P515" i="9"/>
  <c r="Q515" i="9"/>
  <c r="R515" i="9"/>
  <c r="S515" i="9"/>
  <c r="P516" i="9"/>
  <c r="Q516" i="9"/>
  <c r="R516" i="9"/>
  <c r="S516" i="9"/>
  <c r="P517" i="9"/>
  <c r="Q517" i="9"/>
  <c r="R517" i="9"/>
  <c r="S517" i="9"/>
  <c r="P518" i="9"/>
  <c r="Q518" i="9"/>
  <c r="R518" i="9"/>
  <c r="S518" i="9"/>
  <c r="P519" i="9"/>
  <c r="Q519" i="9"/>
  <c r="R519" i="9"/>
  <c r="S519" i="9"/>
  <c r="P520" i="9"/>
  <c r="Q520" i="9"/>
  <c r="R520" i="9"/>
  <c r="S520" i="9"/>
  <c r="P521" i="9"/>
  <c r="Q521" i="9"/>
  <c r="R521" i="9"/>
  <c r="S521" i="9"/>
  <c r="P522" i="9"/>
  <c r="Q522" i="9"/>
  <c r="R522" i="9"/>
  <c r="S522" i="9"/>
  <c r="P523" i="9"/>
  <c r="Q523" i="9"/>
  <c r="R523" i="9"/>
  <c r="S523" i="9"/>
  <c r="P524" i="9"/>
  <c r="Q524" i="9"/>
  <c r="R524" i="9"/>
  <c r="S524" i="9"/>
  <c r="P525" i="9"/>
  <c r="Q525" i="9"/>
  <c r="R525" i="9"/>
  <c r="S525" i="9"/>
  <c r="P526" i="9"/>
  <c r="Q526" i="9"/>
  <c r="R526" i="9"/>
  <c r="S526" i="9"/>
  <c r="P527" i="9"/>
  <c r="Q527" i="9"/>
  <c r="R527" i="9"/>
  <c r="S527" i="9"/>
  <c r="P528" i="9"/>
  <c r="Q528" i="9"/>
  <c r="R528" i="9"/>
  <c r="S528" i="9"/>
  <c r="P529" i="9"/>
  <c r="Q529" i="9"/>
  <c r="R529" i="9"/>
  <c r="S529" i="9"/>
  <c r="P530" i="9"/>
  <c r="Q530" i="9"/>
  <c r="R530" i="9"/>
  <c r="S530" i="9"/>
  <c r="P531" i="9"/>
  <c r="Q531" i="9"/>
  <c r="R531" i="9"/>
  <c r="S531" i="9"/>
  <c r="P532" i="9"/>
  <c r="Q532" i="9"/>
  <c r="R532" i="9"/>
  <c r="S532" i="9"/>
  <c r="P533" i="9"/>
  <c r="Q533" i="9"/>
  <c r="R533" i="9"/>
  <c r="S533" i="9"/>
  <c r="P534" i="9"/>
  <c r="Q534" i="9"/>
  <c r="R534" i="9"/>
  <c r="S534" i="9"/>
  <c r="P535" i="9"/>
  <c r="Q535" i="9"/>
  <c r="R535" i="9"/>
  <c r="S535" i="9"/>
  <c r="P536" i="9"/>
  <c r="Q536" i="9"/>
  <c r="R536" i="9"/>
  <c r="S536" i="9"/>
  <c r="P537" i="9"/>
  <c r="Q537" i="9"/>
  <c r="R537" i="9"/>
  <c r="S537" i="9"/>
  <c r="P538" i="9"/>
  <c r="Q538" i="9"/>
  <c r="R538" i="9"/>
  <c r="S538" i="9"/>
  <c r="P539" i="9"/>
  <c r="Q539" i="9"/>
  <c r="R539" i="9"/>
  <c r="S539" i="9"/>
  <c r="P540" i="9"/>
  <c r="Q540" i="9"/>
  <c r="R540" i="9"/>
  <c r="S540" i="9"/>
  <c r="P541" i="9"/>
  <c r="Q541" i="9"/>
  <c r="R541" i="9"/>
  <c r="S541" i="9"/>
  <c r="P542" i="9"/>
  <c r="Q542" i="9"/>
  <c r="R542" i="9"/>
  <c r="S542" i="9"/>
  <c r="P543" i="9"/>
  <c r="Q543" i="9"/>
  <c r="R543" i="9"/>
  <c r="S543" i="9"/>
  <c r="P544" i="9"/>
  <c r="Q544" i="9"/>
  <c r="R544" i="9"/>
  <c r="S544" i="9"/>
  <c r="P545" i="9"/>
  <c r="Q545" i="9"/>
  <c r="R545" i="9"/>
  <c r="S545" i="9"/>
  <c r="P546" i="9"/>
  <c r="Q546" i="9"/>
  <c r="R546" i="9"/>
  <c r="S546" i="9"/>
  <c r="P547" i="9"/>
  <c r="Q547" i="9"/>
  <c r="R547" i="9"/>
  <c r="S547" i="9"/>
  <c r="P548" i="9"/>
  <c r="Q548" i="9"/>
  <c r="R548" i="9"/>
  <c r="S548" i="9"/>
  <c r="P549" i="9"/>
  <c r="Q549" i="9"/>
  <c r="R549" i="9"/>
  <c r="S549" i="9"/>
  <c r="P550" i="9"/>
  <c r="Q550" i="9"/>
  <c r="R550" i="9"/>
  <c r="S550" i="9"/>
  <c r="P551" i="9"/>
  <c r="Q551" i="9"/>
  <c r="R551" i="9"/>
  <c r="S551" i="9"/>
  <c r="P552" i="9"/>
  <c r="Q552" i="9"/>
  <c r="R552" i="9"/>
  <c r="S552" i="9"/>
  <c r="P553" i="9"/>
  <c r="Q553" i="9"/>
  <c r="R553" i="9"/>
  <c r="S553" i="9"/>
  <c r="P554" i="9"/>
  <c r="Q554" i="9"/>
  <c r="R554" i="9"/>
  <c r="S554" i="9"/>
  <c r="P555" i="9"/>
  <c r="Q555" i="9"/>
  <c r="R555" i="9"/>
  <c r="S555" i="9"/>
  <c r="P556" i="9"/>
  <c r="Q556" i="9"/>
  <c r="R556" i="9"/>
  <c r="S556" i="9"/>
  <c r="P557" i="9"/>
  <c r="Q557" i="9"/>
  <c r="R557" i="9"/>
  <c r="S557" i="9"/>
  <c r="P558" i="9"/>
  <c r="Q558" i="9"/>
  <c r="R558" i="9"/>
  <c r="S558" i="9"/>
  <c r="P559" i="9"/>
  <c r="Q559" i="9"/>
  <c r="R559" i="9"/>
  <c r="S559" i="9"/>
  <c r="P560" i="9"/>
  <c r="Q560" i="9"/>
  <c r="R560" i="9"/>
  <c r="S560" i="9"/>
  <c r="P561" i="9"/>
  <c r="Q561" i="9"/>
  <c r="R561" i="9"/>
  <c r="S561" i="9"/>
  <c r="P562" i="9"/>
  <c r="Q562" i="9"/>
  <c r="R562" i="9"/>
  <c r="S562" i="9"/>
  <c r="P563" i="9"/>
  <c r="Q563" i="9"/>
  <c r="R563" i="9"/>
  <c r="S563" i="9"/>
  <c r="P564" i="9"/>
  <c r="Q564" i="9"/>
  <c r="R564" i="9"/>
  <c r="S564" i="9"/>
  <c r="P565" i="9"/>
  <c r="Q565" i="9"/>
  <c r="R565" i="9"/>
  <c r="S565" i="9"/>
  <c r="P566" i="9"/>
  <c r="Q566" i="9"/>
  <c r="R566" i="9"/>
  <c r="S566" i="9"/>
  <c r="P567" i="9"/>
  <c r="Q567" i="9"/>
  <c r="R567" i="9"/>
  <c r="S567" i="9"/>
  <c r="P568" i="9"/>
  <c r="Q568" i="9"/>
  <c r="R568" i="9"/>
  <c r="S568" i="9"/>
  <c r="P569" i="9"/>
  <c r="Q569" i="9"/>
  <c r="R569" i="9"/>
  <c r="S569" i="9"/>
  <c r="P570" i="9"/>
  <c r="Q570" i="9"/>
  <c r="R570" i="9"/>
  <c r="S570" i="9"/>
  <c r="P571" i="9"/>
  <c r="Q571" i="9"/>
  <c r="R571" i="9"/>
  <c r="S571" i="9"/>
  <c r="P572" i="9"/>
  <c r="Q572" i="9"/>
  <c r="R572" i="9"/>
  <c r="S572" i="9"/>
  <c r="P573" i="9"/>
  <c r="Q573" i="9"/>
  <c r="R573" i="9"/>
  <c r="S573" i="9"/>
  <c r="P574" i="9"/>
  <c r="Q574" i="9"/>
  <c r="R574" i="9"/>
  <c r="S574" i="9"/>
  <c r="P575" i="9"/>
  <c r="Q575" i="9"/>
  <c r="R575" i="9"/>
  <c r="S575" i="9"/>
  <c r="P576" i="9"/>
  <c r="Q576" i="9"/>
  <c r="R576" i="9"/>
  <c r="S576" i="9"/>
  <c r="P577" i="9"/>
  <c r="Q577" i="9"/>
  <c r="R577" i="9"/>
  <c r="S577" i="9"/>
  <c r="P578" i="9"/>
  <c r="Q578" i="9"/>
  <c r="R578" i="9"/>
  <c r="S578" i="9"/>
  <c r="P579" i="9"/>
  <c r="Q579" i="9"/>
  <c r="R579" i="9"/>
  <c r="S579" i="9"/>
  <c r="P580" i="9"/>
  <c r="Q580" i="9"/>
  <c r="R580" i="9"/>
  <c r="S580" i="9"/>
  <c r="P581" i="9"/>
  <c r="Q581" i="9"/>
  <c r="R581" i="9"/>
  <c r="S581" i="9"/>
  <c r="P582" i="9"/>
  <c r="Q582" i="9"/>
  <c r="R582" i="9"/>
  <c r="S582" i="9"/>
  <c r="P583" i="9"/>
  <c r="Q583" i="9"/>
  <c r="R583" i="9"/>
  <c r="S583" i="9"/>
  <c r="P584" i="9"/>
  <c r="Q584" i="9"/>
  <c r="R584" i="9"/>
  <c r="S584" i="9"/>
  <c r="P585" i="9"/>
  <c r="Q585" i="9"/>
  <c r="R585" i="9"/>
  <c r="S585" i="9"/>
  <c r="P586" i="9"/>
  <c r="Q586" i="9"/>
  <c r="R586" i="9"/>
  <c r="S586" i="9"/>
  <c r="P587" i="9"/>
  <c r="Q587" i="9"/>
  <c r="R587" i="9"/>
  <c r="S587" i="9"/>
  <c r="P588" i="9"/>
  <c r="Q588" i="9"/>
  <c r="R588" i="9"/>
  <c r="S588" i="9"/>
  <c r="P589" i="9"/>
  <c r="Q589" i="9"/>
  <c r="R589" i="9"/>
  <c r="S589" i="9"/>
  <c r="P590" i="9"/>
  <c r="Q590" i="9"/>
  <c r="R590" i="9"/>
  <c r="S590" i="9"/>
  <c r="P591" i="9"/>
  <c r="Q591" i="9"/>
  <c r="R591" i="9"/>
  <c r="S591" i="9"/>
  <c r="P592" i="9"/>
  <c r="Q592" i="9"/>
  <c r="R592" i="9"/>
  <c r="S592" i="9"/>
  <c r="P593" i="9"/>
  <c r="Q593" i="9"/>
  <c r="R593" i="9"/>
  <c r="S593" i="9"/>
  <c r="P594" i="9"/>
  <c r="Q594" i="9"/>
  <c r="R594" i="9"/>
  <c r="S594" i="9"/>
  <c r="P595" i="9"/>
  <c r="Q595" i="9"/>
  <c r="R595" i="9"/>
  <c r="S595" i="9"/>
  <c r="P596" i="9"/>
  <c r="Q596" i="9"/>
  <c r="R596" i="9"/>
  <c r="S596" i="9"/>
  <c r="P597" i="9"/>
  <c r="Q597" i="9"/>
  <c r="R597" i="9"/>
  <c r="S597" i="9"/>
  <c r="P598" i="9"/>
  <c r="Q598" i="9"/>
  <c r="R598" i="9"/>
  <c r="S598" i="9"/>
  <c r="P599" i="9"/>
  <c r="Q599" i="9"/>
  <c r="R599" i="9"/>
  <c r="S599" i="9"/>
  <c r="P600" i="9"/>
  <c r="Q600" i="9"/>
  <c r="R600" i="9"/>
  <c r="S600" i="9"/>
  <c r="P601" i="9"/>
  <c r="Q601" i="9"/>
  <c r="R601" i="9"/>
  <c r="S601" i="9"/>
  <c r="P602" i="9"/>
  <c r="Q602" i="9"/>
  <c r="R602" i="9"/>
  <c r="S602" i="9"/>
  <c r="P603" i="9"/>
  <c r="Q603" i="9"/>
  <c r="R603" i="9"/>
  <c r="S603" i="9"/>
  <c r="P604" i="9"/>
  <c r="Q604" i="9"/>
  <c r="R604" i="9"/>
  <c r="S604" i="9"/>
  <c r="P605" i="9"/>
  <c r="Q605" i="9"/>
  <c r="R605" i="9"/>
  <c r="S605" i="9"/>
  <c r="P606" i="9"/>
  <c r="Q606" i="9"/>
  <c r="R606" i="9"/>
  <c r="S606" i="9"/>
  <c r="P607" i="9"/>
  <c r="Q607" i="9"/>
  <c r="R607" i="9"/>
  <c r="S607" i="9"/>
  <c r="P608" i="9"/>
  <c r="Q608" i="9"/>
  <c r="R608" i="9"/>
  <c r="S608" i="9"/>
  <c r="P609" i="9"/>
  <c r="Q609" i="9"/>
  <c r="R609" i="9"/>
  <c r="S609" i="9"/>
  <c r="P610" i="9"/>
  <c r="Q610" i="9"/>
  <c r="R610" i="9"/>
  <c r="S610" i="9"/>
  <c r="P611" i="9"/>
  <c r="Q611" i="9"/>
  <c r="R611" i="9"/>
  <c r="S611" i="9"/>
  <c r="P612" i="9"/>
  <c r="Q612" i="9"/>
  <c r="R612" i="9"/>
  <c r="S612" i="9"/>
  <c r="P613" i="9"/>
  <c r="Q613" i="9"/>
  <c r="R613" i="9"/>
  <c r="S613" i="9"/>
  <c r="P614" i="9"/>
  <c r="Q614" i="9"/>
  <c r="R614" i="9"/>
  <c r="S614" i="9"/>
  <c r="P615" i="9"/>
  <c r="Q615" i="9"/>
  <c r="R615" i="9"/>
  <c r="S615" i="9"/>
  <c r="P616" i="9"/>
  <c r="Q616" i="9"/>
  <c r="R616" i="9"/>
  <c r="S616" i="9"/>
  <c r="P617" i="9"/>
  <c r="Q617" i="9"/>
  <c r="R617" i="9"/>
  <c r="S617" i="9"/>
  <c r="P618" i="9"/>
  <c r="Q618" i="9"/>
  <c r="R618" i="9"/>
  <c r="S618" i="9"/>
  <c r="P619" i="9"/>
  <c r="Q619" i="9"/>
  <c r="R619" i="9"/>
  <c r="S619" i="9"/>
  <c r="P620" i="9"/>
  <c r="Q620" i="9"/>
  <c r="R620" i="9"/>
  <c r="S620" i="9"/>
  <c r="P621" i="9"/>
  <c r="Q621" i="9"/>
  <c r="R621" i="9"/>
  <c r="S621" i="9"/>
  <c r="P622" i="9"/>
  <c r="Q622" i="9"/>
  <c r="R622" i="9"/>
  <c r="S622" i="9"/>
  <c r="P623" i="9"/>
  <c r="Q623" i="9"/>
  <c r="R623" i="9"/>
  <c r="S623" i="9"/>
  <c r="P624" i="9"/>
  <c r="Q624" i="9"/>
  <c r="R624" i="9"/>
  <c r="S624" i="9"/>
  <c r="P625" i="9"/>
  <c r="Q625" i="9"/>
  <c r="R625" i="9"/>
  <c r="S625" i="9"/>
  <c r="P626" i="9"/>
  <c r="Q626" i="9"/>
  <c r="R626" i="9"/>
  <c r="S626" i="9"/>
  <c r="P627" i="9"/>
  <c r="Q627" i="9"/>
  <c r="R627" i="9"/>
  <c r="S627" i="9"/>
  <c r="P628" i="9"/>
  <c r="Q628" i="9"/>
  <c r="R628" i="9"/>
  <c r="S628" i="9"/>
  <c r="P629" i="9"/>
  <c r="Q629" i="9"/>
  <c r="R629" i="9"/>
  <c r="S629" i="9"/>
  <c r="P630" i="9"/>
  <c r="Q630" i="9"/>
  <c r="R630" i="9"/>
  <c r="S630" i="9"/>
  <c r="P631" i="9"/>
  <c r="Q631" i="9"/>
  <c r="R631" i="9"/>
  <c r="S631" i="9"/>
  <c r="P632" i="9"/>
  <c r="Q632" i="9"/>
  <c r="R632" i="9"/>
  <c r="S632" i="9"/>
  <c r="P633" i="9"/>
  <c r="Q633" i="9"/>
  <c r="R633" i="9"/>
  <c r="S633" i="9"/>
  <c r="P634" i="9"/>
  <c r="Q634" i="9"/>
  <c r="R634" i="9"/>
  <c r="S634" i="9"/>
  <c r="P635" i="9"/>
  <c r="Q635" i="9"/>
  <c r="R635" i="9"/>
  <c r="S635" i="9"/>
  <c r="P636" i="9"/>
  <c r="Q636" i="9"/>
  <c r="R636" i="9"/>
  <c r="S636" i="9"/>
  <c r="P637" i="9"/>
  <c r="Q637" i="9"/>
  <c r="R637" i="9"/>
  <c r="S637" i="9"/>
  <c r="P638" i="9"/>
  <c r="Q638" i="9"/>
  <c r="R638" i="9"/>
  <c r="S638" i="9"/>
  <c r="P639" i="9"/>
  <c r="Q639" i="9"/>
  <c r="R639" i="9"/>
  <c r="S639" i="9"/>
  <c r="P640" i="9"/>
  <c r="Q640" i="9"/>
  <c r="R640" i="9"/>
  <c r="S640" i="9"/>
  <c r="P641" i="9"/>
  <c r="Q641" i="9"/>
  <c r="R641" i="9"/>
  <c r="S641" i="9"/>
  <c r="P642" i="9"/>
  <c r="Q642" i="9"/>
  <c r="R642" i="9"/>
  <c r="S642" i="9"/>
  <c r="P643" i="9"/>
  <c r="Q643" i="9"/>
  <c r="R643" i="9"/>
  <c r="S643" i="9"/>
  <c r="P644" i="9"/>
  <c r="Q644" i="9"/>
  <c r="R644" i="9"/>
  <c r="S644" i="9"/>
  <c r="P645" i="9"/>
  <c r="Q645" i="9"/>
  <c r="R645" i="9"/>
  <c r="S645" i="9"/>
  <c r="P646" i="9"/>
  <c r="Q646" i="9"/>
  <c r="R646" i="9"/>
  <c r="S646" i="9"/>
  <c r="P647" i="9"/>
  <c r="Q647" i="9"/>
  <c r="R647" i="9"/>
  <c r="S647" i="9"/>
  <c r="P648" i="9"/>
  <c r="Q648" i="9"/>
  <c r="R648" i="9"/>
  <c r="S648" i="9"/>
  <c r="P649" i="9"/>
  <c r="Q649" i="9"/>
  <c r="R649" i="9"/>
  <c r="S649" i="9"/>
  <c r="P650" i="9"/>
  <c r="Q650" i="9"/>
  <c r="R650" i="9"/>
  <c r="S650" i="9"/>
  <c r="P651" i="9"/>
  <c r="Q651" i="9"/>
  <c r="R651" i="9"/>
  <c r="S651" i="9"/>
  <c r="P652" i="9"/>
  <c r="Q652" i="9"/>
  <c r="R652" i="9"/>
  <c r="S652" i="9"/>
  <c r="P653" i="9"/>
  <c r="Q653" i="9"/>
  <c r="R653" i="9"/>
  <c r="S653" i="9"/>
  <c r="P654" i="9"/>
  <c r="Q654" i="9"/>
  <c r="R654" i="9"/>
  <c r="S654" i="9"/>
  <c r="P655" i="9"/>
  <c r="Q655" i="9"/>
  <c r="R655" i="9"/>
  <c r="S655" i="9"/>
  <c r="P656" i="9"/>
  <c r="Q656" i="9"/>
  <c r="R656" i="9"/>
  <c r="S656" i="9"/>
  <c r="P657" i="9"/>
  <c r="Q657" i="9"/>
  <c r="R657" i="9"/>
  <c r="S657" i="9"/>
  <c r="P658" i="9"/>
  <c r="Q658" i="9"/>
  <c r="R658" i="9"/>
  <c r="S658" i="9"/>
  <c r="P659" i="9"/>
  <c r="Q659" i="9"/>
  <c r="R659" i="9"/>
  <c r="S659" i="9"/>
  <c r="P660" i="9"/>
  <c r="Q660" i="9"/>
  <c r="R660" i="9"/>
  <c r="S660" i="9"/>
  <c r="P661" i="9"/>
  <c r="Q661" i="9"/>
  <c r="R661" i="9"/>
  <c r="S661" i="9"/>
  <c r="P662" i="9"/>
  <c r="Q662" i="9"/>
  <c r="R662" i="9"/>
  <c r="S662" i="9"/>
  <c r="P663" i="9"/>
  <c r="Q663" i="9"/>
  <c r="R663" i="9"/>
  <c r="S663" i="9"/>
  <c r="P664" i="9"/>
  <c r="Q664" i="9"/>
  <c r="R664" i="9"/>
  <c r="S664" i="9"/>
  <c r="P665" i="9"/>
  <c r="Q665" i="9"/>
  <c r="R665" i="9"/>
  <c r="S665" i="9"/>
  <c r="P666" i="9"/>
  <c r="Q666" i="9"/>
  <c r="R666" i="9"/>
  <c r="S666" i="9"/>
  <c r="P667" i="9"/>
  <c r="Q667" i="9"/>
  <c r="R667" i="9"/>
  <c r="S667" i="9"/>
  <c r="P668" i="9"/>
  <c r="Q668" i="9"/>
  <c r="R668" i="9"/>
  <c r="S668" i="9"/>
  <c r="P669" i="9"/>
  <c r="Q669" i="9"/>
  <c r="R669" i="9"/>
  <c r="S669" i="9"/>
  <c r="P670" i="9"/>
  <c r="Q670" i="9"/>
  <c r="R670" i="9"/>
  <c r="S670" i="9"/>
  <c r="P671" i="9"/>
  <c r="Q671" i="9"/>
  <c r="R671" i="9"/>
  <c r="S671" i="9"/>
  <c r="P672" i="9"/>
  <c r="Q672" i="9"/>
  <c r="R672" i="9"/>
  <c r="S672" i="9"/>
  <c r="P673" i="9"/>
  <c r="Q673" i="9"/>
  <c r="R673" i="9"/>
  <c r="S673" i="9"/>
  <c r="P674" i="9"/>
  <c r="Q674" i="9"/>
  <c r="R674" i="9"/>
  <c r="S674" i="9"/>
  <c r="P675" i="9"/>
  <c r="Q675" i="9"/>
  <c r="R675" i="9"/>
  <c r="S675" i="9"/>
  <c r="P676" i="9"/>
  <c r="Q676" i="9"/>
  <c r="R676" i="9"/>
  <c r="S676" i="9"/>
  <c r="P677" i="9"/>
  <c r="Q677" i="9"/>
  <c r="R677" i="9"/>
  <c r="S677" i="9"/>
  <c r="P678" i="9"/>
  <c r="Q678" i="9"/>
  <c r="R678" i="9"/>
  <c r="S678" i="9"/>
  <c r="P679" i="9"/>
  <c r="Q679" i="9"/>
  <c r="R679" i="9"/>
  <c r="S679" i="9"/>
  <c r="P680" i="9"/>
  <c r="Q680" i="9"/>
  <c r="R680" i="9"/>
  <c r="S680" i="9"/>
  <c r="P681" i="9"/>
  <c r="Q681" i="9"/>
  <c r="R681" i="9"/>
  <c r="S681" i="9"/>
  <c r="P682" i="9"/>
  <c r="Q682" i="9"/>
  <c r="R682" i="9"/>
  <c r="S682" i="9"/>
  <c r="P683" i="9"/>
  <c r="Q683" i="9"/>
  <c r="R683" i="9"/>
  <c r="S683" i="9"/>
  <c r="P684" i="9"/>
  <c r="Q684" i="9"/>
  <c r="R684" i="9"/>
  <c r="S684" i="9"/>
  <c r="P685" i="9"/>
  <c r="Q685" i="9"/>
  <c r="R685" i="9"/>
  <c r="S685" i="9"/>
  <c r="P686" i="9"/>
  <c r="Q686" i="9"/>
  <c r="R686" i="9"/>
  <c r="S686" i="9"/>
  <c r="P687" i="9"/>
  <c r="Q687" i="9"/>
  <c r="R687" i="9"/>
  <c r="S687" i="9"/>
  <c r="P688" i="9"/>
  <c r="Q688" i="9"/>
  <c r="R688" i="9"/>
  <c r="S688" i="9"/>
  <c r="P689" i="9"/>
  <c r="Q689" i="9"/>
  <c r="R689" i="9"/>
  <c r="S689" i="9"/>
  <c r="P690" i="9"/>
  <c r="Q690" i="9"/>
  <c r="R690" i="9"/>
  <c r="S690" i="9"/>
  <c r="P691" i="9"/>
  <c r="Q691" i="9"/>
  <c r="R691" i="9"/>
  <c r="S691" i="9"/>
  <c r="P692" i="9"/>
  <c r="Q692" i="9"/>
  <c r="R692" i="9"/>
  <c r="S692" i="9"/>
  <c r="P693" i="9"/>
  <c r="Q693" i="9"/>
  <c r="R693" i="9"/>
  <c r="S693" i="9"/>
  <c r="P694" i="9"/>
  <c r="Q694" i="9"/>
  <c r="R694" i="9"/>
  <c r="S694" i="9"/>
  <c r="P695" i="9"/>
  <c r="Q695" i="9"/>
  <c r="R695" i="9"/>
  <c r="S695" i="9"/>
  <c r="P696" i="9"/>
  <c r="Q696" i="9"/>
  <c r="R696" i="9"/>
  <c r="S696" i="9"/>
  <c r="P697" i="9"/>
  <c r="Q697" i="9"/>
  <c r="R697" i="9"/>
  <c r="S697" i="9"/>
  <c r="P698" i="9"/>
  <c r="Q698" i="9"/>
  <c r="R698" i="9"/>
  <c r="S698" i="9"/>
  <c r="P699" i="9"/>
  <c r="Q699" i="9"/>
  <c r="R699" i="9"/>
  <c r="S699" i="9"/>
  <c r="P700" i="9"/>
  <c r="Q700" i="9"/>
  <c r="R700" i="9"/>
  <c r="S700" i="9"/>
  <c r="P701" i="9"/>
  <c r="Q701" i="9"/>
  <c r="R701" i="9"/>
  <c r="S701" i="9"/>
  <c r="P702" i="9"/>
  <c r="Q702" i="9"/>
  <c r="R702" i="9"/>
  <c r="S702" i="9"/>
  <c r="P703" i="9"/>
  <c r="Q703" i="9"/>
  <c r="R703" i="9"/>
  <c r="S703" i="9"/>
  <c r="P704" i="9"/>
  <c r="Q704" i="9"/>
  <c r="R704" i="9"/>
  <c r="S704" i="9"/>
  <c r="P705" i="9"/>
  <c r="Q705" i="9"/>
  <c r="R705" i="9"/>
  <c r="S705" i="9"/>
  <c r="P706" i="9"/>
  <c r="Q706" i="9"/>
  <c r="R706" i="9"/>
  <c r="S706" i="9"/>
  <c r="P707" i="9"/>
  <c r="Q707" i="9"/>
  <c r="R707" i="9"/>
  <c r="S707" i="9"/>
  <c r="P708" i="9"/>
  <c r="Q708" i="9"/>
  <c r="R708" i="9"/>
  <c r="S708" i="9"/>
  <c r="P709" i="9"/>
  <c r="Q709" i="9"/>
  <c r="R709" i="9"/>
  <c r="S709" i="9"/>
  <c r="P710" i="9"/>
  <c r="Q710" i="9"/>
  <c r="R710" i="9"/>
  <c r="S710" i="9"/>
  <c r="P711" i="9"/>
  <c r="Q711" i="9"/>
  <c r="R711" i="9"/>
  <c r="S711" i="9"/>
  <c r="P712" i="9"/>
  <c r="Q712" i="9"/>
  <c r="R712" i="9"/>
  <c r="S712" i="9"/>
  <c r="P713" i="9"/>
  <c r="Q713" i="9"/>
  <c r="R713" i="9"/>
  <c r="S713" i="9"/>
  <c r="P714" i="9"/>
  <c r="Q714" i="9"/>
  <c r="R714" i="9"/>
  <c r="S714" i="9"/>
  <c r="P715" i="9"/>
  <c r="Q715" i="9"/>
  <c r="R715" i="9"/>
  <c r="S715" i="9"/>
  <c r="P716" i="9"/>
  <c r="Q716" i="9"/>
  <c r="R716" i="9"/>
  <c r="S716" i="9"/>
  <c r="P717" i="9"/>
  <c r="Q717" i="9"/>
  <c r="R717" i="9"/>
  <c r="S717" i="9"/>
  <c r="P718" i="9"/>
  <c r="Q718" i="9"/>
  <c r="R718" i="9"/>
  <c r="S718" i="9"/>
  <c r="P719" i="9"/>
  <c r="Q719" i="9"/>
  <c r="R719" i="9"/>
  <c r="S719" i="9"/>
  <c r="P720" i="9"/>
  <c r="Q720" i="9"/>
  <c r="R720" i="9"/>
  <c r="S720" i="9"/>
  <c r="P721" i="9"/>
  <c r="Q721" i="9"/>
  <c r="R721" i="9"/>
  <c r="S721" i="9"/>
  <c r="P722" i="9"/>
  <c r="Q722" i="9"/>
  <c r="R722" i="9"/>
  <c r="S722" i="9"/>
  <c r="P723" i="9"/>
  <c r="Q723" i="9"/>
  <c r="R723" i="9"/>
  <c r="S723" i="9"/>
  <c r="P724" i="9"/>
  <c r="Q724" i="9"/>
  <c r="R724" i="9"/>
  <c r="S724" i="9"/>
  <c r="P725" i="9"/>
  <c r="Q725" i="9"/>
  <c r="R725" i="9"/>
  <c r="S725" i="9"/>
  <c r="P726" i="9"/>
  <c r="Q726" i="9"/>
  <c r="R726" i="9"/>
  <c r="S726" i="9"/>
  <c r="P727" i="9"/>
  <c r="Q727" i="9"/>
  <c r="R727" i="9"/>
  <c r="S727" i="9"/>
  <c r="P728" i="9"/>
  <c r="Q728" i="9"/>
  <c r="R728" i="9"/>
  <c r="S728" i="9"/>
  <c r="P729" i="9"/>
  <c r="Q729" i="9"/>
  <c r="R729" i="9"/>
  <c r="S729" i="9"/>
  <c r="P730" i="9"/>
  <c r="Q730" i="9"/>
  <c r="R730" i="9"/>
  <c r="S730" i="9"/>
  <c r="P731" i="9"/>
  <c r="Q731" i="9"/>
  <c r="R731" i="9"/>
  <c r="S731" i="9"/>
  <c r="P732" i="9"/>
  <c r="Q732" i="9"/>
  <c r="R732" i="9"/>
  <c r="S732" i="9"/>
  <c r="P733" i="9"/>
  <c r="Q733" i="9"/>
  <c r="R733" i="9"/>
  <c r="S733" i="9"/>
  <c r="P734" i="9"/>
  <c r="Q734" i="9"/>
  <c r="R734" i="9"/>
  <c r="S734" i="9"/>
  <c r="P735" i="9"/>
  <c r="Q735" i="9"/>
  <c r="R735" i="9"/>
  <c r="S735" i="9"/>
  <c r="P736" i="9"/>
  <c r="Q736" i="9"/>
  <c r="R736" i="9"/>
  <c r="S736" i="9"/>
  <c r="P737" i="9"/>
  <c r="Q737" i="9"/>
  <c r="R737" i="9"/>
  <c r="S737" i="9"/>
  <c r="P738" i="9"/>
  <c r="Q738" i="9"/>
  <c r="R738" i="9"/>
  <c r="S738" i="9"/>
  <c r="P739" i="9"/>
  <c r="Q739" i="9"/>
  <c r="R739" i="9"/>
  <c r="S739" i="9"/>
  <c r="P740" i="9"/>
  <c r="Q740" i="9"/>
  <c r="R740" i="9"/>
  <c r="S740" i="9"/>
  <c r="P741" i="9"/>
  <c r="Q741" i="9"/>
  <c r="R741" i="9"/>
  <c r="S741" i="9"/>
  <c r="P742" i="9"/>
  <c r="Q742" i="9"/>
  <c r="R742" i="9"/>
  <c r="S742" i="9"/>
  <c r="P743" i="9"/>
  <c r="Q743" i="9"/>
  <c r="R743" i="9"/>
  <c r="S743" i="9"/>
  <c r="P744" i="9"/>
  <c r="Q744" i="9"/>
  <c r="R744" i="9"/>
  <c r="S744" i="9"/>
  <c r="P745" i="9"/>
  <c r="Q745" i="9"/>
  <c r="R745" i="9"/>
  <c r="S745" i="9"/>
  <c r="P746" i="9"/>
  <c r="Q746" i="9"/>
  <c r="R746" i="9"/>
  <c r="S746" i="9"/>
  <c r="P747" i="9"/>
  <c r="Q747" i="9"/>
  <c r="R747" i="9"/>
  <c r="S747" i="9"/>
  <c r="P748" i="9"/>
  <c r="Q748" i="9"/>
  <c r="R748" i="9"/>
  <c r="S748" i="9"/>
  <c r="P749" i="9"/>
  <c r="Q749" i="9"/>
  <c r="R749" i="9"/>
  <c r="S749" i="9"/>
  <c r="P750" i="9"/>
  <c r="Q750" i="9"/>
  <c r="R750" i="9"/>
  <c r="S750" i="9"/>
  <c r="P751" i="9"/>
  <c r="Q751" i="9"/>
  <c r="R751" i="9"/>
  <c r="S751" i="9"/>
  <c r="P752" i="9"/>
  <c r="Q752" i="9"/>
  <c r="R752" i="9"/>
  <c r="S752" i="9"/>
  <c r="P753" i="9"/>
  <c r="Q753" i="9"/>
  <c r="R753" i="9"/>
  <c r="S753" i="9"/>
  <c r="P754" i="9"/>
  <c r="Q754" i="9"/>
  <c r="R754" i="9"/>
  <c r="S754" i="9"/>
  <c r="P755" i="9"/>
  <c r="Q755" i="9"/>
  <c r="R755" i="9"/>
  <c r="S755" i="9"/>
  <c r="P756" i="9"/>
  <c r="Q756" i="9"/>
  <c r="R756" i="9"/>
  <c r="S756" i="9"/>
  <c r="P757" i="9"/>
  <c r="Q757" i="9"/>
  <c r="R757" i="9"/>
  <c r="S757" i="9"/>
  <c r="P758" i="9"/>
  <c r="Q758" i="9"/>
  <c r="R758" i="9"/>
  <c r="S758" i="9"/>
  <c r="P759" i="9"/>
  <c r="Q759" i="9"/>
  <c r="R759" i="9"/>
  <c r="S759" i="9"/>
  <c r="P760" i="9"/>
  <c r="Q760" i="9"/>
  <c r="R760" i="9"/>
  <c r="S760" i="9"/>
  <c r="P761" i="9"/>
  <c r="Q761" i="9"/>
  <c r="R761" i="9"/>
  <c r="S761" i="9"/>
  <c r="P762" i="9"/>
  <c r="Q762" i="9"/>
  <c r="R762" i="9"/>
  <c r="S762" i="9"/>
  <c r="P763" i="9"/>
  <c r="Q763" i="9"/>
  <c r="R763" i="9"/>
  <c r="S763" i="9"/>
  <c r="P764" i="9"/>
  <c r="Q764" i="9"/>
  <c r="R764" i="9"/>
  <c r="S764" i="9"/>
  <c r="P765" i="9"/>
  <c r="Q765" i="9"/>
  <c r="R765" i="9"/>
  <c r="S765" i="9"/>
  <c r="P766" i="9"/>
  <c r="Q766" i="9"/>
  <c r="R766" i="9"/>
  <c r="S766" i="9"/>
  <c r="P767" i="9"/>
  <c r="Q767" i="9"/>
  <c r="R767" i="9"/>
  <c r="S767" i="9"/>
  <c r="P768" i="9"/>
  <c r="Q768" i="9"/>
  <c r="R768" i="9"/>
  <c r="S768" i="9"/>
  <c r="P769" i="9"/>
  <c r="Q769" i="9"/>
  <c r="R769" i="9"/>
  <c r="S769" i="9"/>
  <c r="P770" i="9"/>
  <c r="Q770" i="9"/>
  <c r="R770" i="9"/>
  <c r="S770" i="9"/>
  <c r="P771" i="9"/>
  <c r="Q771" i="9"/>
  <c r="R771" i="9"/>
  <c r="S771" i="9"/>
  <c r="P772" i="9"/>
  <c r="Q772" i="9"/>
  <c r="R772" i="9"/>
  <c r="S772" i="9"/>
  <c r="P773" i="9"/>
  <c r="Q773" i="9"/>
  <c r="R773" i="9"/>
  <c r="S773" i="9"/>
  <c r="P774" i="9"/>
  <c r="Q774" i="9"/>
  <c r="R774" i="9"/>
  <c r="S774" i="9"/>
  <c r="P775" i="9"/>
  <c r="Q775" i="9"/>
  <c r="R775" i="9"/>
  <c r="S775" i="9"/>
  <c r="P776" i="9"/>
  <c r="Q776" i="9"/>
  <c r="R776" i="9"/>
  <c r="S776" i="9"/>
  <c r="P777" i="9"/>
  <c r="Q777" i="9"/>
  <c r="R777" i="9"/>
  <c r="S777" i="9"/>
  <c r="P778" i="9"/>
  <c r="Q778" i="9"/>
  <c r="R778" i="9"/>
  <c r="S778" i="9"/>
  <c r="P779" i="9"/>
  <c r="Q779" i="9"/>
  <c r="R779" i="9"/>
  <c r="S779" i="9"/>
  <c r="P780" i="9"/>
  <c r="Q780" i="9"/>
  <c r="R780" i="9"/>
  <c r="S780" i="9"/>
  <c r="P781" i="9"/>
  <c r="Q781" i="9"/>
  <c r="R781" i="9"/>
  <c r="S781" i="9"/>
  <c r="P782" i="9"/>
  <c r="Q782" i="9"/>
  <c r="R782" i="9"/>
  <c r="S782" i="9"/>
  <c r="P783" i="9"/>
  <c r="Q783" i="9"/>
  <c r="R783" i="9"/>
  <c r="S783" i="9"/>
  <c r="P784" i="9"/>
  <c r="Q784" i="9"/>
  <c r="R784" i="9"/>
  <c r="S784" i="9"/>
  <c r="P785" i="9"/>
  <c r="Q785" i="9"/>
  <c r="R785" i="9"/>
  <c r="S785" i="9"/>
  <c r="P786" i="9"/>
  <c r="Q786" i="9"/>
  <c r="R786" i="9"/>
  <c r="S786" i="9"/>
  <c r="P787" i="9"/>
  <c r="Q787" i="9"/>
  <c r="R787" i="9"/>
  <c r="S787" i="9"/>
  <c r="P788" i="9"/>
  <c r="Q788" i="9"/>
  <c r="R788" i="9"/>
  <c r="S788" i="9"/>
  <c r="P789" i="9"/>
  <c r="Q789" i="9"/>
  <c r="R789" i="9"/>
  <c r="S789" i="9"/>
  <c r="P790" i="9"/>
  <c r="Q790" i="9"/>
  <c r="R790" i="9"/>
  <c r="S790" i="9"/>
  <c r="P791" i="9"/>
  <c r="Q791" i="9"/>
  <c r="R791" i="9"/>
  <c r="S791" i="9"/>
  <c r="P792" i="9"/>
  <c r="Q792" i="9"/>
  <c r="R792" i="9"/>
  <c r="S792" i="9"/>
  <c r="P793" i="9"/>
  <c r="Q793" i="9"/>
  <c r="R793" i="9"/>
  <c r="S793" i="9"/>
  <c r="P794" i="9"/>
  <c r="Q794" i="9"/>
  <c r="R794" i="9"/>
  <c r="S794" i="9"/>
  <c r="P795" i="9"/>
  <c r="Q795" i="9"/>
  <c r="R795" i="9"/>
  <c r="S795" i="9"/>
  <c r="P796" i="9"/>
  <c r="Q796" i="9"/>
  <c r="R796" i="9"/>
  <c r="S796" i="9"/>
  <c r="P797" i="9"/>
  <c r="Q797" i="9"/>
  <c r="R797" i="9"/>
  <c r="S797" i="9"/>
  <c r="P798" i="9"/>
  <c r="Q798" i="9"/>
  <c r="R798" i="9"/>
  <c r="S798" i="9"/>
  <c r="P799" i="9"/>
  <c r="Q799" i="9"/>
  <c r="R799" i="9"/>
  <c r="S799" i="9"/>
  <c r="P800" i="9"/>
  <c r="Q800" i="9"/>
  <c r="R800" i="9"/>
  <c r="S800" i="9"/>
  <c r="P801" i="9"/>
  <c r="Q801" i="9"/>
  <c r="R801" i="9"/>
  <c r="S801" i="9"/>
  <c r="P802" i="9"/>
  <c r="Q802" i="9"/>
  <c r="R802" i="9"/>
  <c r="S802" i="9"/>
  <c r="P803" i="9"/>
  <c r="Q803" i="9"/>
  <c r="R803" i="9"/>
  <c r="S803" i="9"/>
  <c r="P804" i="9"/>
  <c r="Q804" i="9"/>
  <c r="R804" i="9"/>
  <c r="S804" i="9"/>
  <c r="P805" i="9"/>
  <c r="Q805" i="9"/>
  <c r="R805" i="9"/>
  <c r="S805" i="9"/>
  <c r="P806" i="9"/>
  <c r="Q806" i="9"/>
  <c r="R806" i="9"/>
  <c r="S806" i="9"/>
  <c r="P807" i="9"/>
  <c r="Q807" i="9"/>
  <c r="R807" i="9"/>
  <c r="S807" i="9"/>
  <c r="P808" i="9"/>
  <c r="Q808" i="9"/>
  <c r="R808" i="9"/>
  <c r="S808" i="9"/>
  <c r="P809" i="9"/>
  <c r="Q809" i="9"/>
  <c r="R809" i="9"/>
  <c r="S809" i="9"/>
  <c r="P810" i="9"/>
  <c r="Q810" i="9"/>
  <c r="R810" i="9"/>
  <c r="S810" i="9"/>
  <c r="P811" i="9"/>
  <c r="Q811" i="9"/>
  <c r="R811" i="9"/>
  <c r="S811" i="9"/>
  <c r="P812" i="9"/>
  <c r="Q812" i="9"/>
  <c r="R812" i="9"/>
  <c r="S812" i="9"/>
  <c r="P813" i="9"/>
  <c r="Q813" i="9"/>
  <c r="R813" i="9"/>
  <c r="S813" i="9"/>
  <c r="P814" i="9"/>
  <c r="Q814" i="9"/>
  <c r="R814" i="9"/>
  <c r="S814" i="9"/>
  <c r="P815" i="9"/>
  <c r="Q815" i="9"/>
  <c r="R815" i="9"/>
  <c r="S815" i="9"/>
  <c r="P816" i="9"/>
  <c r="Q816" i="9"/>
  <c r="R816" i="9"/>
  <c r="S816" i="9"/>
  <c r="P817" i="9"/>
  <c r="Q817" i="9"/>
  <c r="R817" i="9"/>
  <c r="S817" i="9"/>
  <c r="P818" i="9"/>
  <c r="Q818" i="9"/>
  <c r="R818" i="9"/>
  <c r="S818" i="9"/>
  <c r="P819" i="9"/>
  <c r="Q819" i="9"/>
  <c r="R819" i="9"/>
  <c r="S819" i="9"/>
  <c r="P820" i="9"/>
  <c r="Q820" i="9"/>
  <c r="R820" i="9"/>
  <c r="S820" i="9"/>
  <c r="P821" i="9"/>
  <c r="Q821" i="9"/>
  <c r="R821" i="9"/>
  <c r="S821" i="9"/>
  <c r="P822" i="9"/>
  <c r="Q822" i="9"/>
  <c r="R822" i="9"/>
  <c r="S822" i="9"/>
  <c r="P823" i="9"/>
  <c r="Q823" i="9"/>
  <c r="R823" i="9"/>
  <c r="S823" i="9"/>
  <c r="P824" i="9"/>
  <c r="Q824" i="9"/>
  <c r="R824" i="9"/>
  <c r="S824" i="9"/>
  <c r="P825" i="9"/>
  <c r="Q825" i="9"/>
  <c r="R825" i="9"/>
  <c r="S825" i="9"/>
  <c r="P826" i="9"/>
  <c r="Q826" i="9"/>
  <c r="R826" i="9"/>
  <c r="S826" i="9"/>
  <c r="P827" i="9"/>
  <c r="Q827" i="9"/>
  <c r="R827" i="9"/>
  <c r="S827" i="9"/>
  <c r="P828" i="9"/>
  <c r="Q828" i="9"/>
  <c r="R828" i="9"/>
  <c r="S828" i="9"/>
  <c r="P829" i="9"/>
  <c r="Q829" i="9"/>
  <c r="R829" i="9"/>
  <c r="S829" i="9"/>
  <c r="P830" i="9"/>
  <c r="Q830" i="9"/>
  <c r="R830" i="9"/>
  <c r="S830" i="9"/>
  <c r="P831" i="9"/>
  <c r="Q831" i="9"/>
  <c r="R831" i="9"/>
  <c r="S831" i="9"/>
  <c r="P832" i="9"/>
  <c r="Q832" i="9"/>
  <c r="R832" i="9"/>
  <c r="S832" i="9"/>
  <c r="P833" i="9"/>
  <c r="Q833" i="9"/>
  <c r="R833" i="9"/>
  <c r="S833" i="9"/>
  <c r="P834" i="9"/>
  <c r="Q834" i="9"/>
  <c r="R834" i="9"/>
  <c r="S834" i="9"/>
  <c r="P835" i="9"/>
  <c r="Q835" i="9"/>
  <c r="R835" i="9"/>
  <c r="S835" i="9"/>
  <c r="P836" i="9"/>
  <c r="Q836" i="9"/>
  <c r="R836" i="9"/>
  <c r="S836" i="9"/>
  <c r="P837" i="9"/>
  <c r="Q837" i="9"/>
  <c r="R837" i="9"/>
  <c r="S837" i="9"/>
  <c r="P838" i="9"/>
  <c r="Q838" i="9"/>
  <c r="R838" i="9"/>
  <c r="S838" i="9"/>
  <c r="P839" i="9"/>
  <c r="Q839" i="9"/>
  <c r="R839" i="9"/>
  <c r="S839" i="9"/>
  <c r="P840" i="9"/>
  <c r="Q840" i="9"/>
  <c r="R840" i="9"/>
  <c r="S840" i="9"/>
  <c r="P841" i="9"/>
  <c r="Q841" i="9"/>
  <c r="R841" i="9"/>
  <c r="S841" i="9"/>
  <c r="P842" i="9"/>
  <c r="Q842" i="9"/>
  <c r="R842" i="9"/>
  <c r="S842" i="9"/>
  <c r="P843" i="9"/>
  <c r="Q843" i="9"/>
  <c r="R843" i="9"/>
  <c r="S843" i="9"/>
  <c r="P844" i="9"/>
  <c r="Q844" i="9"/>
  <c r="R844" i="9"/>
  <c r="S844" i="9"/>
  <c r="P845" i="9"/>
  <c r="Q845" i="9"/>
  <c r="R845" i="9"/>
  <c r="S845" i="9"/>
  <c r="P846" i="9"/>
  <c r="Q846" i="9"/>
  <c r="R846" i="9"/>
  <c r="S846" i="9"/>
  <c r="P847" i="9"/>
  <c r="Q847" i="9"/>
  <c r="R847" i="9"/>
  <c r="S847" i="9"/>
  <c r="P848" i="9"/>
  <c r="Q848" i="9"/>
  <c r="R848" i="9"/>
  <c r="S848" i="9"/>
  <c r="P849" i="9"/>
  <c r="Q849" i="9"/>
  <c r="R849" i="9"/>
  <c r="S849" i="9"/>
  <c r="P850" i="9"/>
  <c r="Q850" i="9"/>
  <c r="R850" i="9"/>
  <c r="S850" i="9"/>
  <c r="P851" i="9"/>
  <c r="Q851" i="9"/>
  <c r="R851" i="9"/>
  <c r="S851" i="9"/>
  <c r="P852" i="9"/>
  <c r="Q852" i="9"/>
  <c r="R852" i="9"/>
  <c r="S852" i="9"/>
  <c r="P853" i="9"/>
  <c r="Q853" i="9"/>
  <c r="R853" i="9"/>
  <c r="S853" i="9"/>
  <c r="P854" i="9"/>
  <c r="Q854" i="9"/>
  <c r="R854" i="9"/>
  <c r="S854" i="9"/>
  <c r="P855" i="9"/>
  <c r="Q855" i="9"/>
  <c r="R855" i="9"/>
  <c r="S855" i="9"/>
  <c r="P856" i="9"/>
  <c r="Q856" i="9"/>
  <c r="R856" i="9"/>
  <c r="S856" i="9"/>
  <c r="P857" i="9"/>
  <c r="Q857" i="9"/>
  <c r="R857" i="9"/>
  <c r="S857" i="9"/>
  <c r="P858" i="9"/>
  <c r="Q858" i="9"/>
  <c r="R858" i="9"/>
  <c r="S858" i="9"/>
  <c r="P859" i="9"/>
  <c r="Q859" i="9"/>
  <c r="R859" i="9"/>
  <c r="S859" i="9"/>
  <c r="P860" i="9"/>
  <c r="Q860" i="9"/>
  <c r="R860" i="9"/>
  <c r="S860" i="9"/>
  <c r="P861" i="9"/>
  <c r="Q861" i="9"/>
  <c r="R861" i="9"/>
  <c r="S861" i="9"/>
  <c r="P862" i="9"/>
  <c r="Q862" i="9"/>
  <c r="R862" i="9"/>
  <c r="S862" i="9"/>
  <c r="P863" i="9"/>
  <c r="Q863" i="9"/>
  <c r="R863" i="9"/>
  <c r="S863" i="9"/>
  <c r="P864" i="9"/>
  <c r="Q864" i="9"/>
  <c r="R864" i="9"/>
  <c r="S864" i="9"/>
  <c r="P865" i="9"/>
  <c r="Q865" i="9"/>
  <c r="R865" i="9"/>
  <c r="S865" i="9"/>
  <c r="P866" i="9"/>
  <c r="Q866" i="9"/>
  <c r="R866" i="9"/>
  <c r="S866" i="9"/>
  <c r="P867" i="9"/>
  <c r="Q867" i="9"/>
  <c r="R867" i="9"/>
  <c r="S867" i="9"/>
  <c r="P868" i="9"/>
  <c r="Q868" i="9"/>
  <c r="R868" i="9"/>
  <c r="S868" i="9"/>
  <c r="P869" i="9"/>
  <c r="Q869" i="9"/>
  <c r="R869" i="9"/>
  <c r="S869" i="9"/>
  <c r="P870" i="9"/>
  <c r="Q870" i="9"/>
  <c r="R870" i="9"/>
  <c r="S870" i="9"/>
  <c r="P871" i="9"/>
  <c r="Q871" i="9"/>
  <c r="R871" i="9"/>
  <c r="S871" i="9"/>
  <c r="P872" i="9"/>
  <c r="Q872" i="9"/>
  <c r="R872" i="9"/>
  <c r="S872" i="9"/>
  <c r="P873" i="9"/>
  <c r="Q873" i="9"/>
  <c r="R873" i="9"/>
  <c r="S873" i="9"/>
  <c r="P874" i="9"/>
  <c r="Q874" i="9"/>
  <c r="R874" i="9"/>
  <c r="S874" i="9"/>
  <c r="P875" i="9"/>
  <c r="Q875" i="9"/>
  <c r="R875" i="9"/>
  <c r="S875" i="9"/>
  <c r="P876" i="9"/>
  <c r="Q876" i="9"/>
  <c r="R876" i="9"/>
  <c r="S876" i="9"/>
  <c r="P877" i="9"/>
  <c r="Q877" i="9"/>
  <c r="R877" i="9"/>
  <c r="S877" i="9"/>
  <c r="P878" i="9"/>
  <c r="Q878" i="9"/>
  <c r="R878" i="9"/>
  <c r="S878" i="9"/>
  <c r="P879" i="9"/>
  <c r="Q879" i="9"/>
  <c r="R879" i="9"/>
  <c r="S879" i="9"/>
  <c r="P880" i="9"/>
  <c r="Q880" i="9"/>
  <c r="R880" i="9"/>
  <c r="S880" i="9"/>
  <c r="P881" i="9"/>
  <c r="Q881" i="9"/>
  <c r="R881" i="9"/>
  <c r="S881" i="9"/>
  <c r="P882" i="9"/>
  <c r="Q882" i="9"/>
  <c r="R882" i="9"/>
  <c r="S882" i="9"/>
  <c r="P883" i="9"/>
  <c r="Q883" i="9"/>
  <c r="R883" i="9"/>
  <c r="S883" i="9"/>
  <c r="P884" i="9"/>
  <c r="Q884" i="9"/>
  <c r="R884" i="9"/>
  <c r="S884" i="9"/>
  <c r="P885" i="9"/>
  <c r="Q885" i="9"/>
  <c r="R885" i="9"/>
  <c r="S885" i="9"/>
  <c r="P886" i="9"/>
  <c r="Q886" i="9"/>
  <c r="R886" i="9"/>
  <c r="S886" i="9"/>
  <c r="P887" i="9"/>
  <c r="Q887" i="9"/>
  <c r="R887" i="9"/>
  <c r="S887" i="9"/>
  <c r="P888" i="9"/>
  <c r="Q888" i="9"/>
  <c r="R888" i="9"/>
  <c r="S888" i="9"/>
  <c r="P889" i="9"/>
  <c r="Q889" i="9"/>
  <c r="R889" i="9"/>
  <c r="S889" i="9"/>
  <c r="P890" i="9"/>
  <c r="Q890" i="9"/>
  <c r="R890" i="9"/>
  <c r="S890" i="9"/>
  <c r="P891" i="9"/>
  <c r="Q891" i="9"/>
  <c r="R891" i="9"/>
  <c r="S891" i="9"/>
  <c r="P892" i="9"/>
  <c r="Q892" i="9"/>
  <c r="R892" i="9"/>
  <c r="S892" i="9"/>
  <c r="P893" i="9"/>
  <c r="Q893" i="9"/>
  <c r="R893" i="9"/>
  <c r="S893" i="9"/>
  <c r="P894" i="9"/>
  <c r="Q894" i="9"/>
  <c r="R894" i="9"/>
  <c r="S894" i="9"/>
  <c r="P895" i="9"/>
  <c r="Q895" i="9"/>
  <c r="R895" i="9"/>
  <c r="S895" i="9"/>
  <c r="P896" i="9"/>
  <c r="Q896" i="9"/>
  <c r="R896" i="9"/>
  <c r="S896" i="9"/>
  <c r="P897" i="9"/>
  <c r="Q897" i="9"/>
  <c r="R897" i="9"/>
  <c r="S897" i="9"/>
  <c r="P898" i="9"/>
  <c r="Q898" i="9"/>
  <c r="R898" i="9"/>
  <c r="S898" i="9"/>
  <c r="P899" i="9"/>
  <c r="Q899" i="9"/>
  <c r="R899" i="9"/>
  <c r="S899" i="9"/>
  <c r="P900" i="9"/>
  <c r="Q900" i="9"/>
  <c r="R900" i="9"/>
  <c r="S900" i="9"/>
  <c r="P901" i="9"/>
  <c r="Q901" i="9"/>
  <c r="R901" i="9"/>
  <c r="S901" i="9"/>
  <c r="P902" i="9"/>
  <c r="Q902" i="9"/>
  <c r="R902" i="9"/>
  <c r="S902" i="9"/>
  <c r="P903" i="9"/>
  <c r="Q903" i="9"/>
  <c r="R903" i="9"/>
  <c r="S903" i="9"/>
  <c r="P904" i="9"/>
  <c r="Q904" i="9"/>
  <c r="R904" i="9"/>
  <c r="S904" i="9"/>
  <c r="P905" i="9"/>
  <c r="Q905" i="9"/>
  <c r="R905" i="9"/>
  <c r="S905" i="9"/>
  <c r="P906" i="9"/>
  <c r="Q906" i="9"/>
  <c r="R906" i="9"/>
  <c r="S906" i="9"/>
  <c r="P907" i="9"/>
  <c r="Q907" i="9"/>
  <c r="R907" i="9"/>
  <c r="S907" i="9"/>
  <c r="P908" i="9"/>
  <c r="Q908" i="9"/>
  <c r="R908" i="9"/>
  <c r="S908" i="9"/>
  <c r="P909" i="9"/>
  <c r="Q909" i="9"/>
  <c r="R909" i="9"/>
  <c r="S909" i="9"/>
  <c r="P910" i="9"/>
  <c r="Q910" i="9"/>
  <c r="R910" i="9"/>
  <c r="S910" i="9"/>
  <c r="P911" i="9"/>
  <c r="Q911" i="9"/>
  <c r="R911" i="9"/>
  <c r="S911" i="9"/>
  <c r="P912" i="9"/>
  <c r="Q912" i="9"/>
  <c r="R912" i="9"/>
  <c r="S912" i="9"/>
  <c r="P913" i="9"/>
  <c r="Q913" i="9"/>
  <c r="R913" i="9"/>
  <c r="S913" i="9"/>
  <c r="P914" i="9"/>
  <c r="Q914" i="9"/>
  <c r="R914" i="9"/>
  <c r="S914" i="9"/>
  <c r="P915" i="9"/>
  <c r="Q915" i="9"/>
  <c r="R915" i="9"/>
  <c r="S915" i="9"/>
  <c r="P916" i="9"/>
  <c r="Q916" i="9"/>
  <c r="R916" i="9"/>
  <c r="S916" i="9"/>
  <c r="P917" i="9"/>
  <c r="Q917" i="9"/>
  <c r="R917" i="9"/>
  <c r="S917" i="9"/>
  <c r="P918" i="9"/>
  <c r="Q918" i="9"/>
  <c r="R918" i="9"/>
  <c r="S918" i="9"/>
  <c r="P919" i="9"/>
  <c r="Q919" i="9"/>
  <c r="R919" i="9"/>
  <c r="S919" i="9"/>
  <c r="P920" i="9"/>
  <c r="Q920" i="9"/>
  <c r="R920" i="9"/>
  <c r="S920" i="9"/>
  <c r="P921" i="9"/>
  <c r="Q921" i="9"/>
  <c r="R921" i="9"/>
  <c r="S921" i="9"/>
  <c r="P922" i="9"/>
  <c r="Q922" i="9"/>
  <c r="R922" i="9"/>
  <c r="S922" i="9"/>
  <c r="P923" i="9"/>
  <c r="Q923" i="9"/>
  <c r="R923" i="9"/>
  <c r="S923" i="9"/>
  <c r="P924" i="9"/>
  <c r="Q924" i="9"/>
  <c r="R924" i="9"/>
  <c r="S924" i="9"/>
  <c r="P925" i="9"/>
  <c r="Q925" i="9"/>
  <c r="R925" i="9"/>
  <c r="S925" i="9"/>
  <c r="P926" i="9"/>
  <c r="Q926" i="9"/>
  <c r="R926" i="9"/>
  <c r="S926" i="9"/>
  <c r="P927" i="9"/>
  <c r="Q927" i="9"/>
  <c r="R927" i="9"/>
  <c r="S927" i="9"/>
  <c r="P928" i="9"/>
  <c r="Q928" i="9"/>
  <c r="R928" i="9"/>
  <c r="S928" i="9"/>
  <c r="P929" i="9"/>
  <c r="Q929" i="9"/>
  <c r="R929" i="9"/>
  <c r="S929" i="9"/>
  <c r="P930" i="9"/>
  <c r="Q930" i="9"/>
  <c r="R930" i="9"/>
  <c r="S930" i="9"/>
  <c r="P931" i="9"/>
  <c r="Q931" i="9"/>
  <c r="R931" i="9"/>
  <c r="S931" i="9"/>
  <c r="P932" i="9"/>
  <c r="Q932" i="9"/>
  <c r="R932" i="9"/>
  <c r="S932" i="9"/>
  <c r="P933" i="9"/>
  <c r="Q933" i="9"/>
  <c r="R933" i="9"/>
  <c r="S933" i="9"/>
  <c r="P934" i="9"/>
  <c r="Q934" i="9"/>
  <c r="R934" i="9"/>
  <c r="S934" i="9"/>
  <c r="P935" i="9"/>
  <c r="Q935" i="9"/>
  <c r="R935" i="9"/>
  <c r="S935" i="9"/>
  <c r="P936" i="9"/>
  <c r="Q936" i="9"/>
  <c r="R936" i="9"/>
  <c r="S936" i="9"/>
  <c r="P937" i="9"/>
  <c r="Q937" i="9"/>
  <c r="R937" i="9"/>
  <c r="S937" i="9"/>
  <c r="P938" i="9"/>
  <c r="Q938" i="9"/>
  <c r="R938" i="9"/>
  <c r="S938" i="9"/>
  <c r="P939" i="9"/>
  <c r="Q939" i="9"/>
  <c r="R939" i="9"/>
  <c r="S939" i="9"/>
  <c r="P940" i="9"/>
  <c r="Q940" i="9"/>
  <c r="R940" i="9"/>
  <c r="S940" i="9"/>
  <c r="P941" i="9"/>
  <c r="Q941" i="9"/>
  <c r="R941" i="9"/>
  <c r="S941" i="9"/>
  <c r="P942" i="9"/>
  <c r="Q942" i="9"/>
  <c r="R942" i="9"/>
  <c r="S942" i="9"/>
  <c r="P943" i="9"/>
  <c r="Q943" i="9"/>
  <c r="R943" i="9"/>
  <c r="S943" i="9"/>
  <c r="P944" i="9"/>
  <c r="Q944" i="9"/>
  <c r="R944" i="9"/>
  <c r="S944" i="9"/>
  <c r="P945" i="9"/>
  <c r="Q945" i="9"/>
  <c r="R945" i="9"/>
  <c r="S945" i="9"/>
  <c r="P946" i="9"/>
  <c r="Q946" i="9"/>
  <c r="R946" i="9"/>
  <c r="S946" i="9"/>
  <c r="P947" i="9"/>
  <c r="Q947" i="9"/>
  <c r="R947" i="9"/>
  <c r="S947" i="9"/>
  <c r="P948" i="9"/>
  <c r="Q948" i="9"/>
  <c r="R948" i="9"/>
  <c r="S948" i="9"/>
  <c r="P949" i="9"/>
  <c r="Q949" i="9"/>
  <c r="R949" i="9"/>
  <c r="S949" i="9"/>
  <c r="P950" i="9"/>
  <c r="Q950" i="9"/>
  <c r="R950" i="9"/>
  <c r="S950" i="9"/>
  <c r="P951" i="9"/>
  <c r="Q951" i="9"/>
  <c r="R951" i="9"/>
  <c r="S951" i="9"/>
  <c r="P952" i="9"/>
  <c r="Q952" i="9"/>
  <c r="R952" i="9"/>
  <c r="S952" i="9"/>
  <c r="P953" i="9"/>
  <c r="Q953" i="9"/>
  <c r="R953" i="9"/>
  <c r="S953" i="9"/>
  <c r="P954" i="9"/>
  <c r="Q954" i="9"/>
  <c r="R954" i="9"/>
  <c r="S954" i="9"/>
  <c r="P955" i="9"/>
  <c r="Q955" i="9"/>
  <c r="R955" i="9"/>
  <c r="S955" i="9"/>
  <c r="P956" i="9"/>
  <c r="Q956" i="9"/>
  <c r="R956" i="9"/>
  <c r="S956" i="9"/>
  <c r="P957" i="9"/>
  <c r="Q957" i="9"/>
  <c r="R957" i="9"/>
  <c r="S957" i="9"/>
  <c r="P958" i="9"/>
  <c r="Q958" i="9"/>
  <c r="R958" i="9"/>
  <c r="S958" i="9"/>
  <c r="P959" i="9"/>
  <c r="Q959" i="9"/>
  <c r="R959" i="9"/>
  <c r="S959" i="9"/>
  <c r="P960" i="9"/>
  <c r="Q960" i="9"/>
  <c r="R960" i="9"/>
  <c r="S960" i="9"/>
  <c r="P961" i="9"/>
  <c r="Q961" i="9"/>
  <c r="R961" i="9"/>
  <c r="S961" i="9"/>
  <c r="P962" i="9"/>
  <c r="Q962" i="9"/>
  <c r="R962" i="9"/>
  <c r="S962" i="9"/>
  <c r="P963" i="9"/>
  <c r="Q963" i="9"/>
  <c r="R963" i="9"/>
  <c r="S963" i="9"/>
  <c r="P964" i="9"/>
  <c r="Q964" i="9"/>
  <c r="R964" i="9"/>
  <c r="S964" i="9"/>
  <c r="P965" i="9"/>
  <c r="Q965" i="9"/>
  <c r="R965" i="9"/>
  <c r="S965" i="9"/>
  <c r="P966" i="9"/>
  <c r="Q966" i="9"/>
  <c r="R966" i="9"/>
  <c r="S966" i="9"/>
  <c r="P967" i="9"/>
  <c r="Q967" i="9"/>
  <c r="R967" i="9"/>
  <c r="S967" i="9"/>
  <c r="P968" i="9"/>
  <c r="Q968" i="9"/>
  <c r="R968" i="9"/>
  <c r="S968" i="9"/>
  <c r="P969" i="9"/>
  <c r="Q969" i="9"/>
  <c r="R969" i="9"/>
  <c r="S969" i="9"/>
  <c r="P970" i="9"/>
  <c r="Q970" i="9"/>
  <c r="R970" i="9"/>
  <c r="S970" i="9"/>
  <c r="P971" i="9"/>
  <c r="Q971" i="9"/>
  <c r="R971" i="9"/>
  <c r="S971" i="9"/>
  <c r="P972" i="9"/>
  <c r="Q972" i="9"/>
  <c r="R972" i="9"/>
  <c r="S972" i="9"/>
  <c r="P973" i="9"/>
  <c r="Q973" i="9"/>
  <c r="R973" i="9"/>
  <c r="S973" i="9"/>
  <c r="P974" i="9"/>
  <c r="Q974" i="9"/>
  <c r="R974" i="9"/>
  <c r="S974" i="9"/>
  <c r="P975" i="9"/>
  <c r="Q975" i="9"/>
  <c r="R975" i="9"/>
  <c r="S975" i="9"/>
  <c r="P976" i="9"/>
  <c r="Q976" i="9"/>
  <c r="R976" i="9"/>
  <c r="S976" i="9"/>
  <c r="P977" i="9"/>
  <c r="Q977" i="9"/>
  <c r="R977" i="9"/>
  <c r="S977" i="9"/>
  <c r="P978" i="9"/>
  <c r="Q978" i="9"/>
  <c r="R978" i="9"/>
  <c r="S978" i="9"/>
  <c r="P979" i="9"/>
  <c r="Q979" i="9"/>
  <c r="R979" i="9"/>
  <c r="S979" i="9"/>
  <c r="P980" i="9"/>
  <c r="Q980" i="9"/>
  <c r="R980" i="9"/>
  <c r="S980" i="9"/>
  <c r="P981" i="9"/>
  <c r="Q981" i="9"/>
  <c r="R981" i="9"/>
  <c r="S981" i="9"/>
  <c r="P982" i="9"/>
  <c r="Q982" i="9"/>
  <c r="R982" i="9"/>
  <c r="S982" i="9"/>
  <c r="P983" i="9"/>
  <c r="Q983" i="9"/>
  <c r="R983" i="9"/>
  <c r="S983" i="9"/>
  <c r="P984" i="9"/>
  <c r="Q984" i="9"/>
  <c r="R984" i="9"/>
  <c r="S984" i="9"/>
  <c r="P985" i="9"/>
  <c r="Q985" i="9"/>
  <c r="R985" i="9"/>
  <c r="S985" i="9"/>
  <c r="P986" i="9"/>
  <c r="Q986" i="9"/>
  <c r="R986" i="9"/>
  <c r="S986" i="9"/>
  <c r="P987" i="9"/>
  <c r="Q987" i="9"/>
  <c r="R987" i="9"/>
  <c r="S987" i="9"/>
  <c r="P988" i="9"/>
  <c r="Q988" i="9"/>
  <c r="R988" i="9"/>
  <c r="S988" i="9"/>
  <c r="P989" i="9"/>
  <c r="Q989" i="9"/>
  <c r="R989" i="9"/>
  <c r="S989" i="9"/>
  <c r="P990" i="9"/>
  <c r="Q990" i="9"/>
  <c r="R990" i="9"/>
  <c r="S990" i="9"/>
  <c r="P991" i="9"/>
  <c r="Q991" i="9"/>
  <c r="R991" i="9"/>
  <c r="S991" i="9"/>
  <c r="P992" i="9"/>
  <c r="Q992" i="9"/>
  <c r="R992" i="9"/>
  <c r="S992" i="9"/>
  <c r="P993" i="9"/>
  <c r="Q993" i="9"/>
  <c r="R993" i="9"/>
  <c r="S993" i="9"/>
  <c r="P994" i="9"/>
  <c r="Q994" i="9"/>
  <c r="R994" i="9"/>
  <c r="S994" i="9"/>
  <c r="P995" i="9"/>
  <c r="Q995" i="9"/>
  <c r="R995" i="9"/>
  <c r="S995" i="9"/>
  <c r="P996" i="9"/>
  <c r="Q996" i="9"/>
  <c r="R996" i="9"/>
  <c r="S996" i="9"/>
  <c r="P997" i="9"/>
  <c r="Q997" i="9"/>
  <c r="R997" i="9"/>
  <c r="S997" i="9"/>
  <c r="P998" i="9"/>
  <c r="Q998" i="9"/>
  <c r="R998" i="9"/>
  <c r="S998" i="9"/>
  <c r="P999" i="9"/>
  <c r="Q999" i="9"/>
  <c r="R999" i="9"/>
  <c r="S999" i="9"/>
  <c r="P1000" i="9"/>
  <c r="Q1000" i="9"/>
  <c r="R1000" i="9"/>
  <c r="S1000" i="9"/>
  <c r="P1001" i="9"/>
  <c r="Q1001" i="9"/>
  <c r="R1001" i="9"/>
  <c r="S1001" i="9"/>
  <c r="P1002" i="9"/>
  <c r="Q1002" i="9"/>
  <c r="R1002" i="9"/>
  <c r="S1002" i="9"/>
  <c r="P1003" i="9"/>
  <c r="Q1003" i="9"/>
  <c r="R1003" i="9"/>
  <c r="S1003" i="9"/>
  <c r="P1004" i="9"/>
  <c r="Q1004" i="9"/>
  <c r="R1004" i="9"/>
  <c r="S1004" i="9"/>
  <c r="P1005" i="9"/>
  <c r="Q1005" i="9"/>
  <c r="R1005" i="9"/>
  <c r="S1005" i="9"/>
  <c r="P1006" i="9"/>
  <c r="Q1006" i="9"/>
  <c r="R1006" i="9"/>
  <c r="S1006" i="9"/>
  <c r="P1007" i="9"/>
  <c r="Q1007" i="9"/>
  <c r="R1007" i="9"/>
  <c r="S1007" i="9"/>
  <c r="P1008" i="9"/>
  <c r="Q1008" i="9"/>
  <c r="R1008" i="9"/>
  <c r="S1008" i="9"/>
  <c r="P1009" i="9"/>
  <c r="Q1009" i="9"/>
  <c r="R1009" i="9"/>
  <c r="S1009" i="9"/>
  <c r="P1010" i="9"/>
  <c r="Q1010" i="9"/>
  <c r="R1010" i="9"/>
  <c r="S1010" i="9"/>
  <c r="P1011" i="9"/>
  <c r="Q1011" i="9"/>
  <c r="R1011" i="9"/>
  <c r="S1011" i="9"/>
  <c r="P1012" i="9"/>
  <c r="Q1012" i="9"/>
  <c r="R1012" i="9"/>
  <c r="S1012" i="9"/>
  <c r="P1013" i="9"/>
  <c r="Q1013" i="9"/>
  <c r="R1013" i="9"/>
  <c r="S1013" i="9"/>
  <c r="P1014" i="9"/>
  <c r="Q1014" i="9"/>
  <c r="R1014" i="9"/>
  <c r="S1014" i="9"/>
  <c r="P1015" i="9"/>
  <c r="Q1015" i="9"/>
  <c r="R1015" i="9"/>
  <c r="S1015" i="9"/>
  <c r="P1016" i="9"/>
  <c r="Q1016" i="9"/>
  <c r="R1016" i="9"/>
  <c r="S1016" i="9"/>
  <c r="P1017" i="9"/>
  <c r="Q1017" i="9"/>
  <c r="R1017" i="9"/>
  <c r="S1017" i="9"/>
  <c r="P1018" i="9"/>
  <c r="Q1018" i="9"/>
  <c r="R1018" i="9"/>
  <c r="S1018" i="9"/>
  <c r="P1019" i="9"/>
  <c r="Q1019" i="9"/>
  <c r="R1019" i="9"/>
  <c r="S1019" i="9"/>
  <c r="P1020" i="9"/>
  <c r="Q1020" i="9"/>
  <c r="R1020" i="9"/>
  <c r="S1020" i="9"/>
  <c r="P1021" i="9"/>
  <c r="Q1021" i="9"/>
  <c r="R1021" i="9"/>
  <c r="S1021" i="9"/>
  <c r="P1022" i="9"/>
  <c r="Q1022" i="9"/>
  <c r="R1022" i="9"/>
  <c r="S1022" i="9"/>
  <c r="P1023" i="9"/>
  <c r="Q1023" i="9"/>
  <c r="R1023" i="9"/>
  <c r="S1023" i="9"/>
  <c r="P1024" i="9"/>
  <c r="Q1024" i="9"/>
  <c r="R1024" i="9"/>
  <c r="S1024" i="9"/>
  <c r="P1025" i="9"/>
  <c r="Q1025" i="9"/>
  <c r="R1025" i="9"/>
  <c r="S1025" i="9"/>
  <c r="P1026" i="9"/>
  <c r="Q1026" i="9"/>
  <c r="R1026" i="9"/>
  <c r="S1026" i="9"/>
  <c r="P1027" i="9"/>
  <c r="Q1027" i="9"/>
  <c r="R1027" i="9"/>
  <c r="S1027" i="9"/>
  <c r="P1028" i="9"/>
  <c r="Q1028" i="9"/>
  <c r="R1028" i="9"/>
  <c r="S1028" i="9"/>
  <c r="P1029" i="9"/>
  <c r="Q1029" i="9"/>
  <c r="R1029" i="9"/>
  <c r="S1029" i="9"/>
  <c r="P1030" i="9"/>
  <c r="Q1030" i="9"/>
  <c r="R1030" i="9"/>
  <c r="S1030" i="9"/>
  <c r="P1031" i="9"/>
  <c r="Q1031" i="9"/>
  <c r="R1031" i="9"/>
  <c r="S1031" i="9"/>
  <c r="P1032" i="9"/>
  <c r="Q1032" i="9"/>
  <c r="R1032" i="9"/>
  <c r="S1032" i="9"/>
  <c r="P1033" i="9"/>
  <c r="Q1033" i="9"/>
  <c r="R1033" i="9"/>
  <c r="S1033" i="9"/>
  <c r="P1034" i="9"/>
  <c r="Q1034" i="9"/>
  <c r="R1034" i="9"/>
  <c r="S1034" i="9"/>
  <c r="P1035" i="9"/>
  <c r="Q1035" i="9"/>
  <c r="R1035" i="9"/>
  <c r="S1035" i="9"/>
  <c r="P1036" i="9"/>
  <c r="Q1036" i="9"/>
  <c r="R1036" i="9"/>
  <c r="S1036" i="9"/>
  <c r="P1037" i="9"/>
  <c r="Q1037" i="9"/>
  <c r="R1037" i="9"/>
  <c r="S1037" i="9"/>
  <c r="P1038" i="9"/>
  <c r="Q1038" i="9"/>
  <c r="R1038" i="9"/>
  <c r="S1038" i="9"/>
  <c r="P1039" i="9"/>
  <c r="Q1039" i="9"/>
  <c r="R1039" i="9"/>
  <c r="S1039" i="9"/>
  <c r="P1040" i="9"/>
  <c r="Q1040" i="9"/>
  <c r="R1040" i="9"/>
  <c r="S1040" i="9"/>
  <c r="P1041" i="9"/>
  <c r="Q1041" i="9"/>
  <c r="R1041" i="9"/>
  <c r="S1041" i="9"/>
  <c r="P1042" i="9"/>
  <c r="Q1042" i="9"/>
  <c r="R1042" i="9"/>
  <c r="S1042" i="9"/>
  <c r="P1043" i="9"/>
  <c r="Q1043" i="9"/>
  <c r="R1043" i="9"/>
  <c r="S1043" i="9"/>
  <c r="P1044" i="9"/>
  <c r="Q1044" i="9"/>
  <c r="R1044" i="9"/>
  <c r="S1044" i="9"/>
  <c r="P1045" i="9"/>
  <c r="Q1045" i="9"/>
  <c r="R1045" i="9"/>
  <c r="S1045" i="9"/>
  <c r="P1046" i="9"/>
  <c r="Q1046" i="9"/>
  <c r="R1046" i="9"/>
  <c r="S1046" i="9"/>
  <c r="P1047" i="9"/>
  <c r="Q1047" i="9"/>
  <c r="R1047" i="9"/>
  <c r="S1047" i="9"/>
  <c r="P1048" i="9"/>
  <c r="Q1048" i="9"/>
  <c r="R1048" i="9"/>
  <c r="S1048" i="9"/>
  <c r="P1049" i="9"/>
  <c r="Q1049" i="9"/>
  <c r="R1049" i="9"/>
  <c r="S1049" i="9"/>
  <c r="P1050" i="9"/>
  <c r="Q1050" i="9"/>
  <c r="R1050" i="9"/>
  <c r="S1050" i="9"/>
  <c r="P1051" i="9"/>
  <c r="Q1051" i="9"/>
  <c r="R1051" i="9"/>
  <c r="S1051" i="9"/>
  <c r="P1052" i="9"/>
  <c r="Q1052" i="9"/>
  <c r="R1052" i="9"/>
  <c r="S1052" i="9"/>
  <c r="P1053" i="9"/>
  <c r="Q1053" i="9"/>
  <c r="R1053" i="9"/>
  <c r="S1053" i="9"/>
  <c r="P1054" i="9"/>
  <c r="Q1054" i="9"/>
  <c r="R1054" i="9"/>
  <c r="S1054" i="9"/>
  <c r="P1055" i="9"/>
  <c r="Q1055" i="9"/>
  <c r="R1055" i="9"/>
  <c r="S1055" i="9"/>
  <c r="P1056" i="9"/>
  <c r="Q1056" i="9"/>
  <c r="R1056" i="9"/>
  <c r="S1056" i="9"/>
  <c r="P1057" i="9"/>
  <c r="Q1057" i="9"/>
  <c r="R1057" i="9"/>
  <c r="S1057" i="9"/>
  <c r="P1058" i="9"/>
  <c r="Q1058" i="9"/>
  <c r="R1058" i="9"/>
  <c r="S1058" i="9"/>
  <c r="P1059" i="9"/>
  <c r="Q1059" i="9"/>
  <c r="R1059" i="9"/>
  <c r="S1059" i="9"/>
  <c r="P1060" i="9"/>
  <c r="Q1060" i="9"/>
  <c r="R1060" i="9"/>
  <c r="S1060" i="9"/>
  <c r="P1061" i="9"/>
  <c r="Q1061" i="9"/>
  <c r="R1061" i="9"/>
  <c r="S1061" i="9"/>
  <c r="P1062" i="9"/>
  <c r="Q1062" i="9"/>
  <c r="R1062" i="9"/>
  <c r="S1062" i="9"/>
  <c r="P1063" i="9"/>
  <c r="Q1063" i="9"/>
  <c r="R1063" i="9"/>
  <c r="S1063" i="9"/>
  <c r="P1064" i="9"/>
  <c r="Q1064" i="9"/>
  <c r="R1064" i="9"/>
  <c r="S1064" i="9"/>
  <c r="P1065" i="9"/>
  <c r="Q1065" i="9"/>
  <c r="R1065" i="9"/>
  <c r="S1065" i="9"/>
  <c r="P1066" i="9"/>
  <c r="Q1066" i="9"/>
  <c r="R1066" i="9"/>
  <c r="S1066" i="9"/>
  <c r="P1067" i="9"/>
  <c r="Q1067" i="9"/>
  <c r="R1067" i="9"/>
  <c r="S1067" i="9"/>
  <c r="P1068" i="9"/>
  <c r="Q1068" i="9"/>
  <c r="R1068" i="9"/>
  <c r="S1068" i="9"/>
  <c r="P1069" i="9"/>
  <c r="Q1069" i="9"/>
  <c r="R1069" i="9"/>
  <c r="S1069" i="9"/>
  <c r="P1070" i="9"/>
  <c r="Q1070" i="9"/>
  <c r="R1070" i="9"/>
  <c r="S1070" i="9"/>
  <c r="P1071" i="9"/>
  <c r="Q1071" i="9"/>
  <c r="R1071" i="9"/>
  <c r="S1071" i="9"/>
  <c r="P1072" i="9"/>
  <c r="Q1072" i="9"/>
  <c r="R1072" i="9"/>
  <c r="S1072" i="9"/>
  <c r="P1073" i="9"/>
  <c r="Q1073" i="9"/>
  <c r="R1073" i="9"/>
  <c r="S1073" i="9"/>
  <c r="P1074" i="9"/>
  <c r="Q1074" i="9"/>
  <c r="R1074" i="9"/>
  <c r="S1074" i="9"/>
  <c r="P1075" i="9"/>
  <c r="Q1075" i="9"/>
  <c r="R1075" i="9"/>
  <c r="S1075" i="9"/>
  <c r="P1076" i="9"/>
  <c r="Q1076" i="9"/>
  <c r="R1076" i="9"/>
  <c r="S1076" i="9"/>
  <c r="P1077" i="9"/>
  <c r="Q1077" i="9"/>
  <c r="R1077" i="9"/>
  <c r="S1077" i="9"/>
  <c r="P1078" i="9"/>
  <c r="Q1078" i="9"/>
  <c r="R1078" i="9"/>
  <c r="S1078" i="9"/>
  <c r="P1079" i="9"/>
  <c r="Q1079" i="9"/>
  <c r="R1079" i="9"/>
  <c r="S1079" i="9"/>
  <c r="P1080" i="9"/>
  <c r="Q1080" i="9"/>
  <c r="R1080" i="9"/>
  <c r="S1080" i="9"/>
  <c r="P1081" i="9"/>
  <c r="Q1081" i="9"/>
  <c r="R1081" i="9"/>
  <c r="S1081" i="9"/>
  <c r="P1082" i="9"/>
  <c r="Q1082" i="9"/>
  <c r="R1082" i="9"/>
  <c r="S1082" i="9"/>
  <c r="P1083" i="9"/>
  <c r="Q1083" i="9"/>
  <c r="R1083" i="9"/>
  <c r="S1083" i="9"/>
  <c r="P1084" i="9"/>
  <c r="Q1084" i="9"/>
  <c r="R1084" i="9"/>
  <c r="S1084" i="9"/>
  <c r="P1085" i="9"/>
  <c r="Q1085" i="9"/>
  <c r="R1085" i="9"/>
  <c r="S1085" i="9"/>
  <c r="P1086" i="9"/>
  <c r="Q1086" i="9"/>
  <c r="R1086" i="9"/>
  <c r="S1086" i="9"/>
  <c r="P1087" i="9"/>
  <c r="Q1087" i="9"/>
  <c r="R1087" i="9"/>
  <c r="S1087" i="9"/>
  <c r="P1088" i="9"/>
  <c r="Q1088" i="9"/>
  <c r="R1088" i="9"/>
  <c r="S1088" i="9"/>
  <c r="P1089" i="9"/>
  <c r="Q1089" i="9"/>
  <c r="R1089" i="9"/>
  <c r="S1089" i="9"/>
  <c r="P1090" i="9"/>
  <c r="Q1090" i="9"/>
  <c r="R1090" i="9"/>
  <c r="S1090" i="9"/>
  <c r="P1091" i="9"/>
  <c r="Q1091" i="9"/>
  <c r="R1091" i="9"/>
  <c r="S1091" i="9"/>
  <c r="P1092" i="9"/>
  <c r="Q1092" i="9"/>
  <c r="R1092" i="9"/>
  <c r="S1092" i="9"/>
  <c r="P1093" i="9"/>
  <c r="Q1093" i="9"/>
  <c r="R1093" i="9"/>
  <c r="S1093" i="9"/>
  <c r="P1094" i="9"/>
  <c r="Q1094" i="9"/>
  <c r="R1094" i="9"/>
  <c r="S1094" i="9"/>
  <c r="P1095" i="9"/>
  <c r="Q1095" i="9"/>
  <c r="R1095" i="9"/>
  <c r="S1095" i="9"/>
  <c r="P1096" i="9"/>
  <c r="Q1096" i="9"/>
  <c r="R1096" i="9"/>
  <c r="S1096" i="9"/>
  <c r="P1097" i="9"/>
  <c r="Q1097" i="9"/>
  <c r="R1097" i="9"/>
  <c r="S1097" i="9"/>
  <c r="P1098" i="9"/>
  <c r="Q1098" i="9"/>
  <c r="R1098" i="9"/>
  <c r="S1098" i="9"/>
  <c r="P1099" i="9"/>
  <c r="Q1099" i="9"/>
  <c r="R1099" i="9"/>
  <c r="S1099" i="9"/>
  <c r="P1100" i="9"/>
  <c r="Q1100" i="9"/>
  <c r="R1100" i="9"/>
  <c r="S1100" i="9"/>
  <c r="P1101" i="9"/>
  <c r="Q1101" i="9"/>
  <c r="R1101" i="9"/>
  <c r="S1101" i="9"/>
  <c r="P1102" i="9"/>
  <c r="Q1102" i="9"/>
  <c r="R1102" i="9"/>
  <c r="S1102" i="9"/>
  <c r="P1103" i="9"/>
  <c r="Q1103" i="9"/>
  <c r="R1103" i="9"/>
  <c r="S1103" i="9"/>
  <c r="P1104" i="9"/>
  <c r="Q1104" i="9"/>
  <c r="R1104" i="9"/>
  <c r="S1104" i="9"/>
  <c r="P1105" i="9"/>
  <c r="Q1105" i="9"/>
  <c r="R1105" i="9"/>
  <c r="S1105" i="9"/>
  <c r="P1106" i="9"/>
  <c r="Q1106" i="9"/>
  <c r="R1106" i="9"/>
  <c r="S1106" i="9"/>
  <c r="P1107" i="9"/>
  <c r="Q1107" i="9"/>
  <c r="R1107" i="9"/>
  <c r="S1107" i="9"/>
  <c r="P1108" i="9"/>
  <c r="Q1108" i="9"/>
  <c r="R1108" i="9"/>
  <c r="S1108" i="9"/>
  <c r="P1109" i="9"/>
  <c r="Q1109" i="9"/>
  <c r="R1109" i="9"/>
  <c r="S1109" i="9"/>
  <c r="P1110" i="9"/>
  <c r="Q1110" i="9"/>
  <c r="R1110" i="9"/>
  <c r="S1110" i="9"/>
  <c r="P1111" i="9"/>
  <c r="Q1111" i="9"/>
  <c r="R1111" i="9"/>
  <c r="S1111" i="9"/>
  <c r="P1112" i="9"/>
  <c r="Q1112" i="9"/>
  <c r="R1112" i="9"/>
  <c r="S1112" i="9"/>
  <c r="P1113" i="9"/>
  <c r="Q1113" i="9"/>
  <c r="R1113" i="9"/>
  <c r="S1113" i="9"/>
  <c r="P1114" i="9"/>
  <c r="Q1114" i="9"/>
  <c r="R1114" i="9"/>
  <c r="S1114" i="9"/>
  <c r="P1115" i="9"/>
  <c r="Q1115" i="9"/>
  <c r="R1115" i="9"/>
  <c r="S1115" i="9"/>
  <c r="P1116" i="9"/>
  <c r="Q1116" i="9"/>
  <c r="R1116" i="9"/>
  <c r="S1116" i="9"/>
  <c r="P1117" i="9"/>
  <c r="Q1117" i="9"/>
  <c r="R1117" i="9"/>
  <c r="S1117" i="9"/>
  <c r="P1118" i="9"/>
  <c r="Q1118" i="9"/>
  <c r="R1118" i="9"/>
  <c r="S1118" i="9"/>
  <c r="P1119" i="9"/>
  <c r="Q1119" i="9"/>
  <c r="R1119" i="9"/>
  <c r="S1119" i="9"/>
  <c r="P1120" i="9"/>
  <c r="Q1120" i="9"/>
  <c r="R1120" i="9"/>
  <c r="S1120" i="9"/>
  <c r="P1121" i="9"/>
  <c r="Q1121" i="9"/>
  <c r="R1121" i="9"/>
  <c r="S1121" i="9"/>
  <c r="P1122" i="9"/>
  <c r="Q1122" i="9"/>
  <c r="R1122" i="9"/>
  <c r="S1122" i="9"/>
  <c r="P1123" i="9"/>
  <c r="Q1123" i="9"/>
  <c r="R1123" i="9"/>
  <c r="S1123" i="9"/>
  <c r="P1124" i="9"/>
  <c r="Q1124" i="9"/>
  <c r="R1124" i="9"/>
  <c r="S1124" i="9"/>
  <c r="P1125" i="9"/>
  <c r="Q1125" i="9"/>
  <c r="R1125" i="9"/>
  <c r="S1125" i="9"/>
  <c r="P1126" i="9"/>
  <c r="Q1126" i="9"/>
  <c r="R1126" i="9"/>
  <c r="S1126" i="9"/>
  <c r="P1127" i="9"/>
  <c r="Q1127" i="9"/>
  <c r="R1127" i="9"/>
  <c r="S1127" i="9"/>
  <c r="P1128" i="9"/>
  <c r="Q1128" i="9"/>
  <c r="R1128" i="9"/>
  <c r="S1128" i="9"/>
  <c r="P1129" i="9"/>
  <c r="Q1129" i="9"/>
  <c r="R1129" i="9"/>
  <c r="S1129" i="9"/>
  <c r="P1130" i="9"/>
  <c r="Q1130" i="9"/>
  <c r="R1130" i="9"/>
  <c r="S1130" i="9"/>
  <c r="P1131" i="9"/>
  <c r="Q1131" i="9"/>
  <c r="R1131" i="9"/>
  <c r="S1131" i="9"/>
  <c r="P1132" i="9"/>
  <c r="Q1132" i="9"/>
  <c r="R1132" i="9"/>
  <c r="S1132" i="9"/>
  <c r="P1133" i="9"/>
  <c r="Q1133" i="9"/>
  <c r="R1133" i="9"/>
  <c r="S1133" i="9"/>
  <c r="P1134" i="9"/>
  <c r="Q1134" i="9"/>
  <c r="R1134" i="9"/>
  <c r="S1134" i="9"/>
  <c r="P1135" i="9"/>
  <c r="Q1135" i="9"/>
  <c r="R1135" i="9"/>
  <c r="S1135" i="9"/>
  <c r="P1136" i="9"/>
  <c r="Q1136" i="9"/>
  <c r="R1136" i="9"/>
  <c r="S1136" i="9"/>
  <c r="P1137" i="9"/>
  <c r="Q1137" i="9"/>
  <c r="R1137" i="9"/>
  <c r="S1137" i="9"/>
  <c r="P1138" i="9"/>
  <c r="Q1138" i="9"/>
  <c r="R1138" i="9"/>
  <c r="S1138" i="9"/>
  <c r="P1139" i="9"/>
  <c r="Q1139" i="9"/>
  <c r="R1139" i="9"/>
  <c r="S1139" i="9"/>
  <c r="P1140" i="9"/>
  <c r="Q1140" i="9"/>
  <c r="R1140" i="9"/>
  <c r="S1140" i="9"/>
  <c r="P1141" i="9"/>
  <c r="Q1141" i="9"/>
  <c r="R1141" i="9"/>
  <c r="S1141" i="9"/>
  <c r="P1142" i="9"/>
  <c r="Q1142" i="9"/>
  <c r="R1142" i="9"/>
  <c r="S1142" i="9"/>
  <c r="P1143" i="9"/>
  <c r="Q1143" i="9"/>
  <c r="R1143" i="9"/>
  <c r="S1143" i="9"/>
  <c r="P1144" i="9"/>
  <c r="Q1144" i="9"/>
  <c r="R1144" i="9"/>
  <c r="S1144" i="9"/>
  <c r="P1145" i="9"/>
  <c r="Q1145" i="9"/>
  <c r="R1145" i="9"/>
  <c r="S1145" i="9"/>
  <c r="P1146" i="9"/>
  <c r="Q1146" i="9"/>
  <c r="R1146" i="9"/>
  <c r="S1146" i="9"/>
  <c r="P1147" i="9"/>
  <c r="Q1147" i="9"/>
  <c r="R1147" i="9"/>
  <c r="S1147" i="9"/>
  <c r="P1148" i="9"/>
  <c r="Q1148" i="9"/>
  <c r="R1148" i="9"/>
  <c r="S1148" i="9"/>
  <c r="P1149" i="9"/>
  <c r="Q1149" i="9"/>
  <c r="R1149" i="9"/>
  <c r="S1149" i="9"/>
  <c r="P1150" i="9"/>
  <c r="Q1150" i="9"/>
  <c r="R1150" i="9"/>
  <c r="S1150" i="9"/>
  <c r="P1151" i="9"/>
  <c r="Q1151" i="9"/>
  <c r="R1151" i="9"/>
  <c r="S1151" i="9"/>
  <c r="P1152" i="9"/>
  <c r="Q1152" i="9"/>
  <c r="R1152" i="9"/>
  <c r="S1152" i="9"/>
  <c r="P1153" i="9"/>
  <c r="Q1153" i="9"/>
  <c r="R1153" i="9"/>
  <c r="S1153" i="9"/>
  <c r="P1154" i="9"/>
  <c r="Q1154" i="9"/>
  <c r="R1154" i="9"/>
  <c r="S1154" i="9"/>
  <c r="P1155" i="9"/>
  <c r="Q1155" i="9"/>
  <c r="R1155" i="9"/>
  <c r="S1155" i="9"/>
  <c r="P1156" i="9"/>
  <c r="Q1156" i="9"/>
  <c r="R1156" i="9"/>
  <c r="S1156" i="9"/>
  <c r="P1157" i="9"/>
  <c r="Q1157" i="9"/>
  <c r="R1157" i="9"/>
  <c r="S1157" i="9"/>
  <c r="P1158" i="9"/>
  <c r="Q1158" i="9"/>
  <c r="R1158" i="9"/>
  <c r="S1158" i="9"/>
  <c r="P1159" i="9"/>
  <c r="Q1159" i="9"/>
  <c r="R1159" i="9"/>
  <c r="S1159" i="9"/>
  <c r="P1160" i="9"/>
  <c r="Q1160" i="9"/>
  <c r="R1160" i="9"/>
  <c r="S1160" i="9"/>
  <c r="P1161" i="9"/>
  <c r="Q1161" i="9"/>
  <c r="R1161" i="9"/>
  <c r="S1161" i="9"/>
  <c r="P1162" i="9"/>
  <c r="Q1162" i="9"/>
  <c r="R1162" i="9"/>
  <c r="S1162" i="9"/>
  <c r="P1163" i="9"/>
  <c r="Q1163" i="9"/>
  <c r="R1163" i="9"/>
  <c r="S1163" i="9"/>
  <c r="P1164" i="9"/>
  <c r="Q1164" i="9"/>
  <c r="R1164" i="9"/>
  <c r="S1164" i="9"/>
  <c r="P1165" i="9"/>
  <c r="Q1165" i="9"/>
  <c r="R1165" i="9"/>
  <c r="S1165" i="9"/>
  <c r="P1166" i="9"/>
  <c r="Q1166" i="9"/>
  <c r="R1166" i="9"/>
  <c r="S1166" i="9"/>
  <c r="P1167" i="9"/>
  <c r="Q1167" i="9"/>
  <c r="R1167" i="9"/>
  <c r="S1167" i="9"/>
  <c r="P1168" i="9"/>
  <c r="Q1168" i="9"/>
  <c r="R1168" i="9"/>
  <c r="S1168" i="9"/>
  <c r="P1169" i="9"/>
  <c r="Q1169" i="9"/>
  <c r="R1169" i="9"/>
  <c r="S1169" i="9"/>
  <c r="P1170" i="9"/>
  <c r="Q1170" i="9"/>
  <c r="R1170" i="9"/>
  <c r="S1170" i="9"/>
  <c r="P1171" i="9"/>
  <c r="Q1171" i="9"/>
  <c r="R1171" i="9"/>
  <c r="S1171" i="9"/>
  <c r="P1172" i="9"/>
  <c r="Q1172" i="9"/>
  <c r="R1172" i="9"/>
  <c r="S1172" i="9"/>
  <c r="P1173" i="9"/>
  <c r="Q1173" i="9"/>
  <c r="R1173" i="9"/>
  <c r="S1173" i="9"/>
  <c r="P1174" i="9"/>
  <c r="Q1174" i="9"/>
  <c r="R1174" i="9"/>
  <c r="S1174" i="9"/>
  <c r="P1175" i="9"/>
  <c r="Q1175" i="9"/>
  <c r="R1175" i="9"/>
  <c r="S1175" i="9"/>
  <c r="P1176" i="9"/>
  <c r="Q1176" i="9"/>
  <c r="R1176" i="9"/>
  <c r="S1176" i="9"/>
  <c r="P1177" i="9"/>
  <c r="Q1177" i="9"/>
  <c r="R1177" i="9"/>
  <c r="S1177" i="9"/>
  <c r="P1178" i="9"/>
  <c r="Q1178" i="9"/>
  <c r="R1178" i="9"/>
  <c r="S1178" i="9"/>
  <c r="P1179" i="9"/>
  <c r="Q1179" i="9"/>
  <c r="R1179" i="9"/>
  <c r="S1179" i="9"/>
  <c r="P1180" i="9"/>
  <c r="Q1180" i="9"/>
  <c r="R1180" i="9"/>
  <c r="S1180" i="9"/>
  <c r="P1181" i="9"/>
  <c r="Q1181" i="9"/>
  <c r="R1181" i="9"/>
  <c r="S1181" i="9"/>
  <c r="P1182" i="9"/>
  <c r="Q1182" i="9"/>
  <c r="R1182" i="9"/>
  <c r="S1182" i="9"/>
  <c r="P1183" i="9"/>
  <c r="Q1183" i="9"/>
  <c r="R1183" i="9"/>
  <c r="S1183" i="9"/>
  <c r="P1184" i="9"/>
  <c r="Q1184" i="9"/>
  <c r="R1184" i="9"/>
  <c r="S1184" i="9"/>
  <c r="P1185" i="9"/>
  <c r="Q1185" i="9"/>
  <c r="R1185" i="9"/>
  <c r="S1185" i="9"/>
  <c r="P1186" i="9"/>
  <c r="Q1186" i="9"/>
  <c r="R1186" i="9"/>
  <c r="S1186" i="9"/>
  <c r="P1187" i="9"/>
  <c r="Q1187" i="9"/>
  <c r="R1187" i="9"/>
  <c r="S1187" i="9"/>
  <c r="P1188" i="9"/>
  <c r="Q1188" i="9"/>
  <c r="R1188" i="9"/>
  <c r="S1188" i="9"/>
  <c r="P1189" i="9"/>
  <c r="Q1189" i="9"/>
  <c r="R1189" i="9"/>
  <c r="S1189" i="9"/>
  <c r="P1190" i="9"/>
  <c r="Q1190" i="9"/>
  <c r="R1190" i="9"/>
  <c r="S1190" i="9"/>
  <c r="P1191" i="9"/>
  <c r="Q1191" i="9"/>
  <c r="R1191" i="9"/>
  <c r="S1191" i="9"/>
  <c r="P1192" i="9"/>
  <c r="Q1192" i="9"/>
  <c r="R1192" i="9"/>
  <c r="S1192" i="9"/>
  <c r="P1193" i="9"/>
  <c r="Q1193" i="9"/>
  <c r="R1193" i="9"/>
  <c r="S1193" i="9"/>
  <c r="P1194" i="9"/>
  <c r="Q1194" i="9"/>
  <c r="R1194" i="9"/>
  <c r="S1194" i="9"/>
  <c r="P1195" i="9"/>
  <c r="Q1195" i="9"/>
  <c r="R1195" i="9"/>
  <c r="S1195" i="9"/>
  <c r="P1196" i="9"/>
  <c r="Q1196" i="9"/>
  <c r="R1196" i="9"/>
  <c r="S1196" i="9"/>
  <c r="P1197" i="9"/>
  <c r="Q1197" i="9"/>
  <c r="R1197" i="9"/>
  <c r="S1197" i="9"/>
  <c r="P1198" i="9"/>
  <c r="Q1198" i="9"/>
  <c r="R1198" i="9"/>
  <c r="S1198" i="9"/>
  <c r="P1199" i="9"/>
  <c r="Q1199" i="9"/>
  <c r="R1199" i="9"/>
  <c r="S1199" i="9"/>
  <c r="P1200" i="9"/>
  <c r="Q1200" i="9"/>
  <c r="R1200" i="9"/>
  <c r="S1200" i="9"/>
  <c r="P1201" i="9"/>
  <c r="Q1201" i="9"/>
  <c r="R1201" i="9"/>
  <c r="S1201" i="9"/>
  <c r="P1202" i="9"/>
  <c r="Q1202" i="9"/>
  <c r="R1202" i="9"/>
  <c r="S1202" i="9"/>
  <c r="P1203" i="9"/>
  <c r="Q1203" i="9"/>
  <c r="R1203" i="9"/>
  <c r="S1203" i="9"/>
  <c r="P1204" i="9"/>
  <c r="Q1204" i="9"/>
  <c r="R1204" i="9"/>
  <c r="S1204" i="9"/>
  <c r="P1205" i="9"/>
  <c r="Q1205" i="9"/>
  <c r="R1205" i="9"/>
  <c r="S1205" i="9"/>
  <c r="P1206" i="9"/>
  <c r="Q1206" i="9"/>
  <c r="R1206" i="9"/>
  <c r="S1206" i="9"/>
  <c r="P1207" i="9"/>
  <c r="Q1207" i="9"/>
  <c r="R1207" i="9"/>
  <c r="S1207" i="9"/>
  <c r="P1208" i="9"/>
  <c r="Q1208" i="9"/>
  <c r="R1208" i="9"/>
  <c r="S1208" i="9"/>
  <c r="P1209" i="9"/>
  <c r="Q1209" i="9"/>
  <c r="R1209" i="9"/>
  <c r="S1209" i="9"/>
  <c r="P1210" i="9"/>
  <c r="Q1210" i="9"/>
  <c r="R1210" i="9"/>
  <c r="S1210" i="9"/>
  <c r="P1211" i="9"/>
  <c r="Q1211" i="9"/>
  <c r="R1211" i="9"/>
  <c r="S1211" i="9"/>
  <c r="P1212" i="9"/>
  <c r="Q1212" i="9"/>
  <c r="R1212" i="9"/>
  <c r="S1212" i="9"/>
  <c r="P1213" i="9"/>
  <c r="Q1213" i="9"/>
  <c r="R1213" i="9"/>
  <c r="S1213" i="9"/>
  <c r="P1214" i="9"/>
  <c r="Q1214" i="9"/>
  <c r="R1214" i="9"/>
  <c r="S1214" i="9"/>
  <c r="P1215" i="9"/>
  <c r="Q1215" i="9"/>
  <c r="R1215" i="9"/>
  <c r="S1215" i="9"/>
  <c r="P1216" i="9"/>
  <c r="Q1216" i="9"/>
  <c r="R1216" i="9"/>
  <c r="S1216" i="9"/>
  <c r="P1217" i="9"/>
  <c r="Q1217" i="9"/>
  <c r="R1217" i="9"/>
  <c r="S1217" i="9"/>
  <c r="P1218" i="9"/>
  <c r="Q1218" i="9"/>
  <c r="R1218" i="9"/>
  <c r="S1218" i="9"/>
  <c r="P1219" i="9"/>
  <c r="Q1219" i="9"/>
  <c r="R1219" i="9"/>
  <c r="S1219" i="9"/>
  <c r="P1220" i="9"/>
  <c r="Q1220" i="9"/>
  <c r="R1220" i="9"/>
  <c r="S1220" i="9"/>
  <c r="P1221" i="9"/>
  <c r="Q1221" i="9"/>
  <c r="R1221" i="9"/>
  <c r="S1221" i="9"/>
  <c r="P1222" i="9"/>
  <c r="Q1222" i="9"/>
  <c r="R1222" i="9"/>
  <c r="S1222" i="9"/>
  <c r="P1223" i="9"/>
  <c r="Q1223" i="9"/>
  <c r="R1223" i="9"/>
  <c r="S1223" i="9"/>
  <c r="P1224" i="9"/>
  <c r="Q1224" i="9"/>
  <c r="R1224" i="9"/>
  <c r="S1224" i="9"/>
  <c r="P1225" i="9"/>
  <c r="Q1225" i="9"/>
  <c r="R1225" i="9"/>
  <c r="S1225" i="9"/>
  <c r="P1226" i="9"/>
  <c r="Q1226" i="9"/>
  <c r="R1226" i="9"/>
  <c r="S1226" i="9"/>
  <c r="P1227" i="9"/>
  <c r="Q1227" i="9"/>
  <c r="R1227" i="9"/>
  <c r="S1227" i="9"/>
  <c r="P1228" i="9"/>
  <c r="Q1228" i="9"/>
  <c r="R1228" i="9"/>
  <c r="S1228" i="9"/>
  <c r="P1229" i="9"/>
  <c r="Q1229" i="9"/>
  <c r="R1229" i="9"/>
  <c r="S1229" i="9"/>
  <c r="P1230" i="9"/>
  <c r="Q1230" i="9"/>
  <c r="R1230" i="9"/>
  <c r="S1230" i="9"/>
  <c r="P1231" i="9"/>
  <c r="Q1231" i="9"/>
  <c r="R1231" i="9"/>
  <c r="S1231" i="9"/>
  <c r="P1232" i="9"/>
  <c r="Q1232" i="9"/>
  <c r="R1232" i="9"/>
  <c r="S1232" i="9"/>
  <c r="P1233" i="9"/>
  <c r="Q1233" i="9"/>
  <c r="R1233" i="9"/>
  <c r="S1233" i="9"/>
  <c r="P1234" i="9"/>
  <c r="Q1234" i="9"/>
  <c r="R1234" i="9"/>
  <c r="S1234" i="9"/>
  <c r="P1235" i="9"/>
  <c r="Q1235" i="9"/>
  <c r="R1235" i="9"/>
  <c r="S1235" i="9"/>
  <c r="P1236" i="9"/>
  <c r="Q1236" i="9"/>
  <c r="R1236" i="9"/>
  <c r="S1236" i="9"/>
  <c r="P1237" i="9"/>
  <c r="Q1237" i="9"/>
  <c r="R1237" i="9"/>
  <c r="S1237" i="9"/>
  <c r="P1238" i="9"/>
  <c r="Q1238" i="9"/>
  <c r="R1238" i="9"/>
  <c r="S1238" i="9"/>
  <c r="P1239" i="9"/>
  <c r="Q1239" i="9"/>
  <c r="R1239" i="9"/>
  <c r="S1239" i="9"/>
  <c r="P1240" i="9"/>
  <c r="Q1240" i="9"/>
  <c r="R1240" i="9"/>
  <c r="S1240" i="9"/>
  <c r="P1241" i="9"/>
  <c r="Q1241" i="9"/>
  <c r="R1241" i="9"/>
  <c r="S1241" i="9"/>
  <c r="P1242" i="9"/>
  <c r="Q1242" i="9"/>
  <c r="R1242" i="9"/>
  <c r="S1242" i="9"/>
  <c r="P1243" i="9"/>
  <c r="Q1243" i="9"/>
  <c r="R1243" i="9"/>
  <c r="S1243" i="9"/>
  <c r="P1244" i="9"/>
  <c r="Q1244" i="9"/>
  <c r="R1244" i="9"/>
  <c r="S1244" i="9"/>
  <c r="P1245" i="9"/>
  <c r="Q1245" i="9"/>
  <c r="R1245" i="9"/>
  <c r="S1245" i="9"/>
  <c r="P1246" i="9"/>
  <c r="Q1246" i="9"/>
  <c r="R1246" i="9"/>
  <c r="S1246" i="9"/>
  <c r="P1247" i="9"/>
  <c r="Q1247" i="9"/>
  <c r="R1247" i="9"/>
  <c r="S1247" i="9"/>
  <c r="P1248" i="9"/>
  <c r="Q1248" i="9"/>
  <c r="R1248" i="9"/>
  <c r="S1248" i="9"/>
  <c r="P1249" i="9"/>
  <c r="Q1249" i="9"/>
  <c r="R1249" i="9"/>
  <c r="S1249" i="9"/>
  <c r="P1250" i="9"/>
  <c r="Q1250" i="9"/>
  <c r="R1250" i="9"/>
  <c r="S1250" i="9"/>
  <c r="P1251" i="9"/>
  <c r="Q1251" i="9"/>
  <c r="R1251" i="9"/>
  <c r="S1251" i="9"/>
  <c r="P1252" i="9"/>
  <c r="Q1252" i="9"/>
  <c r="R1252" i="9"/>
  <c r="S1252" i="9"/>
  <c r="P1253" i="9"/>
  <c r="Q1253" i="9"/>
  <c r="R1253" i="9"/>
  <c r="S1253" i="9"/>
  <c r="P1254" i="9"/>
  <c r="Q1254" i="9"/>
  <c r="R1254" i="9"/>
  <c r="S1254" i="9"/>
  <c r="P1255" i="9"/>
  <c r="Q1255" i="9"/>
  <c r="R1255" i="9"/>
  <c r="S1255" i="9"/>
  <c r="P1256" i="9"/>
  <c r="Q1256" i="9"/>
  <c r="R1256" i="9"/>
  <c r="S1256" i="9"/>
  <c r="P1257" i="9"/>
  <c r="Q1257" i="9"/>
  <c r="R1257" i="9"/>
  <c r="S1257" i="9"/>
  <c r="P1258" i="9"/>
  <c r="Q1258" i="9"/>
  <c r="R1258" i="9"/>
  <c r="S1258" i="9"/>
  <c r="P1259" i="9"/>
  <c r="Q1259" i="9"/>
  <c r="R1259" i="9"/>
  <c r="S1259" i="9"/>
  <c r="P1260" i="9"/>
  <c r="Q1260" i="9"/>
  <c r="R1260" i="9"/>
  <c r="S1260" i="9"/>
  <c r="P1261" i="9"/>
  <c r="Q1261" i="9"/>
  <c r="R1261" i="9"/>
  <c r="S1261" i="9"/>
  <c r="P1262" i="9"/>
  <c r="Q1262" i="9"/>
  <c r="R1262" i="9"/>
  <c r="S1262" i="9"/>
  <c r="P1263" i="9"/>
  <c r="Q1263" i="9"/>
  <c r="R1263" i="9"/>
  <c r="S1263" i="9"/>
  <c r="P1264" i="9"/>
  <c r="Q1264" i="9"/>
  <c r="R1264" i="9"/>
  <c r="S1264" i="9"/>
  <c r="P1265" i="9"/>
  <c r="Q1265" i="9"/>
  <c r="R1265" i="9"/>
  <c r="S1265" i="9"/>
  <c r="P1266" i="9"/>
  <c r="Q1266" i="9"/>
  <c r="R1266" i="9"/>
  <c r="S1266" i="9"/>
  <c r="P1267" i="9"/>
  <c r="Q1267" i="9"/>
  <c r="R1267" i="9"/>
  <c r="S1267" i="9"/>
  <c r="P1268" i="9"/>
  <c r="Q1268" i="9"/>
  <c r="R1268" i="9"/>
  <c r="S1268" i="9"/>
  <c r="P1269" i="9"/>
  <c r="Q1269" i="9"/>
  <c r="R1269" i="9"/>
  <c r="S1269" i="9"/>
  <c r="P1270" i="9"/>
  <c r="Q1270" i="9"/>
  <c r="R1270" i="9"/>
  <c r="S1270" i="9"/>
  <c r="P1271" i="9"/>
  <c r="Q1271" i="9"/>
  <c r="R1271" i="9"/>
  <c r="S1271" i="9"/>
  <c r="P1272" i="9"/>
  <c r="Q1272" i="9"/>
  <c r="R1272" i="9"/>
  <c r="S1272" i="9"/>
  <c r="P1273" i="9"/>
  <c r="Q1273" i="9"/>
  <c r="R1273" i="9"/>
  <c r="S1273" i="9"/>
  <c r="P1274" i="9"/>
  <c r="Q1274" i="9"/>
  <c r="R1274" i="9"/>
  <c r="S1274" i="9"/>
  <c r="P1275" i="9"/>
  <c r="Q1275" i="9"/>
  <c r="R1275" i="9"/>
  <c r="S1275" i="9"/>
  <c r="P1276" i="9"/>
  <c r="Q1276" i="9"/>
  <c r="R1276" i="9"/>
  <c r="S1276" i="9"/>
  <c r="P1277" i="9"/>
  <c r="Q1277" i="9"/>
  <c r="R1277" i="9"/>
  <c r="S1277" i="9"/>
  <c r="P1278" i="9"/>
  <c r="Q1278" i="9"/>
  <c r="R1278" i="9"/>
  <c r="S1278" i="9"/>
  <c r="P1279" i="9"/>
  <c r="Q1279" i="9"/>
  <c r="R1279" i="9"/>
  <c r="S1279" i="9"/>
  <c r="P1280" i="9"/>
  <c r="Q1280" i="9"/>
  <c r="R1280" i="9"/>
  <c r="S1280" i="9"/>
  <c r="P1281" i="9"/>
  <c r="Q1281" i="9"/>
  <c r="R1281" i="9"/>
  <c r="S1281" i="9"/>
  <c r="P1282" i="9"/>
  <c r="Q1282" i="9"/>
  <c r="R1282" i="9"/>
  <c r="S1282" i="9"/>
  <c r="P1283" i="9"/>
  <c r="Q1283" i="9"/>
  <c r="R1283" i="9"/>
  <c r="S1283" i="9"/>
  <c r="P1284" i="9"/>
  <c r="Q1284" i="9"/>
  <c r="R1284" i="9"/>
  <c r="S1284" i="9"/>
  <c r="P1285" i="9"/>
  <c r="Q1285" i="9"/>
  <c r="R1285" i="9"/>
  <c r="S1285" i="9"/>
  <c r="P1286" i="9"/>
  <c r="Q1286" i="9"/>
  <c r="R1286" i="9"/>
  <c r="S1286" i="9"/>
  <c r="P1287" i="9"/>
  <c r="Q1287" i="9"/>
  <c r="R1287" i="9"/>
  <c r="S1287" i="9"/>
  <c r="P1288" i="9"/>
  <c r="Q1288" i="9"/>
  <c r="R1288" i="9"/>
  <c r="S1288" i="9"/>
  <c r="P1289" i="9"/>
  <c r="Q1289" i="9"/>
  <c r="R1289" i="9"/>
  <c r="S1289" i="9"/>
  <c r="P1290" i="9"/>
  <c r="Q1290" i="9"/>
  <c r="R1290" i="9"/>
  <c r="S1290" i="9"/>
  <c r="P1291" i="9"/>
  <c r="Q1291" i="9"/>
  <c r="R1291" i="9"/>
  <c r="S1291" i="9"/>
  <c r="P1292" i="9"/>
  <c r="Q1292" i="9"/>
  <c r="R1292" i="9"/>
  <c r="S1292" i="9"/>
  <c r="P1293" i="9"/>
  <c r="Q1293" i="9"/>
  <c r="R1293" i="9"/>
  <c r="S1293" i="9"/>
  <c r="P1294" i="9"/>
  <c r="Q1294" i="9"/>
  <c r="R1294" i="9"/>
  <c r="S1294" i="9"/>
  <c r="P1295" i="9"/>
  <c r="Q1295" i="9"/>
  <c r="R1295" i="9"/>
  <c r="S1295" i="9"/>
  <c r="P1296" i="9"/>
  <c r="Q1296" i="9"/>
  <c r="R1296" i="9"/>
  <c r="S1296" i="9"/>
  <c r="P1297" i="9"/>
  <c r="Q1297" i="9"/>
  <c r="R1297" i="9"/>
  <c r="S1297" i="9"/>
  <c r="P1298" i="9"/>
  <c r="Q1298" i="9"/>
  <c r="R1298" i="9"/>
  <c r="S1298" i="9"/>
  <c r="P1299" i="9"/>
  <c r="Q1299" i="9"/>
  <c r="R1299" i="9"/>
  <c r="S1299" i="9"/>
  <c r="P1300" i="9"/>
  <c r="Q1300" i="9"/>
  <c r="R1300" i="9"/>
  <c r="S1300" i="9"/>
  <c r="P1301" i="9"/>
  <c r="Q1301" i="9"/>
  <c r="R1301" i="9"/>
  <c r="S1301" i="9"/>
  <c r="P1302" i="9"/>
  <c r="Q1302" i="9"/>
  <c r="R1302" i="9"/>
  <c r="S1302" i="9"/>
  <c r="P1303" i="9"/>
  <c r="Q1303" i="9"/>
  <c r="R1303" i="9"/>
  <c r="S1303" i="9"/>
  <c r="P1304" i="9"/>
  <c r="Q1304" i="9"/>
  <c r="R1304" i="9"/>
  <c r="S1304" i="9"/>
  <c r="P1305" i="9"/>
  <c r="Q1305" i="9"/>
  <c r="R1305" i="9"/>
  <c r="S1305" i="9"/>
  <c r="P1306" i="9"/>
  <c r="Q1306" i="9"/>
  <c r="R1306" i="9"/>
  <c r="S1306" i="9"/>
  <c r="P1307" i="9"/>
  <c r="Q1307" i="9"/>
  <c r="R1307" i="9"/>
  <c r="S1307" i="9"/>
  <c r="P1308" i="9"/>
  <c r="Q1308" i="9"/>
  <c r="R1308" i="9"/>
  <c r="S1308" i="9"/>
  <c r="P1309" i="9"/>
  <c r="Q1309" i="9"/>
  <c r="R1309" i="9"/>
  <c r="S1309" i="9"/>
  <c r="P1310" i="9"/>
  <c r="Q1310" i="9"/>
  <c r="R1310" i="9"/>
  <c r="S1310" i="9"/>
  <c r="P1311" i="9"/>
  <c r="Q1311" i="9"/>
  <c r="R1311" i="9"/>
  <c r="S1311" i="9"/>
  <c r="P1312" i="9"/>
  <c r="Q1312" i="9"/>
  <c r="R1312" i="9"/>
  <c r="S1312" i="9"/>
  <c r="P1313" i="9"/>
  <c r="Q1313" i="9"/>
  <c r="R1313" i="9"/>
  <c r="S1313" i="9"/>
  <c r="P1314" i="9"/>
  <c r="Q1314" i="9"/>
  <c r="R1314" i="9"/>
  <c r="S1314" i="9"/>
  <c r="P1315" i="9"/>
  <c r="Q1315" i="9"/>
  <c r="R1315" i="9"/>
  <c r="S1315" i="9"/>
  <c r="P1316" i="9"/>
  <c r="Q1316" i="9"/>
  <c r="R1316" i="9"/>
  <c r="S1316" i="9"/>
  <c r="P1317" i="9"/>
  <c r="Q1317" i="9"/>
  <c r="R1317" i="9"/>
  <c r="S1317" i="9"/>
  <c r="P1318" i="9"/>
  <c r="Q1318" i="9"/>
  <c r="R1318" i="9"/>
  <c r="S1318" i="9"/>
  <c r="P1319" i="9"/>
  <c r="Q1319" i="9"/>
  <c r="R1319" i="9"/>
  <c r="S1319" i="9"/>
  <c r="P1320" i="9"/>
  <c r="Q1320" i="9"/>
  <c r="R1320" i="9"/>
  <c r="S1320" i="9"/>
  <c r="P1321" i="9"/>
  <c r="Q1321" i="9"/>
  <c r="R1321" i="9"/>
  <c r="S1321" i="9"/>
  <c r="P1322" i="9"/>
  <c r="Q1322" i="9"/>
  <c r="R1322" i="9"/>
  <c r="S1322" i="9"/>
  <c r="P1323" i="9"/>
  <c r="Q1323" i="9"/>
  <c r="R1323" i="9"/>
  <c r="S1323" i="9"/>
  <c r="P1324" i="9"/>
  <c r="Q1324" i="9"/>
  <c r="R1324" i="9"/>
  <c r="S1324" i="9"/>
  <c r="P1325" i="9"/>
  <c r="Q1325" i="9"/>
  <c r="R1325" i="9"/>
  <c r="S1325" i="9"/>
  <c r="P1326" i="9"/>
  <c r="Q1326" i="9"/>
  <c r="R1326" i="9"/>
  <c r="S1326" i="9"/>
  <c r="P1327" i="9"/>
  <c r="Q1327" i="9"/>
  <c r="R1327" i="9"/>
  <c r="S1327" i="9"/>
  <c r="P1328" i="9"/>
  <c r="Q1328" i="9"/>
  <c r="R1328" i="9"/>
  <c r="S1328" i="9"/>
  <c r="P1329" i="9"/>
  <c r="Q1329" i="9"/>
  <c r="R1329" i="9"/>
  <c r="S1329" i="9"/>
  <c r="P1330" i="9"/>
  <c r="Q1330" i="9"/>
  <c r="R1330" i="9"/>
  <c r="S1330" i="9"/>
  <c r="P1331" i="9"/>
  <c r="Q1331" i="9"/>
  <c r="R1331" i="9"/>
  <c r="S1331" i="9"/>
  <c r="P1332" i="9"/>
  <c r="Q1332" i="9"/>
  <c r="R1332" i="9"/>
  <c r="S1332" i="9"/>
  <c r="P1333" i="9"/>
  <c r="Q1333" i="9"/>
  <c r="R1333" i="9"/>
  <c r="S1333" i="9"/>
  <c r="P1334" i="9"/>
  <c r="Q1334" i="9"/>
  <c r="R1334" i="9"/>
  <c r="S1334" i="9"/>
  <c r="P1335" i="9"/>
  <c r="Q1335" i="9"/>
  <c r="R1335" i="9"/>
  <c r="S1335" i="9"/>
  <c r="P1336" i="9"/>
  <c r="Q1336" i="9"/>
  <c r="R1336" i="9"/>
  <c r="S1336" i="9"/>
  <c r="P1337" i="9"/>
  <c r="Q1337" i="9"/>
  <c r="R1337" i="9"/>
  <c r="S1337" i="9"/>
  <c r="P1338" i="9"/>
  <c r="Q1338" i="9"/>
  <c r="R1338" i="9"/>
  <c r="S1338" i="9"/>
  <c r="P1339" i="9"/>
  <c r="Q1339" i="9"/>
  <c r="R1339" i="9"/>
  <c r="S1339" i="9"/>
  <c r="P1340" i="9"/>
  <c r="Q1340" i="9"/>
  <c r="R1340" i="9"/>
  <c r="S1340" i="9"/>
  <c r="P1341" i="9"/>
  <c r="Q1341" i="9"/>
  <c r="R1341" i="9"/>
  <c r="S1341" i="9"/>
  <c r="P1342" i="9"/>
  <c r="Q1342" i="9"/>
  <c r="R1342" i="9"/>
  <c r="S1342" i="9"/>
  <c r="P1343" i="9"/>
  <c r="Q1343" i="9"/>
  <c r="R1343" i="9"/>
  <c r="S1343" i="9"/>
  <c r="P1344" i="9"/>
  <c r="Q1344" i="9"/>
  <c r="R1344" i="9"/>
  <c r="S1344" i="9"/>
  <c r="P1345" i="9"/>
  <c r="Q1345" i="9"/>
  <c r="R1345" i="9"/>
  <c r="S1345" i="9"/>
  <c r="P1346" i="9"/>
  <c r="Q1346" i="9"/>
  <c r="R1346" i="9"/>
  <c r="S1346" i="9"/>
  <c r="P1347" i="9"/>
  <c r="Q1347" i="9"/>
  <c r="R1347" i="9"/>
  <c r="S1347" i="9"/>
  <c r="P1348" i="9"/>
  <c r="Q1348" i="9"/>
  <c r="R1348" i="9"/>
  <c r="S1348" i="9"/>
  <c r="P1349" i="9"/>
  <c r="Q1349" i="9"/>
  <c r="R1349" i="9"/>
  <c r="S1349" i="9"/>
  <c r="P1350" i="9"/>
  <c r="Q1350" i="9"/>
  <c r="R1350" i="9"/>
  <c r="S1350" i="9"/>
  <c r="P1351" i="9"/>
  <c r="Q1351" i="9"/>
  <c r="R1351" i="9"/>
  <c r="S1351" i="9"/>
  <c r="P1352" i="9"/>
  <c r="Q1352" i="9"/>
  <c r="R1352" i="9"/>
  <c r="S1352" i="9"/>
  <c r="P1353" i="9"/>
  <c r="Q1353" i="9"/>
  <c r="R1353" i="9"/>
  <c r="S1353" i="9"/>
  <c r="P1354" i="9"/>
  <c r="Q1354" i="9"/>
  <c r="R1354" i="9"/>
  <c r="S1354" i="9"/>
  <c r="P1355" i="9"/>
  <c r="Q1355" i="9"/>
  <c r="R1355" i="9"/>
  <c r="S1355" i="9"/>
  <c r="P1356" i="9"/>
  <c r="Q1356" i="9"/>
  <c r="R1356" i="9"/>
  <c r="S1356" i="9"/>
  <c r="P1357" i="9"/>
  <c r="Q1357" i="9"/>
  <c r="R1357" i="9"/>
  <c r="S1357" i="9"/>
  <c r="P1358" i="9"/>
  <c r="Q1358" i="9"/>
  <c r="R1358" i="9"/>
  <c r="S1358" i="9"/>
  <c r="P1359" i="9"/>
  <c r="Q1359" i="9"/>
  <c r="R1359" i="9"/>
  <c r="S1359" i="9"/>
  <c r="P1360" i="9"/>
  <c r="Q1360" i="9"/>
  <c r="R1360" i="9"/>
  <c r="S1360" i="9"/>
  <c r="P1361" i="9"/>
  <c r="Q1361" i="9"/>
  <c r="R1361" i="9"/>
  <c r="S1361" i="9"/>
  <c r="P1362" i="9"/>
  <c r="Q1362" i="9"/>
  <c r="R1362" i="9"/>
  <c r="S1362" i="9"/>
  <c r="P1363" i="9"/>
  <c r="Q1363" i="9"/>
  <c r="R1363" i="9"/>
  <c r="S1363" i="9"/>
  <c r="P1364" i="9"/>
  <c r="Q1364" i="9"/>
  <c r="R1364" i="9"/>
  <c r="S1364" i="9"/>
  <c r="P1365" i="9"/>
  <c r="Q1365" i="9"/>
  <c r="R1365" i="9"/>
  <c r="S1365" i="9"/>
  <c r="P1366" i="9"/>
  <c r="Q1366" i="9"/>
  <c r="R1366" i="9"/>
  <c r="S1366" i="9"/>
  <c r="P1367" i="9"/>
  <c r="Q1367" i="9"/>
  <c r="R1367" i="9"/>
  <c r="S1367" i="9"/>
  <c r="P1368" i="9"/>
  <c r="Q1368" i="9"/>
  <c r="R1368" i="9"/>
  <c r="S1368" i="9"/>
  <c r="P1369" i="9"/>
  <c r="Q1369" i="9"/>
  <c r="R1369" i="9"/>
  <c r="S1369" i="9"/>
  <c r="P1370" i="9"/>
  <c r="Q1370" i="9"/>
  <c r="R1370" i="9"/>
  <c r="S1370" i="9"/>
  <c r="P1371" i="9"/>
  <c r="Q1371" i="9"/>
  <c r="R1371" i="9"/>
  <c r="S1371" i="9"/>
  <c r="P1372" i="9"/>
  <c r="Q1372" i="9"/>
  <c r="R1372" i="9"/>
  <c r="S1372" i="9"/>
  <c r="P1373" i="9"/>
  <c r="Q1373" i="9"/>
  <c r="R1373" i="9"/>
  <c r="S1373" i="9"/>
  <c r="P1374" i="9"/>
  <c r="Q1374" i="9"/>
  <c r="R1374" i="9"/>
  <c r="S1374" i="9"/>
  <c r="P1375" i="9"/>
  <c r="Q1375" i="9"/>
  <c r="R1375" i="9"/>
  <c r="S1375" i="9"/>
  <c r="P1376" i="9"/>
  <c r="Q1376" i="9"/>
  <c r="R1376" i="9"/>
  <c r="S1376" i="9"/>
  <c r="P1377" i="9"/>
  <c r="Q1377" i="9"/>
  <c r="R1377" i="9"/>
  <c r="S1377" i="9"/>
  <c r="P1378" i="9"/>
  <c r="Q1378" i="9"/>
  <c r="R1378" i="9"/>
  <c r="S1378" i="9"/>
  <c r="P1379" i="9"/>
  <c r="Q1379" i="9"/>
  <c r="R1379" i="9"/>
  <c r="S1379" i="9"/>
  <c r="P1380" i="9"/>
  <c r="Q1380" i="9"/>
  <c r="R1380" i="9"/>
  <c r="S1380" i="9"/>
  <c r="P1381" i="9"/>
  <c r="Q1381" i="9"/>
  <c r="R1381" i="9"/>
  <c r="S1381" i="9"/>
  <c r="P1382" i="9"/>
  <c r="Q1382" i="9"/>
  <c r="R1382" i="9"/>
  <c r="S1382" i="9"/>
  <c r="P1383" i="9"/>
  <c r="Q1383" i="9"/>
  <c r="R1383" i="9"/>
  <c r="S1383" i="9"/>
  <c r="P1384" i="9"/>
  <c r="Q1384" i="9"/>
  <c r="R1384" i="9"/>
  <c r="S1384" i="9"/>
  <c r="P1385" i="9"/>
  <c r="Q1385" i="9"/>
  <c r="R1385" i="9"/>
  <c r="S1385" i="9"/>
  <c r="P1386" i="9"/>
  <c r="Q1386" i="9"/>
  <c r="R1386" i="9"/>
  <c r="S1386" i="9"/>
  <c r="P1387" i="9"/>
  <c r="Q1387" i="9"/>
  <c r="R1387" i="9"/>
  <c r="S1387" i="9"/>
  <c r="P1388" i="9"/>
  <c r="Q1388" i="9"/>
  <c r="R1388" i="9"/>
  <c r="S1388" i="9"/>
  <c r="P1389" i="9"/>
  <c r="Q1389" i="9"/>
  <c r="R1389" i="9"/>
  <c r="S1389" i="9"/>
  <c r="P1390" i="9"/>
  <c r="Q1390" i="9"/>
  <c r="R1390" i="9"/>
  <c r="S1390" i="9"/>
  <c r="P1391" i="9"/>
  <c r="Q1391" i="9"/>
  <c r="R1391" i="9"/>
  <c r="S1391" i="9"/>
  <c r="P1392" i="9"/>
  <c r="Q1392" i="9"/>
  <c r="R1392" i="9"/>
  <c r="S1392" i="9"/>
  <c r="P1393" i="9"/>
  <c r="Q1393" i="9"/>
  <c r="R1393" i="9"/>
  <c r="S1393" i="9"/>
  <c r="P1394" i="9"/>
  <c r="Q1394" i="9"/>
  <c r="R1394" i="9"/>
  <c r="S1394" i="9"/>
  <c r="P1395" i="9"/>
  <c r="Q1395" i="9"/>
  <c r="R1395" i="9"/>
  <c r="S1395" i="9"/>
  <c r="P1396" i="9"/>
  <c r="Q1396" i="9"/>
  <c r="R1396" i="9"/>
  <c r="S1396" i="9"/>
  <c r="P1397" i="9"/>
  <c r="Q1397" i="9"/>
  <c r="R1397" i="9"/>
  <c r="S1397" i="9"/>
  <c r="P1398" i="9"/>
  <c r="Q1398" i="9"/>
  <c r="R1398" i="9"/>
  <c r="S1398" i="9"/>
  <c r="P1399" i="9"/>
  <c r="Q1399" i="9"/>
  <c r="R1399" i="9"/>
  <c r="S1399" i="9"/>
  <c r="P1400" i="9"/>
  <c r="Q1400" i="9"/>
  <c r="R1400" i="9"/>
  <c r="S1400" i="9"/>
  <c r="P1401" i="9"/>
  <c r="Q1401" i="9"/>
  <c r="R1401" i="9"/>
  <c r="S1401" i="9"/>
  <c r="P1402" i="9"/>
  <c r="Q1402" i="9"/>
  <c r="R1402" i="9"/>
  <c r="S1402" i="9"/>
  <c r="P1403" i="9"/>
  <c r="Q1403" i="9"/>
  <c r="R1403" i="9"/>
  <c r="S1403" i="9"/>
  <c r="P1404" i="9"/>
  <c r="Q1404" i="9"/>
  <c r="R1404" i="9"/>
  <c r="S1404" i="9"/>
  <c r="P1405" i="9"/>
  <c r="Q1405" i="9"/>
  <c r="R1405" i="9"/>
  <c r="S1405" i="9"/>
  <c r="P1406" i="9"/>
  <c r="Q1406" i="9"/>
  <c r="R1406" i="9"/>
  <c r="S1406" i="9"/>
  <c r="P1407" i="9"/>
  <c r="Q1407" i="9"/>
  <c r="R1407" i="9"/>
  <c r="S1407" i="9"/>
  <c r="P1408" i="9"/>
  <c r="Q1408" i="9"/>
  <c r="R1408" i="9"/>
  <c r="S1408" i="9"/>
  <c r="P1409" i="9"/>
  <c r="Q1409" i="9"/>
  <c r="R1409" i="9"/>
  <c r="S1409" i="9"/>
  <c r="P1410" i="9"/>
  <c r="Q1410" i="9"/>
  <c r="R1410" i="9"/>
  <c r="S1410" i="9"/>
  <c r="P1411" i="9"/>
  <c r="Q1411" i="9"/>
  <c r="R1411" i="9"/>
  <c r="S1411" i="9"/>
  <c r="P1412" i="9"/>
  <c r="Q1412" i="9"/>
  <c r="R1412" i="9"/>
  <c r="S1412" i="9"/>
  <c r="P1413" i="9"/>
  <c r="Q1413" i="9"/>
  <c r="R1413" i="9"/>
  <c r="S1413" i="9"/>
  <c r="P1414" i="9"/>
  <c r="Q1414" i="9"/>
  <c r="R1414" i="9"/>
  <c r="S1414" i="9"/>
  <c r="P1415" i="9"/>
  <c r="Q1415" i="9"/>
  <c r="R1415" i="9"/>
  <c r="S1415" i="9"/>
  <c r="P1416" i="9"/>
  <c r="Q1416" i="9"/>
  <c r="R1416" i="9"/>
  <c r="S1416" i="9"/>
  <c r="P1417" i="9"/>
  <c r="Q1417" i="9"/>
  <c r="R1417" i="9"/>
  <c r="S1417" i="9"/>
  <c r="P1418" i="9"/>
  <c r="Q1418" i="9"/>
  <c r="R1418" i="9"/>
  <c r="S1418" i="9"/>
  <c r="P1419" i="9"/>
  <c r="Q1419" i="9"/>
  <c r="R1419" i="9"/>
  <c r="S1419" i="9"/>
  <c r="P1420" i="9"/>
  <c r="Q1420" i="9"/>
  <c r="R1420" i="9"/>
  <c r="S1420" i="9"/>
  <c r="P1421" i="9"/>
  <c r="Q1421" i="9"/>
  <c r="R1421" i="9"/>
  <c r="S1421" i="9"/>
  <c r="P1422" i="9"/>
  <c r="Q1422" i="9"/>
  <c r="R1422" i="9"/>
  <c r="S1422" i="9"/>
  <c r="P1423" i="9"/>
  <c r="Q1423" i="9"/>
  <c r="R1423" i="9"/>
  <c r="S1423" i="9"/>
  <c r="P1424" i="9"/>
  <c r="Q1424" i="9"/>
  <c r="R1424" i="9"/>
  <c r="S1424" i="9"/>
  <c r="P1425" i="9"/>
  <c r="Q1425" i="9"/>
  <c r="R1425" i="9"/>
  <c r="S1425" i="9"/>
  <c r="P1426" i="9"/>
  <c r="Q1426" i="9"/>
  <c r="R1426" i="9"/>
  <c r="S1426" i="9"/>
  <c r="P1427" i="9"/>
  <c r="Q1427" i="9"/>
  <c r="R1427" i="9"/>
  <c r="S1427" i="9"/>
  <c r="P1428" i="9"/>
  <c r="Q1428" i="9"/>
  <c r="R1428" i="9"/>
  <c r="S1428" i="9"/>
  <c r="P1429" i="9"/>
  <c r="Q1429" i="9"/>
  <c r="R1429" i="9"/>
  <c r="S1429" i="9"/>
  <c r="P1430" i="9"/>
  <c r="Q1430" i="9"/>
  <c r="R1430" i="9"/>
  <c r="S1430" i="9"/>
  <c r="P1431" i="9"/>
  <c r="Q1431" i="9"/>
  <c r="R1431" i="9"/>
  <c r="S1431" i="9"/>
  <c r="P1432" i="9"/>
  <c r="Q1432" i="9"/>
  <c r="R1432" i="9"/>
  <c r="S1432" i="9"/>
  <c r="P1433" i="9"/>
  <c r="Q1433" i="9"/>
  <c r="R1433" i="9"/>
  <c r="S1433" i="9"/>
  <c r="P1434" i="9"/>
  <c r="Q1434" i="9"/>
  <c r="R1434" i="9"/>
  <c r="S1434" i="9"/>
  <c r="P1435" i="9"/>
  <c r="Q1435" i="9"/>
  <c r="R1435" i="9"/>
  <c r="S1435" i="9"/>
  <c r="P1436" i="9"/>
  <c r="Q1436" i="9"/>
  <c r="R1436" i="9"/>
  <c r="S1436" i="9"/>
  <c r="P1437" i="9"/>
  <c r="Q1437" i="9"/>
  <c r="R1437" i="9"/>
  <c r="S1437" i="9"/>
  <c r="P1438" i="9"/>
  <c r="Q1438" i="9"/>
  <c r="R1438" i="9"/>
  <c r="S1438" i="9"/>
  <c r="P1439" i="9"/>
  <c r="Q1439" i="9"/>
  <c r="R1439" i="9"/>
  <c r="S1439" i="9"/>
  <c r="P1440" i="9"/>
  <c r="Q1440" i="9"/>
  <c r="R1440" i="9"/>
  <c r="S1440" i="9"/>
  <c r="P1441" i="9"/>
  <c r="Q1441" i="9"/>
  <c r="R1441" i="9"/>
  <c r="S1441" i="9"/>
  <c r="P1442" i="9"/>
  <c r="Q1442" i="9"/>
  <c r="R1442" i="9"/>
  <c r="S1442" i="9"/>
  <c r="P1443" i="9"/>
  <c r="Q1443" i="9"/>
  <c r="R1443" i="9"/>
  <c r="S1443" i="9"/>
  <c r="P1444" i="9"/>
  <c r="Q1444" i="9"/>
  <c r="R1444" i="9"/>
  <c r="S1444" i="9"/>
  <c r="P1445" i="9"/>
  <c r="Q1445" i="9"/>
  <c r="R1445" i="9"/>
  <c r="S1445" i="9"/>
  <c r="P1446" i="9"/>
  <c r="Q1446" i="9"/>
  <c r="R1446" i="9"/>
  <c r="S1446" i="9"/>
  <c r="P1447" i="9"/>
  <c r="Q1447" i="9"/>
  <c r="R1447" i="9"/>
  <c r="S1447" i="9"/>
  <c r="P1448" i="9"/>
  <c r="Q1448" i="9"/>
  <c r="R1448" i="9"/>
  <c r="S1448" i="9"/>
  <c r="P1449" i="9"/>
  <c r="Q1449" i="9"/>
  <c r="R1449" i="9"/>
  <c r="S1449" i="9"/>
  <c r="P1450" i="9"/>
  <c r="Q1450" i="9"/>
  <c r="R1450" i="9"/>
  <c r="S1450" i="9"/>
  <c r="P1451" i="9"/>
  <c r="Q1451" i="9"/>
  <c r="R1451" i="9"/>
  <c r="S1451" i="9"/>
  <c r="P1452" i="9"/>
  <c r="Q1452" i="9"/>
  <c r="R1452" i="9"/>
  <c r="S1452" i="9"/>
  <c r="P1453" i="9"/>
  <c r="Q1453" i="9"/>
  <c r="R1453" i="9"/>
  <c r="S1453" i="9"/>
  <c r="P1454" i="9"/>
  <c r="Q1454" i="9"/>
  <c r="R1454" i="9"/>
  <c r="S1454" i="9"/>
  <c r="P1455" i="9"/>
  <c r="Q1455" i="9"/>
  <c r="R1455" i="9"/>
  <c r="S1455" i="9"/>
  <c r="P1456" i="9"/>
  <c r="Q1456" i="9"/>
  <c r="R1456" i="9"/>
  <c r="S1456" i="9"/>
  <c r="P1457" i="9"/>
  <c r="Q1457" i="9"/>
  <c r="R1457" i="9"/>
  <c r="S1457" i="9"/>
  <c r="P1458" i="9"/>
  <c r="Q1458" i="9"/>
  <c r="R1458" i="9"/>
  <c r="S1458" i="9"/>
  <c r="P1459" i="9"/>
  <c r="Q1459" i="9"/>
  <c r="R1459" i="9"/>
  <c r="S1459" i="9"/>
  <c r="P1460" i="9"/>
  <c r="Q1460" i="9"/>
  <c r="R1460" i="9"/>
  <c r="S1460" i="9"/>
  <c r="P1461" i="9"/>
  <c r="Q1461" i="9"/>
  <c r="R1461" i="9"/>
  <c r="S1461" i="9"/>
  <c r="P1462" i="9"/>
  <c r="Q1462" i="9"/>
  <c r="R1462" i="9"/>
  <c r="S1462" i="9"/>
  <c r="P1463" i="9"/>
  <c r="Q1463" i="9"/>
  <c r="R1463" i="9"/>
  <c r="S1463" i="9"/>
  <c r="P1464" i="9"/>
  <c r="Q1464" i="9"/>
  <c r="R1464" i="9"/>
  <c r="S1464" i="9"/>
  <c r="P1465" i="9"/>
  <c r="Q1465" i="9"/>
  <c r="R1465" i="9"/>
  <c r="S1465" i="9"/>
  <c r="P1466" i="9"/>
  <c r="Q1466" i="9"/>
  <c r="R1466" i="9"/>
  <c r="S1466" i="9"/>
  <c r="P1467" i="9"/>
  <c r="Q1467" i="9"/>
  <c r="R1467" i="9"/>
  <c r="S1467" i="9"/>
  <c r="P1468" i="9"/>
  <c r="Q1468" i="9"/>
  <c r="R1468" i="9"/>
  <c r="S1468" i="9"/>
  <c r="P1469" i="9"/>
  <c r="Q1469" i="9"/>
  <c r="R1469" i="9"/>
  <c r="S1469" i="9"/>
  <c r="P1470" i="9"/>
  <c r="Q1470" i="9"/>
  <c r="R1470" i="9"/>
  <c r="S1470" i="9"/>
  <c r="P1471" i="9"/>
  <c r="Q1471" i="9"/>
  <c r="R1471" i="9"/>
  <c r="S1471" i="9"/>
  <c r="P1472" i="9"/>
  <c r="Q1472" i="9"/>
  <c r="R1472" i="9"/>
  <c r="S1472" i="9"/>
  <c r="P1473" i="9"/>
  <c r="Q1473" i="9"/>
  <c r="R1473" i="9"/>
  <c r="S1473" i="9"/>
  <c r="P1474" i="9"/>
  <c r="Q1474" i="9"/>
  <c r="R1474" i="9"/>
  <c r="S1474" i="9"/>
  <c r="P1475" i="9"/>
  <c r="Q1475" i="9"/>
  <c r="R1475" i="9"/>
  <c r="S1475" i="9"/>
  <c r="P1476" i="9"/>
  <c r="Q1476" i="9"/>
  <c r="R1476" i="9"/>
  <c r="S1476" i="9"/>
  <c r="P1477" i="9"/>
  <c r="Q1477" i="9"/>
  <c r="R1477" i="9"/>
  <c r="S1477" i="9"/>
  <c r="P1478" i="9"/>
  <c r="Q1478" i="9"/>
  <c r="R1478" i="9"/>
  <c r="S1478" i="9"/>
  <c r="P1479" i="9"/>
  <c r="Q1479" i="9"/>
  <c r="R1479" i="9"/>
  <c r="S1479" i="9"/>
  <c r="P1480" i="9"/>
  <c r="Q1480" i="9"/>
  <c r="R1480" i="9"/>
  <c r="S1480" i="9"/>
  <c r="P1481" i="9"/>
  <c r="Q1481" i="9"/>
  <c r="R1481" i="9"/>
  <c r="S1481" i="9"/>
  <c r="P1482" i="9"/>
  <c r="Q1482" i="9"/>
  <c r="R1482" i="9"/>
  <c r="S1482" i="9"/>
  <c r="P1483" i="9"/>
  <c r="Q1483" i="9"/>
  <c r="R1483" i="9"/>
  <c r="S1483" i="9"/>
  <c r="P1484" i="9"/>
  <c r="Q1484" i="9"/>
  <c r="R1484" i="9"/>
  <c r="S1484" i="9"/>
  <c r="P1485" i="9"/>
  <c r="Q1485" i="9"/>
  <c r="R1485" i="9"/>
  <c r="S1485" i="9"/>
  <c r="P1486" i="9"/>
  <c r="Q1486" i="9"/>
  <c r="R1486" i="9"/>
  <c r="S1486" i="9"/>
  <c r="P1487" i="9"/>
  <c r="Q1487" i="9"/>
  <c r="R1487" i="9"/>
  <c r="S1487" i="9"/>
  <c r="P1488" i="9"/>
  <c r="Q1488" i="9"/>
  <c r="R1488" i="9"/>
  <c r="S1488" i="9"/>
  <c r="P1489" i="9"/>
  <c r="Q1489" i="9"/>
  <c r="R1489" i="9"/>
  <c r="S1489" i="9"/>
  <c r="P1490" i="9"/>
  <c r="Q1490" i="9"/>
  <c r="R1490" i="9"/>
  <c r="S1490" i="9"/>
  <c r="P1491" i="9"/>
  <c r="Q1491" i="9"/>
  <c r="R1491" i="9"/>
  <c r="S1491" i="9"/>
  <c r="P1492" i="9"/>
  <c r="Q1492" i="9"/>
  <c r="R1492" i="9"/>
  <c r="S1492" i="9"/>
  <c r="P1493" i="9"/>
  <c r="Q1493" i="9"/>
  <c r="R1493" i="9"/>
  <c r="S1493" i="9"/>
  <c r="P1494" i="9"/>
  <c r="Q1494" i="9"/>
  <c r="R1494" i="9"/>
  <c r="S1494" i="9"/>
  <c r="P1495" i="9"/>
  <c r="Q1495" i="9"/>
  <c r="R1495" i="9"/>
  <c r="S1495" i="9"/>
  <c r="P1496" i="9"/>
  <c r="Q1496" i="9"/>
  <c r="R1496" i="9"/>
  <c r="S1496" i="9"/>
  <c r="P1497" i="9"/>
  <c r="Q1497" i="9"/>
  <c r="R1497" i="9"/>
  <c r="S1497" i="9"/>
  <c r="P1498" i="9"/>
  <c r="Q1498" i="9"/>
  <c r="R1498" i="9"/>
  <c r="S1498" i="9"/>
  <c r="P1499" i="9"/>
  <c r="Q1499" i="9"/>
  <c r="R1499" i="9"/>
  <c r="S1499" i="9"/>
  <c r="P1500" i="9"/>
  <c r="Q1500" i="9"/>
  <c r="R1500" i="9"/>
  <c r="S1500" i="9"/>
  <c r="P1501" i="9"/>
  <c r="Q1501" i="9"/>
  <c r="R1501" i="9"/>
  <c r="S1501" i="9"/>
  <c r="P1502" i="9"/>
  <c r="Q1502" i="9"/>
  <c r="R1502" i="9"/>
  <c r="S1502" i="9"/>
  <c r="P1503" i="9"/>
  <c r="Q1503" i="9"/>
  <c r="R1503" i="9"/>
  <c r="S1503" i="9"/>
  <c r="P1504" i="9"/>
  <c r="Q1504" i="9"/>
  <c r="R1504" i="9"/>
  <c r="S1504" i="9"/>
  <c r="P1505" i="9"/>
  <c r="Q1505" i="9"/>
  <c r="R1505" i="9"/>
  <c r="S1505" i="9"/>
  <c r="P1506" i="9"/>
  <c r="Q1506" i="9"/>
  <c r="R1506" i="9"/>
  <c r="S1506" i="9"/>
  <c r="P1507" i="9"/>
  <c r="Q1507" i="9"/>
  <c r="R1507" i="9"/>
  <c r="S1507" i="9"/>
  <c r="P1508" i="9"/>
  <c r="Q1508" i="9"/>
  <c r="R1508" i="9"/>
  <c r="S1508" i="9"/>
  <c r="P1509" i="9"/>
  <c r="Q1509" i="9"/>
  <c r="R1509" i="9"/>
  <c r="S1509" i="9"/>
  <c r="P1510" i="9"/>
  <c r="Q1510" i="9"/>
  <c r="R1510" i="9"/>
  <c r="S1510" i="9"/>
  <c r="P1511" i="9"/>
  <c r="Q1511" i="9"/>
  <c r="R1511" i="9"/>
  <c r="S1511" i="9"/>
  <c r="P1512" i="9"/>
  <c r="Q1512" i="9"/>
  <c r="R1512" i="9"/>
  <c r="S1512" i="9"/>
  <c r="P1513" i="9"/>
  <c r="Q1513" i="9"/>
  <c r="R1513" i="9"/>
  <c r="S1513" i="9"/>
  <c r="P1514" i="9"/>
  <c r="Q1514" i="9"/>
  <c r="R1514" i="9"/>
  <c r="S1514" i="9"/>
  <c r="P1515" i="9"/>
  <c r="Q1515" i="9"/>
  <c r="R1515" i="9"/>
  <c r="S1515" i="9"/>
  <c r="P1516" i="9"/>
  <c r="Q1516" i="9"/>
  <c r="R1516" i="9"/>
  <c r="S1516" i="9"/>
  <c r="P1517" i="9"/>
  <c r="Q1517" i="9"/>
  <c r="R1517" i="9"/>
  <c r="S1517" i="9"/>
  <c r="P1518" i="9"/>
  <c r="Q1518" i="9"/>
  <c r="R1518" i="9"/>
  <c r="S1518" i="9"/>
  <c r="P1519" i="9"/>
  <c r="Q1519" i="9"/>
  <c r="R1519" i="9"/>
  <c r="S1519" i="9"/>
  <c r="P1520" i="9"/>
  <c r="Q1520" i="9"/>
  <c r="R1520" i="9"/>
  <c r="S1520" i="9"/>
  <c r="P1521" i="9"/>
  <c r="Q1521" i="9"/>
  <c r="R1521" i="9"/>
  <c r="S1521" i="9"/>
  <c r="P1522" i="9"/>
  <c r="Q1522" i="9"/>
  <c r="R1522" i="9"/>
  <c r="S1522" i="9"/>
  <c r="P1523" i="9"/>
  <c r="Q1523" i="9"/>
  <c r="R1523" i="9"/>
  <c r="S1523" i="9"/>
  <c r="P1524" i="9"/>
  <c r="Q1524" i="9"/>
  <c r="R1524" i="9"/>
  <c r="S1524" i="9"/>
  <c r="P1525" i="9"/>
  <c r="Q1525" i="9"/>
  <c r="R1525" i="9"/>
  <c r="S1525" i="9"/>
  <c r="P1526" i="9"/>
  <c r="Q1526" i="9"/>
  <c r="R1526" i="9"/>
  <c r="S1526" i="9"/>
  <c r="P1527" i="9"/>
  <c r="Q1527" i="9"/>
  <c r="R1527" i="9"/>
  <c r="S1527" i="9"/>
  <c r="P1528" i="9"/>
  <c r="Q1528" i="9"/>
  <c r="R1528" i="9"/>
  <c r="S1528" i="9"/>
  <c r="P1529" i="9"/>
  <c r="Q1529" i="9"/>
  <c r="R1529" i="9"/>
  <c r="S1529" i="9"/>
  <c r="P1530" i="9"/>
  <c r="Q1530" i="9"/>
  <c r="R1530" i="9"/>
  <c r="S1530" i="9"/>
  <c r="P1531" i="9"/>
  <c r="Q1531" i="9"/>
  <c r="R1531" i="9"/>
  <c r="S1531" i="9"/>
  <c r="P1532" i="9"/>
  <c r="Q1532" i="9"/>
  <c r="R1532" i="9"/>
  <c r="S1532" i="9"/>
  <c r="P1533" i="9"/>
  <c r="Q1533" i="9"/>
  <c r="R1533" i="9"/>
  <c r="S1533" i="9"/>
  <c r="P1534" i="9"/>
  <c r="Q1534" i="9"/>
  <c r="R1534" i="9"/>
  <c r="S1534" i="9"/>
  <c r="P1535" i="9"/>
  <c r="Q1535" i="9"/>
  <c r="R1535" i="9"/>
  <c r="S1535" i="9"/>
  <c r="P1536" i="9"/>
  <c r="Q1536" i="9"/>
  <c r="R1536" i="9"/>
  <c r="S1536" i="9"/>
  <c r="P1537" i="9"/>
  <c r="Q1537" i="9"/>
  <c r="R1537" i="9"/>
  <c r="S1537" i="9"/>
  <c r="P1538" i="9"/>
  <c r="Q1538" i="9"/>
  <c r="R1538" i="9"/>
  <c r="S1538" i="9"/>
  <c r="P1539" i="9"/>
  <c r="Q1539" i="9"/>
  <c r="R1539" i="9"/>
  <c r="S1539" i="9"/>
  <c r="P1540" i="9"/>
  <c r="Q1540" i="9"/>
  <c r="R1540" i="9"/>
  <c r="S1540" i="9"/>
  <c r="P1541" i="9"/>
  <c r="Q1541" i="9"/>
  <c r="R1541" i="9"/>
  <c r="S1541" i="9"/>
  <c r="P1542" i="9"/>
  <c r="Q1542" i="9"/>
  <c r="R1542" i="9"/>
  <c r="S1542" i="9"/>
  <c r="P1543" i="9"/>
  <c r="Q1543" i="9"/>
  <c r="R1543" i="9"/>
  <c r="S1543" i="9"/>
  <c r="P1544" i="9"/>
  <c r="Q1544" i="9"/>
  <c r="R1544" i="9"/>
  <c r="S1544" i="9"/>
  <c r="P1545" i="9"/>
  <c r="Q1545" i="9"/>
  <c r="R1545" i="9"/>
  <c r="S1545" i="9"/>
  <c r="P1546" i="9"/>
  <c r="Q1546" i="9"/>
  <c r="R1546" i="9"/>
  <c r="S1546" i="9"/>
  <c r="P1547" i="9"/>
  <c r="Q1547" i="9"/>
  <c r="R1547" i="9"/>
  <c r="S1547" i="9"/>
  <c r="P1548" i="9"/>
  <c r="Q1548" i="9"/>
  <c r="R1548" i="9"/>
  <c r="S1548" i="9"/>
  <c r="P1549" i="9"/>
  <c r="Q1549" i="9"/>
  <c r="R1549" i="9"/>
  <c r="S1549" i="9"/>
  <c r="P1550" i="9"/>
  <c r="Q1550" i="9"/>
  <c r="R1550" i="9"/>
  <c r="S1550" i="9"/>
  <c r="P1551" i="9"/>
  <c r="Q1551" i="9"/>
  <c r="R1551" i="9"/>
  <c r="S1551" i="9"/>
  <c r="P1552" i="9"/>
  <c r="Q1552" i="9"/>
  <c r="R1552" i="9"/>
  <c r="S1552" i="9"/>
  <c r="P1553" i="9"/>
  <c r="Q1553" i="9"/>
  <c r="R1553" i="9"/>
  <c r="S1553" i="9"/>
  <c r="P1554" i="9"/>
  <c r="Q1554" i="9"/>
  <c r="R1554" i="9"/>
  <c r="S1554" i="9"/>
  <c r="P1555" i="9"/>
  <c r="Q1555" i="9"/>
  <c r="R1555" i="9"/>
  <c r="S1555" i="9"/>
  <c r="P1556" i="9"/>
  <c r="Q1556" i="9"/>
  <c r="R1556" i="9"/>
  <c r="S1556" i="9"/>
  <c r="P1557" i="9"/>
  <c r="Q1557" i="9"/>
  <c r="R1557" i="9"/>
  <c r="S1557" i="9"/>
  <c r="P1558" i="9"/>
  <c r="Q1558" i="9"/>
  <c r="R1558" i="9"/>
  <c r="S1558" i="9"/>
  <c r="P1559" i="9"/>
  <c r="Q1559" i="9"/>
  <c r="R1559" i="9"/>
  <c r="S1559" i="9"/>
  <c r="P1560" i="9"/>
  <c r="Q1560" i="9"/>
  <c r="R1560" i="9"/>
  <c r="S1560" i="9"/>
  <c r="P1561" i="9"/>
  <c r="Q1561" i="9"/>
  <c r="R1561" i="9"/>
  <c r="S1561" i="9"/>
  <c r="P1562" i="9"/>
  <c r="Q1562" i="9"/>
  <c r="R1562" i="9"/>
  <c r="S1562" i="9"/>
  <c r="P1563" i="9"/>
  <c r="Q1563" i="9"/>
  <c r="R1563" i="9"/>
  <c r="S1563" i="9"/>
  <c r="P1564" i="9"/>
  <c r="Q1564" i="9"/>
  <c r="R1564" i="9"/>
  <c r="S1564" i="9"/>
  <c r="P1565" i="9"/>
  <c r="Q1565" i="9"/>
  <c r="R1565" i="9"/>
  <c r="S1565" i="9"/>
  <c r="P1566" i="9"/>
  <c r="Q1566" i="9"/>
  <c r="R1566" i="9"/>
  <c r="S1566" i="9"/>
  <c r="P1567" i="9"/>
  <c r="Q1567" i="9"/>
  <c r="R1567" i="9"/>
  <c r="S1567" i="9"/>
  <c r="P1568" i="9"/>
  <c r="Q1568" i="9"/>
  <c r="R1568" i="9"/>
  <c r="S1568" i="9"/>
  <c r="P1569" i="9"/>
  <c r="Q1569" i="9"/>
  <c r="R1569" i="9"/>
  <c r="S1569" i="9"/>
  <c r="P1570" i="9"/>
  <c r="Q1570" i="9"/>
  <c r="R1570" i="9"/>
  <c r="S1570" i="9"/>
  <c r="P1571" i="9"/>
  <c r="Q1571" i="9"/>
  <c r="R1571" i="9"/>
  <c r="S1571" i="9"/>
  <c r="P1572" i="9"/>
  <c r="Q1572" i="9"/>
  <c r="R1572" i="9"/>
  <c r="S1572" i="9"/>
  <c r="P1573" i="9"/>
  <c r="Q1573" i="9"/>
  <c r="R1573" i="9"/>
  <c r="S1573" i="9"/>
  <c r="P1574" i="9"/>
  <c r="Q1574" i="9"/>
  <c r="R1574" i="9"/>
  <c r="S1574" i="9"/>
  <c r="P1575" i="9"/>
  <c r="Q1575" i="9"/>
  <c r="R1575" i="9"/>
  <c r="S1575" i="9"/>
  <c r="P1576" i="9"/>
  <c r="Q1576" i="9"/>
  <c r="R1576" i="9"/>
  <c r="S1576" i="9"/>
  <c r="P1577" i="9"/>
  <c r="Q1577" i="9"/>
  <c r="R1577" i="9"/>
  <c r="S1577" i="9"/>
  <c r="P1578" i="9"/>
  <c r="Q1578" i="9"/>
  <c r="R1578" i="9"/>
  <c r="S1578" i="9"/>
  <c r="P1579" i="9"/>
  <c r="Q1579" i="9"/>
  <c r="R1579" i="9"/>
  <c r="S1579" i="9"/>
  <c r="P1580" i="9"/>
  <c r="Q1580" i="9"/>
  <c r="R1580" i="9"/>
  <c r="S1580" i="9"/>
  <c r="P1581" i="9"/>
  <c r="Q1581" i="9"/>
  <c r="R1581" i="9"/>
  <c r="S1581" i="9"/>
  <c r="P1582" i="9"/>
  <c r="Q1582" i="9"/>
  <c r="R1582" i="9"/>
  <c r="S1582" i="9"/>
  <c r="P1583" i="9"/>
  <c r="Q1583" i="9"/>
  <c r="R1583" i="9"/>
  <c r="S1583" i="9"/>
  <c r="P1584" i="9"/>
  <c r="Q1584" i="9"/>
  <c r="R1584" i="9"/>
  <c r="S1584" i="9"/>
  <c r="P1585" i="9"/>
  <c r="Q1585" i="9"/>
  <c r="R1585" i="9"/>
  <c r="S1585" i="9"/>
  <c r="P1586" i="9"/>
  <c r="Q1586" i="9"/>
  <c r="R1586" i="9"/>
  <c r="S1586" i="9"/>
  <c r="P1587" i="9"/>
  <c r="Q1587" i="9"/>
  <c r="R1587" i="9"/>
  <c r="S1587" i="9"/>
  <c r="P1588" i="9"/>
  <c r="Q1588" i="9"/>
  <c r="R1588" i="9"/>
  <c r="S1588" i="9"/>
  <c r="P1589" i="9"/>
  <c r="Q1589" i="9"/>
  <c r="R1589" i="9"/>
  <c r="S1589" i="9"/>
  <c r="P1590" i="9"/>
  <c r="Q1590" i="9"/>
  <c r="R1590" i="9"/>
  <c r="S1590" i="9"/>
  <c r="P1591" i="9"/>
  <c r="Q1591" i="9"/>
  <c r="R1591" i="9"/>
  <c r="S1591" i="9"/>
  <c r="P1592" i="9"/>
  <c r="Q1592" i="9"/>
  <c r="R1592" i="9"/>
  <c r="S1592" i="9"/>
  <c r="P1593" i="9"/>
  <c r="Q1593" i="9"/>
  <c r="R1593" i="9"/>
  <c r="S1593" i="9"/>
  <c r="P1594" i="9"/>
  <c r="Q1594" i="9"/>
  <c r="R1594" i="9"/>
  <c r="S1594" i="9"/>
  <c r="P1595" i="9"/>
  <c r="Q1595" i="9"/>
  <c r="R1595" i="9"/>
  <c r="S1595" i="9"/>
  <c r="P1596" i="9"/>
  <c r="Q1596" i="9"/>
  <c r="R1596" i="9"/>
  <c r="S1596" i="9"/>
  <c r="P1597" i="9"/>
  <c r="Q1597" i="9"/>
  <c r="R1597" i="9"/>
  <c r="S1597" i="9"/>
  <c r="P1598" i="9"/>
  <c r="Q1598" i="9"/>
  <c r="R1598" i="9"/>
  <c r="S1598" i="9"/>
  <c r="P1599" i="9"/>
  <c r="Q1599" i="9"/>
  <c r="R1599" i="9"/>
  <c r="S1599" i="9"/>
  <c r="P1600" i="9"/>
  <c r="Q1600" i="9"/>
  <c r="R1600" i="9"/>
  <c r="S1600" i="9"/>
  <c r="P1601" i="9"/>
  <c r="Q1601" i="9"/>
  <c r="R1601" i="9"/>
  <c r="S1601" i="9"/>
  <c r="P1602" i="9"/>
  <c r="Q1602" i="9"/>
  <c r="R1602" i="9"/>
  <c r="S1602" i="9"/>
  <c r="P1603" i="9"/>
  <c r="Q1603" i="9"/>
  <c r="R1603" i="9"/>
  <c r="S1603" i="9"/>
  <c r="P1604" i="9"/>
  <c r="Q1604" i="9"/>
  <c r="R1604" i="9"/>
  <c r="S1604" i="9"/>
  <c r="P1605" i="9"/>
  <c r="Q1605" i="9"/>
  <c r="R1605" i="9"/>
  <c r="S1605" i="9"/>
  <c r="P1606" i="9"/>
  <c r="Q1606" i="9"/>
  <c r="R1606" i="9"/>
  <c r="S1606" i="9"/>
  <c r="P1607" i="9"/>
  <c r="Q1607" i="9"/>
  <c r="R1607" i="9"/>
  <c r="S1607" i="9"/>
  <c r="P1608" i="9"/>
  <c r="Q1608" i="9"/>
  <c r="R1608" i="9"/>
  <c r="S1608" i="9"/>
  <c r="P1609" i="9"/>
  <c r="Q1609" i="9"/>
  <c r="R1609" i="9"/>
  <c r="S1609" i="9"/>
  <c r="P1610" i="9"/>
  <c r="Q1610" i="9"/>
  <c r="R1610" i="9"/>
  <c r="S1610" i="9"/>
  <c r="P1611" i="9"/>
  <c r="Q1611" i="9"/>
  <c r="R1611" i="9"/>
  <c r="S1611" i="9"/>
  <c r="P1612" i="9"/>
  <c r="Q1612" i="9"/>
  <c r="R1612" i="9"/>
  <c r="S1612" i="9"/>
  <c r="P1613" i="9"/>
  <c r="Q1613" i="9"/>
  <c r="R1613" i="9"/>
  <c r="S1613" i="9"/>
  <c r="P1614" i="9"/>
  <c r="Q1614" i="9"/>
  <c r="R1614" i="9"/>
  <c r="S1614" i="9"/>
  <c r="P1615" i="9"/>
  <c r="Q1615" i="9"/>
  <c r="R1615" i="9"/>
  <c r="S1615" i="9"/>
  <c r="P1616" i="9"/>
  <c r="Q1616" i="9"/>
  <c r="R1616" i="9"/>
  <c r="S1616" i="9"/>
  <c r="P1617" i="9"/>
  <c r="Q1617" i="9"/>
  <c r="R1617" i="9"/>
  <c r="S1617" i="9"/>
  <c r="P1618" i="9"/>
  <c r="Q1618" i="9"/>
  <c r="R1618" i="9"/>
  <c r="S1618" i="9"/>
  <c r="P1619" i="9"/>
  <c r="Q1619" i="9"/>
  <c r="R1619" i="9"/>
  <c r="S1619" i="9"/>
  <c r="P1620" i="9"/>
  <c r="Q1620" i="9"/>
  <c r="R1620" i="9"/>
  <c r="S1620" i="9"/>
  <c r="P1621" i="9"/>
  <c r="Q1621" i="9"/>
  <c r="R1621" i="9"/>
  <c r="S1621" i="9"/>
  <c r="P1622" i="9"/>
  <c r="Q1622" i="9"/>
  <c r="R1622" i="9"/>
  <c r="S1622" i="9"/>
  <c r="P1623" i="9"/>
  <c r="Q1623" i="9"/>
  <c r="R1623" i="9"/>
  <c r="S1623" i="9"/>
  <c r="P1624" i="9"/>
  <c r="Q1624" i="9"/>
  <c r="R1624" i="9"/>
  <c r="S1624" i="9"/>
  <c r="P1625" i="9"/>
  <c r="Q1625" i="9"/>
  <c r="R1625" i="9"/>
  <c r="S1625" i="9"/>
  <c r="P1626" i="9"/>
  <c r="Q1626" i="9"/>
  <c r="R1626" i="9"/>
  <c r="S1626" i="9"/>
  <c r="P1627" i="9"/>
  <c r="Q1627" i="9"/>
  <c r="R1627" i="9"/>
  <c r="S1627" i="9"/>
  <c r="P1628" i="9"/>
  <c r="Q1628" i="9"/>
  <c r="R1628" i="9"/>
  <c r="S1628" i="9"/>
  <c r="P1629" i="9"/>
  <c r="Q1629" i="9"/>
  <c r="R1629" i="9"/>
  <c r="S1629" i="9"/>
  <c r="P1630" i="9"/>
  <c r="Q1630" i="9"/>
  <c r="R1630" i="9"/>
  <c r="S1630" i="9"/>
  <c r="P1631" i="9"/>
  <c r="Q1631" i="9"/>
  <c r="R1631" i="9"/>
  <c r="S1631" i="9"/>
  <c r="P1632" i="9"/>
  <c r="Q1632" i="9"/>
  <c r="R1632" i="9"/>
  <c r="S1632" i="9"/>
  <c r="P1633" i="9"/>
  <c r="Q1633" i="9"/>
  <c r="R1633" i="9"/>
  <c r="S1633" i="9"/>
  <c r="P1634" i="9"/>
  <c r="Q1634" i="9"/>
  <c r="R1634" i="9"/>
  <c r="S1634" i="9"/>
  <c r="P1635" i="9"/>
  <c r="Q1635" i="9"/>
  <c r="R1635" i="9"/>
  <c r="S1635" i="9"/>
  <c r="P1636" i="9"/>
  <c r="Q1636" i="9"/>
  <c r="R1636" i="9"/>
  <c r="S1636" i="9"/>
  <c r="P1637" i="9"/>
  <c r="Q1637" i="9"/>
  <c r="R1637" i="9"/>
  <c r="S1637" i="9"/>
  <c r="P1638" i="9"/>
  <c r="Q1638" i="9"/>
  <c r="R1638" i="9"/>
  <c r="S1638" i="9"/>
  <c r="P1639" i="9"/>
  <c r="Q1639" i="9"/>
  <c r="R1639" i="9"/>
  <c r="S1639" i="9"/>
  <c r="P1640" i="9"/>
  <c r="Q1640" i="9"/>
  <c r="R1640" i="9"/>
  <c r="S1640" i="9"/>
  <c r="P1641" i="9"/>
  <c r="Q1641" i="9"/>
  <c r="R1641" i="9"/>
  <c r="S1641" i="9"/>
  <c r="P1642" i="9"/>
  <c r="Q1642" i="9"/>
  <c r="R1642" i="9"/>
  <c r="S1642" i="9"/>
  <c r="P1643" i="9"/>
  <c r="Q1643" i="9"/>
  <c r="R1643" i="9"/>
  <c r="S1643" i="9"/>
  <c r="P1644" i="9"/>
  <c r="Q1644" i="9"/>
  <c r="R1644" i="9"/>
  <c r="S1644" i="9"/>
  <c r="P1645" i="9"/>
  <c r="Q1645" i="9"/>
  <c r="R1645" i="9"/>
  <c r="S1645" i="9"/>
  <c r="P1646" i="9"/>
  <c r="Q1646" i="9"/>
  <c r="R1646" i="9"/>
  <c r="S1646" i="9"/>
  <c r="P1647" i="9"/>
  <c r="Q1647" i="9"/>
  <c r="R1647" i="9"/>
  <c r="S1647" i="9"/>
  <c r="P1648" i="9"/>
  <c r="Q1648" i="9"/>
  <c r="R1648" i="9"/>
  <c r="S1648" i="9"/>
  <c r="P1649" i="9"/>
  <c r="Q1649" i="9"/>
  <c r="R1649" i="9"/>
  <c r="S1649" i="9"/>
  <c r="P1650" i="9"/>
  <c r="Q1650" i="9"/>
  <c r="R1650" i="9"/>
  <c r="S1650" i="9"/>
  <c r="P1651" i="9"/>
  <c r="Q1651" i="9"/>
  <c r="R1651" i="9"/>
  <c r="S1651" i="9"/>
  <c r="P1652" i="9"/>
  <c r="Q1652" i="9"/>
  <c r="R1652" i="9"/>
  <c r="S1652" i="9"/>
  <c r="P1653" i="9"/>
  <c r="Q1653" i="9"/>
  <c r="R1653" i="9"/>
  <c r="S1653" i="9"/>
  <c r="P1654" i="9"/>
  <c r="Q1654" i="9"/>
  <c r="R1654" i="9"/>
  <c r="S1654" i="9"/>
  <c r="P1655" i="9"/>
  <c r="Q1655" i="9"/>
  <c r="R1655" i="9"/>
  <c r="S1655" i="9"/>
  <c r="P1656" i="9"/>
  <c r="Q1656" i="9"/>
  <c r="R1656" i="9"/>
  <c r="S1656" i="9"/>
  <c r="P1657" i="9"/>
  <c r="Q1657" i="9"/>
  <c r="R1657" i="9"/>
  <c r="S1657" i="9"/>
  <c r="P1658" i="9"/>
  <c r="Q1658" i="9"/>
  <c r="R1658" i="9"/>
  <c r="S1658" i="9"/>
  <c r="P1659" i="9"/>
  <c r="Q1659" i="9"/>
  <c r="R1659" i="9"/>
  <c r="S1659" i="9"/>
  <c r="P1660" i="9"/>
  <c r="Q1660" i="9"/>
  <c r="R1660" i="9"/>
  <c r="S1660" i="9"/>
  <c r="P1661" i="9"/>
  <c r="Q1661" i="9"/>
  <c r="R1661" i="9"/>
  <c r="S1661" i="9"/>
  <c r="P1662" i="9"/>
  <c r="Q1662" i="9"/>
  <c r="R1662" i="9"/>
  <c r="S1662" i="9"/>
  <c r="P1663" i="9"/>
  <c r="Q1663" i="9"/>
  <c r="R1663" i="9"/>
  <c r="S1663" i="9"/>
  <c r="P1664" i="9"/>
  <c r="Q1664" i="9"/>
  <c r="R1664" i="9"/>
  <c r="S1664" i="9"/>
  <c r="P1665" i="9"/>
  <c r="Q1665" i="9"/>
  <c r="R1665" i="9"/>
  <c r="S1665" i="9"/>
  <c r="P1666" i="9"/>
  <c r="Q1666" i="9"/>
  <c r="R1666" i="9"/>
  <c r="S1666" i="9"/>
  <c r="P1667" i="9"/>
  <c r="Q1667" i="9"/>
  <c r="R1667" i="9"/>
  <c r="S1667" i="9"/>
  <c r="P1668" i="9"/>
  <c r="Q1668" i="9"/>
  <c r="R1668" i="9"/>
  <c r="S1668" i="9"/>
  <c r="P1669" i="9"/>
  <c r="Q1669" i="9"/>
  <c r="R1669" i="9"/>
  <c r="S1669" i="9"/>
  <c r="P1670" i="9"/>
  <c r="Q1670" i="9"/>
  <c r="R1670" i="9"/>
  <c r="S1670" i="9"/>
  <c r="P1671" i="9"/>
  <c r="Q1671" i="9"/>
  <c r="R1671" i="9"/>
  <c r="S1671" i="9"/>
  <c r="P1672" i="9"/>
  <c r="Q1672" i="9"/>
  <c r="R1672" i="9"/>
  <c r="S1672" i="9"/>
  <c r="P1673" i="9"/>
  <c r="Q1673" i="9"/>
  <c r="R1673" i="9"/>
  <c r="S1673" i="9"/>
  <c r="P1674" i="9"/>
  <c r="Q1674" i="9"/>
  <c r="R1674" i="9"/>
  <c r="S1674" i="9"/>
  <c r="P1675" i="9"/>
  <c r="Q1675" i="9"/>
  <c r="R1675" i="9"/>
  <c r="S1675" i="9"/>
  <c r="P1676" i="9"/>
  <c r="Q1676" i="9"/>
  <c r="R1676" i="9"/>
  <c r="S1676" i="9"/>
  <c r="P1677" i="9"/>
  <c r="Q1677" i="9"/>
  <c r="R1677" i="9"/>
  <c r="S1677" i="9"/>
  <c r="P1678" i="9"/>
  <c r="Q1678" i="9"/>
  <c r="R1678" i="9"/>
  <c r="S1678" i="9"/>
  <c r="P1679" i="9"/>
  <c r="Q1679" i="9"/>
  <c r="R1679" i="9"/>
  <c r="S1679" i="9"/>
  <c r="P1680" i="9"/>
  <c r="Q1680" i="9"/>
  <c r="R1680" i="9"/>
  <c r="S1680" i="9"/>
  <c r="P1681" i="9"/>
  <c r="Q1681" i="9"/>
  <c r="R1681" i="9"/>
  <c r="S1681" i="9"/>
  <c r="P1682" i="9"/>
  <c r="Q1682" i="9"/>
  <c r="R1682" i="9"/>
  <c r="S1682" i="9"/>
  <c r="P1683" i="9"/>
  <c r="Q1683" i="9"/>
  <c r="R1683" i="9"/>
  <c r="S1683" i="9"/>
  <c r="P1684" i="9"/>
  <c r="Q1684" i="9"/>
  <c r="R1684" i="9"/>
  <c r="S1684" i="9"/>
  <c r="P1685" i="9"/>
  <c r="Q1685" i="9"/>
  <c r="R1685" i="9"/>
  <c r="S1685" i="9"/>
  <c r="P1686" i="9"/>
  <c r="Q1686" i="9"/>
  <c r="R1686" i="9"/>
  <c r="S1686" i="9"/>
  <c r="P1687" i="9"/>
  <c r="Q1687" i="9"/>
  <c r="R1687" i="9"/>
  <c r="S1687" i="9"/>
  <c r="P1688" i="9"/>
  <c r="Q1688" i="9"/>
  <c r="R1688" i="9"/>
  <c r="S1688" i="9"/>
  <c r="P1689" i="9"/>
  <c r="Q1689" i="9"/>
  <c r="R1689" i="9"/>
  <c r="S1689" i="9"/>
  <c r="P1690" i="9"/>
  <c r="Q1690" i="9"/>
  <c r="R1690" i="9"/>
  <c r="S1690" i="9"/>
  <c r="P1691" i="9"/>
  <c r="Q1691" i="9"/>
  <c r="R1691" i="9"/>
  <c r="S1691" i="9"/>
  <c r="P1692" i="9"/>
  <c r="Q1692" i="9"/>
  <c r="R1692" i="9"/>
  <c r="S1692" i="9"/>
  <c r="P1693" i="9"/>
  <c r="Q1693" i="9"/>
  <c r="R1693" i="9"/>
  <c r="S1693" i="9"/>
  <c r="P1694" i="9"/>
  <c r="Q1694" i="9"/>
  <c r="R1694" i="9"/>
  <c r="S1694" i="9"/>
  <c r="P1695" i="9"/>
  <c r="Q1695" i="9"/>
  <c r="R1695" i="9"/>
  <c r="S1695" i="9"/>
  <c r="P1696" i="9"/>
  <c r="Q1696" i="9"/>
  <c r="R1696" i="9"/>
  <c r="S1696" i="9"/>
  <c r="P1697" i="9"/>
  <c r="Q1697" i="9"/>
  <c r="R1697" i="9"/>
  <c r="S1697" i="9"/>
  <c r="P1698" i="9"/>
  <c r="Q1698" i="9"/>
  <c r="R1698" i="9"/>
  <c r="S1698" i="9"/>
  <c r="P1699" i="9"/>
  <c r="Q1699" i="9"/>
  <c r="R1699" i="9"/>
  <c r="S1699" i="9"/>
  <c r="P1700" i="9"/>
  <c r="Q1700" i="9"/>
  <c r="R1700" i="9"/>
  <c r="S1700" i="9"/>
  <c r="P1701" i="9"/>
  <c r="Q1701" i="9"/>
  <c r="R1701" i="9"/>
  <c r="S1701" i="9"/>
  <c r="P1702" i="9"/>
  <c r="Q1702" i="9"/>
  <c r="R1702" i="9"/>
  <c r="S1702" i="9"/>
  <c r="P1703" i="9"/>
  <c r="Q1703" i="9"/>
  <c r="R1703" i="9"/>
  <c r="S1703" i="9"/>
  <c r="P1704" i="9"/>
  <c r="Q1704" i="9"/>
  <c r="R1704" i="9"/>
  <c r="S1704" i="9"/>
  <c r="P1705" i="9"/>
  <c r="Q1705" i="9"/>
  <c r="R1705" i="9"/>
  <c r="S1705" i="9"/>
  <c r="P1706" i="9"/>
  <c r="Q1706" i="9"/>
  <c r="R1706" i="9"/>
  <c r="S1706" i="9"/>
  <c r="P1707" i="9"/>
  <c r="Q1707" i="9"/>
  <c r="R1707" i="9"/>
  <c r="S1707" i="9"/>
  <c r="P1708" i="9"/>
  <c r="Q1708" i="9"/>
  <c r="R1708" i="9"/>
  <c r="S1708" i="9"/>
  <c r="P1709" i="9"/>
  <c r="Q1709" i="9"/>
  <c r="R1709" i="9"/>
  <c r="S1709" i="9"/>
  <c r="P1710" i="9"/>
  <c r="Q1710" i="9"/>
  <c r="R1710" i="9"/>
  <c r="S1710" i="9"/>
  <c r="P1711" i="9"/>
  <c r="Q1711" i="9"/>
  <c r="R1711" i="9"/>
  <c r="S1711" i="9"/>
  <c r="P1712" i="9"/>
  <c r="Q1712" i="9"/>
  <c r="R1712" i="9"/>
  <c r="S1712" i="9"/>
  <c r="P1713" i="9"/>
  <c r="Q1713" i="9"/>
  <c r="R1713" i="9"/>
  <c r="S1713" i="9"/>
  <c r="P1714" i="9"/>
  <c r="Q1714" i="9"/>
  <c r="R1714" i="9"/>
  <c r="S1714" i="9"/>
  <c r="P1715" i="9"/>
  <c r="Q1715" i="9"/>
  <c r="R1715" i="9"/>
  <c r="S1715" i="9"/>
  <c r="P1716" i="9"/>
  <c r="Q1716" i="9"/>
  <c r="R1716" i="9"/>
  <c r="S1716" i="9"/>
  <c r="P1717" i="9"/>
  <c r="Q1717" i="9"/>
  <c r="R1717" i="9"/>
  <c r="S1717" i="9"/>
  <c r="P1718" i="9"/>
  <c r="Q1718" i="9"/>
  <c r="R1718" i="9"/>
  <c r="S1718" i="9"/>
  <c r="P1719" i="9"/>
  <c r="Q1719" i="9"/>
  <c r="R1719" i="9"/>
  <c r="S1719" i="9"/>
  <c r="P1720" i="9"/>
  <c r="Q1720" i="9"/>
  <c r="R1720" i="9"/>
  <c r="S1720" i="9"/>
  <c r="P1721" i="9"/>
  <c r="Q1721" i="9"/>
  <c r="R1721" i="9"/>
  <c r="S1721" i="9"/>
  <c r="P1722" i="9"/>
  <c r="Q1722" i="9"/>
  <c r="R1722" i="9"/>
  <c r="S1722" i="9"/>
  <c r="P1723" i="9"/>
  <c r="Q1723" i="9"/>
  <c r="R1723" i="9"/>
  <c r="S1723" i="9"/>
  <c r="P1724" i="9"/>
  <c r="Q1724" i="9"/>
  <c r="R1724" i="9"/>
  <c r="S1724" i="9"/>
  <c r="P1725" i="9"/>
  <c r="Q1725" i="9"/>
  <c r="R1725" i="9"/>
  <c r="S1725" i="9"/>
  <c r="P1726" i="9"/>
  <c r="Q1726" i="9"/>
  <c r="R1726" i="9"/>
  <c r="S1726" i="9"/>
  <c r="P1727" i="9"/>
  <c r="Q1727" i="9"/>
  <c r="R1727" i="9"/>
  <c r="S1727" i="9"/>
  <c r="P1728" i="9"/>
  <c r="Q1728" i="9"/>
  <c r="R1728" i="9"/>
  <c r="S1728" i="9"/>
  <c r="P1729" i="9"/>
  <c r="Q1729" i="9"/>
  <c r="R1729" i="9"/>
  <c r="S1729" i="9"/>
  <c r="P1730" i="9"/>
  <c r="Q1730" i="9"/>
  <c r="R1730" i="9"/>
  <c r="S1730" i="9"/>
  <c r="P1731" i="9"/>
  <c r="Q1731" i="9"/>
  <c r="R1731" i="9"/>
  <c r="S1731" i="9"/>
  <c r="P1732" i="9"/>
  <c r="Q1732" i="9"/>
  <c r="R1732" i="9"/>
  <c r="S1732" i="9"/>
  <c r="P1733" i="9"/>
  <c r="Q1733" i="9"/>
  <c r="R1733" i="9"/>
  <c r="S1733" i="9"/>
  <c r="P1734" i="9"/>
  <c r="Q1734" i="9"/>
  <c r="R1734" i="9"/>
  <c r="S1734" i="9"/>
  <c r="P1735" i="9"/>
  <c r="Q1735" i="9"/>
  <c r="R1735" i="9"/>
  <c r="S1735" i="9"/>
  <c r="P1736" i="9"/>
  <c r="Q1736" i="9"/>
  <c r="R1736" i="9"/>
  <c r="S1736" i="9"/>
  <c r="P1737" i="9"/>
  <c r="Q1737" i="9"/>
  <c r="R1737" i="9"/>
  <c r="S1737" i="9"/>
  <c r="P1738" i="9"/>
  <c r="Q1738" i="9"/>
  <c r="R1738" i="9"/>
  <c r="S1738" i="9"/>
  <c r="P1739" i="9"/>
  <c r="Q1739" i="9"/>
  <c r="R1739" i="9"/>
  <c r="S1739" i="9"/>
  <c r="P1740" i="9"/>
  <c r="Q1740" i="9"/>
  <c r="R1740" i="9"/>
  <c r="S1740" i="9"/>
  <c r="P1741" i="9"/>
  <c r="Q1741" i="9"/>
  <c r="R1741" i="9"/>
  <c r="S1741" i="9"/>
  <c r="P1742" i="9"/>
  <c r="Q1742" i="9"/>
  <c r="R1742" i="9"/>
  <c r="S1742" i="9"/>
  <c r="P1743" i="9"/>
  <c r="Q1743" i="9"/>
  <c r="R1743" i="9"/>
  <c r="S1743" i="9"/>
  <c r="P1744" i="9"/>
  <c r="Q1744" i="9"/>
  <c r="R1744" i="9"/>
  <c r="S1744" i="9"/>
  <c r="P1745" i="9"/>
  <c r="Q1745" i="9"/>
  <c r="R1745" i="9"/>
  <c r="S1745" i="9"/>
  <c r="P1746" i="9"/>
  <c r="Q1746" i="9"/>
  <c r="R1746" i="9"/>
  <c r="S1746" i="9"/>
  <c r="P1747" i="9"/>
  <c r="Q1747" i="9"/>
  <c r="R1747" i="9"/>
  <c r="S1747" i="9"/>
  <c r="P1748" i="9"/>
  <c r="Q1748" i="9"/>
  <c r="R1748" i="9"/>
  <c r="S1748" i="9"/>
  <c r="P1749" i="9"/>
  <c r="Q1749" i="9"/>
  <c r="R1749" i="9"/>
  <c r="S1749" i="9"/>
  <c r="P1750" i="9"/>
  <c r="Q1750" i="9"/>
  <c r="R1750" i="9"/>
  <c r="S1750" i="9"/>
  <c r="P1751" i="9"/>
  <c r="Q1751" i="9"/>
  <c r="R1751" i="9"/>
  <c r="S1751" i="9"/>
  <c r="P1752" i="9"/>
  <c r="Q1752" i="9"/>
  <c r="R1752" i="9"/>
  <c r="S1752" i="9"/>
  <c r="P1753" i="9"/>
  <c r="Q1753" i="9"/>
  <c r="R1753" i="9"/>
  <c r="S1753" i="9"/>
  <c r="P1754" i="9"/>
  <c r="Q1754" i="9"/>
  <c r="R1754" i="9"/>
  <c r="S1754" i="9"/>
  <c r="P1755" i="9"/>
  <c r="Q1755" i="9"/>
  <c r="R1755" i="9"/>
  <c r="S1755" i="9"/>
  <c r="P1756" i="9"/>
  <c r="Q1756" i="9"/>
  <c r="R1756" i="9"/>
  <c r="S1756" i="9"/>
  <c r="P1757" i="9"/>
  <c r="Q1757" i="9"/>
  <c r="R1757" i="9"/>
  <c r="S1757" i="9"/>
  <c r="P1758" i="9"/>
  <c r="Q1758" i="9"/>
  <c r="R1758" i="9"/>
  <c r="S1758" i="9"/>
  <c r="P1759" i="9"/>
  <c r="Q1759" i="9"/>
  <c r="R1759" i="9"/>
  <c r="S1759" i="9"/>
  <c r="P1760" i="9"/>
  <c r="Q1760" i="9"/>
  <c r="R1760" i="9"/>
  <c r="S1760" i="9"/>
  <c r="P1761" i="9"/>
  <c r="Q1761" i="9"/>
  <c r="R1761" i="9"/>
  <c r="S1761" i="9"/>
  <c r="P1762" i="9"/>
  <c r="Q1762" i="9"/>
  <c r="R1762" i="9"/>
  <c r="S1762" i="9"/>
  <c r="P1763" i="9"/>
  <c r="Q1763" i="9"/>
  <c r="R1763" i="9"/>
  <c r="S1763" i="9"/>
  <c r="P1764" i="9"/>
  <c r="Q1764" i="9"/>
  <c r="R1764" i="9"/>
  <c r="S1764" i="9"/>
  <c r="P1765" i="9"/>
  <c r="Q1765" i="9"/>
  <c r="R1765" i="9"/>
  <c r="S1765" i="9"/>
  <c r="P1766" i="9"/>
  <c r="Q1766" i="9"/>
  <c r="R1766" i="9"/>
  <c r="S1766" i="9"/>
  <c r="P1767" i="9"/>
  <c r="Q1767" i="9"/>
  <c r="R1767" i="9"/>
  <c r="S1767" i="9"/>
  <c r="P1768" i="9"/>
  <c r="Q1768" i="9"/>
  <c r="R1768" i="9"/>
  <c r="S1768" i="9"/>
  <c r="P1769" i="9"/>
  <c r="Q1769" i="9"/>
  <c r="R1769" i="9"/>
  <c r="S1769" i="9"/>
  <c r="P1770" i="9"/>
  <c r="Q1770" i="9"/>
  <c r="R1770" i="9"/>
  <c r="S1770" i="9"/>
  <c r="P1771" i="9"/>
  <c r="Q1771" i="9"/>
  <c r="R1771" i="9"/>
  <c r="S1771" i="9"/>
  <c r="P1772" i="9"/>
  <c r="Q1772" i="9"/>
  <c r="R1772" i="9"/>
  <c r="S1772" i="9"/>
  <c r="P1773" i="9"/>
  <c r="Q1773" i="9"/>
  <c r="R1773" i="9"/>
  <c r="S1773" i="9"/>
  <c r="P1774" i="9"/>
  <c r="Q1774" i="9"/>
  <c r="R1774" i="9"/>
  <c r="S1774" i="9"/>
  <c r="P1775" i="9"/>
  <c r="Q1775" i="9"/>
  <c r="R1775" i="9"/>
  <c r="S1775" i="9"/>
  <c r="P1776" i="9"/>
  <c r="Q1776" i="9"/>
  <c r="R1776" i="9"/>
  <c r="S1776" i="9"/>
  <c r="P1777" i="9"/>
  <c r="Q1777" i="9"/>
  <c r="R1777" i="9"/>
  <c r="S1777" i="9"/>
  <c r="P1778" i="9"/>
  <c r="Q1778" i="9"/>
  <c r="R1778" i="9"/>
  <c r="S1778" i="9"/>
  <c r="P1779" i="9"/>
  <c r="Q1779" i="9"/>
  <c r="R1779" i="9"/>
  <c r="S1779" i="9"/>
  <c r="P1780" i="9"/>
  <c r="Q1780" i="9"/>
  <c r="R1780" i="9"/>
  <c r="S1780" i="9"/>
  <c r="P1781" i="9"/>
  <c r="Q1781" i="9"/>
  <c r="R1781" i="9"/>
  <c r="S1781" i="9"/>
  <c r="P1782" i="9"/>
  <c r="Q1782" i="9"/>
  <c r="R1782" i="9"/>
  <c r="S1782" i="9"/>
  <c r="P1783" i="9"/>
  <c r="Q1783" i="9"/>
  <c r="R1783" i="9"/>
  <c r="S1783" i="9"/>
  <c r="P1784" i="9"/>
  <c r="Q1784" i="9"/>
  <c r="R1784" i="9"/>
  <c r="S1784" i="9"/>
  <c r="P1785" i="9"/>
  <c r="Q1785" i="9"/>
  <c r="R1785" i="9"/>
  <c r="S1785" i="9"/>
  <c r="P1786" i="9"/>
  <c r="Q1786" i="9"/>
  <c r="R1786" i="9"/>
  <c r="S1786" i="9"/>
  <c r="P1787" i="9"/>
  <c r="Q1787" i="9"/>
  <c r="R1787" i="9"/>
  <c r="S1787" i="9"/>
  <c r="P1788" i="9"/>
  <c r="Q1788" i="9"/>
  <c r="R1788" i="9"/>
  <c r="S1788" i="9"/>
  <c r="P1789" i="9"/>
  <c r="Q1789" i="9"/>
  <c r="R1789" i="9"/>
  <c r="S1789" i="9"/>
  <c r="P1790" i="9"/>
  <c r="Q1790" i="9"/>
  <c r="R1790" i="9"/>
  <c r="S1790" i="9"/>
  <c r="P1791" i="9"/>
  <c r="Q1791" i="9"/>
  <c r="R1791" i="9"/>
  <c r="S1791" i="9"/>
  <c r="P1792" i="9"/>
  <c r="Q1792" i="9"/>
  <c r="R1792" i="9"/>
  <c r="S1792" i="9"/>
  <c r="P1793" i="9"/>
  <c r="Q1793" i="9"/>
  <c r="R1793" i="9"/>
  <c r="S1793" i="9"/>
  <c r="P1794" i="9"/>
  <c r="Q1794" i="9"/>
  <c r="R1794" i="9"/>
  <c r="S1794" i="9"/>
  <c r="P1795" i="9"/>
  <c r="Q1795" i="9"/>
  <c r="R1795" i="9"/>
  <c r="S1795" i="9"/>
  <c r="P1796" i="9"/>
  <c r="Q1796" i="9"/>
  <c r="R1796" i="9"/>
  <c r="S1796" i="9"/>
  <c r="P1797" i="9"/>
  <c r="Q1797" i="9"/>
  <c r="R1797" i="9"/>
  <c r="S1797" i="9"/>
  <c r="P1798" i="9"/>
  <c r="Q1798" i="9"/>
  <c r="R1798" i="9"/>
  <c r="S1798" i="9"/>
  <c r="P1799" i="9"/>
  <c r="Q1799" i="9"/>
  <c r="R1799" i="9"/>
  <c r="S1799" i="9"/>
  <c r="P1800" i="9"/>
  <c r="Q1800" i="9"/>
  <c r="R1800" i="9"/>
  <c r="S1800" i="9"/>
  <c r="P1801" i="9"/>
  <c r="Q1801" i="9"/>
  <c r="R1801" i="9"/>
  <c r="S1801" i="9"/>
  <c r="P1802" i="9"/>
  <c r="Q1802" i="9"/>
  <c r="R1802" i="9"/>
  <c r="S1802" i="9"/>
  <c r="P1803" i="9"/>
  <c r="Q1803" i="9"/>
  <c r="R1803" i="9"/>
  <c r="S1803" i="9"/>
  <c r="P1804" i="9"/>
  <c r="Q1804" i="9"/>
  <c r="R1804" i="9"/>
  <c r="S1804" i="9"/>
  <c r="P1805" i="9"/>
  <c r="Q1805" i="9"/>
  <c r="R1805" i="9"/>
  <c r="S1805" i="9"/>
  <c r="P1806" i="9"/>
  <c r="Q1806" i="9"/>
  <c r="R1806" i="9"/>
  <c r="S1806" i="9"/>
  <c r="P1807" i="9"/>
  <c r="Q1807" i="9"/>
  <c r="R1807" i="9"/>
  <c r="S1807" i="9"/>
  <c r="P1808" i="9"/>
  <c r="Q1808" i="9"/>
  <c r="R1808" i="9"/>
  <c r="S1808" i="9"/>
  <c r="P1809" i="9"/>
  <c r="Q1809" i="9"/>
  <c r="R1809" i="9"/>
  <c r="S1809" i="9"/>
  <c r="P1810" i="9"/>
  <c r="Q1810" i="9"/>
  <c r="R1810" i="9"/>
  <c r="S1810" i="9"/>
  <c r="P1811" i="9"/>
  <c r="Q1811" i="9"/>
  <c r="R1811" i="9"/>
  <c r="S1811" i="9"/>
  <c r="P1812" i="9"/>
  <c r="Q1812" i="9"/>
  <c r="R1812" i="9"/>
  <c r="S1812" i="9"/>
  <c r="P1813" i="9"/>
  <c r="Q1813" i="9"/>
  <c r="R1813" i="9"/>
  <c r="S1813" i="9"/>
  <c r="P1814" i="9"/>
  <c r="Q1814" i="9"/>
  <c r="R1814" i="9"/>
  <c r="S1814" i="9"/>
  <c r="P1815" i="9"/>
  <c r="Q1815" i="9"/>
  <c r="R1815" i="9"/>
  <c r="S1815" i="9"/>
  <c r="P1816" i="9"/>
  <c r="Q1816" i="9"/>
  <c r="R1816" i="9"/>
  <c r="S1816" i="9"/>
  <c r="P1817" i="9"/>
  <c r="Q1817" i="9"/>
  <c r="R1817" i="9"/>
  <c r="S1817" i="9"/>
  <c r="P1818" i="9"/>
  <c r="Q1818" i="9"/>
  <c r="R1818" i="9"/>
  <c r="S1818" i="9"/>
  <c r="P1819" i="9"/>
  <c r="Q1819" i="9"/>
  <c r="R1819" i="9"/>
  <c r="S1819" i="9"/>
  <c r="P1820" i="9"/>
  <c r="Q1820" i="9"/>
  <c r="R1820" i="9"/>
  <c r="S1820" i="9"/>
  <c r="P1821" i="9"/>
  <c r="Q1821" i="9"/>
  <c r="R1821" i="9"/>
  <c r="S1821" i="9"/>
  <c r="P1822" i="9"/>
  <c r="Q1822" i="9"/>
  <c r="R1822" i="9"/>
  <c r="S1822" i="9"/>
  <c r="P1823" i="9"/>
  <c r="Q1823" i="9"/>
  <c r="R1823" i="9"/>
  <c r="S1823" i="9"/>
  <c r="P1824" i="9"/>
  <c r="Q1824" i="9"/>
  <c r="R1824" i="9"/>
  <c r="S1824" i="9"/>
  <c r="P1825" i="9"/>
  <c r="Q1825" i="9"/>
  <c r="R1825" i="9"/>
  <c r="S1825" i="9"/>
  <c r="P1826" i="9"/>
  <c r="Q1826" i="9"/>
  <c r="R1826" i="9"/>
  <c r="S1826" i="9"/>
  <c r="P1827" i="9"/>
  <c r="Q1827" i="9"/>
  <c r="R1827" i="9"/>
  <c r="S1827" i="9"/>
  <c r="P1828" i="9"/>
  <c r="Q1828" i="9"/>
  <c r="R1828" i="9"/>
  <c r="S1828" i="9"/>
  <c r="P1829" i="9"/>
  <c r="Q1829" i="9"/>
  <c r="R1829" i="9"/>
  <c r="S1829" i="9"/>
  <c r="P1830" i="9"/>
  <c r="Q1830" i="9"/>
  <c r="R1830" i="9"/>
  <c r="S1830" i="9"/>
  <c r="P1831" i="9"/>
  <c r="Q1831" i="9"/>
  <c r="R1831" i="9"/>
  <c r="S1831" i="9"/>
  <c r="P1832" i="9"/>
  <c r="Q1832" i="9"/>
  <c r="R1832" i="9"/>
  <c r="S1832" i="9"/>
  <c r="P1833" i="9"/>
  <c r="Q1833" i="9"/>
  <c r="R1833" i="9"/>
  <c r="S1833" i="9"/>
  <c r="P1834" i="9"/>
  <c r="Q1834" i="9"/>
  <c r="R1834" i="9"/>
  <c r="S1834" i="9"/>
  <c r="P1835" i="9"/>
  <c r="Q1835" i="9"/>
  <c r="R1835" i="9"/>
  <c r="S1835" i="9"/>
  <c r="P1836" i="9"/>
  <c r="Q1836" i="9"/>
  <c r="R1836" i="9"/>
  <c r="S1836" i="9"/>
  <c r="P1837" i="9"/>
  <c r="Q1837" i="9"/>
  <c r="R1837" i="9"/>
  <c r="S1837" i="9"/>
  <c r="P1838" i="9"/>
  <c r="Q1838" i="9"/>
  <c r="R1838" i="9"/>
  <c r="S1838" i="9"/>
  <c r="P1839" i="9"/>
  <c r="Q1839" i="9"/>
  <c r="R1839" i="9"/>
  <c r="S1839" i="9"/>
  <c r="P1840" i="9"/>
  <c r="Q1840" i="9"/>
  <c r="R1840" i="9"/>
  <c r="S1840" i="9"/>
  <c r="P1841" i="9"/>
  <c r="Q1841" i="9"/>
  <c r="R1841" i="9"/>
  <c r="S1841" i="9"/>
  <c r="P1842" i="9"/>
  <c r="Q1842" i="9"/>
  <c r="R1842" i="9"/>
  <c r="S1842" i="9"/>
  <c r="P1843" i="9"/>
  <c r="Q1843" i="9"/>
  <c r="R1843" i="9"/>
  <c r="S1843" i="9"/>
  <c r="P1844" i="9"/>
  <c r="Q1844" i="9"/>
  <c r="R1844" i="9"/>
  <c r="S1844" i="9"/>
  <c r="P1845" i="9"/>
  <c r="Q1845" i="9"/>
  <c r="R1845" i="9"/>
  <c r="S1845" i="9"/>
  <c r="P1846" i="9"/>
  <c r="Q1846" i="9"/>
  <c r="R1846" i="9"/>
  <c r="S1846" i="9"/>
  <c r="P1847" i="9"/>
  <c r="Q1847" i="9"/>
  <c r="R1847" i="9"/>
  <c r="S1847" i="9"/>
  <c r="P1848" i="9"/>
  <c r="Q1848" i="9"/>
  <c r="R1848" i="9"/>
  <c r="S1848" i="9"/>
  <c r="P1849" i="9"/>
  <c r="Q1849" i="9"/>
  <c r="R1849" i="9"/>
  <c r="S1849" i="9"/>
  <c r="P1850" i="9"/>
  <c r="Q1850" i="9"/>
  <c r="R1850" i="9"/>
  <c r="S1850" i="9"/>
  <c r="P1851" i="9"/>
  <c r="Q1851" i="9"/>
  <c r="R1851" i="9"/>
  <c r="S1851" i="9"/>
  <c r="P1852" i="9"/>
  <c r="Q1852" i="9"/>
  <c r="R1852" i="9"/>
  <c r="S1852" i="9"/>
  <c r="P1853" i="9"/>
  <c r="Q1853" i="9"/>
  <c r="R1853" i="9"/>
  <c r="S1853" i="9"/>
  <c r="P1854" i="9"/>
  <c r="Q1854" i="9"/>
  <c r="R1854" i="9"/>
  <c r="S1854" i="9"/>
  <c r="P1855" i="9"/>
  <c r="Q1855" i="9"/>
  <c r="R1855" i="9"/>
  <c r="S1855" i="9"/>
  <c r="P1856" i="9"/>
  <c r="Q1856" i="9"/>
  <c r="R1856" i="9"/>
  <c r="S1856" i="9"/>
  <c r="P1857" i="9"/>
  <c r="Q1857" i="9"/>
  <c r="R1857" i="9"/>
  <c r="S1857" i="9"/>
  <c r="P1858" i="9"/>
  <c r="Q1858" i="9"/>
  <c r="R1858" i="9"/>
  <c r="S1858" i="9"/>
  <c r="P1859" i="9"/>
  <c r="Q1859" i="9"/>
  <c r="R1859" i="9"/>
  <c r="S1859" i="9"/>
  <c r="P1860" i="9"/>
  <c r="Q1860" i="9"/>
  <c r="R1860" i="9"/>
  <c r="S1860" i="9"/>
  <c r="P1861" i="9"/>
  <c r="Q1861" i="9"/>
  <c r="R1861" i="9"/>
  <c r="S1861" i="9"/>
  <c r="P1862" i="9"/>
  <c r="Q1862" i="9"/>
  <c r="R1862" i="9"/>
  <c r="S1862" i="9"/>
  <c r="P1863" i="9"/>
  <c r="Q1863" i="9"/>
  <c r="R1863" i="9"/>
  <c r="S1863" i="9"/>
  <c r="P1864" i="9"/>
  <c r="Q1864" i="9"/>
  <c r="R1864" i="9"/>
  <c r="S1864" i="9"/>
  <c r="P1865" i="9"/>
  <c r="Q1865" i="9"/>
  <c r="R1865" i="9"/>
  <c r="S1865" i="9"/>
  <c r="P1866" i="9"/>
  <c r="Q1866" i="9"/>
  <c r="R1866" i="9"/>
  <c r="S1866" i="9"/>
  <c r="P1867" i="9"/>
  <c r="Q1867" i="9"/>
  <c r="R1867" i="9"/>
  <c r="S1867" i="9"/>
  <c r="P1868" i="9"/>
  <c r="Q1868" i="9"/>
  <c r="R1868" i="9"/>
  <c r="S1868" i="9"/>
  <c r="P1869" i="9"/>
  <c r="Q1869" i="9"/>
  <c r="R1869" i="9"/>
  <c r="S1869" i="9"/>
  <c r="P1870" i="9"/>
  <c r="Q1870" i="9"/>
  <c r="R1870" i="9"/>
  <c r="S1870" i="9"/>
  <c r="P1871" i="9"/>
  <c r="Q1871" i="9"/>
  <c r="R1871" i="9"/>
  <c r="S1871" i="9"/>
  <c r="P1872" i="9"/>
  <c r="Q1872" i="9"/>
  <c r="R1872" i="9"/>
  <c r="S1872" i="9"/>
  <c r="P1873" i="9"/>
  <c r="Q1873" i="9"/>
  <c r="R1873" i="9"/>
  <c r="S1873" i="9"/>
  <c r="P1874" i="9"/>
  <c r="Q1874" i="9"/>
  <c r="R1874" i="9"/>
  <c r="S1874" i="9"/>
  <c r="P1875" i="9"/>
  <c r="Q1875" i="9"/>
  <c r="R1875" i="9"/>
  <c r="S1875" i="9"/>
  <c r="P1876" i="9"/>
  <c r="Q1876" i="9"/>
  <c r="R1876" i="9"/>
  <c r="S1876" i="9"/>
  <c r="P1877" i="9"/>
  <c r="Q1877" i="9"/>
  <c r="R1877" i="9"/>
  <c r="S1877" i="9"/>
  <c r="P1878" i="9"/>
  <c r="Q1878" i="9"/>
  <c r="R1878" i="9"/>
  <c r="S1878" i="9"/>
  <c r="P1879" i="9"/>
  <c r="Q1879" i="9"/>
  <c r="R1879" i="9"/>
  <c r="S1879" i="9"/>
  <c r="P1880" i="9"/>
  <c r="Q1880" i="9"/>
  <c r="R1880" i="9"/>
  <c r="S1880" i="9"/>
  <c r="P1881" i="9"/>
  <c r="Q1881" i="9"/>
  <c r="R1881" i="9"/>
  <c r="S1881" i="9"/>
  <c r="P1882" i="9"/>
  <c r="Q1882" i="9"/>
  <c r="R1882" i="9"/>
  <c r="S1882" i="9"/>
  <c r="P1883" i="9"/>
  <c r="Q1883" i="9"/>
  <c r="R1883" i="9"/>
  <c r="S1883" i="9"/>
  <c r="P1884" i="9"/>
  <c r="Q1884" i="9"/>
  <c r="R1884" i="9"/>
  <c r="S1884" i="9"/>
  <c r="P1885" i="9"/>
  <c r="Q1885" i="9"/>
  <c r="R1885" i="9"/>
  <c r="S1885" i="9"/>
  <c r="P1886" i="9"/>
  <c r="Q1886" i="9"/>
  <c r="R1886" i="9"/>
  <c r="S1886" i="9"/>
  <c r="P1887" i="9"/>
  <c r="Q1887" i="9"/>
  <c r="R1887" i="9"/>
  <c r="S1887" i="9"/>
  <c r="P1888" i="9"/>
  <c r="Q1888" i="9"/>
  <c r="R1888" i="9"/>
  <c r="S1888" i="9"/>
  <c r="P1889" i="9"/>
  <c r="Q1889" i="9"/>
  <c r="R1889" i="9"/>
  <c r="S1889" i="9"/>
  <c r="P1890" i="9"/>
  <c r="Q1890" i="9"/>
  <c r="R1890" i="9"/>
  <c r="S1890" i="9"/>
  <c r="P1891" i="9"/>
  <c r="Q1891" i="9"/>
  <c r="R1891" i="9"/>
  <c r="S1891" i="9"/>
  <c r="P1892" i="9"/>
  <c r="Q1892" i="9"/>
  <c r="R1892" i="9"/>
  <c r="S1892" i="9"/>
  <c r="P1893" i="9"/>
  <c r="Q1893" i="9"/>
  <c r="R1893" i="9"/>
  <c r="S1893" i="9"/>
  <c r="P1894" i="9"/>
  <c r="Q1894" i="9"/>
  <c r="R1894" i="9"/>
  <c r="S1894" i="9"/>
  <c r="P1895" i="9"/>
  <c r="Q1895" i="9"/>
  <c r="R1895" i="9"/>
  <c r="S1895" i="9"/>
  <c r="P1896" i="9"/>
  <c r="Q1896" i="9"/>
  <c r="R1896" i="9"/>
  <c r="S1896" i="9"/>
  <c r="P1897" i="9"/>
  <c r="Q1897" i="9"/>
  <c r="R1897" i="9"/>
  <c r="S1897" i="9"/>
  <c r="P1898" i="9"/>
  <c r="Q1898" i="9"/>
  <c r="R1898" i="9"/>
  <c r="S1898" i="9"/>
  <c r="P1899" i="9"/>
  <c r="Q1899" i="9"/>
  <c r="R1899" i="9"/>
  <c r="S1899" i="9"/>
  <c r="P1900" i="9"/>
  <c r="Q1900" i="9"/>
  <c r="R1900" i="9"/>
  <c r="S1900" i="9"/>
  <c r="P1901" i="9"/>
  <c r="Q1901" i="9"/>
  <c r="R1901" i="9"/>
  <c r="S1901" i="9"/>
  <c r="P1902" i="9"/>
  <c r="Q1902" i="9"/>
  <c r="R1902" i="9"/>
  <c r="S1902" i="9"/>
  <c r="P1903" i="9"/>
  <c r="Q1903" i="9"/>
  <c r="R1903" i="9"/>
  <c r="S1903" i="9"/>
  <c r="P1904" i="9"/>
  <c r="Q1904" i="9"/>
  <c r="R1904" i="9"/>
  <c r="S1904" i="9"/>
  <c r="P1905" i="9"/>
  <c r="Q1905" i="9"/>
  <c r="R1905" i="9"/>
  <c r="S1905" i="9"/>
  <c r="P1906" i="9"/>
  <c r="Q1906" i="9"/>
  <c r="R1906" i="9"/>
  <c r="S1906" i="9"/>
  <c r="P1907" i="9"/>
  <c r="Q1907" i="9"/>
  <c r="R1907" i="9"/>
  <c r="S1907" i="9"/>
  <c r="P1908" i="9"/>
  <c r="Q1908" i="9"/>
  <c r="R1908" i="9"/>
  <c r="S1908" i="9"/>
  <c r="P1909" i="9"/>
  <c r="Q1909" i="9"/>
  <c r="R1909" i="9"/>
  <c r="S1909" i="9"/>
  <c r="P1910" i="9"/>
  <c r="Q1910" i="9"/>
  <c r="R1910" i="9"/>
  <c r="S1910" i="9"/>
  <c r="P1911" i="9"/>
  <c r="Q1911" i="9"/>
  <c r="R1911" i="9"/>
  <c r="S1911" i="9"/>
  <c r="P1912" i="9"/>
  <c r="Q1912" i="9"/>
  <c r="R1912" i="9"/>
  <c r="S1912" i="9"/>
  <c r="P1913" i="9"/>
  <c r="Q1913" i="9"/>
  <c r="R1913" i="9"/>
  <c r="S1913" i="9"/>
  <c r="P1914" i="9"/>
  <c r="Q1914" i="9"/>
  <c r="R1914" i="9"/>
  <c r="S1914" i="9"/>
  <c r="P1915" i="9"/>
  <c r="Q1915" i="9"/>
  <c r="R1915" i="9"/>
  <c r="S1915" i="9"/>
  <c r="P1916" i="9"/>
  <c r="Q1916" i="9"/>
  <c r="R1916" i="9"/>
  <c r="S1916" i="9"/>
  <c r="P1917" i="9"/>
  <c r="Q1917" i="9"/>
  <c r="R1917" i="9"/>
  <c r="S1917" i="9"/>
  <c r="P1918" i="9"/>
  <c r="Q1918" i="9"/>
  <c r="R1918" i="9"/>
  <c r="S1918" i="9"/>
  <c r="P1919" i="9"/>
  <c r="Q1919" i="9"/>
  <c r="R1919" i="9"/>
  <c r="S1919" i="9"/>
  <c r="P1920" i="9"/>
  <c r="Q1920" i="9"/>
  <c r="R1920" i="9"/>
  <c r="S1920" i="9"/>
  <c r="P1921" i="9"/>
  <c r="Q1921" i="9"/>
  <c r="R1921" i="9"/>
  <c r="S1921" i="9"/>
  <c r="P1922" i="9"/>
  <c r="Q1922" i="9"/>
  <c r="R1922" i="9"/>
  <c r="S1922" i="9"/>
  <c r="P1923" i="9"/>
  <c r="Q1923" i="9"/>
  <c r="R1923" i="9"/>
  <c r="S1923" i="9"/>
  <c r="P1924" i="9"/>
  <c r="Q1924" i="9"/>
  <c r="R1924" i="9"/>
  <c r="S1924" i="9"/>
  <c r="P1925" i="9"/>
  <c r="Q1925" i="9"/>
  <c r="R1925" i="9"/>
  <c r="S1925" i="9"/>
  <c r="P1926" i="9"/>
  <c r="Q1926" i="9"/>
  <c r="R1926" i="9"/>
  <c r="S1926" i="9"/>
  <c r="P1927" i="9"/>
  <c r="Q1927" i="9"/>
  <c r="R1927" i="9"/>
  <c r="S1927" i="9"/>
  <c r="P1928" i="9"/>
  <c r="Q1928" i="9"/>
  <c r="R1928" i="9"/>
  <c r="S1928" i="9"/>
  <c r="P1929" i="9"/>
  <c r="Q1929" i="9"/>
  <c r="R1929" i="9"/>
  <c r="S1929" i="9"/>
  <c r="P1930" i="9"/>
  <c r="Q1930" i="9"/>
  <c r="R1930" i="9"/>
  <c r="S1930" i="9"/>
  <c r="P1931" i="9"/>
  <c r="Q1931" i="9"/>
  <c r="R1931" i="9"/>
  <c r="S1931" i="9"/>
  <c r="P1932" i="9"/>
  <c r="Q1932" i="9"/>
  <c r="R1932" i="9"/>
  <c r="S1932" i="9"/>
  <c r="P1933" i="9"/>
  <c r="Q1933" i="9"/>
  <c r="R1933" i="9"/>
  <c r="S1933" i="9"/>
  <c r="P1934" i="9"/>
  <c r="Q1934" i="9"/>
  <c r="R1934" i="9"/>
  <c r="S1934" i="9"/>
  <c r="P1935" i="9"/>
  <c r="Q1935" i="9"/>
  <c r="R1935" i="9"/>
  <c r="S1935" i="9"/>
  <c r="P1936" i="9"/>
  <c r="Q1936" i="9"/>
  <c r="R1936" i="9"/>
  <c r="S1936" i="9"/>
  <c r="P1937" i="9"/>
  <c r="Q1937" i="9"/>
  <c r="R1937" i="9"/>
  <c r="S1937" i="9"/>
  <c r="P1938" i="9"/>
  <c r="Q1938" i="9"/>
  <c r="R1938" i="9"/>
  <c r="S1938" i="9"/>
  <c r="P1939" i="9"/>
  <c r="Q1939" i="9"/>
  <c r="R1939" i="9"/>
  <c r="S1939" i="9"/>
  <c r="P1940" i="9"/>
  <c r="Q1940" i="9"/>
  <c r="R1940" i="9"/>
  <c r="S1940" i="9"/>
  <c r="P1941" i="9"/>
  <c r="Q1941" i="9"/>
  <c r="R1941" i="9"/>
  <c r="S1941" i="9"/>
  <c r="P1942" i="9"/>
  <c r="Q1942" i="9"/>
  <c r="R1942" i="9"/>
  <c r="S1942" i="9"/>
  <c r="P1943" i="9"/>
  <c r="Q1943" i="9"/>
  <c r="R1943" i="9"/>
  <c r="S1943" i="9"/>
  <c r="P1944" i="9"/>
  <c r="Q1944" i="9"/>
  <c r="R1944" i="9"/>
  <c r="S1944" i="9"/>
  <c r="P1945" i="9"/>
  <c r="Q1945" i="9"/>
  <c r="R1945" i="9"/>
  <c r="S1945" i="9"/>
  <c r="P1946" i="9"/>
  <c r="Q1946" i="9"/>
  <c r="R1946" i="9"/>
  <c r="S1946" i="9"/>
  <c r="P1947" i="9"/>
  <c r="Q1947" i="9"/>
  <c r="R1947" i="9"/>
  <c r="S1947" i="9"/>
  <c r="P1948" i="9"/>
  <c r="Q1948" i="9"/>
  <c r="R1948" i="9"/>
  <c r="S1948" i="9"/>
  <c r="P1949" i="9"/>
  <c r="Q1949" i="9"/>
  <c r="R1949" i="9"/>
  <c r="S1949" i="9"/>
  <c r="P1950" i="9"/>
  <c r="Q1950" i="9"/>
  <c r="R1950" i="9"/>
  <c r="S1950" i="9"/>
  <c r="P1951" i="9"/>
  <c r="Q1951" i="9"/>
  <c r="R1951" i="9"/>
  <c r="S1951" i="9"/>
  <c r="P1952" i="9"/>
  <c r="Q1952" i="9"/>
  <c r="R1952" i="9"/>
  <c r="S1952" i="9"/>
  <c r="P1953" i="9"/>
  <c r="Q1953" i="9"/>
  <c r="R1953" i="9"/>
  <c r="S1953" i="9"/>
  <c r="P1954" i="9"/>
  <c r="Q1954" i="9"/>
  <c r="R1954" i="9"/>
  <c r="S1954" i="9"/>
  <c r="P1955" i="9"/>
  <c r="Q1955" i="9"/>
  <c r="R1955" i="9"/>
  <c r="S1955" i="9"/>
  <c r="P1956" i="9"/>
  <c r="Q1956" i="9"/>
  <c r="R1956" i="9"/>
  <c r="S1956" i="9"/>
  <c r="P1957" i="9"/>
  <c r="Q1957" i="9"/>
  <c r="R1957" i="9"/>
  <c r="S1957" i="9"/>
  <c r="P1958" i="9"/>
  <c r="Q1958" i="9"/>
  <c r="R1958" i="9"/>
  <c r="S1958" i="9"/>
  <c r="P1959" i="9"/>
  <c r="Q1959" i="9"/>
  <c r="R1959" i="9"/>
  <c r="S1959" i="9"/>
  <c r="P1960" i="9"/>
  <c r="Q1960" i="9"/>
  <c r="R1960" i="9"/>
  <c r="S1960" i="9"/>
  <c r="P1961" i="9"/>
  <c r="Q1961" i="9"/>
  <c r="R1961" i="9"/>
  <c r="S1961" i="9"/>
  <c r="P1962" i="9"/>
  <c r="Q1962" i="9"/>
  <c r="R1962" i="9"/>
  <c r="S1962" i="9"/>
  <c r="P1963" i="9"/>
  <c r="Q1963" i="9"/>
  <c r="R1963" i="9"/>
  <c r="S1963" i="9"/>
  <c r="P1964" i="9"/>
  <c r="Q1964" i="9"/>
  <c r="R1964" i="9"/>
  <c r="S1964" i="9"/>
  <c r="P1965" i="9"/>
  <c r="Q1965" i="9"/>
  <c r="R1965" i="9"/>
  <c r="S1965" i="9"/>
  <c r="P1966" i="9"/>
  <c r="Q1966" i="9"/>
  <c r="R1966" i="9"/>
  <c r="S1966" i="9"/>
  <c r="P1967" i="9"/>
  <c r="Q1967" i="9"/>
  <c r="R1967" i="9"/>
  <c r="S1967" i="9"/>
  <c r="P1968" i="9"/>
  <c r="Q1968" i="9"/>
  <c r="R1968" i="9"/>
  <c r="S1968" i="9"/>
  <c r="P1969" i="9"/>
  <c r="Q1969" i="9"/>
  <c r="R1969" i="9"/>
  <c r="S1969" i="9"/>
  <c r="P1970" i="9"/>
  <c r="Q1970" i="9"/>
  <c r="R1970" i="9"/>
  <c r="S1970" i="9"/>
  <c r="P1971" i="9"/>
  <c r="Q1971" i="9"/>
  <c r="R1971" i="9"/>
  <c r="S1971" i="9"/>
  <c r="P1972" i="9"/>
  <c r="Q1972" i="9"/>
  <c r="R1972" i="9"/>
  <c r="S1972" i="9"/>
  <c r="P1973" i="9"/>
  <c r="Q1973" i="9"/>
  <c r="R1973" i="9"/>
  <c r="S1973" i="9"/>
  <c r="P1974" i="9"/>
  <c r="Q1974" i="9"/>
  <c r="R1974" i="9"/>
  <c r="S1974" i="9"/>
  <c r="P1975" i="9"/>
  <c r="Q1975" i="9"/>
  <c r="R1975" i="9"/>
  <c r="S1975" i="9"/>
  <c r="P1976" i="9"/>
  <c r="Q1976" i="9"/>
  <c r="R1976" i="9"/>
  <c r="S1976" i="9"/>
  <c r="P1977" i="9"/>
  <c r="Q1977" i="9"/>
  <c r="R1977" i="9"/>
  <c r="S1977" i="9"/>
  <c r="P1978" i="9"/>
  <c r="Q1978" i="9"/>
  <c r="R1978" i="9"/>
  <c r="S1978" i="9"/>
  <c r="P1979" i="9"/>
  <c r="Q1979" i="9"/>
  <c r="R1979" i="9"/>
  <c r="S1979" i="9"/>
  <c r="P1980" i="9"/>
  <c r="Q1980" i="9"/>
  <c r="R1980" i="9"/>
  <c r="S1980" i="9"/>
  <c r="P1981" i="9"/>
  <c r="Q1981" i="9"/>
  <c r="R1981" i="9"/>
  <c r="S1981" i="9"/>
  <c r="P1982" i="9"/>
  <c r="Q1982" i="9"/>
  <c r="R1982" i="9"/>
  <c r="S1982" i="9"/>
  <c r="P1983" i="9"/>
  <c r="Q1983" i="9"/>
  <c r="R1983" i="9"/>
  <c r="S1983" i="9"/>
  <c r="P1984" i="9"/>
  <c r="Q1984" i="9"/>
  <c r="R1984" i="9"/>
  <c r="S1984" i="9"/>
  <c r="P1985" i="9"/>
  <c r="Q1985" i="9"/>
  <c r="R1985" i="9"/>
  <c r="S1985" i="9"/>
  <c r="P1986" i="9"/>
  <c r="Q1986" i="9"/>
  <c r="R1986" i="9"/>
  <c r="S1986" i="9"/>
  <c r="P1987" i="9"/>
  <c r="Q1987" i="9"/>
  <c r="R1987" i="9"/>
  <c r="S1987" i="9"/>
  <c r="P1988" i="9"/>
  <c r="Q1988" i="9"/>
  <c r="R1988" i="9"/>
  <c r="S1988" i="9"/>
  <c r="P1989" i="9"/>
  <c r="Q1989" i="9"/>
  <c r="R1989" i="9"/>
  <c r="S1989" i="9"/>
  <c r="P1990" i="9"/>
  <c r="Q1990" i="9"/>
  <c r="R1990" i="9"/>
  <c r="S1990" i="9"/>
  <c r="P1991" i="9"/>
  <c r="Q1991" i="9"/>
  <c r="R1991" i="9"/>
  <c r="S1991" i="9"/>
  <c r="F113" i="8" l="1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12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" i="8"/>
  <c r="G114" i="8" l="1"/>
  <c r="G112" i="8"/>
  <c r="G117" i="8"/>
  <c r="G72" i="8"/>
  <c r="G10" i="8"/>
  <c r="G76" i="8"/>
  <c r="G60" i="8"/>
  <c r="G20" i="8"/>
  <c r="G70" i="8"/>
  <c r="G62" i="8"/>
  <c r="G54" i="8"/>
  <c r="G46" i="8"/>
  <c r="G38" i="8"/>
  <c r="G30" i="8"/>
  <c r="G22" i="8"/>
  <c r="G14" i="8"/>
  <c r="G9" i="8"/>
  <c r="G68" i="8"/>
  <c r="G52" i="8"/>
  <c r="G36" i="8"/>
  <c r="G8" i="8"/>
  <c r="B21" i="3" s="1"/>
  <c r="G64" i="8"/>
  <c r="G56" i="8"/>
  <c r="G48" i="8"/>
  <c r="G40" i="8"/>
  <c r="G32" i="8"/>
  <c r="G24" i="8"/>
  <c r="G16" i="8"/>
  <c r="G44" i="8"/>
  <c r="G28" i="8"/>
  <c r="G12" i="8"/>
  <c r="G78" i="8"/>
  <c r="G74" i="8"/>
  <c r="G66" i="8"/>
  <c r="G58" i="8"/>
  <c r="G50" i="8"/>
  <c r="G42" i="8"/>
  <c r="G34" i="8"/>
  <c r="G26" i="8"/>
  <c r="G18" i="8"/>
  <c r="G55" i="8"/>
  <c r="G137" i="8"/>
  <c r="G135" i="8"/>
  <c r="G131" i="8"/>
  <c r="G129" i="8"/>
  <c r="G127" i="8"/>
  <c r="G125" i="8"/>
  <c r="G123" i="8"/>
  <c r="G121" i="8"/>
  <c r="G119" i="8"/>
  <c r="G115" i="8"/>
  <c r="G113" i="8"/>
  <c r="G138" i="8"/>
  <c r="G136" i="8"/>
  <c r="G134" i="8"/>
  <c r="G132" i="8"/>
  <c r="G130" i="8"/>
  <c r="G128" i="8"/>
  <c r="G126" i="8"/>
  <c r="G124" i="8"/>
  <c r="G122" i="8"/>
  <c r="G120" i="8"/>
  <c r="G118" i="8"/>
  <c r="G116" i="8"/>
  <c r="G139" i="8"/>
  <c r="G133" i="8"/>
  <c r="G79" i="8"/>
  <c r="G77" i="8"/>
  <c r="G75" i="8"/>
  <c r="G73" i="8"/>
  <c r="G71" i="8"/>
  <c r="G69" i="8"/>
  <c r="G67" i="8"/>
  <c r="G65" i="8"/>
  <c r="G63" i="8"/>
  <c r="G61" i="8"/>
  <c r="G59" i="8"/>
  <c r="G57" i="8"/>
  <c r="G53" i="8"/>
  <c r="G51" i="8"/>
  <c r="G49" i="8"/>
  <c r="G47" i="8"/>
  <c r="G45" i="8"/>
  <c r="G43" i="8"/>
  <c r="G41" i="8"/>
  <c r="G39" i="8"/>
  <c r="G37" i="8"/>
  <c r="G35" i="8"/>
  <c r="G33" i="8"/>
  <c r="G31" i="8"/>
  <c r="G29" i="8"/>
  <c r="G27" i="8"/>
  <c r="G25" i="8"/>
  <c r="G23" i="8"/>
  <c r="G21" i="8"/>
  <c r="G19" i="8"/>
  <c r="G17" i="8"/>
  <c r="G15" i="8"/>
  <c r="G13" i="8"/>
  <c r="G11" i="8"/>
  <c r="B30" i="3" l="1"/>
  <c r="C30" i="3"/>
  <c r="B24" i="3"/>
  <c r="C24" i="3"/>
  <c r="B22" i="3"/>
  <c r="C22" i="3"/>
  <c r="B26" i="3"/>
  <c r="C26" i="3"/>
  <c r="B31" i="3"/>
  <c r="C31" i="3"/>
  <c r="C29" i="3"/>
  <c r="B29" i="3"/>
  <c r="C27" i="3"/>
  <c r="B27" i="3"/>
  <c r="B28" i="3"/>
  <c r="C28" i="3"/>
  <c r="B25" i="3"/>
  <c r="C25" i="3"/>
  <c r="C23" i="3"/>
  <c r="B23" i="3"/>
  <c r="BT28" i="7"/>
  <c r="AG60" i="9"/>
  <c r="AH60" i="9"/>
  <c r="AI60" i="9"/>
  <c r="AJ60" i="9"/>
  <c r="AG61" i="9"/>
  <c r="AH61" i="9"/>
  <c r="AI61" i="9"/>
  <c r="AJ61" i="9"/>
  <c r="AG62" i="9"/>
  <c r="AH62" i="9"/>
  <c r="AI62" i="9"/>
  <c r="AJ62" i="9"/>
  <c r="AG63" i="9"/>
  <c r="AH63" i="9"/>
  <c r="AI63" i="9"/>
  <c r="AJ63" i="9"/>
  <c r="AG64" i="9"/>
  <c r="AH64" i="9"/>
  <c r="AI64" i="9"/>
  <c r="AJ64" i="9"/>
  <c r="AG65" i="9"/>
  <c r="AH65" i="9"/>
  <c r="AI65" i="9"/>
  <c r="AJ65" i="9"/>
  <c r="AG66" i="9"/>
  <c r="AH66" i="9"/>
  <c r="AI66" i="9"/>
  <c r="AJ66" i="9"/>
  <c r="AG67" i="9"/>
  <c r="AH67" i="9"/>
  <c r="AI67" i="9"/>
  <c r="AJ67" i="9"/>
  <c r="AG68" i="9"/>
  <c r="AH68" i="9"/>
  <c r="AI68" i="9"/>
  <c r="AJ68" i="9"/>
  <c r="AG69" i="9"/>
  <c r="AH69" i="9"/>
  <c r="AI69" i="9"/>
  <c r="AJ69" i="9"/>
  <c r="AG70" i="9"/>
  <c r="AH70" i="9"/>
  <c r="AI70" i="9"/>
  <c r="AJ70" i="9"/>
  <c r="AG71" i="9"/>
  <c r="AH71" i="9"/>
  <c r="AI71" i="9"/>
  <c r="AJ71" i="9"/>
  <c r="AG72" i="9"/>
  <c r="AH72" i="9"/>
  <c r="AI72" i="9"/>
  <c r="AJ72" i="9"/>
  <c r="AG73" i="9"/>
  <c r="AH73" i="9"/>
  <c r="AI73" i="9"/>
  <c r="AJ73" i="9"/>
  <c r="AG74" i="9"/>
  <c r="AH74" i="9"/>
  <c r="AI74" i="9"/>
  <c r="AJ74" i="9"/>
  <c r="AG75" i="9"/>
  <c r="AH75" i="9"/>
  <c r="AI75" i="9"/>
  <c r="AJ75" i="9"/>
  <c r="AG76" i="9"/>
  <c r="AH76" i="9"/>
  <c r="AI76" i="9"/>
  <c r="AJ76" i="9"/>
  <c r="AG77" i="9"/>
  <c r="AH77" i="9"/>
  <c r="AI77" i="9"/>
  <c r="AJ77" i="9"/>
  <c r="AG78" i="9"/>
  <c r="AH78" i="9"/>
  <c r="AI78" i="9"/>
  <c r="AJ78" i="9"/>
  <c r="AG79" i="9"/>
  <c r="AH79" i="9"/>
  <c r="AI79" i="9"/>
  <c r="AJ79" i="9"/>
  <c r="AG80" i="9"/>
  <c r="AH80" i="9"/>
  <c r="AI80" i="9"/>
  <c r="AJ80" i="9"/>
  <c r="AG81" i="9"/>
  <c r="AH81" i="9"/>
  <c r="AI81" i="9"/>
  <c r="AJ81" i="9"/>
  <c r="AG82" i="9"/>
  <c r="AH82" i="9"/>
  <c r="AI82" i="9"/>
  <c r="AJ82" i="9"/>
  <c r="AG83" i="9"/>
  <c r="AH83" i="9"/>
  <c r="AI83" i="9"/>
  <c r="AJ83" i="9"/>
  <c r="AG84" i="9"/>
  <c r="AH84" i="9"/>
  <c r="AI84" i="9"/>
  <c r="AJ84" i="9"/>
  <c r="AG85" i="9"/>
  <c r="AH85" i="9"/>
  <c r="AI85" i="9"/>
  <c r="AJ85" i="9"/>
  <c r="AG86" i="9"/>
  <c r="AH86" i="9"/>
  <c r="AI86" i="9"/>
  <c r="AJ86" i="9"/>
  <c r="AG87" i="9"/>
  <c r="AH87" i="9"/>
  <c r="AI87" i="9"/>
  <c r="AJ87" i="9"/>
  <c r="AG88" i="9"/>
  <c r="AH88" i="9"/>
  <c r="AI88" i="9"/>
  <c r="AJ88" i="9"/>
  <c r="AG89" i="9"/>
  <c r="AH89" i="9"/>
  <c r="AI89" i="9"/>
  <c r="AJ89" i="9"/>
  <c r="AG90" i="9"/>
  <c r="AH90" i="9"/>
  <c r="AI90" i="9"/>
  <c r="AJ90" i="9"/>
  <c r="AG91" i="9"/>
  <c r="AH91" i="9"/>
  <c r="AI91" i="9"/>
  <c r="AJ91" i="9"/>
  <c r="AG92" i="9"/>
  <c r="AH92" i="9"/>
  <c r="AI92" i="9"/>
  <c r="AJ92" i="9"/>
  <c r="AG93" i="9"/>
  <c r="AH93" i="9"/>
  <c r="AI93" i="9"/>
  <c r="AJ93" i="9"/>
  <c r="AG94" i="9"/>
  <c r="AH94" i="9"/>
  <c r="AI94" i="9"/>
  <c r="AJ94" i="9"/>
  <c r="AG95" i="9"/>
  <c r="AH95" i="9"/>
  <c r="AI95" i="9"/>
  <c r="AJ95" i="9"/>
  <c r="AG96" i="9"/>
  <c r="AH96" i="9"/>
  <c r="AI96" i="9"/>
  <c r="AJ96" i="9"/>
  <c r="AG97" i="9"/>
  <c r="AH97" i="9"/>
  <c r="AI97" i="9"/>
  <c r="AJ97" i="9"/>
  <c r="AG98" i="9"/>
  <c r="AH98" i="9"/>
  <c r="AI98" i="9"/>
  <c r="AJ98" i="9"/>
  <c r="AG99" i="9"/>
  <c r="AH99" i="9"/>
  <c r="AI99" i="9"/>
  <c r="AJ99" i="9"/>
  <c r="AG100" i="9"/>
  <c r="AH100" i="9"/>
  <c r="AI100" i="9"/>
  <c r="AJ100" i="9"/>
  <c r="AG101" i="9"/>
  <c r="AH101" i="9"/>
  <c r="AI101" i="9"/>
  <c r="AJ101" i="9"/>
  <c r="AG102" i="9"/>
  <c r="AH102" i="9"/>
  <c r="AI102" i="9"/>
  <c r="AJ102" i="9"/>
  <c r="AG103" i="9"/>
  <c r="AH103" i="9"/>
  <c r="AI103" i="9"/>
  <c r="AJ103" i="9"/>
  <c r="AG104" i="9"/>
  <c r="AH104" i="9"/>
  <c r="AI104" i="9"/>
  <c r="AJ104" i="9"/>
  <c r="AG105" i="9"/>
  <c r="AH105" i="9"/>
  <c r="AI105" i="9"/>
  <c r="AJ105" i="9"/>
  <c r="AG106" i="9"/>
  <c r="AH106" i="9"/>
  <c r="AI106" i="9"/>
  <c r="AJ106" i="9"/>
  <c r="AG107" i="9"/>
  <c r="AH107" i="9"/>
  <c r="AI107" i="9"/>
  <c r="AJ107" i="9"/>
  <c r="AG108" i="9"/>
  <c r="AH108" i="9"/>
  <c r="AI108" i="9"/>
  <c r="AJ108" i="9"/>
  <c r="AG109" i="9"/>
  <c r="AH109" i="9"/>
  <c r="AI109" i="9"/>
  <c r="AJ109" i="9"/>
  <c r="AG110" i="9"/>
  <c r="AH110" i="9"/>
  <c r="AI110" i="9"/>
  <c r="AJ110" i="9"/>
  <c r="AG111" i="9"/>
  <c r="AH111" i="9"/>
  <c r="AI111" i="9"/>
  <c r="AJ111" i="9"/>
  <c r="AG112" i="9"/>
  <c r="AH112" i="9"/>
  <c r="AI112" i="9"/>
  <c r="AJ112" i="9"/>
  <c r="AG113" i="9"/>
  <c r="AH113" i="9"/>
  <c r="AI113" i="9"/>
  <c r="AJ113" i="9"/>
  <c r="AG114" i="9"/>
  <c r="AH114" i="9"/>
  <c r="AI114" i="9"/>
  <c r="AJ114" i="9"/>
  <c r="AG115" i="9"/>
  <c r="AH115" i="9"/>
  <c r="AI115" i="9"/>
  <c r="AJ115" i="9"/>
  <c r="AG116" i="9"/>
  <c r="AH116" i="9"/>
  <c r="AI116" i="9"/>
  <c r="AJ116" i="9"/>
  <c r="AG117" i="9"/>
  <c r="AH117" i="9"/>
  <c r="AI117" i="9"/>
  <c r="AJ117" i="9"/>
  <c r="AG118" i="9"/>
  <c r="AH118" i="9"/>
  <c r="AI118" i="9"/>
  <c r="AJ118" i="9"/>
  <c r="AG119" i="9"/>
  <c r="AH119" i="9"/>
  <c r="AI119" i="9"/>
  <c r="AJ119" i="9"/>
  <c r="AG120" i="9"/>
  <c r="AH120" i="9"/>
  <c r="AI120" i="9"/>
  <c r="AJ120" i="9"/>
  <c r="AG121" i="9"/>
  <c r="AH121" i="9"/>
  <c r="AI121" i="9"/>
  <c r="AJ121" i="9"/>
  <c r="AG122" i="9"/>
  <c r="AH122" i="9"/>
  <c r="AI122" i="9"/>
  <c r="AJ122" i="9"/>
  <c r="AG123" i="9"/>
  <c r="AH123" i="9"/>
  <c r="AI123" i="9"/>
  <c r="AJ123" i="9"/>
  <c r="AG124" i="9"/>
  <c r="AH124" i="9"/>
  <c r="AI124" i="9"/>
  <c r="AJ124" i="9"/>
  <c r="AG125" i="9"/>
  <c r="AH125" i="9"/>
  <c r="AI125" i="9"/>
  <c r="AJ125" i="9"/>
  <c r="AG126" i="9"/>
  <c r="AH126" i="9"/>
  <c r="AI126" i="9"/>
  <c r="AJ126" i="9"/>
  <c r="AG127" i="9"/>
  <c r="AH127" i="9"/>
  <c r="AI127" i="9"/>
  <c r="AJ127" i="9"/>
  <c r="AG128" i="9"/>
  <c r="AH128" i="9"/>
  <c r="AI128" i="9"/>
  <c r="AJ128" i="9"/>
  <c r="AG129" i="9"/>
  <c r="AH129" i="9"/>
  <c r="AI129" i="9"/>
  <c r="AJ129" i="9"/>
  <c r="AG130" i="9"/>
  <c r="AH130" i="9"/>
  <c r="AI130" i="9"/>
  <c r="AJ130" i="9"/>
  <c r="AG131" i="9"/>
  <c r="AH131" i="9"/>
  <c r="AI131" i="9"/>
  <c r="AJ131" i="9"/>
  <c r="AG132" i="9"/>
  <c r="AH132" i="9"/>
  <c r="AI132" i="9"/>
  <c r="AJ132" i="9"/>
  <c r="AG133" i="9"/>
  <c r="AH133" i="9"/>
  <c r="AI133" i="9"/>
  <c r="AJ133" i="9"/>
  <c r="AG134" i="9"/>
  <c r="AH134" i="9"/>
  <c r="AI134" i="9"/>
  <c r="AJ134" i="9"/>
  <c r="AG135" i="9"/>
  <c r="AH135" i="9"/>
  <c r="AI135" i="9"/>
  <c r="AJ135" i="9"/>
  <c r="AG136" i="9"/>
  <c r="AH136" i="9"/>
  <c r="AI136" i="9"/>
  <c r="AJ136" i="9"/>
  <c r="AG137" i="9"/>
  <c r="AH137" i="9"/>
  <c r="AI137" i="9"/>
  <c r="AJ137" i="9"/>
  <c r="AG138" i="9"/>
  <c r="AH138" i="9"/>
  <c r="AI138" i="9"/>
  <c r="AJ138" i="9"/>
  <c r="AG139" i="9"/>
  <c r="AH139" i="9"/>
  <c r="AI139" i="9"/>
  <c r="AJ139" i="9"/>
  <c r="AG140" i="9"/>
  <c r="AH140" i="9"/>
  <c r="AI140" i="9"/>
  <c r="AJ140" i="9"/>
  <c r="AG141" i="9"/>
  <c r="AH141" i="9"/>
  <c r="AI141" i="9"/>
  <c r="AJ141" i="9"/>
  <c r="AG142" i="9"/>
  <c r="AH142" i="9"/>
  <c r="AI142" i="9"/>
  <c r="AJ142" i="9"/>
  <c r="AG143" i="9"/>
  <c r="AH143" i="9"/>
  <c r="AI143" i="9"/>
  <c r="AJ143" i="9"/>
  <c r="AG144" i="9"/>
  <c r="AH144" i="9"/>
  <c r="AI144" i="9"/>
  <c r="AJ144" i="9"/>
  <c r="AG145" i="9"/>
  <c r="AH145" i="9"/>
  <c r="AI145" i="9"/>
  <c r="AJ145" i="9"/>
  <c r="AG146" i="9"/>
  <c r="AH146" i="9"/>
  <c r="AI146" i="9"/>
  <c r="AJ146" i="9"/>
  <c r="AG147" i="9"/>
  <c r="AH147" i="9"/>
  <c r="AI147" i="9"/>
  <c r="AJ147" i="9"/>
  <c r="AG148" i="9"/>
  <c r="AH148" i="9"/>
  <c r="AI148" i="9"/>
  <c r="AJ148" i="9"/>
  <c r="AG149" i="9"/>
  <c r="AH149" i="9"/>
  <c r="AI149" i="9"/>
  <c r="AJ149" i="9"/>
  <c r="AG150" i="9"/>
  <c r="AH150" i="9"/>
  <c r="AI150" i="9"/>
  <c r="AJ150" i="9"/>
  <c r="AG151" i="9"/>
  <c r="AH151" i="9"/>
  <c r="AI151" i="9"/>
  <c r="AJ151" i="9"/>
  <c r="AG152" i="9"/>
  <c r="AH152" i="9"/>
  <c r="AI152" i="9"/>
  <c r="AJ152" i="9"/>
  <c r="AG153" i="9"/>
  <c r="AH153" i="9"/>
  <c r="AI153" i="9"/>
  <c r="AJ153" i="9"/>
  <c r="AG154" i="9"/>
  <c r="AH154" i="9"/>
  <c r="AI154" i="9"/>
  <c r="AJ154" i="9"/>
  <c r="AG155" i="9"/>
  <c r="AH155" i="9"/>
  <c r="AI155" i="9"/>
  <c r="AJ155" i="9"/>
  <c r="AG156" i="9"/>
  <c r="AH156" i="9"/>
  <c r="AI156" i="9"/>
  <c r="AJ156" i="9"/>
  <c r="AG157" i="9"/>
  <c r="AH157" i="9"/>
  <c r="AI157" i="9"/>
  <c r="AJ157" i="9"/>
  <c r="AG158" i="9"/>
  <c r="AH158" i="9"/>
  <c r="AI158" i="9"/>
  <c r="AJ158" i="9"/>
  <c r="AG159" i="9"/>
  <c r="AH159" i="9"/>
  <c r="AI159" i="9"/>
  <c r="AJ159" i="9"/>
  <c r="AG160" i="9"/>
  <c r="AH160" i="9"/>
  <c r="AI160" i="9"/>
  <c r="AJ160" i="9"/>
  <c r="AG161" i="9"/>
  <c r="AH161" i="9"/>
  <c r="AI161" i="9"/>
  <c r="AJ161" i="9"/>
  <c r="AG162" i="9"/>
  <c r="AH162" i="9"/>
  <c r="AI162" i="9"/>
  <c r="AJ162" i="9"/>
  <c r="AG163" i="9"/>
  <c r="AH163" i="9"/>
  <c r="AI163" i="9"/>
  <c r="AJ163" i="9"/>
  <c r="AG164" i="9"/>
  <c r="AH164" i="9"/>
  <c r="AI164" i="9"/>
  <c r="AJ164" i="9"/>
  <c r="AG165" i="9"/>
  <c r="AH165" i="9"/>
  <c r="AI165" i="9"/>
  <c r="AJ165" i="9"/>
  <c r="AG166" i="9"/>
  <c r="AH166" i="9"/>
  <c r="AI166" i="9"/>
  <c r="AJ166" i="9"/>
  <c r="AG167" i="9"/>
  <c r="AH167" i="9"/>
  <c r="AI167" i="9"/>
  <c r="AJ167" i="9"/>
  <c r="AG168" i="9"/>
  <c r="AH168" i="9"/>
  <c r="AI168" i="9"/>
  <c r="AJ168" i="9"/>
  <c r="AG169" i="9"/>
  <c r="AH169" i="9"/>
  <c r="AI169" i="9"/>
  <c r="AJ169" i="9"/>
  <c r="AG170" i="9"/>
  <c r="AH170" i="9"/>
  <c r="AI170" i="9"/>
  <c r="AJ170" i="9"/>
  <c r="AG171" i="9"/>
  <c r="AH171" i="9"/>
  <c r="AI171" i="9"/>
  <c r="AJ171" i="9"/>
  <c r="AG172" i="9"/>
  <c r="AH172" i="9"/>
  <c r="AI172" i="9"/>
  <c r="AJ172" i="9"/>
  <c r="AG173" i="9"/>
  <c r="AH173" i="9"/>
  <c r="AI173" i="9"/>
  <c r="AJ173" i="9"/>
  <c r="AG174" i="9"/>
  <c r="AH174" i="9"/>
  <c r="AI174" i="9"/>
  <c r="AJ174" i="9"/>
  <c r="AG175" i="9"/>
  <c r="AH175" i="9"/>
  <c r="AI175" i="9"/>
  <c r="AJ175" i="9"/>
  <c r="AG176" i="9"/>
  <c r="AH176" i="9"/>
  <c r="AI176" i="9"/>
  <c r="AJ176" i="9"/>
  <c r="AG177" i="9"/>
  <c r="AH177" i="9"/>
  <c r="AI177" i="9"/>
  <c r="AJ177" i="9"/>
  <c r="AG178" i="9"/>
  <c r="AH178" i="9"/>
  <c r="AI178" i="9"/>
  <c r="AJ178" i="9"/>
  <c r="AG179" i="9"/>
  <c r="AH179" i="9"/>
  <c r="AI179" i="9"/>
  <c r="AJ179" i="9"/>
  <c r="AG180" i="9"/>
  <c r="AH180" i="9"/>
  <c r="AI180" i="9"/>
  <c r="AJ180" i="9"/>
  <c r="AG181" i="9"/>
  <c r="AH181" i="9"/>
  <c r="AI181" i="9"/>
  <c r="AJ181" i="9"/>
  <c r="AG182" i="9"/>
  <c r="AH182" i="9"/>
  <c r="AI182" i="9"/>
  <c r="AJ182" i="9"/>
  <c r="AG183" i="9"/>
  <c r="AH183" i="9"/>
  <c r="AI183" i="9"/>
  <c r="AJ183" i="9"/>
  <c r="AG184" i="9"/>
  <c r="AH184" i="9"/>
  <c r="AI184" i="9"/>
  <c r="AJ184" i="9"/>
  <c r="AG185" i="9"/>
  <c r="AH185" i="9"/>
  <c r="AI185" i="9"/>
  <c r="AJ185" i="9"/>
  <c r="AG186" i="9"/>
  <c r="AH186" i="9"/>
  <c r="AI186" i="9"/>
  <c r="AJ186" i="9"/>
  <c r="AG187" i="9"/>
  <c r="AH187" i="9"/>
  <c r="AI187" i="9"/>
  <c r="AJ187" i="9"/>
  <c r="AG188" i="9"/>
  <c r="AH188" i="9"/>
  <c r="AI188" i="9"/>
  <c r="AJ188" i="9"/>
  <c r="AG189" i="9"/>
  <c r="AH189" i="9"/>
  <c r="AI189" i="9"/>
  <c r="AJ189" i="9"/>
  <c r="AG190" i="9"/>
  <c r="AH190" i="9"/>
  <c r="AI190" i="9"/>
  <c r="AJ190" i="9"/>
  <c r="AG191" i="9"/>
  <c r="AH191" i="9"/>
  <c r="AI191" i="9"/>
  <c r="AJ191" i="9"/>
  <c r="AG192" i="9"/>
  <c r="AH192" i="9"/>
  <c r="AI192" i="9"/>
  <c r="AJ192" i="9"/>
  <c r="AG193" i="9"/>
  <c r="AH193" i="9"/>
  <c r="AI193" i="9"/>
  <c r="AJ193" i="9"/>
  <c r="AG194" i="9"/>
  <c r="AH194" i="9"/>
  <c r="AI194" i="9"/>
  <c r="AJ194" i="9"/>
  <c r="AG195" i="9"/>
  <c r="AH195" i="9"/>
  <c r="AI195" i="9"/>
  <c r="AJ195" i="9"/>
  <c r="AG196" i="9"/>
  <c r="AH196" i="9"/>
  <c r="AI196" i="9"/>
  <c r="AJ196" i="9"/>
  <c r="AG197" i="9"/>
  <c r="AH197" i="9"/>
  <c r="AI197" i="9"/>
  <c r="AJ197" i="9"/>
  <c r="AG198" i="9"/>
  <c r="AH198" i="9"/>
  <c r="AI198" i="9"/>
  <c r="AJ198" i="9"/>
  <c r="AG199" i="9"/>
  <c r="AH199" i="9"/>
  <c r="AI199" i="9"/>
  <c r="AJ199" i="9"/>
  <c r="AG200" i="9"/>
  <c r="AH200" i="9"/>
  <c r="AI200" i="9"/>
  <c r="AJ200" i="9"/>
  <c r="AG201" i="9"/>
  <c r="AH201" i="9"/>
  <c r="AI201" i="9"/>
  <c r="AJ201" i="9"/>
  <c r="AG202" i="9"/>
  <c r="AH202" i="9"/>
  <c r="AI202" i="9"/>
  <c r="AJ202" i="9"/>
  <c r="AG203" i="9"/>
  <c r="AH203" i="9"/>
  <c r="AI203" i="9"/>
  <c r="AJ203" i="9"/>
  <c r="AG204" i="9"/>
  <c r="AH204" i="9"/>
  <c r="AI204" i="9"/>
  <c r="AJ204" i="9"/>
  <c r="AG205" i="9"/>
  <c r="AH205" i="9"/>
  <c r="AI205" i="9"/>
  <c r="AJ205" i="9"/>
  <c r="AG206" i="9"/>
  <c r="AH206" i="9"/>
  <c r="AI206" i="9"/>
  <c r="AJ206" i="9"/>
  <c r="AG207" i="9"/>
  <c r="AH207" i="9"/>
  <c r="AI207" i="9"/>
  <c r="AJ207" i="9"/>
  <c r="AG208" i="9"/>
  <c r="AH208" i="9"/>
  <c r="AI208" i="9"/>
  <c r="AJ208" i="9"/>
  <c r="AG209" i="9"/>
  <c r="AH209" i="9"/>
  <c r="AI209" i="9"/>
  <c r="AJ209" i="9"/>
  <c r="AG210" i="9"/>
  <c r="AH210" i="9"/>
  <c r="AI210" i="9"/>
  <c r="AJ210" i="9"/>
  <c r="AG211" i="9"/>
  <c r="AH211" i="9"/>
  <c r="AI211" i="9"/>
  <c r="AJ211" i="9"/>
  <c r="AG212" i="9"/>
  <c r="AH212" i="9"/>
  <c r="AI212" i="9"/>
  <c r="AJ212" i="9"/>
  <c r="AG213" i="9"/>
  <c r="AH213" i="9"/>
  <c r="AI213" i="9"/>
  <c r="AJ213" i="9"/>
  <c r="AG214" i="9"/>
  <c r="AH214" i="9"/>
  <c r="AI214" i="9"/>
  <c r="AJ214" i="9"/>
  <c r="AG215" i="9"/>
  <c r="AH215" i="9"/>
  <c r="AI215" i="9"/>
  <c r="AJ215" i="9"/>
  <c r="AG216" i="9"/>
  <c r="AH216" i="9"/>
  <c r="AI216" i="9"/>
  <c r="AJ216" i="9"/>
  <c r="AG217" i="9"/>
  <c r="AH217" i="9"/>
  <c r="AI217" i="9"/>
  <c r="AJ217" i="9"/>
  <c r="AG218" i="9"/>
  <c r="AH218" i="9"/>
  <c r="AI218" i="9"/>
  <c r="AJ218" i="9"/>
  <c r="AG219" i="9"/>
  <c r="AH219" i="9"/>
  <c r="AI219" i="9"/>
  <c r="AJ219" i="9"/>
  <c r="AG220" i="9"/>
  <c r="AH220" i="9"/>
  <c r="AI220" i="9"/>
  <c r="AJ220" i="9"/>
  <c r="AG221" i="9"/>
  <c r="AH221" i="9"/>
  <c r="AI221" i="9"/>
  <c r="AJ221" i="9"/>
  <c r="AG222" i="9"/>
  <c r="AH222" i="9"/>
  <c r="AI222" i="9"/>
  <c r="AJ222" i="9"/>
  <c r="AG223" i="9"/>
  <c r="AH223" i="9"/>
  <c r="AI223" i="9"/>
  <c r="AJ223" i="9"/>
  <c r="AG224" i="9"/>
  <c r="AH224" i="9"/>
  <c r="AI224" i="9"/>
  <c r="AJ224" i="9"/>
  <c r="AG225" i="9"/>
  <c r="AH225" i="9"/>
  <c r="AI225" i="9"/>
  <c r="AJ225" i="9"/>
  <c r="AG226" i="9"/>
  <c r="AH226" i="9"/>
  <c r="AI226" i="9"/>
  <c r="AJ226" i="9"/>
  <c r="AG227" i="9"/>
  <c r="AH227" i="9"/>
  <c r="AI227" i="9"/>
  <c r="AJ227" i="9"/>
  <c r="AG228" i="9"/>
  <c r="AH228" i="9"/>
  <c r="AI228" i="9"/>
  <c r="AJ228" i="9"/>
  <c r="AG229" i="9"/>
  <c r="AH229" i="9"/>
  <c r="AI229" i="9"/>
  <c r="AJ229" i="9"/>
  <c r="AG230" i="9"/>
  <c r="AH230" i="9"/>
  <c r="AI230" i="9"/>
  <c r="AJ230" i="9"/>
  <c r="AG231" i="9"/>
  <c r="AH231" i="9"/>
  <c r="AI231" i="9"/>
  <c r="AJ231" i="9"/>
  <c r="AG232" i="9"/>
  <c r="AH232" i="9"/>
  <c r="AI232" i="9"/>
  <c r="AJ232" i="9"/>
  <c r="AG233" i="9"/>
  <c r="AH233" i="9"/>
  <c r="AI233" i="9"/>
  <c r="AJ233" i="9"/>
  <c r="AG234" i="9"/>
  <c r="AH234" i="9"/>
  <c r="AI234" i="9"/>
  <c r="AJ234" i="9"/>
  <c r="AG235" i="9"/>
  <c r="AH235" i="9"/>
  <c r="AI235" i="9"/>
  <c r="AJ235" i="9"/>
  <c r="AG236" i="9"/>
  <c r="AH236" i="9"/>
  <c r="AI236" i="9"/>
  <c r="AJ236" i="9"/>
  <c r="AG237" i="9"/>
  <c r="AH237" i="9"/>
  <c r="AI237" i="9"/>
  <c r="AJ237" i="9"/>
  <c r="AG238" i="9"/>
  <c r="AH238" i="9"/>
  <c r="AI238" i="9"/>
  <c r="AJ238" i="9"/>
  <c r="AG239" i="9"/>
  <c r="AH239" i="9"/>
  <c r="AI239" i="9"/>
  <c r="AJ239" i="9"/>
  <c r="AG240" i="9"/>
  <c r="AH240" i="9"/>
  <c r="AI240" i="9"/>
  <c r="AJ240" i="9"/>
  <c r="AG241" i="9"/>
  <c r="AH241" i="9"/>
  <c r="AI241" i="9"/>
  <c r="AJ241" i="9"/>
  <c r="AG242" i="9"/>
  <c r="AH242" i="9"/>
  <c r="AI242" i="9"/>
  <c r="AJ242" i="9"/>
  <c r="AG243" i="9"/>
  <c r="AH243" i="9"/>
  <c r="AI243" i="9"/>
  <c r="AJ243" i="9"/>
  <c r="AG244" i="9"/>
  <c r="AH244" i="9"/>
  <c r="AI244" i="9"/>
  <c r="AJ244" i="9"/>
  <c r="AG245" i="9"/>
  <c r="AH245" i="9"/>
  <c r="AI245" i="9"/>
  <c r="AJ245" i="9"/>
  <c r="AG246" i="9"/>
  <c r="AH246" i="9"/>
  <c r="AI246" i="9"/>
  <c r="AJ246" i="9"/>
  <c r="AG247" i="9"/>
  <c r="AH247" i="9"/>
  <c r="AI247" i="9"/>
  <c r="AJ247" i="9"/>
  <c r="AG248" i="9"/>
  <c r="AH248" i="9"/>
  <c r="AI248" i="9"/>
  <c r="AJ248" i="9"/>
  <c r="AG249" i="9"/>
  <c r="AH249" i="9"/>
  <c r="AI249" i="9"/>
  <c r="AJ249" i="9"/>
  <c r="AG250" i="9"/>
  <c r="AH250" i="9"/>
  <c r="AI250" i="9"/>
  <c r="AJ250" i="9"/>
  <c r="AG251" i="9"/>
  <c r="AH251" i="9"/>
  <c r="AI251" i="9"/>
  <c r="AJ251" i="9"/>
  <c r="AG252" i="9"/>
  <c r="AH252" i="9"/>
  <c r="AI252" i="9"/>
  <c r="AJ252" i="9"/>
  <c r="AG253" i="9"/>
  <c r="AH253" i="9"/>
  <c r="AI253" i="9"/>
  <c r="AJ253" i="9"/>
  <c r="AG254" i="9"/>
  <c r="AH254" i="9"/>
  <c r="AI254" i="9"/>
  <c r="AJ254" i="9"/>
  <c r="AG255" i="9"/>
  <c r="AH255" i="9"/>
  <c r="AI255" i="9"/>
  <c r="AJ255" i="9"/>
  <c r="AG256" i="9"/>
  <c r="AH256" i="9"/>
  <c r="AI256" i="9"/>
  <c r="AJ256" i="9"/>
  <c r="AG257" i="9"/>
  <c r="AH257" i="9"/>
  <c r="AI257" i="9"/>
  <c r="AJ257" i="9"/>
  <c r="AG258" i="9"/>
  <c r="AH258" i="9"/>
  <c r="AI258" i="9"/>
  <c r="AJ258" i="9"/>
  <c r="AG259" i="9"/>
  <c r="AH259" i="9"/>
  <c r="AI259" i="9"/>
  <c r="AJ259" i="9"/>
  <c r="AG260" i="9"/>
  <c r="AH260" i="9"/>
  <c r="AI260" i="9"/>
  <c r="AJ260" i="9"/>
  <c r="AG261" i="9"/>
  <c r="AH261" i="9"/>
  <c r="AI261" i="9"/>
  <c r="AJ261" i="9"/>
  <c r="AG262" i="9"/>
  <c r="AH262" i="9"/>
  <c r="AI262" i="9"/>
  <c r="AJ262" i="9"/>
  <c r="AG263" i="9"/>
  <c r="AH263" i="9"/>
  <c r="AI263" i="9"/>
  <c r="AJ263" i="9"/>
  <c r="AG264" i="9"/>
  <c r="AH264" i="9"/>
  <c r="AI264" i="9"/>
  <c r="AJ264" i="9"/>
  <c r="AG265" i="9"/>
  <c r="AH265" i="9"/>
  <c r="AI265" i="9"/>
  <c r="AJ265" i="9"/>
  <c r="AG266" i="9"/>
  <c r="AH266" i="9"/>
  <c r="AI266" i="9"/>
  <c r="AJ266" i="9"/>
  <c r="AG267" i="9"/>
  <c r="AH267" i="9"/>
  <c r="AI267" i="9"/>
  <c r="AJ267" i="9"/>
  <c r="AG268" i="9"/>
  <c r="AH268" i="9"/>
  <c r="AI268" i="9"/>
  <c r="AJ268" i="9"/>
  <c r="AG269" i="9"/>
  <c r="AH269" i="9"/>
  <c r="AI269" i="9"/>
  <c r="AJ269" i="9"/>
  <c r="AG270" i="9"/>
  <c r="AH270" i="9"/>
  <c r="AI270" i="9"/>
  <c r="AJ270" i="9"/>
  <c r="AG271" i="9"/>
  <c r="AH271" i="9"/>
  <c r="AI271" i="9"/>
  <c r="AJ271" i="9"/>
  <c r="AG272" i="9"/>
  <c r="AH272" i="9"/>
  <c r="AI272" i="9"/>
  <c r="AJ272" i="9"/>
  <c r="AG273" i="9"/>
  <c r="AH273" i="9"/>
  <c r="AI273" i="9"/>
  <c r="AJ273" i="9"/>
  <c r="AG274" i="9"/>
  <c r="AH274" i="9"/>
  <c r="AI274" i="9"/>
  <c r="AJ274" i="9"/>
  <c r="AG275" i="9"/>
  <c r="AH275" i="9"/>
  <c r="AI275" i="9"/>
  <c r="AJ275" i="9"/>
  <c r="AG276" i="9"/>
  <c r="AH276" i="9"/>
  <c r="AI276" i="9"/>
  <c r="AJ276" i="9"/>
  <c r="AG277" i="9"/>
  <c r="AH277" i="9"/>
  <c r="AI277" i="9"/>
  <c r="AJ277" i="9"/>
  <c r="AG278" i="9"/>
  <c r="AH278" i="9"/>
  <c r="AI278" i="9"/>
  <c r="AJ278" i="9"/>
  <c r="AG279" i="9"/>
  <c r="AH279" i="9"/>
  <c r="AI279" i="9"/>
  <c r="AJ279" i="9"/>
  <c r="AG280" i="9"/>
  <c r="AH280" i="9"/>
  <c r="AI280" i="9"/>
  <c r="AJ280" i="9"/>
  <c r="AG281" i="9"/>
  <c r="AH281" i="9"/>
  <c r="AI281" i="9"/>
  <c r="AJ281" i="9"/>
  <c r="AG282" i="9"/>
  <c r="AH282" i="9"/>
  <c r="AI282" i="9"/>
  <c r="AJ282" i="9"/>
  <c r="AG283" i="9"/>
  <c r="AH283" i="9"/>
  <c r="AI283" i="9"/>
  <c r="AJ283" i="9"/>
  <c r="AG284" i="9"/>
  <c r="AH284" i="9"/>
  <c r="AI284" i="9"/>
  <c r="AJ284" i="9"/>
  <c r="AG285" i="9"/>
  <c r="AH285" i="9"/>
  <c r="AI285" i="9"/>
  <c r="AJ285" i="9"/>
  <c r="AG286" i="9"/>
  <c r="AH286" i="9"/>
  <c r="AI286" i="9"/>
  <c r="AJ286" i="9"/>
  <c r="AG287" i="9"/>
  <c r="AH287" i="9"/>
  <c r="AI287" i="9"/>
  <c r="AJ287" i="9"/>
  <c r="AG288" i="9"/>
  <c r="AH288" i="9"/>
  <c r="AI288" i="9"/>
  <c r="AJ288" i="9"/>
  <c r="AG289" i="9"/>
  <c r="AH289" i="9"/>
  <c r="AI289" i="9"/>
  <c r="AJ289" i="9"/>
  <c r="AG290" i="9"/>
  <c r="AH290" i="9"/>
  <c r="AI290" i="9"/>
  <c r="AJ290" i="9"/>
  <c r="AG291" i="9"/>
  <c r="AH291" i="9"/>
  <c r="AI291" i="9"/>
  <c r="AJ291" i="9"/>
  <c r="AG292" i="9"/>
  <c r="AH292" i="9"/>
  <c r="AI292" i="9"/>
  <c r="AJ292" i="9"/>
  <c r="AG293" i="9"/>
  <c r="AH293" i="9"/>
  <c r="AI293" i="9"/>
  <c r="AJ293" i="9"/>
  <c r="AG294" i="9"/>
  <c r="AH294" i="9"/>
  <c r="AI294" i="9"/>
  <c r="AJ294" i="9"/>
  <c r="AG295" i="9"/>
  <c r="AH295" i="9"/>
  <c r="AI295" i="9"/>
  <c r="AJ295" i="9"/>
  <c r="AG296" i="9"/>
  <c r="AH296" i="9"/>
  <c r="AI296" i="9"/>
  <c r="AJ296" i="9"/>
  <c r="AG297" i="9"/>
  <c r="AH297" i="9"/>
  <c r="AI297" i="9"/>
  <c r="AJ297" i="9"/>
  <c r="AG298" i="9"/>
  <c r="AH298" i="9"/>
  <c r="AI298" i="9"/>
  <c r="AJ298" i="9"/>
  <c r="AG299" i="9"/>
  <c r="AH299" i="9"/>
  <c r="AI299" i="9"/>
  <c r="AJ299" i="9"/>
  <c r="AG300" i="9"/>
  <c r="AH300" i="9"/>
  <c r="AI300" i="9"/>
  <c r="AJ300" i="9"/>
  <c r="AG301" i="9"/>
  <c r="AH301" i="9"/>
  <c r="AI301" i="9"/>
  <c r="AJ301" i="9"/>
  <c r="AG302" i="9"/>
  <c r="AH302" i="9"/>
  <c r="AI302" i="9"/>
  <c r="AJ302" i="9"/>
  <c r="AG303" i="9"/>
  <c r="AH303" i="9"/>
  <c r="AI303" i="9"/>
  <c r="AJ303" i="9"/>
  <c r="AG304" i="9"/>
  <c r="AH304" i="9"/>
  <c r="AI304" i="9"/>
  <c r="AJ304" i="9"/>
  <c r="AG305" i="9"/>
  <c r="AH305" i="9"/>
  <c r="AI305" i="9"/>
  <c r="AJ305" i="9"/>
  <c r="AG306" i="9"/>
  <c r="AH306" i="9"/>
  <c r="AI306" i="9"/>
  <c r="AJ306" i="9"/>
  <c r="AG307" i="9"/>
  <c r="AH307" i="9"/>
  <c r="AI307" i="9"/>
  <c r="AJ307" i="9"/>
  <c r="AG308" i="9"/>
  <c r="AH308" i="9"/>
  <c r="AI308" i="9"/>
  <c r="AJ308" i="9"/>
  <c r="AG309" i="9"/>
  <c r="AH309" i="9"/>
  <c r="AI309" i="9"/>
  <c r="AJ309" i="9"/>
  <c r="AG310" i="9"/>
  <c r="AH310" i="9"/>
  <c r="AI310" i="9"/>
  <c r="AJ310" i="9"/>
  <c r="AG311" i="9"/>
  <c r="AH311" i="9"/>
  <c r="AI311" i="9"/>
  <c r="AJ311" i="9"/>
  <c r="AG312" i="9"/>
  <c r="AH312" i="9"/>
  <c r="AI312" i="9"/>
  <c r="AJ312" i="9"/>
  <c r="AG313" i="9"/>
  <c r="AH313" i="9"/>
  <c r="AI313" i="9"/>
  <c r="AJ313" i="9"/>
  <c r="AG314" i="9"/>
  <c r="AH314" i="9"/>
  <c r="AI314" i="9"/>
  <c r="AJ314" i="9"/>
  <c r="AG315" i="9"/>
  <c r="AH315" i="9"/>
  <c r="AI315" i="9"/>
  <c r="AJ315" i="9"/>
  <c r="AG316" i="9"/>
  <c r="AH316" i="9"/>
  <c r="AI316" i="9"/>
  <c r="AJ316" i="9"/>
  <c r="AG317" i="9"/>
  <c r="AH317" i="9"/>
  <c r="AI317" i="9"/>
  <c r="AJ317" i="9"/>
  <c r="AG318" i="9"/>
  <c r="AH318" i="9"/>
  <c r="AI318" i="9"/>
  <c r="AJ318" i="9"/>
  <c r="AG319" i="9"/>
  <c r="AH319" i="9"/>
  <c r="AI319" i="9"/>
  <c r="AJ319" i="9"/>
  <c r="AG320" i="9"/>
  <c r="AH320" i="9"/>
  <c r="AI320" i="9"/>
  <c r="AJ320" i="9"/>
  <c r="AG321" i="9"/>
  <c r="AH321" i="9"/>
  <c r="AI321" i="9"/>
  <c r="AJ321" i="9"/>
  <c r="AG322" i="9"/>
  <c r="AH322" i="9"/>
  <c r="AI322" i="9"/>
  <c r="AJ322" i="9"/>
  <c r="AG323" i="9"/>
  <c r="AH323" i="9"/>
  <c r="AI323" i="9"/>
  <c r="AJ323" i="9"/>
  <c r="AG324" i="9"/>
  <c r="AH324" i="9"/>
  <c r="AI324" i="9"/>
  <c r="AJ324" i="9"/>
  <c r="AG325" i="9"/>
  <c r="AH325" i="9"/>
  <c r="AI325" i="9"/>
  <c r="AJ325" i="9"/>
  <c r="AG326" i="9"/>
  <c r="AH326" i="9"/>
  <c r="AI326" i="9"/>
  <c r="AJ326" i="9"/>
  <c r="AG327" i="9"/>
  <c r="AH327" i="9"/>
  <c r="AI327" i="9"/>
  <c r="AJ327" i="9"/>
  <c r="AG328" i="9"/>
  <c r="AH328" i="9"/>
  <c r="AI328" i="9"/>
  <c r="AJ328" i="9"/>
  <c r="AG329" i="9"/>
  <c r="AH329" i="9"/>
  <c r="AI329" i="9"/>
  <c r="AJ329" i="9"/>
  <c r="AG330" i="9"/>
  <c r="AH330" i="9"/>
  <c r="AI330" i="9"/>
  <c r="AJ330" i="9"/>
  <c r="AG331" i="9"/>
  <c r="AH331" i="9"/>
  <c r="AI331" i="9"/>
  <c r="AJ331" i="9"/>
  <c r="AG332" i="9"/>
  <c r="AH332" i="9"/>
  <c r="AI332" i="9"/>
  <c r="AJ332" i="9"/>
  <c r="AG333" i="9"/>
  <c r="AH333" i="9"/>
  <c r="AI333" i="9"/>
  <c r="AJ333" i="9"/>
  <c r="AG334" i="9"/>
  <c r="AH334" i="9"/>
  <c r="AI334" i="9"/>
  <c r="AJ334" i="9"/>
  <c r="AG335" i="9"/>
  <c r="AH335" i="9"/>
  <c r="AI335" i="9"/>
  <c r="AJ335" i="9"/>
  <c r="AG336" i="9"/>
  <c r="AH336" i="9"/>
  <c r="AI336" i="9"/>
  <c r="AJ336" i="9"/>
  <c r="AG337" i="9"/>
  <c r="AH337" i="9"/>
  <c r="AI337" i="9"/>
  <c r="AJ337" i="9"/>
  <c r="AG338" i="9"/>
  <c r="AH338" i="9"/>
  <c r="AI338" i="9"/>
  <c r="AJ338" i="9"/>
  <c r="AG339" i="9"/>
  <c r="AH339" i="9"/>
  <c r="AI339" i="9"/>
  <c r="AJ339" i="9"/>
  <c r="AG340" i="9"/>
  <c r="AH340" i="9"/>
  <c r="AI340" i="9"/>
  <c r="AJ340" i="9"/>
  <c r="AG341" i="9"/>
  <c r="AH341" i="9"/>
  <c r="AI341" i="9"/>
  <c r="AJ341" i="9"/>
  <c r="AG342" i="9"/>
  <c r="AH342" i="9"/>
  <c r="AI342" i="9"/>
  <c r="AJ342" i="9"/>
  <c r="AG343" i="9"/>
  <c r="AH343" i="9"/>
  <c r="AI343" i="9"/>
  <c r="AJ343" i="9"/>
  <c r="AG344" i="9"/>
  <c r="AH344" i="9"/>
  <c r="AI344" i="9"/>
  <c r="AJ344" i="9"/>
  <c r="AG345" i="9"/>
  <c r="AH345" i="9"/>
  <c r="AI345" i="9"/>
  <c r="AJ345" i="9"/>
  <c r="AG346" i="9"/>
  <c r="AH346" i="9"/>
  <c r="AI346" i="9"/>
  <c r="AJ346" i="9"/>
  <c r="AG347" i="9"/>
  <c r="AH347" i="9"/>
  <c r="AI347" i="9"/>
  <c r="AJ347" i="9"/>
  <c r="AG348" i="9"/>
  <c r="AH348" i="9"/>
  <c r="AI348" i="9"/>
  <c r="AJ348" i="9"/>
  <c r="AG349" i="9"/>
  <c r="AH349" i="9"/>
  <c r="AI349" i="9"/>
  <c r="AJ349" i="9"/>
  <c r="AG350" i="9"/>
  <c r="AH350" i="9"/>
  <c r="AI350" i="9"/>
  <c r="AJ350" i="9"/>
  <c r="AG351" i="9"/>
  <c r="AH351" i="9"/>
  <c r="AI351" i="9"/>
  <c r="AJ351" i="9"/>
  <c r="AG352" i="9"/>
  <c r="AH352" i="9"/>
  <c r="AI352" i="9"/>
  <c r="AJ352" i="9"/>
  <c r="AG353" i="9"/>
  <c r="AH353" i="9"/>
  <c r="AI353" i="9"/>
  <c r="AJ353" i="9"/>
  <c r="AG354" i="9"/>
  <c r="AH354" i="9"/>
  <c r="AI354" i="9"/>
  <c r="AJ354" i="9"/>
  <c r="AG355" i="9"/>
  <c r="AH355" i="9"/>
  <c r="AI355" i="9"/>
  <c r="AJ355" i="9"/>
  <c r="AG356" i="9"/>
  <c r="AH356" i="9"/>
  <c r="AI356" i="9"/>
  <c r="AJ356" i="9"/>
  <c r="AG357" i="9"/>
  <c r="AH357" i="9"/>
  <c r="AI357" i="9"/>
  <c r="AJ357" i="9"/>
  <c r="AG358" i="9"/>
  <c r="AH358" i="9"/>
  <c r="AI358" i="9"/>
  <c r="AJ358" i="9"/>
  <c r="AG359" i="9"/>
  <c r="AH359" i="9"/>
  <c r="AI359" i="9"/>
  <c r="AJ359" i="9"/>
  <c r="AG360" i="9"/>
  <c r="AH360" i="9"/>
  <c r="AI360" i="9"/>
  <c r="AJ360" i="9"/>
  <c r="AG361" i="9"/>
  <c r="AH361" i="9"/>
  <c r="AI361" i="9"/>
  <c r="AJ361" i="9"/>
  <c r="AG362" i="9"/>
  <c r="AH362" i="9"/>
  <c r="AI362" i="9"/>
  <c r="AJ362" i="9"/>
  <c r="AG363" i="9"/>
  <c r="AH363" i="9"/>
  <c r="AI363" i="9"/>
  <c r="AJ363" i="9"/>
  <c r="AG364" i="9"/>
  <c r="AH364" i="9"/>
  <c r="AI364" i="9"/>
  <c r="AJ364" i="9"/>
  <c r="AG365" i="9"/>
  <c r="AH365" i="9"/>
  <c r="AI365" i="9"/>
  <c r="AJ365" i="9"/>
  <c r="AG366" i="9"/>
  <c r="AH366" i="9"/>
  <c r="AI366" i="9"/>
  <c r="AJ366" i="9"/>
  <c r="AG367" i="9"/>
  <c r="AH367" i="9"/>
  <c r="AI367" i="9"/>
  <c r="AJ367" i="9"/>
  <c r="AG368" i="9"/>
  <c r="AH368" i="9"/>
  <c r="AI368" i="9"/>
  <c r="AJ368" i="9"/>
  <c r="AG369" i="9"/>
  <c r="AH369" i="9"/>
  <c r="AI369" i="9"/>
  <c r="AJ369" i="9"/>
  <c r="AG370" i="9"/>
  <c r="AH370" i="9"/>
  <c r="AI370" i="9"/>
  <c r="AJ370" i="9"/>
  <c r="AG371" i="9"/>
  <c r="AH371" i="9"/>
  <c r="AI371" i="9"/>
  <c r="AJ371" i="9"/>
  <c r="AG372" i="9"/>
  <c r="AH372" i="9"/>
  <c r="AI372" i="9"/>
  <c r="AJ372" i="9"/>
  <c r="AG373" i="9"/>
  <c r="AH373" i="9"/>
  <c r="AI373" i="9"/>
  <c r="AJ373" i="9"/>
  <c r="AG374" i="9"/>
  <c r="AH374" i="9"/>
  <c r="AI374" i="9"/>
  <c r="AJ374" i="9"/>
  <c r="AG375" i="9"/>
  <c r="AH375" i="9"/>
  <c r="AI375" i="9"/>
  <c r="AJ375" i="9"/>
  <c r="AG376" i="9"/>
  <c r="AH376" i="9"/>
  <c r="AI376" i="9"/>
  <c r="AJ376" i="9"/>
  <c r="AG377" i="9"/>
  <c r="AH377" i="9"/>
  <c r="AI377" i="9"/>
  <c r="AJ377" i="9"/>
  <c r="AG378" i="9"/>
  <c r="AH378" i="9"/>
  <c r="AI378" i="9"/>
  <c r="AJ378" i="9"/>
  <c r="AG379" i="9"/>
  <c r="AH379" i="9"/>
  <c r="AI379" i="9"/>
  <c r="AJ379" i="9"/>
  <c r="AG380" i="9"/>
  <c r="AH380" i="9"/>
  <c r="AI380" i="9"/>
  <c r="AJ380" i="9"/>
  <c r="AG381" i="9"/>
  <c r="AH381" i="9"/>
  <c r="AI381" i="9"/>
  <c r="AJ381" i="9"/>
  <c r="AG382" i="9"/>
  <c r="AH382" i="9"/>
  <c r="AI382" i="9"/>
  <c r="AJ382" i="9"/>
  <c r="AG383" i="9"/>
  <c r="AH383" i="9"/>
  <c r="AI383" i="9"/>
  <c r="AJ383" i="9"/>
  <c r="AG384" i="9"/>
  <c r="AH384" i="9"/>
  <c r="AI384" i="9"/>
  <c r="AJ384" i="9"/>
  <c r="AG385" i="9"/>
  <c r="AH385" i="9"/>
  <c r="AI385" i="9"/>
  <c r="AJ385" i="9"/>
  <c r="AG386" i="9"/>
  <c r="AH386" i="9"/>
  <c r="AI386" i="9"/>
  <c r="AJ386" i="9"/>
  <c r="AG387" i="9"/>
  <c r="AH387" i="9"/>
  <c r="AI387" i="9"/>
  <c r="AJ387" i="9"/>
  <c r="AG388" i="9"/>
  <c r="AH388" i="9"/>
  <c r="AI388" i="9"/>
  <c r="AJ388" i="9"/>
  <c r="AG389" i="9"/>
  <c r="AH389" i="9"/>
  <c r="AI389" i="9"/>
  <c r="AJ389" i="9"/>
  <c r="AG390" i="9"/>
  <c r="AH390" i="9"/>
  <c r="AI390" i="9"/>
  <c r="AJ390" i="9"/>
  <c r="AG391" i="9"/>
  <c r="AH391" i="9"/>
  <c r="AI391" i="9"/>
  <c r="AJ391" i="9"/>
  <c r="AG392" i="9"/>
  <c r="AH392" i="9"/>
  <c r="AI392" i="9"/>
  <c r="AJ392" i="9"/>
  <c r="AG393" i="9"/>
  <c r="AH393" i="9"/>
  <c r="AI393" i="9"/>
  <c r="AJ393" i="9"/>
  <c r="AG394" i="9"/>
  <c r="AH394" i="9"/>
  <c r="AI394" i="9"/>
  <c r="AJ394" i="9"/>
  <c r="AG395" i="9"/>
  <c r="AH395" i="9"/>
  <c r="AI395" i="9"/>
  <c r="AJ395" i="9"/>
  <c r="AG396" i="9"/>
  <c r="AH396" i="9"/>
  <c r="AI396" i="9"/>
  <c r="AJ396" i="9"/>
  <c r="AG397" i="9"/>
  <c r="AH397" i="9"/>
  <c r="AI397" i="9"/>
  <c r="AJ397" i="9"/>
  <c r="AG398" i="9"/>
  <c r="AH398" i="9"/>
  <c r="AI398" i="9"/>
  <c r="AJ398" i="9"/>
  <c r="AG399" i="9"/>
  <c r="AH399" i="9"/>
  <c r="AI399" i="9"/>
  <c r="AJ399" i="9"/>
  <c r="AG400" i="9"/>
  <c r="AH400" i="9"/>
  <c r="AI400" i="9"/>
  <c r="AJ400" i="9"/>
  <c r="AG401" i="9"/>
  <c r="AH401" i="9"/>
  <c r="AI401" i="9"/>
  <c r="AJ401" i="9"/>
  <c r="AG402" i="9"/>
  <c r="AH402" i="9"/>
  <c r="AI402" i="9"/>
  <c r="AJ402" i="9"/>
  <c r="AG403" i="9"/>
  <c r="AH403" i="9"/>
  <c r="AI403" i="9"/>
  <c r="AJ403" i="9"/>
  <c r="AG404" i="9"/>
  <c r="AH404" i="9"/>
  <c r="AI404" i="9"/>
  <c r="AJ404" i="9"/>
  <c r="AG405" i="9"/>
  <c r="AH405" i="9"/>
  <c r="AI405" i="9"/>
  <c r="AJ405" i="9"/>
  <c r="AG406" i="9"/>
  <c r="AH406" i="9"/>
  <c r="AI406" i="9"/>
  <c r="AJ406" i="9"/>
  <c r="AG407" i="9"/>
  <c r="AH407" i="9"/>
  <c r="AI407" i="9"/>
  <c r="AJ407" i="9"/>
  <c r="AG408" i="9"/>
  <c r="AH408" i="9"/>
  <c r="AI408" i="9"/>
  <c r="AJ408" i="9"/>
  <c r="AG409" i="9"/>
  <c r="AH409" i="9"/>
  <c r="AI409" i="9"/>
  <c r="AJ409" i="9"/>
  <c r="AG410" i="9"/>
  <c r="AH410" i="9"/>
  <c r="AI410" i="9"/>
  <c r="AJ410" i="9"/>
  <c r="AG411" i="9"/>
  <c r="AH411" i="9"/>
  <c r="AI411" i="9"/>
  <c r="AJ411" i="9"/>
  <c r="AG412" i="9"/>
  <c r="AH412" i="9"/>
  <c r="AI412" i="9"/>
  <c r="AJ412" i="9"/>
  <c r="AG413" i="9"/>
  <c r="AH413" i="9"/>
  <c r="AI413" i="9"/>
  <c r="AJ413" i="9"/>
  <c r="AG414" i="9"/>
  <c r="AH414" i="9"/>
  <c r="AI414" i="9"/>
  <c r="AJ414" i="9"/>
  <c r="AG415" i="9"/>
  <c r="AH415" i="9"/>
  <c r="AI415" i="9"/>
  <c r="AJ415" i="9"/>
  <c r="AG416" i="9"/>
  <c r="AH416" i="9"/>
  <c r="AI416" i="9"/>
  <c r="AJ416" i="9"/>
  <c r="AG417" i="9"/>
  <c r="AH417" i="9"/>
  <c r="AI417" i="9"/>
  <c r="AJ417" i="9"/>
  <c r="AG418" i="9"/>
  <c r="AH418" i="9"/>
  <c r="AI418" i="9"/>
  <c r="AJ418" i="9"/>
  <c r="AG419" i="9"/>
  <c r="AH419" i="9"/>
  <c r="AI419" i="9"/>
  <c r="AJ419" i="9"/>
  <c r="AG420" i="9"/>
  <c r="AH420" i="9"/>
  <c r="AI420" i="9"/>
  <c r="AJ420" i="9"/>
  <c r="AG421" i="9"/>
  <c r="AH421" i="9"/>
  <c r="AI421" i="9"/>
  <c r="AJ421" i="9"/>
  <c r="AG422" i="9"/>
  <c r="AH422" i="9"/>
  <c r="AI422" i="9"/>
  <c r="AJ422" i="9"/>
  <c r="AG423" i="9"/>
  <c r="AH423" i="9"/>
  <c r="AI423" i="9"/>
  <c r="AJ423" i="9"/>
  <c r="AG424" i="9"/>
  <c r="AH424" i="9"/>
  <c r="AI424" i="9"/>
  <c r="AJ424" i="9"/>
  <c r="AG425" i="9"/>
  <c r="AH425" i="9"/>
  <c r="AI425" i="9"/>
  <c r="AJ425" i="9"/>
  <c r="AG426" i="9"/>
  <c r="AH426" i="9"/>
  <c r="AI426" i="9"/>
  <c r="AJ426" i="9"/>
  <c r="AG427" i="9"/>
  <c r="AH427" i="9"/>
  <c r="AI427" i="9"/>
  <c r="AJ427" i="9"/>
  <c r="AG428" i="9"/>
  <c r="AH428" i="9"/>
  <c r="AI428" i="9"/>
  <c r="AJ428" i="9"/>
  <c r="AG429" i="9"/>
  <c r="AH429" i="9"/>
  <c r="AI429" i="9"/>
  <c r="AJ429" i="9"/>
  <c r="AG430" i="9"/>
  <c r="AH430" i="9"/>
  <c r="AI430" i="9"/>
  <c r="AJ430" i="9"/>
  <c r="AG431" i="9"/>
  <c r="AH431" i="9"/>
  <c r="AI431" i="9"/>
  <c r="AJ431" i="9"/>
  <c r="AG432" i="9"/>
  <c r="AH432" i="9"/>
  <c r="AI432" i="9"/>
  <c r="AJ432" i="9"/>
  <c r="AG433" i="9"/>
  <c r="AH433" i="9"/>
  <c r="AI433" i="9"/>
  <c r="AJ433" i="9"/>
  <c r="AG434" i="9"/>
  <c r="AH434" i="9"/>
  <c r="AI434" i="9"/>
  <c r="AJ434" i="9"/>
  <c r="AG435" i="9"/>
  <c r="AH435" i="9"/>
  <c r="AI435" i="9"/>
  <c r="AJ435" i="9"/>
  <c r="AG436" i="9"/>
  <c r="AH436" i="9"/>
  <c r="AI436" i="9"/>
  <c r="AJ436" i="9"/>
  <c r="AG437" i="9"/>
  <c r="AH437" i="9"/>
  <c r="AI437" i="9"/>
  <c r="AJ437" i="9"/>
  <c r="AG438" i="9"/>
  <c r="AH438" i="9"/>
  <c r="AI438" i="9"/>
  <c r="AJ438" i="9"/>
  <c r="AG439" i="9"/>
  <c r="AH439" i="9"/>
  <c r="AI439" i="9"/>
  <c r="AJ439" i="9"/>
  <c r="AG440" i="9"/>
  <c r="AH440" i="9"/>
  <c r="AI440" i="9"/>
  <c r="AJ440" i="9"/>
  <c r="AG441" i="9"/>
  <c r="AH441" i="9"/>
  <c r="AI441" i="9"/>
  <c r="AJ441" i="9"/>
  <c r="AG442" i="9"/>
  <c r="AH442" i="9"/>
  <c r="AI442" i="9"/>
  <c r="AJ442" i="9"/>
  <c r="AG443" i="9"/>
  <c r="AH443" i="9"/>
  <c r="AI443" i="9"/>
  <c r="AJ443" i="9"/>
  <c r="AG444" i="9"/>
  <c r="AH444" i="9"/>
  <c r="AI444" i="9"/>
  <c r="AJ444" i="9"/>
  <c r="AG445" i="9"/>
  <c r="AH445" i="9"/>
  <c r="AI445" i="9"/>
  <c r="AJ445" i="9"/>
  <c r="AG446" i="9"/>
  <c r="AH446" i="9"/>
  <c r="AI446" i="9"/>
  <c r="AJ446" i="9"/>
  <c r="AG447" i="9"/>
  <c r="AH447" i="9"/>
  <c r="AI447" i="9"/>
  <c r="AJ447" i="9"/>
  <c r="AG448" i="9"/>
  <c r="AH448" i="9"/>
  <c r="AI448" i="9"/>
  <c r="AJ448" i="9"/>
  <c r="AG449" i="9"/>
  <c r="AH449" i="9"/>
  <c r="AI449" i="9"/>
  <c r="AJ449" i="9"/>
  <c r="AG450" i="9"/>
  <c r="AH450" i="9"/>
  <c r="AI450" i="9"/>
  <c r="AJ450" i="9"/>
  <c r="AG451" i="9"/>
  <c r="AH451" i="9"/>
  <c r="AI451" i="9"/>
  <c r="AJ451" i="9"/>
  <c r="AG452" i="9"/>
  <c r="AH452" i="9"/>
  <c r="AI452" i="9"/>
  <c r="AJ452" i="9"/>
  <c r="AG453" i="9"/>
  <c r="AH453" i="9"/>
  <c r="AI453" i="9"/>
  <c r="AJ453" i="9"/>
  <c r="AG454" i="9"/>
  <c r="AH454" i="9"/>
  <c r="AI454" i="9"/>
  <c r="AJ454" i="9"/>
  <c r="AG455" i="9"/>
  <c r="AH455" i="9"/>
  <c r="AI455" i="9"/>
  <c r="AJ455" i="9"/>
  <c r="AG456" i="9"/>
  <c r="AH456" i="9"/>
  <c r="AI456" i="9"/>
  <c r="AJ456" i="9"/>
  <c r="AG457" i="9"/>
  <c r="AH457" i="9"/>
  <c r="AI457" i="9"/>
  <c r="AJ457" i="9"/>
  <c r="AG458" i="9"/>
  <c r="AH458" i="9"/>
  <c r="AI458" i="9"/>
  <c r="AJ458" i="9"/>
  <c r="AG459" i="9"/>
  <c r="AH459" i="9"/>
  <c r="AI459" i="9"/>
  <c r="AJ459" i="9"/>
  <c r="AG460" i="9"/>
  <c r="AH460" i="9"/>
  <c r="AI460" i="9"/>
  <c r="AJ460" i="9"/>
  <c r="AG461" i="9"/>
  <c r="AH461" i="9"/>
  <c r="AI461" i="9"/>
  <c r="AJ461" i="9"/>
  <c r="AG462" i="9"/>
  <c r="AH462" i="9"/>
  <c r="AI462" i="9"/>
  <c r="AJ462" i="9"/>
  <c r="AG463" i="9"/>
  <c r="AH463" i="9"/>
  <c r="AI463" i="9"/>
  <c r="AJ463" i="9"/>
  <c r="AG464" i="9"/>
  <c r="AH464" i="9"/>
  <c r="AI464" i="9"/>
  <c r="AJ464" i="9"/>
  <c r="AG465" i="9"/>
  <c r="AH465" i="9"/>
  <c r="AI465" i="9"/>
  <c r="AJ465" i="9"/>
  <c r="AG466" i="9"/>
  <c r="AH466" i="9"/>
  <c r="AI466" i="9"/>
  <c r="AJ466" i="9"/>
  <c r="AG467" i="9"/>
  <c r="AH467" i="9"/>
  <c r="AI467" i="9"/>
  <c r="AJ467" i="9"/>
  <c r="AG468" i="9"/>
  <c r="AH468" i="9"/>
  <c r="AI468" i="9"/>
  <c r="AJ468" i="9"/>
  <c r="AG469" i="9"/>
  <c r="AH469" i="9"/>
  <c r="AI469" i="9"/>
  <c r="AJ469" i="9"/>
  <c r="AG470" i="9"/>
  <c r="AH470" i="9"/>
  <c r="AI470" i="9"/>
  <c r="AJ470" i="9"/>
  <c r="AG471" i="9"/>
  <c r="AH471" i="9"/>
  <c r="AI471" i="9"/>
  <c r="AJ471" i="9"/>
  <c r="AG472" i="9"/>
  <c r="AH472" i="9"/>
  <c r="AI472" i="9"/>
  <c r="AJ472" i="9"/>
  <c r="AG473" i="9"/>
  <c r="AH473" i="9"/>
  <c r="AI473" i="9"/>
  <c r="AJ473" i="9"/>
  <c r="AG474" i="9"/>
  <c r="AH474" i="9"/>
  <c r="AI474" i="9"/>
  <c r="AJ474" i="9"/>
  <c r="AG475" i="9"/>
  <c r="AH475" i="9"/>
  <c r="AI475" i="9"/>
  <c r="AJ475" i="9"/>
  <c r="AG476" i="9"/>
  <c r="AH476" i="9"/>
  <c r="AI476" i="9"/>
  <c r="AJ476" i="9"/>
  <c r="AG477" i="9"/>
  <c r="AH477" i="9"/>
  <c r="AI477" i="9"/>
  <c r="AJ477" i="9"/>
  <c r="AG478" i="9"/>
  <c r="AH478" i="9"/>
  <c r="AI478" i="9"/>
  <c r="AJ478" i="9"/>
  <c r="AG479" i="9"/>
  <c r="AH479" i="9"/>
  <c r="AI479" i="9"/>
  <c r="AJ479" i="9"/>
  <c r="AG480" i="9"/>
  <c r="AH480" i="9"/>
  <c r="AI480" i="9"/>
  <c r="AJ480" i="9"/>
  <c r="AG481" i="9"/>
  <c r="AH481" i="9"/>
  <c r="AI481" i="9"/>
  <c r="AJ481" i="9"/>
  <c r="AG482" i="9"/>
  <c r="AH482" i="9"/>
  <c r="AI482" i="9"/>
  <c r="AJ482" i="9"/>
  <c r="AG483" i="9"/>
  <c r="AH483" i="9"/>
  <c r="AI483" i="9"/>
  <c r="AJ483" i="9"/>
  <c r="AG484" i="9"/>
  <c r="AH484" i="9"/>
  <c r="AI484" i="9"/>
  <c r="AJ484" i="9"/>
  <c r="AG485" i="9"/>
  <c r="AH485" i="9"/>
  <c r="AI485" i="9"/>
  <c r="AJ485" i="9"/>
  <c r="AG486" i="9"/>
  <c r="AH486" i="9"/>
  <c r="AI486" i="9"/>
  <c r="AJ486" i="9"/>
  <c r="AG487" i="9"/>
  <c r="AH487" i="9"/>
  <c r="AI487" i="9"/>
  <c r="AJ487" i="9"/>
  <c r="AG488" i="9"/>
  <c r="AH488" i="9"/>
  <c r="AI488" i="9"/>
  <c r="AJ488" i="9"/>
  <c r="AG489" i="9"/>
  <c r="AH489" i="9"/>
  <c r="AI489" i="9"/>
  <c r="AJ489" i="9"/>
  <c r="AG490" i="9"/>
  <c r="AH490" i="9"/>
  <c r="AI490" i="9"/>
  <c r="AJ490" i="9"/>
  <c r="AG491" i="9"/>
  <c r="AH491" i="9"/>
  <c r="AI491" i="9"/>
  <c r="AJ491" i="9"/>
  <c r="AG492" i="9"/>
  <c r="AH492" i="9"/>
  <c r="AI492" i="9"/>
  <c r="AJ492" i="9"/>
  <c r="AG493" i="9"/>
  <c r="AH493" i="9"/>
  <c r="AI493" i="9"/>
  <c r="AJ493" i="9"/>
  <c r="AG494" i="9"/>
  <c r="AH494" i="9"/>
  <c r="AI494" i="9"/>
  <c r="AJ494" i="9"/>
  <c r="AG495" i="9"/>
  <c r="AH495" i="9"/>
  <c r="AI495" i="9"/>
  <c r="AJ495" i="9"/>
  <c r="AG496" i="9"/>
  <c r="AH496" i="9"/>
  <c r="AI496" i="9"/>
  <c r="AJ496" i="9"/>
  <c r="AG497" i="9"/>
  <c r="AH497" i="9"/>
  <c r="AI497" i="9"/>
  <c r="AJ497" i="9"/>
  <c r="AG498" i="9"/>
  <c r="AH498" i="9"/>
  <c r="AI498" i="9"/>
  <c r="AJ498" i="9"/>
  <c r="AG499" i="9"/>
  <c r="AH499" i="9"/>
  <c r="AI499" i="9"/>
  <c r="AJ499" i="9"/>
  <c r="AG500" i="9"/>
  <c r="AH500" i="9"/>
  <c r="AI500" i="9"/>
  <c r="AJ500" i="9"/>
  <c r="AG501" i="9"/>
  <c r="AH501" i="9"/>
  <c r="AI501" i="9"/>
  <c r="AJ501" i="9"/>
  <c r="AG502" i="9"/>
  <c r="AH502" i="9"/>
  <c r="AI502" i="9"/>
  <c r="AJ502" i="9"/>
  <c r="AG503" i="9"/>
  <c r="AH503" i="9"/>
  <c r="AI503" i="9"/>
  <c r="AJ503" i="9"/>
  <c r="AG504" i="9"/>
  <c r="AH504" i="9"/>
  <c r="AI504" i="9"/>
  <c r="AJ504" i="9"/>
  <c r="AG505" i="9"/>
  <c r="AH505" i="9"/>
  <c r="AI505" i="9"/>
  <c r="AJ505" i="9"/>
  <c r="AG506" i="9"/>
  <c r="AH506" i="9"/>
  <c r="AI506" i="9"/>
  <c r="AJ506" i="9"/>
  <c r="AG507" i="9"/>
  <c r="AH507" i="9"/>
  <c r="AI507" i="9"/>
  <c r="AJ507" i="9"/>
  <c r="AG508" i="9"/>
  <c r="AH508" i="9"/>
  <c r="AI508" i="9"/>
  <c r="AJ508" i="9"/>
  <c r="AG509" i="9"/>
  <c r="AH509" i="9"/>
  <c r="AI509" i="9"/>
  <c r="AJ509" i="9"/>
  <c r="AG510" i="9"/>
  <c r="AH510" i="9"/>
  <c r="AI510" i="9"/>
  <c r="AJ510" i="9"/>
  <c r="AG511" i="9"/>
  <c r="AH511" i="9"/>
  <c r="AI511" i="9"/>
  <c r="AJ511" i="9"/>
  <c r="AG512" i="9"/>
  <c r="AH512" i="9"/>
  <c r="AI512" i="9"/>
  <c r="AJ512" i="9"/>
  <c r="AG513" i="9"/>
  <c r="AH513" i="9"/>
  <c r="AI513" i="9"/>
  <c r="AJ513" i="9"/>
  <c r="AG514" i="9"/>
  <c r="AH514" i="9"/>
  <c r="AI514" i="9"/>
  <c r="AJ514" i="9"/>
  <c r="AG515" i="9"/>
  <c r="AH515" i="9"/>
  <c r="AI515" i="9"/>
  <c r="AJ515" i="9"/>
  <c r="AG516" i="9"/>
  <c r="AH516" i="9"/>
  <c r="AI516" i="9"/>
  <c r="AJ516" i="9"/>
  <c r="AG517" i="9"/>
  <c r="AH517" i="9"/>
  <c r="AI517" i="9"/>
  <c r="AJ517" i="9"/>
  <c r="AG518" i="9"/>
  <c r="AH518" i="9"/>
  <c r="AI518" i="9"/>
  <c r="AJ518" i="9"/>
  <c r="AG519" i="9"/>
  <c r="AH519" i="9"/>
  <c r="AI519" i="9"/>
  <c r="AJ519" i="9"/>
  <c r="AG520" i="9"/>
  <c r="AH520" i="9"/>
  <c r="AI520" i="9"/>
  <c r="AJ520" i="9"/>
  <c r="AG521" i="9"/>
  <c r="AH521" i="9"/>
  <c r="AI521" i="9"/>
  <c r="AJ521" i="9"/>
  <c r="AG522" i="9"/>
  <c r="AH522" i="9"/>
  <c r="AI522" i="9"/>
  <c r="AJ522" i="9"/>
  <c r="AG523" i="9"/>
  <c r="AH523" i="9"/>
  <c r="AI523" i="9"/>
  <c r="AJ523" i="9"/>
  <c r="AG524" i="9"/>
  <c r="AH524" i="9"/>
  <c r="AI524" i="9"/>
  <c r="AJ524" i="9"/>
  <c r="AG525" i="9"/>
  <c r="AH525" i="9"/>
  <c r="AI525" i="9"/>
  <c r="AJ525" i="9"/>
  <c r="AG526" i="9"/>
  <c r="AH526" i="9"/>
  <c r="AI526" i="9"/>
  <c r="AJ526" i="9"/>
  <c r="AG527" i="9"/>
  <c r="AH527" i="9"/>
  <c r="AI527" i="9"/>
  <c r="AJ527" i="9"/>
  <c r="AG528" i="9"/>
  <c r="AH528" i="9"/>
  <c r="AI528" i="9"/>
  <c r="AJ528" i="9"/>
  <c r="AG529" i="9"/>
  <c r="AH529" i="9"/>
  <c r="AI529" i="9"/>
  <c r="AJ529" i="9"/>
  <c r="AG530" i="9"/>
  <c r="AH530" i="9"/>
  <c r="AI530" i="9"/>
  <c r="AJ530" i="9"/>
  <c r="AG531" i="9"/>
  <c r="AH531" i="9"/>
  <c r="AI531" i="9"/>
  <c r="AJ531" i="9"/>
  <c r="AG532" i="9"/>
  <c r="AH532" i="9"/>
  <c r="AI532" i="9"/>
  <c r="AJ532" i="9"/>
  <c r="AG533" i="9"/>
  <c r="AH533" i="9"/>
  <c r="AI533" i="9"/>
  <c r="AJ533" i="9"/>
  <c r="AG534" i="9"/>
  <c r="AH534" i="9"/>
  <c r="AI534" i="9"/>
  <c r="AJ534" i="9"/>
  <c r="AG535" i="9"/>
  <c r="AH535" i="9"/>
  <c r="AI535" i="9"/>
  <c r="AJ535" i="9"/>
  <c r="AG536" i="9"/>
  <c r="AH536" i="9"/>
  <c r="AI536" i="9"/>
  <c r="AJ536" i="9"/>
  <c r="AG537" i="9"/>
  <c r="AH537" i="9"/>
  <c r="AI537" i="9"/>
  <c r="AJ537" i="9"/>
  <c r="AG538" i="9"/>
  <c r="AH538" i="9"/>
  <c r="AI538" i="9"/>
  <c r="AJ538" i="9"/>
  <c r="AG539" i="9"/>
  <c r="AH539" i="9"/>
  <c r="AI539" i="9"/>
  <c r="AJ539" i="9"/>
  <c r="AG540" i="9"/>
  <c r="AH540" i="9"/>
  <c r="AI540" i="9"/>
  <c r="AJ540" i="9"/>
  <c r="AG541" i="9"/>
  <c r="AH541" i="9"/>
  <c r="AI541" i="9"/>
  <c r="AJ541" i="9"/>
  <c r="AG542" i="9"/>
  <c r="AH542" i="9"/>
  <c r="AI542" i="9"/>
  <c r="AJ542" i="9"/>
  <c r="AG543" i="9"/>
  <c r="AH543" i="9"/>
  <c r="AI543" i="9"/>
  <c r="AJ543" i="9"/>
  <c r="AG544" i="9"/>
  <c r="AH544" i="9"/>
  <c r="AI544" i="9"/>
  <c r="AJ544" i="9"/>
  <c r="AG545" i="9"/>
  <c r="AH545" i="9"/>
  <c r="AI545" i="9"/>
  <c r="AJ545" i="9"/>
  <c r="AG546" i="9"/>
  <c r="AH546" i="9"/>
  <c r="AI546" i="9"/>
  <c r="AJ546" i="9"/>
  <c r="AG547" i="9"/>
  <c r="AH547" i="9"/>
  <c r="AI547" i="9"/>
  <c r="AJ547" i="9"/>
  <c r="AG548" i="9"/>
  <c r="AH548" i="9"/>
  <c r="AI548" i="9"/>
  <c r="AJ548" i="9"/>
  <c r="AG549" i="9"/>
  <c r="AH549" i="9"/>
  <c r="AI549" i="9"/>
  <c r="AJ549" i="9"/>
  <c r="AG550" i="9"/>
  <c r="AH550" i="9"/>
  <c r="AI550" i="9"/>
  <c r="AJ550" i="9"/>
  <c r="AG551" i="9"/>
  <c r="AH551" i="9"/>
  <c r="AI551" i="9"/>
  <c r="AJ551" i="9"/>
  <c r="AG552" i="9"/>
  <c r="AH552" i="9"/>
  <c r="AI552" i="9"/>
  <c r="AJ552" i="9"/>
  <c r="AG553" i="9"/>
  <c r="AH553" i="9"/>
  <c r="AI553" i="9"/>
  <c r="AJ553" i="9"/>
  <c r="AG554" i="9"/>
  <c r="AH554" i="9"/>
  <c r="AI554" i="9"/>
  <c r="AJ554" i="9"/>
  <c r="AG555" i="9"/>
  <c r="AH555" i="9"/>
  <c r="AI555" i="9"/>
  <c r="AJ555" i="9"/>
  <c r="AG556" i="9"/>
  <c r="AH556" i="9"/>
  <c r="AI556" i="9"/>
  <c r="AJ556" i="9"/>
  <c r="AG557" i="9"/>
  <c r="AH557" i="9"/>
  <c r="AI557" i="9"/>
  <c r="AJ557" i="9"/>
  <c r="AG558" i="9"/>
  <c r="AH558" i="9"/>
  <c r="AI558" i="9"/>
  <c r="AJ558" i="9"/>
  <c r="AG559" i="9"/>
  <c r="AH559" i="9"/>
  <c r="AI559" i="9"/>
  <c r="AJ559" i="9"/>
  <c r="AG560" i="9"/>
  <c r="AH560" i="9"/>
  <c r="AI560" i="9"/>
  <c r="AJ560" i="9"/>
  <c r="AG561" i="9"/>
  <c r="AH561" i="9"/>
  <c r="AI561" i="9"/>
  <c r="AJ561" i="9"/>
  <c r="AG562" i="9"/>
  <c r="AH562" i="9"/>
  <c r="AI562" i="9"/>
  <c r="AJ562" i="9"/>
  <c r="AG563" i="9"/>
  <c r="AH563" i="9"/>
  <c r="AI563" i="9"/>
  <c r="AJ563" i="9"/>
  <c r="AG564" i="9"/>
  <c r="AH564" i="9"/>
  <c r="AI564" i="9"/>
  <c r="AJ564" i="9"/>
  <c r="AG565" i="9"/>
  <c r="AH565" i="9"/>
  <c r="AI565" i="9"/>
  <c r="AJ565" i="9"/>
  <c r="AG566" i="9"/>
  <c r="AH566" i="9"/>
  <c r="AI566" i="9"/>
  <c r="AJ566" i="9"/>
  <c r="AG567" i="9"/>
  <c r="AH567" i="9"/>
  <c r="AI567" i="9"/>
  <c r="AJ567" i="9"/>
  <c r="AG568" i="9"/>
  <c r="AH568" i="9"/>
  <c r="AI568" i="9"/>
  <c r="AJ568" i="9"/>
  <c r="AG569" i="9"/>
  <c r="AH569" i="9"/>
  <c r="AI569" i="9"/>
  <c r="AJ569" i="9"/>
  <c r="AG570" i="9"/>
  <c r="AH570" i="9"/>
  <c r="AI570" i="9"/>
  <c r="AJ570" i="9"/>
  <c r="AG571" i="9"/>
  <c r="AH571" i="9"/>
  <c r="AI571" i="9"/>
  <c r="AJ571" i="9"/>
  <c r="AG572" i="9"/>
  <c r="AH572" i="9"/>
  <c r="AI572" i="9"/>
  <c r="AJ572" i="9"/>
  <c r="AG573" i="9"/>
  <c r="AH573" i="9"/>
  <c r="AI573" i="9"/>
  <c r="AJ573" i="9"/>
  <c r="AG574" i="9"/>
  <c r="AH574" i="9"/>
  <c r="AI574" i="9"/>
  <c r="AJ574" i="9"/>
  <c r="AG575" i="9"/>
  <c r="AH575" i="9"/>
  <c r="AI575" i="9"/>
  <c r="AJ575" i="9"/>
  <c r="AG576" i="9"/>
  <c r="AH576" i="9"/>
  <c r="AI576" i="9"/>
  <c r="AJ576" i="9"/>
  <c r="AG577" i="9"/>
  <c r="AH577" i="9"/>
  <c r="AI577" i="9"/>
  <c r="AJ577" i="9"/>
  <c r="AG578" i="9"/>
  <c r="AH578" i="9"/>
  <c r="AI578" i="9"/>
  <c r="AJ578" i="9"/>
  <c r="AG579" i="9"/>
  <c r="AH579" i="9"/>
  <c r="AI579" i="9"/>
  <c r="AJ579" i="9"/>
  <c r="AG580" i="9"/>
  <c r="AH580" i="9"/>
  <c r="AI580" i="9"/>
  <c r="AJ580" i="9"/>
  <c r="AG581" i="9"/>
  <c r="AH581" i="9"/>
  <c r="AI581" i="9"/>
  <c r="AJ581" i="9"/>
  <c r="AG582" i="9"/>
  <c r="AH582" i="9"/>
  <c r="AI582" i="9"/>
  <c r="AJ582" i="9"/>
  <c r="AG583" i="9"/>
  <c r="AH583" i="9"/>
  <c r="AI583" i="9"/>
  <c r="AJ583" i="9"/>
  <c r="AG584" i="9"/>
  <c r="AH584" i="9"/>
  <c r="AI584" i="9"/>
  <c r="AJ584" i="9"/>
  <c r="AG585" i="9"/>
  <c r="AH585" i="9"/>
  <c r="AI585" i="9"/>
  <c r="AJ585" i="9"/>
  <c r="AG586" i="9"/>
  <c r="AH586" i="9"/>
  <c r="AI586" i="9"/>
  <c r="AJ586" i="9"/>
  <c r="AG587" i="9"/>
  <c r="AH587" i="9"/>
  <c r="AI587" i="9"/>
  <c r="AJ587" i="9"/>
  <c r="AG588" i="9"/>
  <c r="AH588" i="9"/>
  <c r="AI588" i="9"/>
  <c r="AJ588" i="9"/>
  <c r="AG589" i="9"/>
  <c r="AH589" i="9"/>
  <c r="AI589" i="9"/>
  <c r="AJ589" i="9"/>
  <c r="AG590" i="9"/>
  <c r="AH590" i="9"/>
  <c r="AI590" i="9"/>
  <c r="AJ590" i="9"/>
  <c r="AG591" i="9"/>
  <c r="AH591" i="9"/>
  <c r="AI591" i="9"/>
  <c r="AJ591" i="9"/>
  <c r="AG592" i="9"/>
  <c r="AH592" i="9"/>
  <c r="AI592" i="9"/>
  <c r="AJ592" i="9"/>
  <c r="AG593" i="9"/>
  <c r="AH593" i="9"/>
  <c r="AI593" i="9"/>
  <c r="AJ593" i="9"/>
  <c r="AG594" i="9"/>
  <c r="AH594" i="9"/>
  <c r="AI594" i="9"/>
  <c r="AJ594" i="9"/>
  <c r="AG595" i="9"/>
  <c r="AH595" i="9"/>
  <c r="AI595" i="9"/>
  <c r="AJ595" i="9"/>
  <c r="AG596" i="9"/>
  <c r="AH596" i="9"/>
  <c r="AI596" i="9"/>
  <c r="AJ596" i="9"/>
  <c r="AG597" i="9"/>
  <c r="AH597" i="9"/>
  <c r="AI597" i="9"/>
  <c r="AJ597" i="9"/>
  <c r="AG598" i="9"/>
  <c r="AH598" i="9"/>
  <c r="AI598" i="9"/>
  <c r="AJ598" i="9"/>
  <c r="AG599" i="9"/>
  <c r="AH599" i="9"/>
  <c r="AI599" i="9"/>
  <c r="AJ599" i="9"/>
  <c r="AG600" i="9"/>
  <c r="AH600" i="9"/>
  <c r="AI600" i="9"/>
  <c r="AJ600" i="9"/>
  <c r="AG601" i="9"/>
  <c r="AH601" i="9"/>
  <c r="AI601" i="9"/>
  <c r="AJ601" i="9"/>
  <c r="AG602" i="9"/>
  <c r="AH602" i="9"/>
  <c r="AI602" i="9"/>
  <c r="AJ602" i="9"/>
  <c r="AG603" i="9"/>
  <c r="AH603" i="9"/>
  <c r="AI603" i="9"/>
  <c r="AJ603" i="9"/>
  <c r="AG604" i="9"/>
  <c r="AH604" i="9"/>
  <c r="AI604" i="9"/>
  <c r="AJ604" i="9"/>
  <c r="AG605" i="9"/>
  <c r="AH605" i="9"/>
  <c r="AI605" i="9"/>
  <c r="AJ605" i="9"/>
  <c r="AG606" i="9"/>
  <c r="AH606" i="9"/>
  <c r="AI606" i="9"/>
  <c r="AJ606" i="9"/>
  <c r="AG607" i="9"/>
  <c r="AH607" i="9"/>
  <c r="AI607" i="9"/>
  <c r="AJ607" i="9"/>
  <c r="AG608" i="9"/>
  <c r="AH608" i="9"/>
  <c r="AI608" i="9"/>
  <c r="AJ608" i="9"/>
  <c r="AG609" i="9"/>
  <c r="AH609" i="9"/>
  <c r="AI609" i="9"/>
  <c r="AJ609" i="9"/>
  <c r="AG610" i="9"/>
  <c r="AH610" i="9"/>
  <c r="AI610" i="9"/>
  <c r="AJ610" i="9"/>
  <c r="AG611" i="9"/>
  <c r="AH611" i="9"/>
  <c r="AI611" i="9"/>
  <c r="AJ611" i="9"/>
  <c r="AG612" i="9"/>
  <c r="AH612" i="9"/>
  <c r="AI612" i="9"/>
  <c r="AJ612" i="9"/>
  <c r="AG613" i="9"/>
  <c r="AH613" i="9"/>
  <c r="AI613" i="9"/>
  <c r="AJ613" i="9"/>
  <c r="AG614" i="9"/>
  <c r="AH614" i="9"/>
  <c r="AI614" i="9"/>
  <c r="AJ614" i="9"/>
  <c r="AG615" i="9"/>
  <c r="AH615" i="9"/>
  <c r="AI615" i="9"/>
  <c r="AJ615" i="9"/>
  <c r="AG616" i="9"/>
  <c r="AH616" i="9"/>
  <c r="AI616" i="9"/>
  <c r="AJ616" i="9"/>
  <c r="AG617" i="9"/>
  <c r="AH617" i="9"/>
  <c r="AI617" i="9"/>
  <c r="AJ617" i="9"/>
  <c r="AG618" i="9"/>
  <c r="AH618" i="9"/>
  <c r="AI618" i="9"/>
  <c r="AJ618" i="9"/>
  <c r="AG619" i="9"/>
  <c r="AH619" i="9"/>
  <c r="AI619" i="9"/>
  <c r="AJ619" i="9"/>
  <c r="AG620" i="9"/>
  <c r="AH620" i="9"/>
  <c r="AI620" i="9"/>
  <c r="AJ620" i="9"/>
  <c r="AG621" i="9"/>
  <c r="AH621" i="9"/>
  <c r="AI621" i="9"/>
  <c r="AJ621" i="9"/>
  <c r="AG622" i="9"/>
  <c r="AH622" i="9"/>
  <c r="AI622" i="9"/>
  <c r="AJ622" i="9"/>
  <c r="AG623" i="9"/>
  <c r="AH623" i="9"/>
  <c r="AI623" i="9"/>
  <c r="AJ623" i="9"/>
  <c r="AG624" i="9"/>
  <c r="AH624" i="9"/>
  <c r="AI624" i="9"/>
  <c r="AJ624" i="9"/>
  <c r="AG625" i="9"/>
  <c r="AH625" i="9"/>
  <c r="AI625" i="9"/>
  <c r="AJ625" i="9"/>
  <c r="AG626" i="9"/>
  <c r="AH626" i="9"/>
  <c r="AI626" i="9"/>
  <c r="AJ626" i="9"/>
  <c r="AG627" i="9"/>
  <c r="AH627" i="9"/>
  <c r="AI627" i="9"/>
  <c r="AJ627" i="9"/>
  <c r="AG628" i="9"/>
  <c r="AH628" i="9"/>
  <c r="AI628" i="9"/>
  <c r="AJ628" i="9"/>
  <c r="AG629" i="9"/>
  <c r="AH629" i="9"/>
  <c r="AI629" i="9"/>
  <c r="AJ629" i="9"/>
  <c r="AG630" i="9"/>
  <c r="AH630" i="9"/>
  <c r="AI630" i="9"/>
  <c r="AJ630" i="9"/>
  <c r="AG631" i="9"/>
  <c r="AH631" i="9"/>
  <c r="AI631" i="9"/>
  <c r="AJ631" i="9"/>
  <c r="AG632" i="9"/>
  <c r="AH632" i="9"/>
  <c r="AI632" i="9"/>
  <c r="AJ632" i="9"/>
  <c r="AG633" i="9"/>
  <c r="AH633" i="9"/>
  <c r="AI633" i="9"/>
  <c r="AJ633" i="9"/>
  <c r="AG634" i="9"/>
  <c r="AH634" i="9"/>
  <c r="AI634" i="9"/>
  <c r="AJ634" i="9"/>
  <c r="AG635" i="9"/>
  <c r="AH635" i="9"/>
  <c r="AI635" i="9"/>
  <c r="AJ635" i="9"/>
  <c r="AG636" i="9"/>
  <c r="AH636" i="9"/>
  <c r="AI636" i="9"/>
  <c r="AJ636" i="9"/>
  <c r="AG637" i="9"/>
  <c r="AH637" i="9"/>
  <c r="AI637" i="9"/>
  <c r="AJ637" i="9"/>
  <c r="AG638" i="9"/>
  <c r="AH638" i="9"/>
  <c r="AI638" i="9"/>
  <c r="AJ638" i="9"/>
  <c r="AG639" i="9"/>
  <c r="AH639" i="9"/>
  <c r="AI639" i="9"/>
  <c r="AJ639" i="9"/>
  <c r="AG640" i="9"/>
  <c r="AH640" i="9"/>
  <c r="AI640" i="9"/>
  <c r="AJ640" i="9"/>
  <c r="AG641" i="9"/>
  <c r="AH641" i="9"/>
  <c r="AI641" i="9"/>
  <c r="AJ641" i="9"/>
  <c r="AG642" i="9"/>
  <c r="AH642" i="9"/>
  <c r="AI642" i="9"/>
  <c r="AJ642" i="9"/>
  <c r="AG643" i="9"/>
  <c r="AH643" i="9"/>
  <c r="AI643" i="9"/>
  <c r="AJ643" i="9"/>
  <c r="AG644" i="9"/>
  <c r="AH644" i="9"/>
  <c r="AI644" i="9"/>
  <c r="AJ644" i="9"/>
  <c r="AG645" i="9"/>
  <c r="AH645" i="9"/>
  <c r="AI645" i="9"/>
  <c r="AJ645" i="9"/>
  <c r="AG646" i="9"/>
  <c r="AH646" i="9"/>
  <c r="AI646" i="9"/>
  <c r="AJ646" i="9"/>
  <c r="AG647" i="9"/>
  <c r="AH647" i="9"/>
  <c r="AI647" i="9"/>
  <c r="AJ647" i="9"/>
  <c r="AG648" i="9"/>
  <c r="AH648" i="9"/>
  <c r="AI648" i="9"/>
  <c r="AJ648" i="9"/>
  <c r="AG649" i="9"/>
  <c r="AH649" i="9"/>
  <c r="AI649" i="9"/>
  <c r="AJ649" i="9"/>
  <c r="AG650" i="9"/>
  <c r="AH650" i="9"/>
  <c r="AI650" i="9"/>
  <c r="AJ650" i="9"/>
  <c r="AG651" i="9"/>
  <c r="AH651" i="9"/>
  <c r="AI651" i="9"/>
  <c r="AJ651" i="9"/>
  <c r="AG652" i="9"/>
  <c r="AH652" i="9"/>
  <c r="AI652" i="9"/>
  <c r="AJ652" i="9"/>
  <c r="AG653" i="9"/>
  <c r="AH653" i="9"/>
  <c r="AI653" i="9"/>
  <c r="AJ653" i="9"/>
  <c r="AG654" i="9"/>
  <c r="AH654" i="9"/>
  <c r="AI654" i="9"/>
  <c r="AJ654" i="9"/>
  <c r="AG655" i="9"/>
  <c r="AH655" i="9"/>
  <c r="AI655" i="9"/>
  <c r="AJ655" i="9"/>
  <c r="AG656" i="9"/>
  <c r="AH656" i="9"/>
  <c r="AI656" i="9"/>
  <c r="AJ656" i="9"/>
  <c r="AG657" i="9"/>
  <c r="AH657" i="9"/>
  <c r="AI657" i="9"/>
  <c r="AJ657" i="9"/>
  <c r="AG658" i="9"/>
  <c r="AH658" i="9"/>
  <c r="AI658" i="9"/>
  <c r="AJ658" i="9"/>
  <c r="AG659" i="9"/>
  <c r="AH659" i="9"/>
  <c r="AI659" i="9"/>
  <c r="AJ659" i="9"/>
  <c r="AG660" i="9"/>
  <c r="AH660" i="9"/>
  <c r="AI660" i="9"/>
  <c r="AJ660" i="9"/>
  <c r="AG661" i="9"/>
  <c r="AH661" i="9"/>
  <c r="AI661" i="9"/>
  <c r="AJ661" i="9"/>
  <c r="AG662" i="9"/>
  <c r="AH662" i="9"/>
  <c r="AI662" i="9"/>
  <c r="AJ662" i="9"/>
  <c r="AG663" i="9"/>
  <c r="AH663" i="9"/>
  <c r="AI663" i="9"/>
  <c r="AJ663" i="9"/>
  <c r="AG664" i="9"/>
  <c r="AH664" i="9"/>
  <c r="AI664" i="9"/>
  <c r="AJ664" i="9"/>
  <c r="AG665" i="9"/>
  <c r="AH665" i="9"/>
  <c r="AI665" i="9"/>
  <c r="AJ665" i="9"/>
  <c r="AG666" i="9"/>
  <c r="AH666" i="9"/>
  <c r="AI666" i="9"/>
  <c r="AJ666" i="9"/>
  <c r="AG667" i="9"/>
  <c r="AH667" i="9"/>
  <c r="AI667" i="9"/>
  <c r="AJ667" i="9"/>
  <c r="AG668" i="9"/>
  <c r="AH668" i="9"/>
  <c r="AI668" i="9"/>
  <c r="AJ668" i="9"/>
  <c r="AG669" i="9"/>
  <c r="AH669" i="9"/>
  <c r="AI669" i="9"/>
  <c r="AJ669" i="9"/>
  <c r="AG670" i="9"/>
  <c r="AH670" i="9"/>
  <c r="AI670" i="9"/>
  <c r="AJ670" i="9"/>
  <c r="AG671" i="9"/>
  <c r="AH671" i="9"/>
  <c r="AI671" i="9"/>
  <c r="AJ671" i="9"/>
  <c r="AG672" i="9"/>
  <c r="AH672" i="9"/>
  <c r="AI672" i="9"/>
  <c r="AJ672" i="9"/>
  <c r="AG673" i="9"/>
  <c r="AH673" i="9"/>
  <c r="AI673" i="9"/>
  <c r="AJ673" i="9"/>
  <c r="AG674" i="9"/>
  <c r="AH674" i="9"/>
  <c r="AI674" i="9"/>
  <c r="AJ674" i="9"/>
  <c r="AG675" i="9"/>
  <c r="AH675" i="9"/>
  <c r="AI675" i="9"/>
  <c r="AJ675" i="9"/>
  <c r="AG676" i="9"/>
  <c r="AH676" i="9"/>
  <c r="AI676" i="9"/>
  <c r="AJ676" i="9"/>
  <c r="AG677" i="9"/>
  <c r="AH677" i="9"/>
  <c r="AI677" i="9"/>
  <c r="AJ677" i="9"/>
  <c r="AG678" i="9"/>
  <c r="AH678" i="9"/>
  <c r="AI678" i="9"/>
  <c r="AJ678" i="9"/>
  <c r="AG679" i="9"/>
  <c r="AH679" i="9"/>
  <c r="AI679" i="9"/>
  <c r="AJ679" i="9"/>
  <c r="AG680" i="9"/>
  <c r="AH680" i="9"/>
  <c r="AI680" i="9"/>
  <c r="AJ680" i="9"/>
  <c r="AG681" i="9"/>
  <c r="AH681" i="9"/>
  <c r="AI681" i="9"/>
  <c r="AJ681" i="9"/>
  <c r="AG682" i="9"/>
  <c r="AH682" i="9"/>
  <c r="AI682" i="9"/>
  <c r="AJ682" i="9"/>
  <c r="AG683" i="9"/>
  <c r="AH683" i="9"/>
  <c r="AI683" i="9"/>
  <c r="AJ683" i="9"/>
  <c r="AG684" i="9"/>
  <c r="AH684" i="9"/>
  <c r="AI684" i="9"/>
  <c r="AJ684" i="9"/>
  <c r="AG685" i="9"/>
  <c r="AH685" i="9"/>
  <c r="AI685" i="9"/>
  <c r="AJ685" i="9"/>
  <c r="AG686" i="9"/>
  <c r="AH686" i="9"/>
  <c r="AI686" i="9"/>
  <c r="AJ686" i="9"/>
  <c r="AG687" i="9"/>
  <c r="AH687" i="9"/>
  <c r="AI687" i="9"/>
  <c r="AJ687" i="9"/>
  <c r="AG688" i="9"/>
  <c r="AH688" i="9"/>
  <c r="AI688" i="9"/>
  <c r="AJ688" i="9"/>
  <c r="AG689" i="9"/>
  <c r="AH689" i="9"/>
  <c r="AI689" i="9"/>
  <c r="AJ689" i="9"/>
  <c r="AG690" i="9"/>
  <c r="AH690" i="9"/>
  <c r="AI690" i="9"/>
  <c r="AJ690" i="9"/>
  <c r="AG691" i="9"/>
  <c r="AH691" i="9"/>
  <c r="AI691" i="9"/>
  <c r="AJ691" i="9"/>
  <c r="AG692" i="9"/>
  <c r="AH692" i="9"/>
  <c r="AI692" i="9"/>
  <c r="AJ692" i="9"/>
  <c r="AG693" i="9"/>
  <c r="AH693" i="9"/>
  <c r="AI693" i="9"/>
  <c r="AJ693" i="9"/>
  <c r="AG694" i="9"/>
  <c r="AH694" i="9"/>
  <c r="AI694" i="9"/>
  <c r="AJ694" i="9"/>
  <c r="AG695" i="9"/>
  <c r="AH695" i="9"/>
  <c r="AI695" i="9"/>
  <c r="AJ695" i="9"/>
  <c r="AG696" i="9"/>
  <c r="AH696" i="9"/>
  <c r="AI696" i="9"/>
  <c r="AJ696" i="9"/>
  <c r="AG697" i="9"/>
  <c r="AH697" i="9"/>
  <c r="AI697" i="9"/>
  <c r="AJ697" i="9"/>
  <c r="AG698" i="9"/>
  <c r="AH698" i="9"/>
  <c r="AI698" i="9"/>
  <c r="AJ698" i="9"/>
  <c r="AG699" i="9"/>
  <c r="AH699" i="9"/>
  <c r="AI699" i="9"/>
  <c r="AJ699" i="9"/>
  <c r="AG700" i="9"/>
  <c r="AH700" i="9"/>
  <c r="AI700" i="9"/>
  <c r="AJ700" i="9"/>
  <c r="AG701" i="9"/>
  <c r="AH701" i="9"/>
  <c r="AI701" i="9"/>
  <c r="AJ701" i="9"/>
  <c r="AG702" i="9"/>
  <c r="AH702" i="9"/>
  <c r="AI702" i="9"/>
  <c r="AJ702" i="9"/>
  <c r="AG703" i="9"/>
  <c r="AH703" i="9"/>
  <c r="AI703" i="9"/>
  <c r="AJ703" i="9"/>
  <c r="AG704" i="9"/>
  <c r="AH704" i="9"/>
  <c r="AI704" i="9"/>
  <c r="AJ704" i="9"/>
  <c r="AG705" i="9"/>
  <c r="AH705" i="9"/>
  <c r="AI705" i="9"/>
  <c r="AJ705" i="9"/>
  <c r="AG706" i="9"/>
  <c r="AH706" i="9"/>
  <c r="AI706" i="9"/>
  <c r="AJ706" i="9"/>
  <c r="AG707" i="9"/>
  <c r="AH707" i="9"/>
  <c r="AI707" i="9"/>
  <c r="AJ707" i="9"/>
  <c r="AG708" i="9"/>
  <c r="AH708" i="9"/>
  <c r="AI708" i="9"/>
  <c r="AJ708" i="9"/>
  <c r="AG709" i="9"/>
  <c r="AH709" i="9"/>
  <c r="AI709" i="9"/>
  <c r="AJ709" i="9"/>
  <c r="AG710" i="9"/>
  <c r="AH710" i="9"/>
  <c r="AI710" i="9"/>
  <c r="AJ710" i="9"/>
  <c r="AG711" i="9"/>
  <c r="AH711" i="9"/>
  <c r="AI711" i="9"/>
  <c r="AJ711" i="9"/>
  <c r="AG712" i="9"/>
  <c r="AH712" i="9"/>
  <c r="AI712" i="9"/>
  <c r="AJ712" i="9"/>
  <c r="AG713" i="9"/>
  <c r="AH713" i="9"/>
  <c r="AI713" i="9"/>
  <c r="AJ713" i="9"/>
  <c r="AG714" i="9"/>
  <c r="AH714" i="9"/>
  <c r="AI714" i="9"/>
  <c r="AJ714" i="9"/>
  <c r="AG715" i="9"/>
  <c r="AH715" i="9"/>
  <c r="AI715" i="9"/>
  <c r="AJ715" i="9"/>
  <c r="AG716" i="9"/>
  <c r="AH716" i="9"/>
  <c r="AI716" i="9"/>
  <c r="AJ716" i="9"/>
  <c r="AG717" i="9"/>
  <c r="AH717" i="9"/>
  <c r="AI717" i="9"/>
  <c r="AJ717" i="9"/>
  <c r="AG718" i="9"/>
  <c r="AH718" i="9"/>
  <c r="AI718" i="9"/>
  <c r="AJ718" i="9"/>
  <c r="AG719" i="9"/>
  <c r="AH719" i="9"/>
  <c r="AI719" i="9"/>
  <c r="AJ719" i="9"/>
  <c r="AG720" i="9"/>
  <c r="AH720" i="9"/>
  <c r="AI720" i="9"/>
  <c r="AJ720" i="9"/>
  <c r="AG721" i="9"/>
  <c r="AH721" i="9"/>
  <c r="AI721" i="9"/>
  <c r="AJ721" i="9"/>
  <c r="AG722" i="9"/>
  <c r="AH722" i="9"/>
  <c r="AI722" i="9"/>
  <c r="AJ722" i="9"/>
  <c r="AG723" i="9"/>
  <c r="AH723" i="9"/>
  <c r="AI723" i="9"/>
  <c r="AJ723" i="9"/>
  <c r="AG724" i="9"/>
  <c r="AH724" i="9"/>
  <c r="AI724" i="9"/>
  <c r="AJ724" i="9"/>
  <c r="AG725" i="9"/>
  <c r="AH725" i="9"/>
  <c r="AI725" i="9"/>
  <c r="AJ725" i="9"/>
  <c r="AG726" i="9"/>
  <c r="AH726" i="9"/>
  <c r="AI726" i="9"/>
  <c r="AJ726" i="9"/>
  <c r="AG727" i="9"/>
  <c r="AH727" i="9"/>
  <c r="AI727" i="9"/>
  <c r="AJ727" i="9"/>
  <c r="AG728" i="9"/>
  <c r="AH728" i="9"/>
  <c r="AI728" i="9"/>
  <c r="AJ728" i="9"/>
  <c r="AG729" i="9"/>
  <c r="AH729" i="9"/>
  <c r="AI729" i="9"/>
  <c r="AJ729" i="9"/>
  <c r="AG730" i="9"/>
  <c r="AH730" i="9"/>
  <c r="AI730" i="9"/>
  <c r="AJ730" i="9"/>
  <c r="AG731" i="9"/>
  <c r="AH731" i="9"/>
  <c r="AI731" i="9"/>
  <c r="AJ731" i="9"/>
  <c r="AG732" i="9"/>
  <c r="AH732" i="9"/>
  <c r="AI732" i="9"/>
  <c r="AJ732" i="9"/>
  <c r="AG733" i="9"/>
  <c r="AH733" i="9"/>
  <c r="AI733" i="9"/>
  <c r="AJ733" i="9"/>
  <c r="AG734" i="9"/>
  <c r="AH734" i="9"/>
  <c r="AI734" i="9"/>
  <c r="AJ734" i="9"/>
  <c r="AG735" i="9"/>
  <c r="AH735" i="9"/>
  <c r="AI735" i="9"/>
  <c r="AJ735" i="9"/>
  <c r="AG736" i="9"/>
  <c r="AH736" i="9"/>
  <c r="AI736" i="9"/>
  <c r="AJ736" i="9"/>
  <c r="AG737" i="9"/>
  <c r="AH737" i="9"/>
  <c r="AI737" i="9"/>
  <c r="AJ737" i="9"/>
  <c r="AG738" i="9"/>
  <c r="AH738" i="9"/>
  <c r="AI738" i="9"/>
  <c r="AJ738" i="9"/>
  <c r="AG739" i="9"/>
  <c r="AH739" i="9"/>
  <c r="AI739" i="9"/>
  <c r="AJ739" i="9"/>
  <c r="AG740" i="9"/>
  <c r="AH740" i="9"/>
  <c r="AI740" i="9"/>
  <c r="AJ740" i="9"/>
  <c r="AG741" i="9"/>
  <c r="AH741" i="9"/>
  <c r="AI741" i="9"/>
  <c r="AJ741" i="9"/>
  <c r="AG742" i="9"/>
  <c r="AH742" i="9"/>
  <c r="AI742" i="9"/>
  <c r="AJ742" i="9"/>
  <c r="AG743" i="9"/>
  <c r="AH743" i="9"/>
  <c r="AI743" i="9"/>
  <c r="AJ743" i="9"/>
  <c r="AG744" i="9"/>
  <c r="AH744" i="9"/>
  <c r="AI744" i="9"/>
  <c r="AJ744" i="9"/>
  <c r="AG745" i="9"/>
  <c r="AH745" i="9"/>
  <c r="AI745" i="9"/>
  <c r="AJ745" i="9"/>
  <c r="AG746" i="9"/>
  <c r="AH746" i="9"/>
  <c r="AI746" i="9"/>
  <c r="AJ746" i="9"/>
  <c r="AG747" i="9"/>
  <c r="AH747" i="9"/>
  <c r="AI747" i="9"/>
  <c r="AJ747" i="9"/>
  <c r="AG748" i="9"/>
  <c r="AH748" i="9"/>
  <c r="AI748" i="9"/>
  <c r="AJ748" i="9"/>
  <c r="AG749" i="9"/>
  <c r="AH749" i="9"/>
  <c r="AI749" i="9"/>
  <c r="AJ749" i="9"/>
  <c r="AG750" i="9"/>
  <c r="AH750" i="9"/>
  <c r="AI750" i="9"/>
  <c r="AJ750" i="9"/>
  <c r="AG751" i="9"/>
  <c r="AH751" i="9"/>
  <c r="AI751" i="9"/>
  <c r="AJ751" i="9"/>
  <c r="AG752" i="9"/>
  <c r="AH752" i="9"/>
  <c r="AI752" i="9"/>
  <c r="AJ752" i="9"/>
  <c r="AG753" i="9"/>
  <c r="AH753" i="9"/>
  <c r="AI753" i="9"/>
  <c r="AJ753" i="9"/>
  <c r="AG754" i="9"/>
  <c r="AH754" i="9"/>
  <c r="AI754" i="9"/>
  <c r="AJ754" i="9"/>
  <c r="AG755" i="9"/>
  <c r="AH755" i="9"/>
  <c r="AI755" i="9"/>
  <c r="AJ755" i="9"/>
  <c r="AG756" i="9"/>
  <c r="AH756" i="9"/>
  <c r="AI756" i="9"/>
  <c r="AJ756" i="9"/>
  <c r="AG757" i="9"/>
  <c r="AH757" i="9"/>
  <c r="AI757" i="9"/>
  <c r="AJ757" i="9"/>
  <c r="AG758" i="9"/>
  <c r="AH758" i="9"/>
  <c r="AI758" i="9"/>
  <c r="AJ758" i="9"/>
  <c r="AG759" i="9"/>
  <c r="AH759" i="9"/>
  <c r="AI759" i="9"/>
  <c r="AJ759" i="9"/>
  <c r="AG760" i="9"/>
  <c r="AH760" i="9"/>
  <c r="AI760" i="9"/>
  <c r="AJ760" i="9"/>
  <c r="AG761" i="9"/>
  <c r="AH761" i="9"/>
  <c r="AI761" i="9"/>
  <c r="AJ761" i="9"/>
  <c r="AG762" i="9"/>
  <c r="AH762" i="9"/>
  <c r="AI762" i="9"/>
  <c r="AJ762" i="9"/>
  <c r="AG763" i="9"/>
  <c r="AH763" i="9"/>
  <c r="AI763" i="9"/>
  <c r="AJ763" i="9"/>
  <c r="AG764" i="9"/>
  <c r="AH764" i="9"/>
  <c r="AI764" i="9"/>
  <c r="AJ764" i="9"/>
  <c r="AG765" i="9"/>
  <c r="AH765" i="9"/>
  <c r="AI765" i="9"/>
  <c r="AJ765" i="9"/>
  <c r="AG766" i="9"/>
  <c r="AH766" i="9"/>
  <c r="AI766" i="9"/>
  <c r="AJ766" i="9"/>
  <c r="AG767" i="9"/>
  <c r="AH767" i="9"/>
  <c r="AI767" i="9"/>
  <c r="AJ767" i="9"/>
  <c r="AG768" i="9"/>
  <c r="AH768" i="9"/>
  <c r="AI768" i="9"/>
  <c r="AJ768" i="9"/>
  <c r="AG769" i="9"/>
  <c r="AH769" i="9"/>
  <c r="AI769" i="9"/>
  <c r="AJ769" i="9"/>
  <c r="AG770" i="9"/>
  <c r="AH770" i="9"/>
  <c r="AI770" i="9"/>
  <c r="AJ770" i="9"/>
  <c r="AG771" i="9"/>
  <c r="AH771" i="9"/>
  <c r="AI771" i="9"/>
  <c r="AJ771" i="9"/>
  <c r="AG772" i="9"/>
  <c r="AH772" i="9"/>
  <c r="AI772" i="9"/>
  <c r="AJ772" i="9"/>
  <c r="AG773" i="9"/>
  <c r="AH773" i="9"/>
  <c r="AI773" i="9"/>
  <c r="AJ773" i="9"/>
  <c r="AG774" i="9"/>
  <c r="AH774" i="9"/>
  <c r="AI774" i="9"/>
  <c r="AJ774" i="9"/>
  <c r="AG775" i="9"/>
  <c r="AH775" i="9"/>
  <c r="AI775" i="9"/>
  <c r="AJ775" i="9"/>
  <c r="AG776" i="9"/>
  <c r="AH776" i="9"/>
  <c r="AI776" i="9"/>
  <c r="AJ776" i="9"/>
  <c r="AG777" i="9"/>
  <c r="AH777" i="9"/>
  <c r="AI777" i="9"/>
  <c r="AJ777" i="9"/>
  <c r="AG778" i="9"/>
  <c r="AH778" i="9"/>
  <c r="AI778" i="9"/>
  <c r="AJ778" i="9"/>
  <c r="AG779" i="9"/>
  <c r="AH779" i="9"/>
  <c r="AI779" i="9"/>
  <c r="AJ779" i="9"/>
  <c r="AG780" i="9"/>
  <c r="AH780" i="9"/>
  <c r="AI780" i="9"/>
  <c r="AJ780" i="9"/>
  <c r="AG781" i="9"/>
  <c r="AH781" i="9"/>
  <c r="AI781" i="9"/>
  <c r="AJ781" i="9"/>
  <c r="AG782" i="9"/>
  <c r="AH782" i="9"/>
  <c r="AI782" i="9"/>
  <c r="AJ782" i="9"/>
  <c r="AG783" i="9"/>
  <c r="AH783" i="9"/>
  <c r="AI783" i="9"/>
  <c r="AJ783" i="9"/>
  <c r="AG784" i="9"/>
  <c r="AH784" i="9"/>
  <c r="AI784" i="9"/>
  <c r="AJ784" i="9"/>
  <c r="AG785" i="9"/>
  <c r="AH785" i="9"/>
  <c r="AI785" i="9"/>
  <c r="AJ785" i="9"/>
  <c r="AG786" i="9"/>
  <c r="AH786" i="9"/>
  <c r="AI786" i="9"/>
  <c r="AJ786" i="9"/>
  <c r="AG787" i="9"/>
  <c r="AH787" i="9"/>
  <c r="AI787" i="9"/>
  <c r="AJ787" i="9"/>
  <c r="AG788" i="9"/>
  <c r="AH788" i="9"/>
  <c r="AI788" i="9"/>
  <c r="AJ788" i="9"/>
  <c r="AG789" i="9"/>
  <c r="AH789" i="9"/>
  <c r="AI789" i="9"/>
  <c r="AJ789" i="9"/>
  <c r="AG790" i="9"/>
  <c r="AH790" i="9"/>
  <c r="AI790" i="9"/>
  <c r="AJ790" i="9"/>
  <c r="AG791" i="9"/>
  <c r="AH791" i="9"/>
  <c r="AI791" i="9"/>
  <c r="AJ791" i="9"/>
  <c r="AG792" i="9"/>
  <c r="AH792" i="9"/>
  <c r="AI792" i="9"/>
  <c r="AJ792" i="9"/>
  <c r="AG793" i="9"/>
  <c r="AH793" i="9"/>
  <c r="AI793" i="9"/>
  <c r="AJ793" i="9"/>
  <c r="AG794" i="9"/>
  <c r="AH794" i="9"/>
  <c r="AI794" i="9"/>
  <c r="AJ794" i="9"/>
  <c r="AG795" i="9"/>
  <c r="AH795" i="9"/>
  <c r="AI795" i="9"/>
  <c r="AJ795" i="9"/>
  <c r="AG796" i="9"/>
  <c r="AH796" i="9"/>
  <c r="AI796" i="9"/>
  <c r="AJ796" i="9"/>
  <c r="AG797" i="9"/>
  <c r="AH797" i="9"/>
  <c r="AI797" i="9"/>
  <c r="AJ797" i="9"/>
  <c r="AG798" i="9"/>
  <c r="AH798" i="9"/>
  <c r="AI798" i="9"/>
  <c r="AJ798" i="9"/>
  <c r="AG799" i="9"/>
  <c r="AH799" i="9"/>
  <c r="AI799" i="9"/>
  <c r="AJ799" i="9"/>
  <c r="AG800" i="9"/>
  <c r="AH800" i="9"/>
  <c r="AI800" i="9"/>
  <c r="AJ800" i="9"/>
  <c r="AG801" i="9"/>
  <c r="AH801" i="9"/>
  <c r="AI801" i="9"/>
  <c r="AJ801" i="9"/>
  <c r="AG802" i="9"/>
  <c r="AH802" i="9"/>
  <c r="AI802" i="9"/>
  <c r="AJ802" i="9"/>
  <c r="AG803" i="9"/>
  <c r="AH803" i="9"/>
  <c r="AI803" i="9"/>
  <c r="AJ803" i="9"/>
  <c r="AG804" i="9"/>
  <c r="AH804" i="9"/>
  <c r="AI804" i="9"/>
  <c r="AJ804" i="9"/>
  <c r="AG805" i="9"/>
  <c r="AH805" i="9"/>
  <c r="AI805" i="9"/>
  <c r="AJ805" i="9"/>
  <c r="AG806" i="9"/>
  <c r="AH806" i="9"/>
  <c r="AI806" i="9"/>
  <c r="AJ806" i="9"/>
  <c r="AG807" i="9"/>
  <c r="AH807" i="9"/>
  <c r="AI807" i="9"/>
  <c r="AJ807" i="9"/>
  <c r="AG808" i="9"/>
  <c r="AH808" i="9"/>
  <c r="AI808" i="9"/>
  <c r="AJ808" i="9"/>
  <c r="AG809" i="9"/>
  <c r="AH809" i="9"/>
  <c r="AI809" i="9"/>
  <c r="AJ809" i="9"/>
  <c r="AG810" i="9"/>
  <c r="AH810" i="9"/>
  <c r="AI810" i="9"/>
  <c r="AJ810" i="9"/>
  <c r="AG811" i="9"/>
  <c r="AH811" i="9"/>
  <c r="AI811" i="9"/>
  <c r="AJ811" i="9"/>
  <c r="AG812" i="9"/>
  <c r="AH812" i="9"/>
  <c r="AI812" i="9"/>
  <c r="AJ812" i="9"/>
  <c r="AG813" i="9"/>
  <c r="AH813" i="9"/>
  <c r="AI813" i="9"/>
  <c r="AJ813" i="9"/>
  <c r="AG814" i="9"/>
  <c r="AH814" i="9"/>
  <c r="AI814" i="9"/>
  <c r="AJ814" i="9"/>
  <c r="AG815" i="9"/>
  <c r="AH815" i="9"/>
  <c r="AI815" i="9"/>
  <c r="AJ815" i="9"/>
  <c r="AG816" i="9"/>
  <c r="AH816" i="9"/>
  <c r="AI816" i="9"/>
  <c r="AJ816" i="9"/>
  <c r="AG817" i="9"/>
  <c r="AH817" i="9"/>
  <c r="AI817" i="9"/>
  <c r="AJ817" i="9"/>
  <c r="AG818" i="9"/>
  <c r="AH818" i="9"/>
  <c r="AI818" i="9"/>
  <c r="AJ818" i="9"/>
  <c r="AG819" i="9"/>
  <c r="AH819" i="9"/>
  <c r="AI819" i="9"/>
  <c r="AJ819" i="9"/>
  <c r="AG820" i="9"/>
  <c r="AH820" i="9"/>
  <c r="AI820" i="9"/>
  <c r="AJ820" i="9"/>
  <c r="AG821" i="9"/>
  <c r="AH821" i="9"/>
  <c r="AI821" i="9"/>
  <c r="AJ821" i="9"/>
  <c r="AG822" i="9"/>
  <c r="AH822" i="9"/>
  <c r="AI822" i="9"/>
  <c r="AJ822" i="9"/>
  <c r="AG823" i="9"/>
  <c r="AH823" i="9"/>
  <c r="AI823" i="9"/>
  <c r="AJ823" i="9"/>
  <c r="AG824" i="9"/>
  <c r="AH824" i="9"/>
  <c r="AI824" i="9"/>
  <c r="AJ824" i="9"/>
  <c r="AG825" i="9"/>
  <c r="AH825" i="9"/>
  <c r="AI825" i="9"/>
  <c r="AJ825" i="9"/>
  <c r="AG826" i="9"/>
  <c r="AH826" i="9"/>
  <c r="AI826" i="9"/>
  <c r="AJ826" i="9"/>
  <c r="AG827" i="9"/>
  <c r="AH827" i="9"/>
  <c r="AI827" i="9"/>
  <c r="AJ827" i="9"/>
  <c r="AG828" i="9"/>
  <c r="AH828" i="9"/>
  <c r="AI828" i="9"/>
  <c r="AJ828" i="9"/>
  <c r="AG829" i="9"/>
  <c r="AH829" i="9"/>
  <c r="AI829" i="9"/>
  <c r="AJ829" i="9"/>
  <c r="AG830" i="9"/>
  <c r="AH830" i="9"/>
  <c r="AI830" i="9"/>
  <c r="AJ830" i="9"/>
  <c r="AG831" i="9"/>
  <c r="AH831" i="9"/>
  <c r="AI831" i="9"/>
  <c r="AJ831" i="9"/>
  <c r="AG832" i="9"/>
  <c r="AH832" i="9"/>
  <c r="AI832" i="9"/>
  <c r="AJ832" i="9"/>
  <c r="AG833" i="9"/>
  <c r="AH833" i="9"/>
  <c r="AI833" i="9"/>
  <c r="AJ833" i="9"/>
  <c r="AG834" i="9"/>
  <c r="AH834" i="9"/>
  <c r="AI834" i="9"/>
  <c r="AJ834" i="9"/>
  <c r="AG835" i="9"/>
  <c r="AH835" i="9"/>
  <c r="AI835" i="9"/>
  <c r="AJ835" i="9"/>
  <c r="AG836" i="9"/>
  <c r="AH836" i="9"/>
  <c r="AI836" i="9"/>
  <c r="AJ836" i="9"/>
  <c r="AG837" i="9"/>
  <c r="AH837" i="9"/>
  <c r="AI837" i="9"/>
  <c r="AJ837" i="9"/>
  <c r="AG838" i="9"/>
  <c r="AH838" i="9"/>
  <c r="AI838" i="9"/>
  <c r="AJ838" i="9"/>
  <c r="AG839" i="9"/>
  <c r="AH839" i="9"/>
  <c r="AI839" i="9"/>
  <c r="AJ839" i="9"/>
  <c r="AG840" i="9"/>
  <c r="AH840" i="9"/>
  <c r="AI840" i="9"/>
  <c r="AJ840" i="9"/>
  <c r="AG841" i="9"/>
  <c r="AH841" i="9"/>
  <c r="AI841" i="9"/>
  <c r="AJ841" i="9"/>
  <c r="AG842" i="9"/>
  <c r="AH842" i="9"/>
  <c r="AI842" i="9"/>
  <c r="AJ842" i="9"/>
  <c r="AG843" i="9"/>
  <c r="AH843" i="9"/>
  <c r="AI843" i="9"/>
  <c r="AJ843" i="9"/>
  <c r="AG844" i="9"/>
  <c r="AH844" i="9"/>
  <c r="AI844" i="9"/>
  <c r="AJ844" i="9"/>
  <c r="AG845" i="9"/>
  <c r="AH845" i="9"/>
  <c r="AI845" i="9"/>
  <c r="AJ845" i="9"/>
  <c r="AG846" i="9"/>
  <c r="AH846" i="9"/>
  <c r="AI846" i="9"/>
  <c r="AJ846" i="9"/>
  <c r="AG847" i="9"/>
  <c r="AH847" i="9"/>
  <c r="AI847" i="9"/>
  <c r="AJ847" i="9"/>
  <c r="AG848" i="9"/>
  <c r="AH848" i="9"/>
  <c r="AI848" i="9"/>
  <c r="AJ848" i="9"/>
  <c r="AG849" i="9"/>
  <c r="AH849" i="9"/>
  <c r="AI849" i="9"/>
  <c r="AJ849" i="9"/>
  <c r="AG850" i="9"/>
  <c r="AH850" i="9"/>
  <c r="AI850" i="9"/>
  <c r="AJ850" i="9"/>
  <c r="AG851" i="9"/>
  <c r="AH851" i="9"/>
  <c r="AI851" i="9"/>
  <c r="AJ851" i="9"/>
  <c r="AG852" i="9"/>
  <c r="AH852" i="9"/>
  <c r="AI852" i="9"/>
  <c r="AJ852" i="9"/>
  <c r="AG853" i="9"/>
  <c r="AH853" i="9"/>
  <c r="AI853" i="9"/>
  <c r="AJ853" i="9"/>
  <c r="AG854" i="9"/>
  <c r="AH854" i="9"/>
  <c r="AI854" i="9"/>
  <c r="AJ854" i="9"/>
  <c r="AG855" i="9"/>
  <c r="AH855" i="9"/>
  <c r="AI855" i="9"/>
  <c r="AJ855" i="9"/>
  <c r="AG856" i="9"/>
  <c r="AH856" i="9"/>
  <c r="AI856" i="9"/>
  <c r="AJ856" i="9"/>
  <c r="AG857" i="9"/>
  <c r="AH857" i="9"/>
  <c r="AI857" i="9"/>
  <c r="AJ857" i="9"/>
  <c r="AG858" i="9"/>
  <c r="AH858" i="9"/>
  <c r="AI858" i="9"/>
  <c r="AJ858" i="9"/>
  <c r="AG859" i="9"/>
  <c r="AH859" i="9"/>
  <c r="AI859" i="9"/>
  <c r="AJ859" i="9"/>
  <c r="AG860" i="9"/>
  <c r="AH860" i="9"/>
  <c r="AI860" i="9"/>
  <c r="AJ860" i="9"/>
  <c r="AG861" i="9"/>
  <c r="AH861" i="9"/>
  <c r="AI861" i="9"/>
  <c r="AJ861" i="9"/>
  <c r="AG862" i="9"/>
  <c r="AH862" i="9"/>
  <c r="AI862" i="9"/>
  <c r="AJ862" i="9"/>
  <c r="AG863" i="9"/>
  <c r="AH863" i="9"/>
  <c r="AI863" i="9"/>
  <c r="AJ863" i="9"/>
  <c r="AG864" i="9"/>
  <c r="AH864" i="9"/>
  <c r="AI864" i="9"/>
  <c r="AJ864" i="9"/>
  <c r="AG865" i="9"/>
  <c r="AH865" i="9"/>
  <c r="AI865" i="9"/>
  <c r="AJ865" i="9"/>
  <c r="AG866" i="9"/>
  <c r="AH866" i="9"/>
  <c r="AI866" i="9"/>
  <c r="AJ866" i="9"/>
  <c r="AG867" i="9"/>
  <c r="AH867" i="9"/>
  <c r="AI867" i="9"/>
  <c r="AJ867" i="9"/>
  <c r="AG868" i="9"/>
  <c r="AH868" i="9"/>
  <c r="AI868" i="9"/>
  <c r="AJ868" i="9"/>
  <c r="AG869" i="9"/>
  <c r="AH869" i="9"/>
  <c r="AI869" i="9"/>
  <c r="AJ869" i="9"/>
  <c r="AG870" i="9"/>
  <c r="AH870" i="9"/>
  <c r="AI870" i="9"/>
  <c r="AJ870" i="9"/>
  <c r="AG871" i="9"/>
  <c r="AH871" i="9"/>
  <c r="AI871" i="9"/>
  <c r="AJ871" i="9"/>
  <c r="AG872" i="9"/>
  <c r="AH872" i="9"/>
  <c r="AI872" i="9"/>
  <c r="AJ872" i="9"/>
  <c r="AG873" i="9"/>
  <c r="AH873" i="9"/>
  <c r="AI873" i="9"/>
  <c r="AJ873" i="9"/>
  <c r="AG874" i="9"/>
  <c r="AH874" i="9"/>
  <c r="AI874" i="9"/>
  <c r="AJ874" i="9"/>
  <c r="AG875" i="9"/>
  <c r="AH875" i="9"/>
  <c r="AI875" i="9"/>
  <c r="AJ875" i="9"/>
  <c r="AG876" i="9"/>
  <c r="AH876" i="9"/>
  <c r="AI876" i="9"/>
  <c r="AJ876" i="9"/>
  <c r="AG877" i="9"/>
  <c r="AH877" i="9"/>
  <c r="AI877" i="9"/>
  <c r="AJ877" i="9"/>
  <c r="AG878" i="9"/>
  <c r="AH878" i="9"/>
  <c r="AI878" i="9"/>
  <c r="AJ878" i="9"/>
  <c r="AG879" i="9"/>
  <c r="AH879" i="9"/>
  <c r="AI879" i="9"/>
  <c r="AJ879" i="9"/>
  <c r="AG880" i="9"/>
  <c r="AH880" i="9"/>
  <c r="AI880" i="9"/>
  <c r="AJ880" i="9"/>
  <c r="AG881" i="9"/>
  <c r="AH881" i="9"/>
  <c r="AI881" i="9"/>
  <c r="AJ881" i="9"/>
  <c r="AG882" i="9"/>
  <c r="AH882" i="9"/>
  <c r="AI882" i="9"/>
  <c r="AJ882" i="9"/>
  <c r="AG883" i="9"/>
  <c r="AH883" i="9"/>
  <c r="AI883" i="9"/>
  <c r="AJ883" i="9"/>
  <c r="AG884" i="9"/>
  <c r="AH884" i="9"/>
  <c r="AI884" i="9"/>
  <c r="AJ884" i="9"/>
  <c r="AG885" i="9"/>
  <c r="AH885" i="9"/>
  <c r="AI885" i="9"/>
  <c r="AJ885" i="9"/>
  <c r="AG886" i="9"/>
  <c r="AH886" i="9"/>
  <c r="AI886" i="9"/>
  <c r="AJ886" i="9"/>
  <c r="AG887" i="9"/>
  <c r="AH887" i="9"/>
  <c r="AI887" i="9"/>
  <c r="AJ887" i="9"/>
  <c r="AG888" i="9"/>
  <c r="AH888" i="9"/>
  <c r="AI888" i="9"/>
  <c r="AJ888" i="9"/>
  <c r="AG889" i="9"/>
  <c r="AH889" i="9"/>
  <c r="AI889" i="9"/>
  <c r="AJ889" i="9"/>
  <c r="AG890" i="9"/>
  <c r="AH890" i="9"/>
  <c r="AI890" i="9"/>
  <c r="AJ890" i="9"/>
  <c r="AG891" i="9"/>
  <c r="AH891" i="9"/>
  <c r="AI891" i="9"/>
  <c r="AJ891" i="9"/>
  <c r="AG892" i="9"/>
  <c r="AH892" i="9"/>
  <c r="AI892" i="9"/>
  <c r="AJ892" i="9"/>
  <c r="AG893" i="9"/>
  <c r="AH893" i="9"/>
  <c r="AI893" i="9"/>
  <c r="AJ893" i="9"/>
  <c r="AG894" i="9"/>
  <c r="AH894" i="9"/>
  <c r="AI894" i="9"/>
  <c r="AJ894" i="9"/>
  <c r="AG895" i="9"/>
  <c r="AH895" i="9"/>
  <c r="AI895" i="9"/>
  <c r="AJ895" i="9"/>
  <c r="AG896" i="9"/>
  <c r="AH896" i="9"/>
  <c r="AI896" i="9"/>
  <c r="AJ896" i="9"/>
  <c r="AG897" i="9"/>
  <c r="AH897" i="9"/>
  <c r="AI897" i="9"/>
  <c r="AJ897" i="9"/>
  <c r="AG898" i="9"/>
  <c r="AH898" i="9"/>
  <c r="AI898" i="9"/>
  <c r="AJ898" i="9"/>
  <c r="AG899" i="9"/>
  <c r="AH899" i="9"/>
  <c r="AI899" i="9"/>
  <c r="AJ899" i="9"/>
  <c r="AG900" i="9"/>
  <c r="AH900" i="9"/>
  <c r="AI900" i="9"/>
  <c r="AJ900" i="9"/>
  <c r="AG901" i="9"/>
  <c r="AH901" i="9"/>
  <c r="AI901" i="9"/>
  <c r="AJ901" i="9"/>
  <c r="AG902" i="9"/>
  <c r="AH902" i="9"/>
  <c r="AI902" i="9"/>
  <c r="AJ902" i="9"/>
  <c r="AG903" i="9"/>
  <c r="AH903" i="9"/>
  <c r="AI903" i="9"/>
  <c r="AJ903" i="9"/>
  <c r="AG904" i="9"/>
  <c r="AH904" i="9"/>
  <c r="AI904" i="9"/>
  <c r="AJ904" i="9"/>
  <c r="AG905" i="9"/>
  <c r="AH905" i="9"/>
  <c r="AI905" i="9"/>
  <c r="AJ905" i="9"/>
  <c r="AG906" i="9"/>
  <c r="AH906" i="9"/>
  <c r="AI906" i="9"/>
  <c r="AJ906" i="9"/>
  <c r="AG907" i="9"/>
  <c r="AH907" i="9"/>
  <c r="AI907" i="9"/>
  <c r="AJ907" i="9"/>
  <c r="AG908" i="9"/>
  <c r="AH908" i="9"/>
  <c r="AI908" i="9"/>
  <c r="AJ908" i="9"/>
  <c r="AG909" i="9"/>
  <c r="AH909" i="9"/>
  <c r="AI909" i="9"/>
  <c r="AJ909" i="9"/>
  <c r="AG910" i="9"/>
  <c r="AH910" i="9"/>
  <c r="AI910" i="9"/>
  <c r="AJ910" i="9"/>
  <c r="AG911" i="9"/>
  <c r="AH911" i="9"/>
  <c r="AI911" i="9"/>
  <c r="AJ911" i="9"/>
  <c r="AG912" i="9"/>
  <c r="AH912" i="9"/>
  <c r="AI912" i="9"/>
  <c r="AJ912" i="9"/>
  <c r="AG913" i="9"/>
  <c r="AH913" i="9"/>
  <c r="AI913" i="9"/>
  <c r="AJ913" i="9"/>
  <c r="AG914" i="9"/>
  <c r="AH914" i="9"/>
  <c r="AI914" i="9"/>
  <c r="AJ914" i="9"/>
  <c r="AG915" i="9"/>
  <c r="AH915" i="9"/>
  <c r="AI915" i="9"/>
  <c r="AJ915" i="9"/>
  <c r="AG916" i="9"/>
  <c r="AH916" i="9"/>
  <c r="AI916" i="9"/>
  <c r="AJ916" i="9"/>
  <c r="AG917" i="9"/>
  <c r="AH917" i="9"/>
  <c r="AI917" i="9"/>
  <c r="AJ917" i="9"/>
  <c r="AG918" i="9"/>
  <c r="AH918" i="9"/>
  <c r="AI918" i="9"/>
  <c r="AJ918" i="9"/>
  <c r="AG919" i="9"/>
  <c r="AH919" i="9"/>
  <c r="AI919" i="9"/>
  <c r="AJ919" i="9"/>
  <c r="AG920" i="9"/>
  <c r="AH920" i="9"/>
  <c r="AI920" i="9"/>
  <c r="AJ920" i="9"/>
  <c r="AG921" i="9"/>
  <c r="AH921" i="9"/>
  <c r="AI921" i="9"/>
  <c r="AJ921" i="9"/>
  <c r="AG922" i="9"/>
  <c r="AH922" i="9"/>
  <c r="AI922" i="9"/>
  <c r="AJ922" i="9"/>
  <c r="AG923" i="9"/>
  <c r="AH923" i="9"/>
  <c r="AI923" i="9"/>
  <c r="AJ923" i="9"/>
  <c r="AG924" i="9"/>
  <c r="AH924" i="9"/>
  <c r="AI924" i="9"/>
  <c r="AJ924" i="9"/>
  <c r="AG925" i="9"/>
  <c r="AH925" i="9"/>
  <c r="AI925" i="9"/>
  <c r="AJ925" i="9"/>
  <c r="AG926" i="9"/>
  <c r="AH926" i="9"/>
  <c r="AI926" i="9"/>
  <c r="AJ926" i="9"/>
  <c r="AG927" i="9"/>
  <c r="AH927" i="9"/>
  <c r="AI927" i="9"/>
  <c r="AJ927" i="9"/>
  <c r="AG928" i="9"/>
  <c r="AH928" i="9"/>
  <c r="AI928" i="9"/>
  <c r="AJ928" i="9"/>
  <c r="AG929" i="9"/>
  <c r="AH929" i="9"/>
  <c r="AI929" i="9"/>
  <c r="AJ929" i="9"/>
  <c r="AG930" i="9"/>
  <c r="AH930" i="9"/>
  <c r="AI930" i="9"/>
  <c r="AJ930" i="9"/>
  <c r="AG931" i="9"/>
  <c r="AH931" i="9"/>
  <c r="AI931" i="9"/>
  <c r="AJ931" i="9"/>
  <c r="AG932" i="9"/>
  <c r="AH932" i="9"/>
  <c r="AI932" i="9"/>
  <c r="AJ932" i="9"/>
  <c r="AG933" i="9"/>
  <c r="AH933" i="9"/>
  <c r="AI933" i="9"/>
  <c r="AJ933" i="9"/>
  <c r="AG934" i="9"/>
  <c r="AH934" i="9"/>
  <c r="AI934" i="9"/>
  <c r="AJ934" i="9"/>
  <c r="AG935" i="9"/>
  <c r="AH935" i="9"/>
  <c r="AI935" i="9"/>
  <c r="AJ935" i="9"/>
  <c r="AG936" i="9"/>
  <c r="AH936" i="9"/>
  <c r="AI936" i="9"/>
  <c r="AJ936" i="9"/>
  <c r="AG937" i="9"/>
  <c r="AH937" i="9"/>
  <c r="AI937" i="9"/>
  <c r="AJ937" i="9"/>
  <c r="AG938" i="9"/>
  <c r="AH938" i="9"/>
  <c r="AI938" i="9"/>
  <c r="AJ938" i="9"/>
  <c r="AG939" i="9"/>
  <c r="AH939" i="9"/>
  <c r="AI939" i="9"/>
  <c r="AJ939" i="9"/>
  <c r="AG940" i="9"/>
  <c r="AH940" i="9"/>
  <c r="AI940" i="9"/>
  <c r="AJ940" i="9"/>
  <c r="AG941" i="9"/>
  <c r="AH941" i="9"/>
  <c r="AI941" i="9"/>
  <c r="AJ941" i="9"/>
  <c r="AG942" i="9"/>
  <c r="AH942" i="9"/>
  <c r="AI942" i="9"/>
  <c r="AJ942" i="9"/>
  <c r="AG943" i="9"/>
  <c r="AH943" i="9"/>
  <c r="AI943" i="9"/>
  <c r="AJ943" i="9"/>
  <c r="AG944" i="9"/>
  <c r="AH944" i="9"/>
  <c r="AI944" i="9"/>
  <c r="AJ944" i="9"/>
  <c r="AG945" i="9"/>
  <c r="AH945" i="9"/>
  <c r="AI945" i="9"/>
  <c r="AJ945" i="9"/>
  <c r="AG946" i="9"/>
  <c r="AH946" i="9"/>
  <c r="AI946" i="9"/>
  <c r="AJ946" i="9"/>
  <c r="AG947" i="9"/>
  <c r="AH947" i="9"/>
  <c r="AI947" i="9"/>
  <c r="AJ947" i="9"/>
  <c r="AG948" i="9"/>
  <c r="AH948" i="9"/>
  <c r="AI948" i="9"/>
  <c r="AJ948" i="9"/>
  <c r="AG949" i="9"/>
  <c r="AH949" i="9"/>
  <c r="AI949" i="9"/>
  <c r="AJ949" i="9"/>
  <c r="AG950" i="9"/>
  <c r="AH950" i="9"/>
  <c r="AI950" i="9"/>
  <c r="AJ950" i="9"/>
  <c r="AG951" i="9"/>
  <c r="AH951" i="9"/>
  <c r="AI951" i="9"/>
  <c r="AJ951" i="9"/>
  <c r="AG952" i="9"/>
  <c r="AH952" i="9"/>
  <c r="AI952" i="9"/>
  <c r="AJ952" i="9"/>
  <c r="AG953" i="9"/>
  <c r="AH953" i="9"/>
  <c r="AI953" i="9"/>
  <c r="AJ953" i="9"/>
  <c r="AG954" i="9"/>
  <c r="AH954" i="9"/>
  <c r="AI954" i="9"/>
  <c r="AJ954" i="9"/>
  <c r="AG955" i="9"/>
  <c r="AH955" i="9"/>
  <c r="AI955" i="9"/>
  <c r="AJ955" i="9"/>
  <c r="AG956" i="9"/>
  <c r="AH956" i="9"/>
  <c r="AI956" i="9"/>
  <c r="AJ956" i="9"/>
  <c r="AG957" i="9"/>
  <c r="AH957" i="9"/>
  <c r="AI957" i="9"/>
  <c r="AJ957" i="9"/>
  <c r="AG958" i="9"/>
  <c r="AH958" i="9"/>
  <c r="AI958" i="9"/>
  <c r="AJ958" i="9"/>
  <c r="AG959" i="9"/>
  <c r="AH959" i="9"/>
  <c r="AI959" i="9"/>
  <c r="AJ959" i="9"/>
  <c r="AG960" i="9"/>
  <c r="AH960" i="9"/>
  <c r="AI960" i="9"/>
  <c r="AJ960" i="9"/>
  <c r="AG961" i="9"/>
  <c r="AH961" i="9"/>
  <c r="AI961" i="9"/>
  <c r="AJ961" i="9"/>
  <c r="AG962" i="9"/>
  <c r="AH962" i="9"/>
  <c r="AI962" i="9"/>
  <c r="AJ962" i="9"/>
  <c r="AG963" i="9"/>
  <c r="AH963" i="9"/>
  <c r="AI963" i="9"/>
  <c r="AJ963" i="9"/>
  <c r="AG964" i="9"/>
  <c r="AH964" i="9"/>
  <c r="AI964" i="9"/>
  <c r="AJ964" i="9"/>
  <c r="AG965" i="9"/>
  <c r="AH965" i="9"/>
  <c r="AI965" i="9"/>
  <c r="AJ965" i="9"/>
  <c r="AG966" i="9"/>
  <c r="AH966" i="9"/>
  <c r="AI966" i="9"/>
  <c r="AJ966" i="9"/>
  <c r="AG967" i="9"/>
  <c r="AH967" i="9"/>
  <c r="AI967" i="9"/>
  <c r="AJ967" i="9"/>
  <c r="AG968" i="9"/>
  <c r="AH968" i="9"/>
  <c r="AI968" i="9"/>
  <c r="AJ968" i="9"/>
  <c r="AG969" i="9"/>
  <c r="AH969" i="9"/>
  <c r="AI969" i="9"/>
  <c r="AJ969" i="9"/>
  <c r="AG970" i="9"/>
  <c r="AH970" i="9"/>
  <c r="AI970" i="9"/>
  <c r="AJ970" i="9"/>
  <c r="AG971" i="9"/>
  <c r="AH971" i="9"/>
  <c r="AI971" i="9"/>
  <c r="AJ971" i="9"/>
  <c r="AG972" i="9"/>
  <c r="AH972" i="9"/>
  <c r="AI972" i="9"/>
  <c r="AJ972" i="9"/>
  <c r="AG973" i="9"/>
  <c r="AH973" i="9"/>
  <c r="AI973" i="9"/>
  <c r="AJ973" i="9"/>
  <c r="AG974" i="9"/>
  <c r="AH974" i="9"/>
  <c r="AI974" i="9"/>
  <c r="AJ974" i="9"/>
  <c r="AG975" i="9"/>
  <c r="AH975" i="9"/>
  <c r="AI975" i="9"/>
  <c r="AJ975" i="9"/>
  <c r="AG976" i="9"/>
  <c r="AH976" i="9"/>
  <c r="AI976" i="9"/>
  <c r="AJ976" i="9"/>
  <c r="AG977" i="9"/>
  <c r="AH977" i="9"/>
  <c r="AI977" i="9"/>
  <c r="AJ977" i="9"/>
  <c r="AG978" i="9"/>
  <c r="AH978" i="9"/>
  <c r="AI978" i="9"/>
  <c r="AJ978" i="9"/>
  <c r="AG979" i="9"/>
  <c r="AH979" i="9"/>
  <c r="AI979" i="9"/>
  <c r="AJ979" i="9"/>
  <c r="AG980" i="9"/>
  <c r="AH980" i="9"/>
  <c r="AI980" i="9"/>
  <c r="AJ980" i="9"/>
  <c r="AG981" i="9"/>
  <c r="AH981" i="9"/>
  <c r="AI981" i="9"/>
  <c r="AJ981" i="9"/>
  <c r="AG982" i="9"/>
  <c r="AH982" i="9"/>
  <c r="AI982" i="9"/>
  <c r="AJ982" i="9"/>
  <c r="AG983" i="9"/>
  <c r="AH983" i="9"/>
  <c r="AI983" i="9"/>
  <c r="AJ983" i="9"/>
  <c r="AG984" i="9"/>
  <c r="AH984" i="9"/>
  <c r="AI984" i="9"/>
  <c r="AJ984" i="9"/>
  <c r="AG985" i="9"/>
  <c r="AH985" i="9"/>
  <c r="AI985" i="9"/>
  <c r="AJ985" i="9"/>
  <c r="AG986" i="9"/>
  <c r="AH986" i="9"/>
  <c r="AI986" i="9"/>
  <c r="AJ986" i="9"/>
  <c r="AG987" i="9"/>
  <c r="AH987" i="9"/>
  <c r="AI987" i="9"/>
  <c r="AJ987" i="9"/>
  <c r="AG988" i="9"/>
  <c r="AH988" i="9"/>
  <c r="AI988" i="9"/>
  <c r="AJ988" i="9"/>
  <c r="AG989" i="9"/>
  <c r="AH989" i="9"/>
  <c r="AI989" i="9"/>
  <c r="AJ989" i="9"/>
  <c r="AG990" i="9"/>
  <c r="AH990" i="9"/>
  <c r="AI990" i="9"/>
  <c r="AJ990" i="9"/>
  <c r="AG991" i="9"/>
  <c r="AH991" i="9"/>
  <c r="AI991" i="9"/>
  <c r="AJ991" i="9"/>
  <c r="AG992" i="9"/>
  <c r="AH992" i="9"/>
  <c r="AI992" i="9"/>
  <c r="AJ992" i="9"/>
  <c r="AG993" i="9"/>
  <c r="AH993" i="9"/>
  <c r="AI993" i="9"/>
  <c r="AJ993" i="9"/>
  <c r="AG994" i="9"/>
  <c r="AH994" i="9"/>
  <c r="AI994" i="9"/>
  <c r="AJ994" i="9"/>
  <c r="AG995" i="9"/>
  <c r="AH995" i="9"/>
  <c r="AI995" i="9"/>
  <c r="AJ995" i="9"/>
  <c r="AG996" i="9"/>
  <c r="AH996" i="9"/>
  <c r="AI996" i="9"/>
  <c r="AJ996" i="9"/>
  <c r="AG997" i="9"/>
  <c r="AH997" i="9"/>
  <c r="AI997" i="9"/>
  <c r="AJ997" i="9"/>
  <c r="AG998" i="9"/>
  <c r="AH998" i="9"/>
  <c r="AI998" i="9"/>
  <c r="AJ998" i="9"/>
  <c r="AG999" i="9"/>
  <c r="AH999" i="9"/>
  <c r="AI999" i="9"/>
  <c r="AJ999" i="9"/>
  <c r="AG1000" i="9"/>
  <c r="AH1000" i="9"/>
  <c r="AI1000" i="9"/>
  <c r="AJ1000" i="9"/>
  <c r="AG1001" i="9"/>
  <c r="AH1001" i="9"/>
  <c r="AI1001" i="9"/>
  <c r="AJ1001" i="9"/>
  <c r="AG1002" i="9"/>
  <c r="AH1002" i="9"/>
  <c r="AI1002" i="9"/>
  <c r="AJ1002" i="9"/>
  <c r="AG1003" i="9"/>
  <c r="AH1003" i="9"/>
  <c r="AI1003" i="9"/>
  <c r="AJ1003" i="9"/>
  <c r="AG1004" i="9"/>
  <c r="AH1004" i="9"/>
  <c r="AI1004" i="9"/>
  <c r="AJ1004" i="9"/>
  <c r="AG1005" i="9"/>
  <c r="AH1005" i="9"/>
  <c r="AI1005" i="9"/>
  <c r="AJ1005" i="9"/>
  <c r="AG1006" i="9"/>
  <c r="AH1006" i="9"/>
  <c r="AI1006" i="9"/>
  <c r="AJ1006" i="9"/>
  <c r="AG1007" i="9"/>
  <c r="AH1007" i="9"/>
  <c r="AI1007" i="9"/>
  <c r="AJ1007" i="9"/>
  <c r="AG1008" i="9"/>
  <c r="AH1008" i="9"/>
  <c r="AI1008" i="9"/>
  <c r="AJ1008" i="9"/>
  <c r="AG1009" i="9"/>
  <c r="AH1009" i="9"/>
  <c r="AI1009" i="9"/>
  <c r="AJ1009" i="9"/>
  <c r="AG1010" i="9"/>
  <c r="AH1010" i="9"/>
  <c r="AI1010" i="9"/>
  <c r="AJ1010" i="9"/>
  <c r="AG1011" i="9"/>
  <c r="AH1011" i="9"/>
  <c r="AI1011" i="9"/>
  <c r="AJ1011" i="9"/>
  <c r="AG1012" i="9"/>
  <c r="AH1012" i="9"/>
  <c r="AI1012" i="9"/>
  <c r="AJ1012" i="9"/>
  <c r="AG1013" i="9"/>
  <c r="AH1013" i="9"/>
  <c r="AI1013" i="9"/>
  <c r="AJ1013" i="9"/>
  <c r="AG1014" i="9"/>
  <c r="AH1014" i="9"/>
  <c r="AI1014" i="9"/>
  <c r="AJ1014" i="9"/>
  <c r="AG1015" i="9"/>
  <c r="AH1015" i="9"/>
  <c r="AI1015" i="9"/>
  <c r="AJ1015" i="9"/>
  <c r="AG1016" i="9"/>
  <c r="AH1016" i="9"/>
  <c r="AI1016" i="9"/>
  <c r="AJ1016" i="9"/>
  <c r="AG1017" i="9"/>
  <c r="AH1017" i="9"/>
  <c r="AI1017" i="9"/>
  <c r="AJ1017" i="9"/>
  <c r="AG1018" i="9"/>
  <c r="AH1018" i="9"/>
  <c r="AI1018" i="9"/>
  <c r="AJ1018" i="9"/>
  <c r="AG1019" i="9"/>
  <c r="AH1019" i="9"/>
  <c r="AI1019" i="9"/>
  <c r="AJ1019" i="9"/>
  <c r="AG1020" i="9"/>
  <c r="AH1020" i="9"/>
  <c r="AI1020" i="9"/>
  <c r="AJ1020" i="9"/>
  <c r="AG1021" i="9"/>
  <c r="AH1021" i="9"/>
  <c r="AI1021" i="9"/>
  <c r="AJ1021" i="9"/>
  <c r="AG1022" i="9"/>
  <c r="AH1022" i="9"/>
  <c r="AI1022" i="9"/>
  <c r="AJ1022" i="9"/>
  <c r="AG1023" i="9"/>
  <c r="AH1023" i="9"/>
  <c r="AI1023" i="9"/>
  <c r="AJ1023" i="9"/>
  <c r="AG1024" i="9"/>
  <c r="AH1024" i="9"/>
  <c r="AI1024" i="9"/>
  <c r="AJ1024" i="9"/>
  <c r="AG1025" i="9"/>
  <c r="AH1025" i="9"/>
  <c r="AI1025" i="9"/>
  <c r="AJ1025" i="9"/>
  <c r="AG1026" i="9"/>
  <c r="AH1026" i="9"/>
  <c r="AI1026" i="9"/>
  <c r="AJ1026" i="9"/>
  <c r="AG1027" i="9"/>
  <c r="AH1027" i="9"/>
  <c r="AI1027" i="9"/>
  <c r="AJ1027" i="9"/>
  <c r="AG1028" i="9"/>
  <c r="AH1028" i="9"/>
  <c r="AI1028" i="9"/>
  <c r="AJ1028" i="9"/>
  <c r="AG1029" i="9"/>
  <c r="AH1029" i="9"/>
  <c r="AI1029" i="9"/>
  <c r="AJ1029" i="9"/>
  <c r="AG1030" i="9"/>
  <c r="AH1030" i="9"/>
  <c r="AI1030" i="9"/>
  <c r="AJ1030" i="9"/>
  <c r="AG1031" i="9"/>
  <c r="AH1031" i="9"/>
  <c r="AI1031" i="9"/>
  <c r="AJ1031" i="9"/>
  <c r="AG1032" i="9"/>
  <c r="AH1032" i="9"/>
  <c r="AI1032" i="9"/>
  <c r="AJ1032" i="9"/>
  <c r="AG1033" i="9"/>
  <c r="AH1033" i="9"/>
  <c r="AI1033" i="9"/>
  <c r="AJ1033" i="9"/>
  <c r="AG1034" i="9"/>
  <c r="AH1034" i="9"/>
  <c r="AI1034" i="9"/>
  <c r="AJ1034" i="9"/>
  <c r="AG1035" i="9"/>
  <c r="AH1035" i="9"/>
  <c r="AI1035" i="9"/>
  <c r="AJ1035" i="9"/>
  <c r="AG1036" i="9"/>
  <c r="AH1036" i="9"/>
  <c r="AI1036" i="9"/>
  <c r="AJ1036" i="9"/>
  <c r="AG1037" i="9"/>
  <c r="AH1037" i="9"/>
  <c r="AI1037" i="9"/>
  <c r="AJ1037" i="9"/>
  <c r="AG1038" i="9"/>
  <c r="AH1038" i="9"/>
  <c r="AI1038" i="9"/>
  <c r="AJ1038" i="9"/>
  <c r="AG1039" i="9"/>
  <c r="AH1039" i="9"/>
  <c r="AI1039" i="9"/>
  <c r="AJ1039" i="9"/>
  <c r="AG1040" i="9"/>
  <c r="AH1040" i="9"/>
  <c r="AI1040" i="9"/>
  <c r="AJ1040" i="9"/>
  <c r="AG1041" i="9"/>
  <c r="AH1041" i="9"/>
  <c r="AI1041" i="9"/>
  <c r="AJ1041" i="9"/>
  <c r="AG1042" i="9"/>
  <c r="AH1042" i="9"/>
  <c r="AI1042" i="9"/>
  <c r="AJ1042" i="9"/>
  <c r="AG1043" i="9"/>
  <c r="AH1043" i="9"/>
  <c r="AI1043" i="9"/>
  <c r="AJ1043" i="9"/>
  <c r="AG1044" i="9"/>
  <c r="AH1044" i="9"/>
  <c r="AI1044" i="9"/>
  <c r="AJ1044" i="9"/>
  <c r="AG1045" i="9"/>
  <c r="AH1045" i="9"/>
  <c r="AI1045" i="9"/>
  <c r="AJ1045" i="9"/>
  <c r="AG1046" i="9"/>
  <c r="AH1046" i="9"/>
  <c r="AI1046" i="9"/>
  <c r="AJ1046" i="9"/>
  <c r="AG1047" i="9"/>
  <c r="AH1047" i="9"/>
  <c r="AI1047" i="9"/>
  <c r="AJ1047" i="9"/>
  <c r="AG1048" i="9"/>
  <c r="AH1048" i="9"/>
  <c r="AI1048" i="9"/>
  <c r="AJ1048" i="9"/>
  <c r="AG1049" i="9"/>
  <c r="AH1049" i="9"/>
  <c r="AI1049" i="9"/>
  <c r="AJ1049" i="9"/>
  <c r="AG1050" i="9"/>
  <c r="AH1050" i="9"/>
  <c r="AI1050" i="9"/>
  <c r="AJ1050" i="9"/>
  <c r="AG1051" i="9"/>
  <c r="AH1051" i="9"/>
  <c r="AI1051" i="9"/>
  <c r="AJ1051" i="9"/>
  <c r="AG1052" i="9"/>
  <c r="AH1052" i="9"/>
  <c r="AI1052" i="9"/>
  <c r="AJ1052" i="9"/>
  <c r="AG1053" i="9"/>
  <c r="AH1053" i="9"/>
  <c r="AI1053" i="9"/>
  <c r="AJ1053" i="9"/>
  <c r="AG1054" i="9"/>
  <c r="AH1054" i="9"/>
  <c r="AI1054" i="9"/>
  <c r="AJ1054" i="9"/>
  <c r="AG1055" i="9"/>
  <c r="AH1055" i="9"/>
  <c r="AI1055" i="9"/>
  <c r="AJ1055" i="9"/>
  <c r="AG1056" i="9"/>
  <c r="AH1056" i="9"/>
  <c r="AI1056" i="9"/>
  <c r="AJ1056" i="9"/>
  <c r="AG1057" i="9"/>
  <c r="AH1057" i="9"/>
  <c r="AI1057" i="9"/>
  <c r="AJ1057" i="9"/>
  <c r="AG1058" i="9"/>
  <c r="AH1058" i="9"/>
  <c r="AI1058" i="9"/>
  <c r="AJ1058" i="9"/>
  <c r="AG1059" i="9"/>
  <c r="AH1059" i="9"/>
  <c r="AI1059" i="9"/>
  <c r="AJ1059" i="9"/>
  <c r="AG1060" i="9"/>
  <c r="AH1060" i="9"/>
  <c r="AI1060" i="9"/>
  <c r="AJ1060" i="9"/>
  <c r="AG1061" i="9"/>
  <c r="AH1061" i="9"/>
  <c r="AI1061" i="9"/>
  <c r="AJ1061" i="9"/>
  <c r="AG1062" i="9"/>
  <c r="AH1062" i="9"/>
  <c r="AI1062" i="9"/>
  <c r="AJ1062" i="9"/>
  <c r="AG1063" i="9"/>
  <c r="AH1063" i="9"/>
  <c r="AI1063" i="9"/>
  <c r="AJ1063" i="9"/>
  <c r="AG1064" i="9"/>
  <c r="AH1064" i="9"/>
  <c r="AI1064" i="9"/>
  <c r="AJ1064" i="9"/>
  <c r="AG1065" i="9"/>
  <c r="AH1065" i="9"/>
  <c r="AI1065" i="9"/>
  <c r="AJ1065" i="9"/>
  <c r="AG1066" i="9"/>
  <c r="AH1066" i="9"/>
  <c r="AI1066" i="9"/>
  <c r="AJ1066" i="9"/>
  <c r="AG1067" i="9"/>
  <c r="AH1067" i="9"/>
  <c r="AI1067" i="9"/>
  <c r="AJ1067" i="9"/>
  <c r="AG1068" i="9"/>
  <c r="AH1068" i="9"/>
  <c r="AI1068" i="9"/>
  <c r="AJ1068" i="9"/>
  <c r="AG1069" i="9"/>
  <c r="AH1069" i="9"/>
  <c r="AI1069" i="9"/>
  <c r="AJ1069" i="9"/>
  <c r="AG1070" i="9"/>
  <c r="AH1070" i="9"/>
  <c r="AI1070" i="9"/>
  <c r="AJ1070" i="9"/>
  <c r="AG1071" i="9"/>
  <c r="AH1071" i="9"/>
  <c r="AI1071" i="9"/>
  <c r="AJ1071" i="9"/>
  <c r="AG1072" i="9"/>
  <c r="AH1072" i="9"/>
  <c r="AI1072" i="9"/>
  <c r="AJ1072" i="9"/>
  <c r="AG1073" i="9"/>
  <c r="AH1073" i="9"/>
  <c r="AI1073" i="9"/>
  <c r="AJ1073" i="9"/>
  <c r="AG1074" i="9"/>
  <c r="AH1074" i="9"/>
  <c r="AI1074" i="9"/>
  <c r="AJ1074" i="9"/>
  <c r="AG1075" i="9"/>
  <c r="AH1075" i="9"/>
  <c r="AI1075" i="9"/>
  <c r="AJ1075" i="9"/>
  <c r="AG1076" i="9"/>
  <c r="AH1076" i="9"/>
  <c r="AI1076" i="9"/>
  <c r="AJ1076" i="9"/>
  <c r="AG1077" i="9"/>
  <c r="AH1077" i="9"/>
  <c r="AI1077" i="9"/>
  <c r="AJ1077" i="9"/>
  <c r="AG1078" i="9"/>
  <c r="AH1078" i="9"/>
  <c r="AI1078" i="9"/>
  <c r="AJ1078" i="9"/>
  <c r="AG1079" i="9"/>
  <c r="AH1079" i="9"/>
  <c r="AI1079" i="9"/>
  <c r="AJ1079" i="9"/>
  <c r="AG1080" i="9"/>
  <c r="AH1080" i="9"/>
  <c r="AI1080" i="9"/>
  <c r="AJ1080" i="9"/>
  <c r="AG1081" i="9"/>
  <c r="AH1081" i="9"/>
  <c r="AI1081" i="9"/>
  <c r="AJ1081" i="9"/>
  <c r="AG1082" i="9"/>
  <c r="AH1082" i="9"/>
  <c r="AI1082" i="9"/>
  <c r="AJ1082" i="9"/>
  <c r="AG1083" i="9"/>
  <c r="AH1083" i="9"/>
  <c r="AI1083" i="9"/>
  <c r="AJ1083" i="9"/>
  <c r="AG1084" i="9"/>
  <c r="AH1084" i="9"/>
  <c r="AI1084" i="9"/>
  <c r="AJ1084" i="9"/>
  <c r="AG1085" i="9"/>
  <c r="AH1085" i="9"/>
  <c r="AI1085" i="9"/>
  <c r="AJ1085" i="9"/>
  <c r="AG1086" i="9"/>
  <c r="AH1086" i="9"/>
  <c r="AI1086" i="9"/>
  <c r="AJ1086" i="9"/>
  <c r="AG1087" i="9"/>
  <c r="AH1087" i="9"/>
  <c r="AI1087" i="9"/>
  <c r="AJ1087" i="9"/>
  <c r="AG1088" i="9"/>
  <c r="AH1088" i="9"/>
  <c r="AI1088" i="9"/>
  <c r="AJ1088" i="9"/>
  <c r="AG1089" i="9"/>
  <c r="AH1089" i="9"/>
  <c r="AI1089" i="9"/>
  <c r="AJ1089" i="9"/>
  <c r="AG1090" i="9"/>
  <c r="AH1090" i="9"/>
  <c r="AI1090" i="9"/>
  <c r="AJ1090" i="9"/>
  <c r="AG1091" i="9"/>
  <c r="AH1091" i="9"/>
  <c r="AI1091" i="9"/>
  <c r="AJ1091" i="9"/>
  <c r="AG1092" i="9"/>
  <c r="AH1092" i="9"/>
  <c r="AI1092" i="9"/>
  <c r="AJ1092" i="9"/>
  <c r="AG1093" i="9"/>
  <c r="AH1093" i="9"/>
  <c r="AI1093" i="9"/>
  <c r="AJ1093" i="9"/>
  <c r="AG1094" i="9"/>
  <c r="AH1094" i="9"/>
  <c r="AI1094" i="9"/>
  <c r="AJ1094" i="9"/>
  <c r="AG1095" i="9"/>
  <c r="AH1095" i="9"/>
  <c r="AI1095" i="9"/>
  <c r="AJ1095" i="9"/>
  <c r="AG1096" i="9"/>
  <c r="AH1096" i="9"/>
  <c r="AI1096" i="9"/>
  <c r="AJ1096" i="9"/>
  <c r="AG1097" i="9"/>
  <c r="AH1097" i="9"/>
  <c r="AI1097" i="9"/>
  <c r="AJ1097" i="9"/>
  <c r="AG1098" i="9"/>
  <c r="AH1098" i="9"/>
  <c r="AI1098" i="9"/>
  <c r="AJ1098" i="9"/>
  <c r="AG1099" i="9"/>
  <c r="AH1099" i="9"/>
  <c r="AI1099" i="9"/>
  <c r="AJ1099" i="9"/>
  <c r="AG1100" i="9"/>
  <c r="AH1100" i="9"/>
  <c r="AI1100" i="9"/>
  <c r="AJ1100" i="9"/>
  <c r="AG1101" i="9"/>
  <c r="AH1101" i="9"/>
  <c r="AI1101" i="9"/>
  <c r="AJ1101" i="9"/>
  <c r="AG1102" i="9"/>
  <c r="AH1102" i="9"/>
  <c r="AI1102" i="9"/>
  <c r="AJ1102" i="9"/>
  <c r="AG1103" i="9"/>
  <c r="AH1103" i="9"/>
  <c r="AI1103" i="9"/>
  <c r="AJ1103" i="9"/>
  <c r="AG1104" i="9"/>
  <c r="AH1104" i="9"/>
  <c r="AI1104" i="9"/>
  <c r="AJ1104" i="9"/>
  <c r="AG1105" i="9"/>
  <c r="AH1105" i="9"/>
  <c r="AI1105" i="9"/>
  <c r="AJ1105" i="9"/>
  <c r="AG1106" i="9"/>
  <c r="AH1106" i="9"/>
  <c r="AI1106" i="9"/>
  <c r="AJ1106" i="9"/>
  <c r="AG1107" i="9"/>
  <c r="AH1107" i="9"/>
  <c r="AI1107" i="9"/>
  <c r="AJ1107" i="9"/>
  <c r="AG1108" i="9"/>
  <c r="AH1108" i="9"/>
  <c r="AI1108" i="9"/>
  <c r="AJ1108" i="9"/>
  <c r="AG1109" i="9"/>
  <c r="AH1109" i="9"/>
  <c r="AI1109" i="9"/>
  <c r="AJ1109" i="9"/>
  <c r="AG1110" i="9"/>
  <c r="AH1110" i="9"/>
  <c r="AI1110" i="9"/>
  <c r="AJ1110" i="9"/>
  <c r="AG1111" i="9"/>
  <c r="AH1111" i="9"/>
  <c r="AI1111" i="9"/>
  <c r="AJ1111" i="9"/>
  <c r="AG1112" i="9"/>
  <c r="AH1112" i="9"/>
  <c r="AI1112" i="9"/>
  <c r="AJ1112" i="9"/>
  <c r="AG1113" i="9"/>
  <c r="AH1113" i="9"/>
  <c r="AI1113" i="9"/>
  <c r="AJ1113" i="9"/>
  <c r="AG1114" i="9"/>
  <c r="AH1114" i="9"/>
  <c r="AI1114" i="9"/>
  <c r="AJ1114" i="9"/>
  <c r="AG1115" i="9"/>
  <c r="AH1115" i="9"/>
  <c r="AI1115" i="9"/>
  <c r="AJ1115" i="9"/>
  <c r="AG1116" i="9"/>
  <c r="AH1116" i="9"/>
  <c r="AI1116" i="9"/>
  <c r="AJ1116" i="9"/>
  <c r="AG1117" i="9"/>
  <c r="AH1117" i="9"/>
  <c r="AI1117" i="9"/>
  <c r="AJ1117" i="9"/>
  <c r="AG1118" i="9"/>
  <c r="AH1118" i="9"/>
  <c r="AI1118" i="9"/>
  <c r="AJ1118" i="9"/>
  <c r="AG1119" i="9"/>
  <c r="AH1119" i="9"/>
  <c r="AI1119" i="9"/>
  <c r="AJ1119" i="9"/>
  <c r="AG1120" i="9"/>
  <c r="AH1120" i="9"/>
  <c r="AI1120" i="9"/>
  <c r="AJ1120" i="9"/>
  <c r="AG1121" i="9"/>
  <c r="AH1121" i="9"/>
  <c r="AI1121" i="9"/>
  <c r="AJ1121" i="9"/>
  <c r="AG1122" i="9"/>
  <c r="AH1122" i="9"/>
  <c r="AI1122" i="9"/>
  <c r="AJ1122" i="9"/>
  <c r="AG1123" i="9"/>
  <c r="AH1123" i="9"/>
  <c r="AI1123" i="9"/>
  <c r="AJ1123" i="9"/>
  <c r="AG1124" i="9"/>
  <c r="AH1124" i="9"/>
  <c r="AI1124" i="9"/>
  <c r="AJ1124" i="9"/>
  <c r="AG1125" i="9"/>
  <c r="AH1125" i="9"/>
  <c r="AI1125" i="9"/>
  <c r="AJ1125" i="9"/>
  <c r="AG1126" i="9"/>
  <c r="AH1126" i="9"/>
  <c r="AI1126" i="9"/>
  <c r="AJ1126" i="9"/>
  <c r="AG1127" i="9"/>
  <c r="AH1127" i="9"/>
  <c r="AI1127" i="9"/>
  <c r="AJ1127" i="9"/>
  <c r="AG1128" i="9"/>
  <c r="AH1128" i="9"/>
  <c r="AI1128" i="9"/>
  <c r="AJ1128" i="9"/>
  <c r="AG1129" i="9"/>
  <c r="AH1129" i="9"/>
  <c r="AI1129" i="9"/>
  <c r="AJ1129" i="9"/>
  <c r="AG1130" i="9"/>
  <c r="AH1130" i="9"/>
  <c r="AI1130" i="9"/>
  <c r="AJ1130" i="9"/>
  <c r="AG1131" i="9"/>
  <c r="AH1131" i="9"/>
  <c r="AI1131" i="9"/>
  <c r="AJ1131" i="9"/>
  <c r="AG1132" i="9"/>
  <c r="AH1132" i="9"/>
  <c r="AI1132" i="9"/>
  <c r="AJ1132" i="9"/>
  <c r="AG1133" i="9"/>
  <c r="AH1133" i="9"/>
  <c r="AI1133" i="9"/>
  <c r="AJ1133" i="9"/>
  <c r="AG1134" i="9"/>
  <c r="AH1134" i="9"/>
  <c r="AI1134" i="9"/>
  <c r="AJ1134" i="9"/>
  <c r="AG1135" i="9"/>
  <c r="AH1135" i="9"/>
  <c r="AI1135" i="9"/>
  <c r="AJ1135" i="9"/>
  <c r="AG1136" i="9"/>
  <c r="AH1136" i="9"/>
  <c r="AI1136" i="9"/>
  <c r="AJ1136" i="9"/>
  <c r="AG1137" i="9"/>
  <c r="AH1137" i="9"/>
  <c r="AI1137" i="9"/>
  <c r="AJ1137" i="9"/>
  <c r="AG1138" i="9"/>
  <c r="AH1138" i="9"/>
  <c r="AI1138" i="9"/>
  <c r="AJ1138" i="9"/>
  <c r="AG1139" i="9"/>
  <c r="AH1139" i="9"/>
  <c r="AI1139" i="9"/>
  <c r="AJ1139" i="9"/>
  <c r="AG1140" i="9"/>
  <c r="AH1140" i="9"/>
  <c r="AI1140" i="9"/>
  <c r="AJ1140" i="9"/>
  <c r="AG1141" i="9"/>
  <c r="AH1141" i="9"/>
  <c r="AI1141" i="9"/>
  <c r="AJ1141" i="9"/>
  <c r="AG1142" i="9"/>
  <c r="AH1142" i="9"/>
  <c r="AI1142" i="9"/>
  <c r="AJ1142" i="9"/>
  <c r="AG1143" i="9"/>
  <c r="AH1143" i="9"/>
  <c r="AI1143" i="9"/>
  <c r="AJ1143" i="9"/>
  <c r="AG1144" i="9"/>
  <c r="AH1144" i="9"/>
  <c r="AI1144" i="9"/>
  <c r="AJ1144" i="9"/>
  <c r="AG1145" i="9"/>
  <c r="AH1145" i="9"/>
  <c r="AI1145" i="9"/>
  <c r="AJ1145" i="9"/>
  <c r="AG1146" i="9"/>
  <c r="AH1146" i="9"/>
  <c r="AI1146" i="9"/>
  <c r="AJ1146" i="9"/>
  <c r="AG1147" i="9"/>
  <c r="AH1147" i="9"/>
  <c r="AI1147" i="9"/>
  <c r="AJ1147" i="9"/>
  <c r="AG1148" i="9"/>
  <c r="AH1148" i="9"/>
  <c r="AI1148" i="9"/>
  <c r="AJ1148" i="9"/>
  <c r="AG1149" i="9"/>
  <c r="AH1149" i="9"/>
  <c r="AI1149" i="9"/>
  <c r="AJ1149" i="9"/>
  <c r="AG1150" i="9"/>
  <c r="AH1150" i="9"/>
  <c r="AI1150" i="9"/>
  <c r="AJ1150" i="9"/>
  <c r="AG1151" i="9"/>
  <c r="AH1151" i="9"/>
  <c r="AI1151" i="9"/>
  <c r="AJ1151" i="9"/>
  <c r="AG1152" i="9"/>
  <c r="AH1152" i="9"/>
  <c r="AI1152" i="9"/>
  <c r="AJ1152" i="9"/>
  <c r="AG1153" i="9"/>
  <c r="AH1153" i="9"/>
  <c r="AI1153" i="9"/>
  <c r="AJ1153" i="9"/>
  <c r="AG1154" i="9"/>
  <c r="AH1154" i="9"/>
  <c r="AI1154" i="9"/>
  <c r="AJ1154" i="9"/>
  <c r="AG1155" i="9"/>
  <c r="AH1155" i="9"/>
  <c r="AI1155" i="9"/>
  <c r="AJ1155" i="9"/>
  <c r="AG1156" i="9"/>
  <c r="AH1156" i="9"/>
  <c r="AI1156" i="9"/>
  <c r="AJ1156" i="9"/>
  <c r="AG1157" i="9"/>
  <c r="AH1157" i="9"/>
  <c r="AI1157" i="9"/>
  <c r="AJ1157" i="9"/>
  <c r="AG1158" i="9"/>
  <c r="AH1158" i="9"/>
  <c r="AI1158" i="9"/>
  <c r="AJ1158" i="9"/>
  <c r="AG1159" i="9"/>
  <c r="AH1159" i="9"/>
  <c r="AI1159" i="9"/>
  <c r="AJ1159" i="9"/>
  <c r="AG1160" i="9"/>
  <c r="AH1160" i="9"/>
  <c r="AI1160" i="9"/>
  <c r="AJ1160" i="9"/>
  <c r="AG1161" i="9"/>
  <c r="AH1161" i="9"/>
  <c r="AI1161" i="9"/>
  <c r="AJ1161" i="9"/>
  <c r="AG1162" i="9"/>
  <c r="AH1162" i="9"/>
  <c r="AI1162" i="9"/>
  <c r="AJ1162" i="9"/>
  <c r="AG1163" i="9"/>
  <c r="AH1163" i="9"/>
  <c r="AI1163" i="9"/>
  <c r="AJ1163" i="9"/>
  <c r="AG1164" i="9"/>
  <c r="AH1164" i="9"/>
  <c r="AI1164" i="9"/>
  <c r="AJ1164" i="9"/>
  <c r="AG1165" i="9"/>
  <c r="AH1165" i="9"/>
  <c r="AI1165" i="9"/>
  <c r="AJ1165" i="9"/>
  <c r="AG1166" i="9"/>
  <c r="AH1166" i="9"/>
  <c r="AI1166" i="9"/>
  <c r="AJ1166" i="9"/>
  <c r="AG1167" i="9"/>
  <c r="AH1167" i="9"/>
  <c r="AI1167" i="9"/>
  <c r="AJ1167" i="9"/>
  <c r="AG1168" i="9"/>
  <c r="AH1168" i="9"/>
  <c r="AI1168" i="9"/>
  <c r="AJ1168" i="9"/>
  <c r="AG1169" i="9"/>
  <c r="AH1169" i="9"/>
  <c r="AI1169" i="9"/>
  <c r="AJ1169" i="9"/>
  <c r="AG1170" i="9"/>
  <c r="AH1170" i="9"/>
  <c r="AI1170" i="9"/>
  <c r="AJ1170" i="9"/>
  <c r="AG1171" i="9"/>
  <c r="AH1171" i="9"/>
  <c r="AI1171" i="9"/>
  <c r="AJ1171" i="9"/>
  <c r="AG1172" i="9"/>
  <c r="AH1172" i="9"/>
  <c r="AI1172" i="9"/>
  <c r="AJ1172" i="9"/>
  <c r="AG1173" i="9"/>
  <c r="AH1173" i="9"/>
  <c r="AI1173" i="9"/>
  <c r="AJ1173" i="9"/>
  <c r="AG1174" i="9"/>
  <c r="AH1174" i="9"/>
  <c r="AI1174" i="9"/>
  <c r="AJ1174" i="9"/>
  <c r="AG1175" i="9"/>
  <c r="AH1175" i="9"/>
  <c r="AI1175" i="9"/>
  <c r="AJ1175" i="9"/>
  <c r="AG1176" i="9"/>
  <c r="AH1176" i="9"/>
  <c r="AI1176" i="9"/>
  <c r="AJ1176" i="9"/>
  <c r="AG1177" i="9"/>
  <c r="AH1177" i="9"/>
  <c r="AI1177" i="9"/>
  <c r="AJ1177" i="9"/>
  <c r="AG1178" i="9"/>
  <c r="AH1178" i="9"/>
  <c r="AI1178" i="9"/>
  <c r="AJ1178" i="9"/>
  <c r="AG1179" i="9"/>
  <c r="AH1179" i="9"/>
  <c r="AI1179" i="9"/>
  <c r="AJ1179" i="9"/>
  <c r="AG1180" i="9"/>
  <c r="AH1180" i="9"/>
  <c r="AI1180" i="9"/>
  <c r="AJ1180" i="9"/>
  <c r="AG1181" i="9"/>
  <c r="AH1181" i="9"/>
  <c r="AI1181" i="9"/>
  <c r="AJ1181" i="9"/>
  <c r="AG1182" i="9"/>
  <c r="AH1182" i="9"/>
  <c r="AI1182" i="9"/>
  <c r="AJ1182" i="9"/>
  <c r="AG1183" i="9"/>
  <c r="AH1183" i="9"/>
  <c r="AI1183" i="9"/>
  <c r="AJ1183" i="9"/>
  <c r="AG1184" i="9"/>
  <c r="AH1184" i="9"/>
  <c r="AI1184" i="9"/>
  <c r="AJ1184" i="9"/>
  <c r="AG1185" i="9"/>
  <c r="AH1185" i="9"/>
  <c r="AI1185" i="9"/>
  <c r="AJ1185" i="9"/>
  <c r="AG1186" i="9"/>
  <c r="AH1186" i="9"/>
  <c r="AI1186" i="9"/>
  <c r="AJ1186" i="9"/>
  <c r="AG1187" i="9"/>
  <c r="AH1187" i="9"/>
  <c r="AI1187" i="9"/>
  <c r="AJ1187" i="9"/>
  <c r="AG1188" i="9"/>
  <c r="AH1188" i="9"/>
  <c r="AI1188" i="9"/>
  <c r="AJ1188" i="9"/>
  <c r="AG1189" i="9"/>
  <c r="AH1189" i="9"/>
  <c r="AI1189" i="9"/>
  <c r="AJ1189" i="9"/>
  <c r="AG1190" i="9"/>
  <c r="AH1190" i="9"/>
  <c r="AI1190" i="9"/>
  <c r="AJ1190" i="9"/>
  <c r="AG1191" i="9"/>
  <c r="AH1191" i="9"/>
  <c r="AI1191" i="9"/>
  <c r="AJ1191" i="9"/>
  <c r="AG1192" i="9"/>
  <c r="AH1192" i="9"/>
  <c r="AI1192" i="9"/>
  <c r="AJ1192" i="9"/>
  <c r="AG1193" i="9"/>
  <c r="AH1193" i="9"/>
  <c r="AI1193" i="9"/>
  <c r="AJ1193" i="9"/>
  <c r="AG1194" i="9"/>
  <c r="AH1194" i="9"/>
  <c r="AI1194" i="9"/>
  <c r="AJ1194" i="9"/>
  <c r="AG1195" i="9"/>
  <c r="AH1195" i="9"/>
  <c r="AI1195" i="9"/>
  <c r="AJ1195" i="9"/>
  <c r="AG1196" i="9"/>
  <c r="AH1196" i="9"/>
  <c r="AI1196" i="9"/>
  <c r="AJ1196" i="9"/>
  <c r="AG1197" i="9"/>
  <c r="AH1197" i="9"/>
  <c r="AI1197" i="9"/>
  <c r="AJ1197" i="9"/>
  <c r="AG1198" i="9"/>
  <c r="AH1198" i="9"/>
  <c r="AI1198" i="9"/>
  <c r="AJ1198" i="9"/>
  <c r="AG1199" i="9"/>
  <c r="AH1199" i="9"/>
  <c r="AI1199" i="9"/>
  <c r="AJ1199" i="9"/>
  <c r="AG1200" i="9"/>
  <c r="AH1200" i="9"/>
  <c r="AI1200" i="9"/>
  <c r="AJ1200" i="9"/>
  <c r="AG1201" i="9"/>
  <c r="AH1201" i="9"/>
  <c r="AI1201" i="9"/>
  <c r="AJ1201" i="9"/>
  <c r="AG1202" i="9"/>
  <c r="AH1202" i="9"/>
  <c r="AI1202" i="9"/>
  <c r="AJ1202" i="9"/>
  <c r="AG1203" i="9"/>
  <c r="AH1203" i="9"/>
  <c r="AI1203" i="9"/>
  <c r="AJ1203" i="9"/>
  <c r="AG1204" i="9"/>
  <c r="AH1204" i="9"/>
  <c r="AI1204" i="9"/>
  <c r="AJ1204" i="9"/>
  <c r="AG1205" i="9"/>
  <c r="AH1205" i="9"/>
  <c r="AI1205" i="9"/>
  <c r="AJ1205" i="9"/>
  <c r="AG1206" i="9"/>
  <c r="AH1206" i="9"/>
  <c r="AI1206" i="9"/>
  <c r="AJ1206" i="9"/>
  <c r="AG1207" i="9"/>
  <c r="AH1207" i="9"/>
  <c r="AI1207" i="9"/>
  <c r="AJ1207" i="9"/>
  <c r="AG1208" i="9"/>
  <c r="AH1208" i="9"/>
  <c r="AI1208" i="9"/>
  <c r="AJ1208" i="9"/>
  <c r="AG1209" i="9"/>
  <c r="AH1209" i="9"/>
  <c r="AI1209" i="9"/>
  <c r="AJ1209" i="9"/>
  <c r="AG1210" i="9"/>
  <c r="AH1210" i="9"/>
  <c r="AI1210" i="9"/>
  <c r="AJ1210" i="9"/>
  <c r="AG1211" i="9"/>
  <c r="AH1211" i="9"/>
  <c r="AI1211" i="9"/>
  <c r="AJ1211" i="9"/>
  <c r="AG1212" i="9"/>
  <c r="AH1212" i="9"/>
  <c r="AI1212" i="9"/>
  <c r="AJ1212" i="9"/>
  <c r="AG1213" i="9"/>
  <c r="AH1213" i="9"/>
  <c r="AI1213" i="9"/>
  <c r="AJ1213" i="9"/>
  <c r="AG1214" i="9"/>
  <c r="AH1214" i="9"/>
  <c r="AI1214" i="9"/>
  <c r="AJ1214" i="9"/>
  <c r="AG1215" i="9"/>
  <c r="AH1215" i="9"/>
  <c r="AI1215" i="9"/>
  <c r="AJ1215" i="9"/>
  <c r="AG1216" i="9"/>
  <c r="AH1216" i="9"/>
  <c r="AI1216" i="9"/>
  <c r="AJ1216" i="9"/>
  <c r="AG1217" i="9"/>
  <c r="AH1217" i="9"/>
  <c r="AI1217" i="9"/>
  <c r="AJ1217" i="9"/>
  <c r="AG1218" i="9"/>
  <c r="AH1218" i="9"/>
  <c r="AI1218" i="9"/>
  <c r="AJ1218" i="9"/>
  <c r="AG1219" i="9"/>
  <c r="AH1219" i="9"/>
  <c r="AI1219" i="9"/>
  <c r="AJ1219" i="9"/>
  <c r="AG1220" i="9"/>
  <c r="AH1220" i="9"/>
  <c r="AI1220" i="9"/>
  <c r="AJ1220" i="9"/>
  <c r="AG1221" i="9"/>
  <c r="AH1221" i="9"/>
  <c r="AI1221" i="9"/>
  <c r="AJ1221" i="9"/>
  <c r="AG1222" i="9"/>
  <c r="AH1222" i="9"/>
  <c r="AI1222" i="9"/>
  <c r="AJ1222" i="9"/>
  <c r="AG1223" i="9"/>
  <c r="AH1223" i="9"/>
  <c r="AI1223" i="9"/>
  <c r="AJ1223" i="9"/>
  <c r="AG1224" i="9"/>
  <c r="AH1224" i="9"/>
  <c r="AI1224" i="9"/>
  <c r="AJ1224" i="9"/>
  <c r="AG1225" i="9"/>
  <c r="AH1225" i="9"/>
  <c r="AI1225" i="9"/>
  <c r="AJ1225" i="9"/>
  <c r="AG1226" i="9"/>
  <c r="AH1226" i="9"/>
  <c r="AI1226" i="9"/>
  <c r="AJ1226" i="9"/>
  <c r="AG1227" i="9"/>
  <c r="AH1227" i="9"/>
  <c r="AI1227" i="9"/>
  <c r="AJ1227" i="9"/>
  <c r="AG1228" i="9"/>
  <c r="AH1228" i="9"/>
  <c r="AI1228" i="9"/>
  <c r="AJ1228" i="9"/>
  <c r="AG1229" i="9"/>
  <c r="AH1229" i="9"/>
  <c r="AI1229" i="9"/>
  <c r="AJ1229" i="9"/>
  <c r="AG1230" i="9"/>
  <c r="AH1230" i="9"/>
  <c r="AI1230" i="9"/>
  <c r="AJ1230" i="9"/>
  <c r="AG1231" i="9"/>
  <c r="AH1231" i="9"/>
  <c r="AI1231" i="9"/>
  <c r="AJ1231" i="9"/>
  <c r="AG1232" i="9"/>
  <c r="AH1232" i="9"/>
  <c r="AI1232" i="9"/>
  <c r="AJ1232" i="9"/>
  <c r="AG1233" i="9"/>
  <c r="AH1233" i="9"/>
  <c r="AI1233" i="9"/>
  <c r="AJ1233" i="9"/>
  <c r="AG1234" i="9"/>
  <c r="AH1234" i="9"/>
  <c r="AI1234" i="9"/>
  <c r="AJ1234" i="9"/>
  <c r="AG1235" i="9"/>
  <c r="AH1235" i="9"/>
  <c r="AI1235" i="9"/>
  <c r="AJ1235" i="9"/>
  <c r="AG1236" i="9"/>
  <c r="AH1236" i="9"/>
  <c r="AI1236" i="9"/>
  <c r="AJ1236" i="9"/>
  <c r="AG1237" i="9"/>
  <c r="AH1237" i="9"/>
  <c r="AI1237" i="9"/>
  <c r="AJ1237" i="9"/>
  <c r="AG1238" i="9"/>
  <c r="AH1238" i="9"/>
  <c r="AI1238" i="9"/>
  <c r="AJ1238" i="9"/>
  <c r="AG1239" i="9"/>
  <c r="AH1239" i="9"/>
  <c r="AI1239" i="9"/>
  <c r="AJ1239" i="9"/>
  <c r="AG1240" i="9"/>
  <c r="AH1240" i="9"/>
  <c r="AI1240" i="9"/>
  <c r="AJ1240" i="9"/>
  <c r="AG1241" i="9"/>
  <c r="AH1241" i="9"/>
  <c r="AI1241" i="9"/>
  <c r="AJ1241" i="9"/>
  <c r="AG1242" i="9"/>
  <c r="AH1242" i="9"/>
  <c r="AI1242" i="9"/>
  <c r="AJ1242" i="9"/>
  <c r="AG1243" i="9"/>
  <c r="AH1243" i="9"/>
  <c r="AI1243" i="9"/>
  <c r="AJ1243" i="9"/>
  <c r="AG1244" i="9"/>
  <c r="AH1244" i="9"/>
  <c r="AI1244" i="9"/>
  <c r="AJ1244" i="9"/>
  <c r="AG1245" i="9"/>
  <c r="AH1245" i="9"/>
  <c r="AI1245" i="9"/>
  <c r="AJ1245" i="9"/>
  <c r="AG1246" i="9"/>
  <c r="AH1246" i="9"/>
  <c r="AI1246" i="9"/>
  <c r="AJ1246" i="9"/>
  <c r="AG1247" i="9"/>
  <c r="AH1247" i="9"/>
  <c r="AI1247" i="9"/>
  <c r="AJ1247" i="9"/>
  <c r="AG1248" i="9"/>
  <c r="AH1248" i="9"/>
  <c r="AI1248" i="9"/>
  <c r="AJ1248" i="9"/>
  <c r="AG1249" i="9"/>
  <c r="AH1249" i="9"/>
  <c r="AI1249" i="9"/>
  <c r="AJ1249" i="9"/>
  <c r="AG1250" i="9"/>
  <c r="AH1250" i="9"/>
  <c r="AI1250" i="9"/>
  <c r="AJ1250" i="9"/>
  <c r="AG1251" i="9"/>
  <c r="AH1251" i="9"/>
  <c r="AI1251" i="9"/>
  <c r="AJ1251" i="9"/>
  <c r="AG1252" i="9"/>
  <c r="AH1252" i="9"/>
  <c r="AI1252" i="9"/>
  <c r="AJ1252" i="9"/>
  <c r="AG1253" i="9"/>
  <c r="AH1253" i="9"/>
  <c r="AI1253" i="9"/>
  <c r="AJ1253" i="9"/>
  <c r="AG1254" i="9"/>
  <c r="AH1254" i="9"/>
  <c r="AI1254" i="9"/>
  <c r="AJ1254" i="9"/>
  <c r="AG1255" i="9"/>
  <c r="AH1255" i="9"/>
  <c r="AI1255" i="9"/>
  <c r="AJ1255" i="9"/>
  <c r="AG1256" i="9"/>
  <c r="AH1256" i="9"/>
  <c r="AI1256" i="9"/>
  <c r="AJ1256" i="9"/>
  <c r="AG1257" i="9"/>
  <c r="AH1257" i="9"/>
  <c r="AI1257" i="9"/>
  <c r="AJ1257" i="9"/>
  <c r="AG1258" i="9"/>
  <c r="AH1258" i="9"/>
  <c r="AI1258" i="9"/>
  <c r="AJ1258" i="9"/>
  <c r="AG1259" i="9"/>
  <c r="AH1259" i="9"/>
  <c r="AI1259" i="9"/>
  <c r="AJ1259" i="9"/>
  <c r="AG1260" i="9"/>
  <c r="AH1260" i="9"/>
  <c r="AI1260" i="9"/>
  <c r="AJ1260" i="9"/>
  <c r="AG1261" i="9"/>
  <c r="AH1261" i="9"/>
  <c r="AI1261" i="9"/>
  <c r="AJ1261" i="9"/>
  <c r="AG1262" i="9"/>
  <c r="AH1262" i="9"/>
  <c r="AI1262" i="9"/>
  <c r="AJ1262" i="9"/>
  <c r="AG1263" i="9"/>
  <c r="AH1263" i="9"/>
  <c r="AI1263" i="9"/>
  <c r="AJ1263" i="9"/>
  <c r="AG1264" i="9"/>
  <c r="AH1264" i="9"/>
  <c r="AI1264" i="9"/>
  <c r="AJ1264" i="9"/>
  <c r="AG1265" i="9"/>
  <c r="AH1265" i="9"/>
  <c r="AI1265" i="9"/>
  <c r="AJ1265" i="9"/>
  <c r="AG1266" i="9"/>
  <c r="AH1266" i="9"/>
  <c r="AI1266" i="9"/>
  <c r="AJ1266" i="9"/>
  <c r="AG1267" i="9"/>
  <c r="AH1267" i="9"/>
  <c r="AI1267" i="9"/>
  <c r="AJ1267" i="9"/>
  <c r="AG1268" i="9"/>
  <c r="AH1268" i="9"/>
  <c r="AI1268" i="9"/>
  <c r="AJ1268" i="9"/>
  <c r="AG1269" i="9"/>
  <c r="AH1269" i="9"/>
  <c r="AI1269" i="9"/>
  <c r="AJ1269" i="9"/>
  <c r="AG1270" i="9"/>
  <c r="AH1270" i="9"/>
  <c r="AI1270" i="9"/>
  <c r="AJ1270" i="9"/>
  <c r="AG1271" i="9"/>
  <c r="AH1271" i="9"/>
  <c r="AI1271" i="9"/>
  <c r="AJ1271" i="9"/>
  <c r="AG1272" i="9"/>
  <c r="AH1272" i="9"/>
  <c r="AI1272" i="9"/>
  <c r="AJ1272" i="9"/>
  <c r="AG1273" i="9"/>
  <c r="AH1273" i="9"/>
  <c r="AI1273" i="9"/>
  <c r="AJ1273" i="9"/>
  <c r="AG1274" i="9"/>
  <c r="AH1274" i="9"/>
  <c r="AI1274" i="9"/>
  <c r="AJ1274" i="9"/>
  <c r="AG1275" i="9"/>
  <c r="AH1275" i="9"/>
  <c r="AI1275" i="9"/>
  <c r="AJ1275" i="9"/>
  <c r="AG1276" i="9"/>
  <c r="AH1276" i="9"/>
  <c r="AI1276" i="9"/>
  <c r="AJ1276" i="9"/>
  <c r="AG1277" i="9"/>
  <c r="AH1277" i="9"/>
  <c r="AI1277" i="9"/>
  <c r="AJ1277" i="9"/>
  <c r="AG1278" i="9"/>
  <c r="AH1278" i="9"/>
  <c r="AI1278" i="9"/>
  <c r="AJ1278" i="9"/>
  <c r="AG1279" i="9"/>
  <c r="AH1279" i="9"/>
  <c r="AI1279" i="9"/>
  <c r="AJ1279" i="9"/>
  <c r="AG1280" i="9"/>
  <c r="AH1280" i="9"/>
  <c r="AI1280" i="9"/>
  <c r="AJ1280" i="9"/>
  <c r="AG1281" i="9"/>
  <c r="AH1281" i="9"/>
  <c r="AI1281" i="9"/>
  <c r="AJ1281" i="9"/>
  <c r="AG1282" i="9"/>
  <c r="AH1282" i="9"/>
  <c r="AI1282" i="9"/>
  <c r="AJ1282" i="9"/>
  <c r="AG1283" i="9"/>
  <c r="AH1283" i="9"/>
  <c r="AI1283" i="9"/>
  <c r="AJ1283" i="9"/>
  <c r="AG1284" i="9"/>
  <c r="AH1284" i="9"/>
  <c r="AI1284" i="9"/>
  <c r="AJ1284" i="9"/>
  <c r="AG1285" i="9"/>
  <c r="AH1285" i="9"/>
  <c r="AI1285" i="9"/>
  <c r="AJ1285" i="9"/>
  <c r="AG1286" i="9"/>
  <c r="AH1286" i="9"/>
  <c r="AI1286" i="9"/>
  <c r="AJ1286" i="9"/>
  <c r="AG1287" i="9"/>
  <c r="AH1287" i="9"/>
  <c r="AI1287" i="9"/>
  <c r="AJ1287" i="9"/>
  <c r="AG1288" i="9"/>
  <c r="AH1288" i="9"/>
  <c r="AI1288" i="9"/>
  <c r="AJ1288" i="9"/>
  <c r="AG1289" i="9"/>
  <c r="AH1289" i="9"/>
  <c r="AI1289" i="9"/>
  <c r="AJ1289" i="9"/>
  <c r="AG1290" i="9"/>
  <c r="AH1290" i="9"/>
  <c r="AI1290" i="9"/>
  <c r="AJ1290" i="9"/>
  <c r="AG1291" i="9"/>
  <c r="AH1291" i="9"/>
  <c r="AI1291" i="9"/>
  <c r="AJ1291" i="9"/>
  <c r="AG1292" i="9"/>
  <c r="AH1292" i="9"/>
  <c r="AI1292" i="9"/>
  <c r="AJ1292" i="9"/>
  <c r="AG1293" i="9"/>
  <c r="AH1293" i="9"/>
  <c r="AI1293" i="9"/>
  <c r="AJ1293" i="9"/>
  <c r="AG1294" i="9"/>
  <c r="AH1294" i="9"/>
  <c r="AI1294" i="9"/>
  <c r="AJ1294" i="9"/>
  <c r="AG1295" i="9"/>
  <c r="AH1295" i="9"/>
  <c r="AI1295" i="9"/>
  <c r="AJ1295" i="9"/>
  <c r="AG1296" i="9"/>
  <c r="AH1296" i="9"/>
  <c r="AI1296" i="9"/>
  <c r="AJ1296" i="9"/>
  <c r="AG1297" i="9"/>
  <c r="AH1297" i="9"/>
  <c r="AI1297" i="9"/>
  <c r="AJ1297" i="9"/>
  <c r="AG1298" i="9"/>
  <c r="AH1298" i="9"/>
  <c r="AI1298" i="9"/>
  <c r="AJ1298" i="9"/>
  <c r="AG1299" i="9"/>
  <c r="AH1299" i="9"/>
  <c r="AI1299" i="9"/>
  <c r="AJ1299" i="9"/>
  <c r="AG1300" i="9"/>
  <c r="AH1300" i="9"/>
  <c r="AI1300" i="9"/>
  <c r="AJ1300" i="9"/>
  <c r="AG1301" i="9"/>
  <c r="AH1301" i="9"/>
  <c r="AI1301" i="9"/>
  <c r="AJ1301" i="9"/>
  <c r="AG1302" i="9"/>
  <c r="AH1302" i="9"/>
  <c r="AI1302" i="9"/>
  <c r="AJ1302" i="9"/>
  <c r="AG1303" i="9"/>
  <c r="AH1303" i="9"/>
  <c r="AI1303" i="9"/>
  <c r="AJ1303" i="9"/>
  <c r="AG1304" i="9"/>
  <c r="AH1304" i="9"/>
  <c r="AI1304" i="9"/>
  <c r="AJ1304" i="9"/>
  <c r="AG1305" i="9"/>
  <c r="AH1305" i="9"/>
  <c r="AI1305" i="9"/>
  <c r="AJ1305" i="9"/>
  <c r="AG1306" i="9"/>
  <c r="AH1306" i="9"/>
  <c r="AI1306" i="9"/>
  <c r="AJ1306" i="9"/>
  <c r="AG1307" i="9"/>
  <c r="AH1307" i="9"/>
  <c r="AI1307" i="9"/>
  <c r="AJ1307" i="9"/>
  <c r="AG1308" i="9"/>
  <c r="AH1308" i="9"/>
  <c r="AI1308" i="9"/>
  <c r="AJ1308" i="9"/>
  <c r="AG1309" i="9"/>
  <c r="AH1309" i="9"/>
  <c r="AI1309" i="9"/>
  <c r="AJ1309" i="9"/>
  <c r="AG1310" i="9"/>
  <c r="AH1310" i="9"/>
  <c r="AI1310" i="9"/>
  <c r="AJ1310" i="9"/>
  <c r="AG1311" i="9"/>
  <c r="AH1311" i="9"/>
  <c r="AI1311" i="9"/>
  <c r="AJ1311" i="9"/>
  <c r="AG1312" i="9"/>
  <c r="AH1312" i="9"/>
  <c r="AI1312" i="9"/>
  <c r="AJ1312" i="9"/>
  <c r="AG1313" i="9"/>
  <c r="AH1313" i="9"/>
  <c r="AI1313" i="9"/>
  <c r="AJ1313" i="9"/>
  <c r="AG1314" i="9"/>
  <c r="AH1314" i="9"/>
  <c r="AI1314" i="9"/>
  <c r="AJ1314" i="9"/>
  <c r="AG1315" i="9"/>
  <c r="AH1315" i="9"/>
  <c r="AI1315" i="9"/>
  <c r="AJ1315" i="9"/>
  <c r="AG1316" i="9"/>
  <c r="AH1316" i="9"/>
  <c r="AI1316" i="9"/>
  <c r="AJ1316" i="9"/>
  <c r="AG1317" i="9"/>
  <c r="AH1317" i="9"/>
  <c r="AI1317" i="9"/>
  <c r="AJ1317" i="9"/>
  <c r="AG1318" i="9"/>
  <c r="AH1318" i="9"/>
  <c r="AI1318" i="9"/>
  <c r="AJ1318" i="9"/>
  <c r="AG1319" i="9"/>
  <c r="AH1319" i="9"/>
  <c r="AI1319" i="9"/>
  <c r="AJ1319" i="9"/>
  <c r="AG1320" i="9"/>
  <c r="AH1320" i="9"/>
  <c r="AI1320" i="9"/>
  <c r="AJ1320" i="9"/>
  <c r="AG1321" i="9"/>
  <c r="AH1321" i="9"/>
  <c r="AI1321" i="9"/>
  <c r="AJ1321" i="9"/>
  <c r="AG1322" i="9"/>
  <c r="AH1322" i="9"/>
  <c r="AI1322" i="9"/>
  <c r="AJ1322" i="9"/>
  <c r="AG1323" i="9"/>
  <c r="AH1323" i="9"/>
  <c r="AI1323" i="9"/>
  <c r="AJ1323" i="9"/>
  <c r="AG1324" i="9"/>
  <c r="AH1324" i="9"/>
  <c r="AI1324" i="9"/>
  <c r="AJ1324" i="9"/>
  <c r="AG1325" i="9"/>
  <c r="AH1325" i="9"/>
  <c r="AI1325" i="9"/>
  <c r="AJ1325" i="9"/>
  <c r="AG1326" i="9"/>
  <c r="AH1326" i="9"/>
  <c r="AI1326" i="9"/>
  <c r="AJ1326" i="9"/>
  <c r="AG1327" i="9"/>
  <c r="AH1327" i="9"/>
  <c r="AI1327" i="9"/>
  <c r="AJ1327" i="9"/>
  <c r="AG1328" i="9"/>
  <c r="AH1328" i="9"/>
  <c r="AI1328" i="9"/>
  <c r="AJ1328" i="9"/>
  <c r="AG1329" i="9"/>
  <c r="AH1329" i="9"/>
  <c r="AI1329" i="9"/>
  <c r="AJ1329" i="9"/>
  <c r="AG1330" i="9"/>
  <c r="AH1330" i="9"/>
  <c r="AI1330" i="9"/>
  <c r="AJ1330" i="9"/>
  <c r="AG1331" i="9"/>
  <c r="AH1331" i="9"/>
  <c r="AI1331" i="9"/>
  <c r="AJ1331" i="9"/>
  <c r="AG1332" i="9"/>
  <c r="AH1332" i="9"/>
  <c r="AI1332" i="9"/>
  <c r="AJ1332" i="9"/>
  <c r="AG1333" i="9"/>
  <c r="AH1333" i="9"/>
  <c r="AI1333" i="9"/>
  <c r="AJ1333" i="9"/>
  <c r="AG1334" i="9"/>
  <c r="AH1334" i="9"/>
  <c r="AI1334" i="9"/>
  <c r="AJ1334" i="9"/>
  <c r="AG1335" i="9"/>
  <c r="AH1335" i="9"/>
  <c r="AI1335" i="9"/>
  <c r="AJ1335" i="9"/>
  <c r="AG1336" i="9"/>
  <c r="AH1336" i="9"/>
  <c r="AI1336" i="9"/>
  <c r="AJ1336" i="9"/>
  <c r="AG1337" i="9"/>
  <c r="AH1337" i="9"/>
  <c r="AI1337" i="9"/>
  <c r="AJ1337" i="9"/>
  <c r="AG1338" i="9"/>
  <c r="AH1338" i="9"/>
  <c r="AI1338" i="9"/>
  <c r="AJ1338" i="9"/>
  <c r="AG1339" i="9"/>
  <c r="AH1339" i="9"/>
  <c r="AI1339" i="9"/>
  <c r="AJ1339" i="9"/>
  <c r="AG1340" i="9"/>
  <c r="AH1340" i="9"/>
  <c r="AI1340" i="9"/>
  <c r="AJ1340" i="9"/>
  <c r="AG1341" i="9"/>
  <c r="AH1341" i="9"/>
  <c r="AI1341" i="9"/>
  <c r="AJ1341" i="9"/>
  <c r="AG1342" i="9"/>
  <c r="AH1342" i="9"/>
  <c r="AI1342" i="9"/>
  <c r="AJ1342" i="9"/>
  <c r="AG1343" i="9"/>
  <c r="AH1343" i="9"/>
  <c r="AI1343" i="9"/>
  <c r="AJ1343" i="9"/>
  <c r="AG1344" i="9"/>
  <c r="AH1344" i="9"/>
  <c r="AI1344" i="9"/>
  <c r="AJ1344" i="9"/>
  <c r="AG1345" i="9"/>
  <c r="AH1345" i="9"/>
  <c r="AI1345" i="9"/>
  <c r="AJ1345" i="9"/>
  <c r="AG1346" i="9"/>
  <c r="AH1346" i="9"/>
  <c r="AI1346" i="9"/>
  <c r="AJ1346" i="9"/>
  <c r="AG1347" i="9"/>
  <c r="AH1347" i="9"/>
  <c r="AI1347" i="9"/>
  <c r="AJ1347" i="9"/>
  <c r="AG1348" i="9"/>
  <c r="AH1348" i="9"/>
  <c r="AI1348" i="9"/>
  <c r="AJ1348" i="9"/>
  <c r="AG1349" i="9"/>
  <c r="AH1349" i="9"/>
  <c r="AI1349" i="9"/>
  <c r="AJ1349" i="9"/>
  <c r="AG1350" i="9"/>
  <c r="AH1350" i="9"/>
  <c r="AI1350" i="9"/>
  <c r="AJ1350" i="9"/>
  <c r="AG1351" i="9"/>
  <c r="AH1351" i="9"/>
  <c r="AI1351" i="9"/>
  <c r="AJ1351" i="9"/>
  <c r="AG1352" i="9"/>
  <c r="AH1352" i="9"/>
  <c r="AI1352" i="9"/>
  <c r="AJ1352" i="9"/>
  <c r="AG1353" i="9"/>
  <c r="AH1353" i="9"/>
  <c r="AI1353" i="9"/>
  <c r="AJ1353" i="9"/>
  <c r="AG1354" i="9"/>
  <c r="AH1354" i="9"/>
  <c r="AI1354" i="9"/>
  <c r="AJ1354" i="9"/>
  <c r="AG1355" i="9"/>
  <c r="AH1355" i="9"/>
  <c r="AI1355" i="9"/>
  <c r="AJ1355" i="9"/>
  <c r="AG1356" i="9"/>
  <c r="AH1356" i="9"/>
  <c r="AI1356" i="9"/>
  <c r="AJ1356" i="9"/>
  <c r="AG1357" i="9"/>
  <c r="AH1357" i="9"/>
  <c r="AI1357" i="9"/>
  <c r="AJ1357" i="9"/>
  <c r="AG1358" i="9"/>
  <c r="AH1358" i="9"/>
  <c r="AI1358" i="9"/>
  <c r="AJ1358" i="9"/>
  <c r="AG1359" i="9"/>
  <c r="AH1359" i="9"/>
  <c r="AI1359" i="9"/>
  <c r="AJ1359" i="9"/>
  <c r="AG1360" i="9"/>
  <c r="AH1360" i="9"/>
  <c r="AI1360" i="9"/>
  <c r="AJ1360" i="9"/>
  <c r="AG1361" i="9"/>
  <c r="AH1361" i="9"/>
  <c r="AI1361" i="9"/>
  <c r="AJ1361" i="9"/>
  <c r="AG1362" i="9"/>
  <c r="AH1362" i="9"/>
  <c r="AI1362" i="9"/>
  <c r="AJ1362" i="9"/>
  <c r="AG1363" i="9"/>
  <c r="AH1363" i="9"/>
  <c r="AI1363" i="9"/>
  <c r="AJ1363" i="9"/>
  <c r="AG1364" i="9"/>
  <c r="AH1364" i="9"/>
  <c r="AI1364" i="9"/>
  <c r="AJ1364" i="9"/>
  <c r="AG1365" i="9"/>
  <c r="AH1365" i="9"/>
  <c r="AI1365" i="9"/>
  <c r="AJ1365" i="9"/>
  <c r="AG1366" i="9"/>
  <c r="AH1366" i="9"/>
  <c r="AI1366" i="9"/>
  <c r="AJ1366" i="9"/>
  <c r="AG1367" i="9"/>
  <c r="AH1367" i="9"/>
  <c r="AI1367" i="9"/>
  <c r="AJ1367" i="9"/>
  <c r="AG1368" i="9"/>
  <c r="AH1368" i="9"/>
  <c r="AI1368" i="9"/>
  <c r="AJ1368" i="9"/>
  <c r="AG1369" i="9"/>
  <c r="AH1369" i="9"/>
  <c r="AI1369" i="9"/>
  <c r="AJ1369" i="9"/>
  <c r="AG1370" i="9"/>
  <c r="AH1370" i="9"/>
  <c r="AI1370" i="9"/>
  <c r="AJ1370" i="9"/>
  <c r="AG1371" i="9"/>
  <c r="AH1371" i="9"/>
  <c r="AI1371" i="9"/>
  <c r="AJ1371" i="9"/>
  <c r="AG1372" i="9"/>
  <c r="AH1372" i="9"/>
  <c r="AI1372" i="9"/>
  <c r="AJ1372" i="9"/>
  <c r="AG1373" i="9"/>
  <c r="AH1373" i="9"/>
  <c r="AI1373" i="9"/>
  <c r="AJ1373" i="9"/>
  <c r="AG1374" i="9"/>
  <c r="AH1374" i="9"/>
  <c r="AI1374" i="9"/>
  <c r="AJ1374" i="9"/>
  <c r="AG1375" i="9"/>
  <c r="AH1375" i="9"/>
  <c r="AI1375" i="9"/>
  <c r="AJ1375" i="9"/>
  <c r="AG1376" i="9"/>
  <c r="AH1376" i="9"/>
  <c r="AI1376" i="9"/>
  <c r="AJ1376" i="9"/>
  <c r="AG1377" i="9"/>
  <c r="AH1377" i="9"/>
  <c r="AI1377" i="9"/>
  <c r="AJ1377" i="9"/>
  <c r="AG1378" i="9"/>
  <c r="AH1378" i="9"/>
  <c r="AI1378" i="9"/>
  <c r="AJ1378" i="9"/>
  <c r="AG1379" i="9"/>
  <c r="AH1379" i="9"/>
  <c r="AI1379" i="9"/>
  <c r="AJ1379" i="9"/>
  <c r="AG1380" i="9"/>
  <c r="AH1380" i="9"/>
  <c r="AI1380" i="9"/>
  <c r="AJ1380" i="9"/>
  <c r="AG1381" i="9"/>
  <c r="AH1381" i="9"/>
  <c r="AI1381" i="9"/>
  <c r="AJ1381" i="9"/>
  <c r="AG1382" i="9"/>
  <c r="AH1382" i="9"/>
  <c r="AI1382" i="9"/>
  <c r="AJ1382" i="9"/>
  <c r="AG1383" i="9"/>
  <c r="AH1383" i="9"/>
  <c r="AI1383" i="9"/>
  <c r="AJ1383" i="9"/>
  <c r="AG1384" i="9"/>
  <c r="AH1384" i="9"/>
  <c r="AI1384" i="9"/>
  <c r="AJ1384" i="9"/>
  <c r="AG1385" i="9"/>
  <c r="AH1385" i="9"/>
  <c r="AI1385" i="9"/>
  <c r="AJ1385" i="9"/>
  <c r="AG1386" i="9"/>
  <c r="AH1386" i="9"/>
  <c r="AI1386" i="9"/>
  <c r="AJ1386" i="9"/>
  <c r="AG1387" i="9"/>
  <c r="AH1387" i="9"/>
  <c r="AI1387" i="9"/>
  <c r="AJ1387" i="9"/>
  <c r="AG1388" i="9"/>
  <c r="AH1388" i="9"/>
  <c r="AI1388" i="9"/>
  <c r="AJ1388" i="9"/>
  <c r="AG1389" i="9"/>
  <c r="AH1389" i="9"/>
  <c r="AI1389" i="9"/>
  <c r="AJ1389" i="9"/>
  <c r="AG1390" i="9"/>
  <c r="AH1390" i="9"/>
  <c r="AI1390" i="9"/>
  <c r="AJ1390" i="9"/>
  <c r="AG1391" i="9"/>
  <c r="AH1391" i="9"/>
  <c r="AI1391" i="9"/>
  <c r="AJ1391" i="9"/>
  <c r="AG1392" i="9"/>
  <c r="AH1392" i="9"/>
  <c r="AI1392" i="9"/>
  <c r="AJ1392" i="9"/>
  <c r="AG1393" i="9"/>
  <c r="AH1393" i="9"/>
  <c r="AI1393" i="9"/>
  <c r="AJ1393" i="9"/>
  <c r="AG1394" i="9"/>
  <c r="AH1394" i="9"/>
  <c r="AI1394" i="9"/>
  <c r="AJ1394" i="9"/>
  <c r="AG1395" i="9"/>
  <c r="AH1395" i="9"/>
  <c r="AI1395" i="9"/>
  <c r="AJ1395" i="9"/>
  <c r="AG1396" i="9"/>
  <c r="AH1396" i="9"/>
  <c r="AI1396" i="9"/>
  <c r="AJ1396" i="9"/>
  <c r="AG1397" i="9"/>
  <c r="AH1397" i="9"/>
  <c r="AI1397" i="9"/>
  <c r="AJ1397" i="9"/>
  <c r="AG1398" i="9"/>
  <c r="AH1398" i="9"/>
  <c r="AI1398" i="9"/>
  <c r="AJ1398" i="9"/>
  <c r="AG1399" i="9"/>
  <c r="AH1399" i="9"/>
  <c r="AI1399" i="9"/>
  <c r="AJ1399" i="9"/>
  <c r="AG1400" i="9"/>
  <c r="AH1400" i="9"/>
  <c r="AI1400" i="9"/>
  <c r="AJ1400" i="9"/>
  <c r="AG1401" i="9"/>
  <c r="AH1401" i="9"/>
  <c r="AI1401" i="9"/>
  <c r="AJ1401" i="9"/>
  <c r="AG1402" i="9"/>
  <c r="AH1402" i="9"/>
  <c r="AI1402" i="9"/>
  <c r="AJ1402" i="9"/>
  <c r="AG1403" i="9"/>
  <c r="AH1403" i="9"/>
  <c r="AI1403" i="9"/>
  <c r="AJ1403" i="9"/>
  <c r="AG1404" i="9"/>
  <c r="AH1404" i="9"/>
  <c r="AI1404" i="9"/>
  <c r="AJ1404" i="9"/>
  <c r="AG1405" i="9"/>
  <c r="AH1405" i="9"/>
  <c r="AI1405" i="9"/>
  <c r="AJ1405" i="9"/>
  <c r="AG1406" i="9"/>
  <c r="AH1406" i="9"/>
  <c r="AI1406" i="9"/>
  <c r="AJ1406" i="9"/>
  <c r="AG1407" i="9"/>
  <c r="AH1407" i="9"/>
  <c r="AI1407" i="9"/>
  <c r="AJ1407" i="9"/>
  <c r="AG1408" i="9"/>
  <c r="AH1408" i="9"/>
  <c r="AI1408" i="9"/>
  <c r="AJ1408" i="9"/>
  <c r="AG1409" i="9"/>
  <c r="AH1409" i="9"/>
  <c r="AI1409" i="9"/>
  <c r="AJ1409" i="9"/>
  <c r="AG1410" i="9"/>
  <c r="AH1410" i="9"/>
  <c r="AI1410" i="9"/>
  <c r="AJ1410" i="9"/>
  <c r="AG1411" i="9"/>
  <c r="AH1411" i="9"/>
  <c r="AI1411" i="9"/>
  <c r="AJ1411" i="9"/>
  <c r="AG1412" i="9"/>
  <c r="AH1412" i="9"/>
  <c r="AI1412" i="9"/>
  <c r="AJ1412" i="9"/>
  <c r="AG1413" i="9"/>
  <c r="AH1413" i="9"/>
  <c r="AI1413" i="9"/>
  <c r="AJ1413" i="9"/>
  <c r="AG1414" i="9"/>
  <c r="AH1414" i="9"/>
  <c r="AI1414" i="9"/>
  <c r="AJ1414" i="9"/>
  <c r="AG1415" i="9"/>
  <c r="AH1415" i="9"/>
  <c r="AI1415" i="9"/>
  <c r="AJ1415" i="9"/>
  <c r="AG1416" i="9"/>
  <c r="AH1416" i="9"/>
  <c r="AI1416" i="9"/>
  <c r="AJ1416" i="9"/>
  <c r="AG1417" i="9"/>
  <c r="AH1417" i="9"/>
  <c r="AI1417" i="9"/>
  <c r="AJ1417" i="9"/>
  <c r="AG1418" i="9"/>
  <c r="AH1418" i="9"/>
  <c r="AI1418" i="9"/>
  <c r="AJ1418" i="9"/>
  <c r="AG1419" i="9"/>
  <c r="AH1419" i="9"/>
  <c r="AI1419" i="9"/>
  <c r="AJ1419" i="9"/>
  <c r="AG1420" i="9"/>
  <c r="AH1420" i="9"/>
  <c r="AI1420" i="9"/>
  <c r="AJ1420" i="9"/>
  <c r="AG1421" i="9"/>
  <c r="AH1421" i="9"/>
  <c r="AI1421" i="9"/>
  <c r="AJ1421" i="9"/>
  <c r="AG1422" i="9"/>
  <c r="AH1422" i="9"/>
  <c r="AI1422" i="9"/>
  <c r="AJ1422" i="9"/>
  <c r="AG1423" i="9"/>
  <c r="AH1423" i="9"/>
  <c r="AI1423" i="9"/>
  <c r="AJ1423" i="9"/>
  <c r="AG1424" i="9"/>
  <c r="AH1424" i="9"/>
  <c r="AI1424" i="9"/>
  <c r="AJ1424" i="9"/>
  <c r="AG1425" i="9"/>
  <c r="AH1425" i="9"/>
  <c r="AI1425" i="9"/>
  <c r="AJ1425" i="9"/>
  <c r="AG1426" i="9"/>
  <c r="AH1426" i="9"/>
  <c r="AI1426" i="9"/>
  <c r="AJ1426" i="9"/>
  <c r="AG1427" i="9"/>
  <c r="AH1427" i="9"/>
  <c r="AI1427" i="9"/>
  <c r="AJ1427" i="9"/>
  <c r="AG1428" i="9"/>
  <c r="AH1428" i="9"/>
  <c r="AI1428" i="9"/>
  <c r="AJ1428" i="9"/>
  <c r="AG1429" i="9"/>
  <c r="AH1429" i="9"/>
  <c r="AI1429" i="9"/>
  <c r="AJ1429" i="9"/>
  <c r="AG1430" i="9"/>
  <c r="AH1430" i="9"/>
  <c r="AI1430" i="9"/>
  <c r="AJ1430" i="9"/>
  <c r="AG1431" i="9"/>
  <c r="AH1431" i="9"/>
  <c r="AI1431" i="9"/>
  <c r="AJ1431" i="9"/>
  <c r="AG1432" i="9"/>
  <c r="AH1432" i="9"/>
  <c r="AI1432" i="9"/>
  <c r="AJ1432" i="9"/>
  <c r="AG1433" i="9"/>
  <c r="AH1433" i="9"/>
  <c r="AI1433" i="9"/>
  <c r="AJ1433" i="9"/>
  <c r="AG1434" i="9"/>
  <c r="AH1434" i="9"/>
  <c r="AI1434" i="9"/>
  <c r="AJ1434" i="9"/>
  <c r="AG1435" i="9"/>
  <c r="AH1435" i="9"/>
  <c r="AI1435" i="9"/>
  <c r="AJ1435" i="9"/>
  <c r="AG1436" i="9"/>
  <c r="AH1436" i="9"/>
  <c r="AI1436" i="9"/>
  <c r="AJ1436" i="9"/>
  <c r="AG1437" i="9"/>
  <c r="AH1437" i="9"/>
  <c r="AI1437" i="9"/>
  <c r="AJ1437" i="9"/>
  <c r="AG1438" i="9"/>
  <c r="AH1438" i="9"/>
  <c r="AI1438" i="9"/>
  <c r="AJ1438" i="9"/>
  <c r="AG1439" i="9"/>
  <c r="AH1439" i="9"/>
  <c r="AI1439" i="9"/>
  <c r="AJ1439" i="9"/>
  <c r="AG1440" i="9"/>
  <c r="AH1440" i="9"/>
  <c r="AI1440" i="9"/>
  <c r="AJ1440" i="9"/>
  <c r="AG1441" i="9"/>
  <c r="AH1441" i="9"/>
  <c r="AI1441" i="9"/>
  <c r="AJ1441" i="9"/>
  <c r="AG1442" i="9"/>
  <c r="AH1442" i="9"/>
  <c r="AI1442" i="9"/>
  <c r="AJ1442" i="9"/>
  <c r="AG1443" i="9"/>
  <c r="AH1443" i="9"/>
  <c r="AI1443" i="9"/>
  <c r="AJ1443" i="9"/>
  <c r="AG1444" i="9"/>
  <c r="AH1444" i="9"/>
  <c r="AI1444" i="9"/>
  <c r="AJ1444" i="9"/>
  <c r="AG1445" i="9"/>
  <c r="AH1445" i="9"/>
  <c r="AI1445" i="9"/>
  <c r="AJ1445" i="9"/>
  <c r="AG1446" i="9"/>
  <c r="AH1446" i="9"/>
  <c r="AI1446" i="9"/>
  <c r="AJ1446" i="9"/>
  <c r="AG1447" i="9"/>
  <c r="AH1447" i="9"/>
  <c r="AI1447" i="9"/>
  <c r="AJ1447" i="9"/>
  <c r="AG1448" i="9"/>
  <c r="AH1448" i="9"/>
  <c r="AI1448" i="9"/>
  <c r="AJ1448" i="9"/>
  <c r="AG1449" i="9"/>
  <c r="AH1449" i="9"/>
  <c r="AI1449" i="9"/>
  <c r="AJ1449" i="9"/>
  <c r="AG1450" i="9"/>
  <c r="AH1450" i="9"/>
  <c r="AI1450" i="9"/>
  <c r="AJ1450" i="9"/>
  <c r="AG1451" i="9"/>
  <c r="AH1451" i="9"/>
  <c r="AI1451" i="9"/>
  <c r="AJ1451" i="9"/>
  <c r="AG1452" i="9"/>
  <c r="AH1452" i="9"/>
  <c r="AI1452" i="9"/>
  <c r="AJ1452" i="9"/>
  <c r="AG1453" i="9"/>
  <c r="AH1453" i="9"/>
  <c r="AI1453" i="9"/>
  <c r="AJ1453" i="9"/>
  <c r="AG1454" i="9"/>
  <c r="AH1454" i="9"/>
  <c r="AI1454" i="9"/>
  <c r="AJ1454" i="9"/>
  <c r="AG1455" i="9"/>
  <c r="AH1455" i="9"/>
  <c r="AI1455" i="9"/>
  <c r="AJ1455" i="9"/>
  <c r="AG1456" i="9"/>
  <c r="AH1456" i="9"/>
  <c r="AI1456" i="9"/>
  <c r="AJ1456" i="9"/>
  <c r="AG1457" i="9"/>
  <c r="AH1457" i="9"/>
  <c r="AI1457" i="9"/>
  <c r="AJ1457" i="9"/>
  <c r="AG1458" i="9"/>
  <c r="AH1458" i="9"/>
  <c r="AI1458" i="9"/>
  <c r="AJ1458" i="9"/>
  <c r="AG1459" i="9"/>
  <c r="AH1459" i="9"/>
  <c r="AI1459" i="9"/>
  <c r="AJ1459" i="9"/>
  <c r="AG1460" i="9"/>
  <c r="AH1460" i="9"/>
  <c r="AI1460" i="9"/>
  <c r="AJ1460" i="9"/>
  <c r="AG1461" i="9"/>
  <c r="AH1461" i="9"/>
  <c r="AI1461" i="9"/>
  <c r="AJ1461" i="9"/>
  <c r="AG1462" i="9"/>
  <c r="AH1462" i="9"/>
  <c r="AI1462" i="9"/>
  <c r="AJ1462" i="9"/>
  <c r="AG1463" i="9"/>
  <c r="AH1463" i="9"/>
  <c r="AI1463" i="9"/>
  <c r="AJ1463" i="9"/>
  <c r="AG1464" i="9"/>
  <c r="AH1464" i="9"/>
  <c r="AI1464" i="9"/>
  <c r="AJ1464" i="9"/>
  <c r="AG1465" i="9"/>
  <c r="AH1465" i="9"/>
  <c r="AI1465" i="9"/>
  <c r="AJ1465" i="9"/>
  <c r="AG1466" i="9"/>
  <c r="AH1466" i="9"/>
  <c r="AI1466" i="9"/>
  <c r="AJ1466" i="9"/>
  <c r="AG1467" i="9"/>
  <c r="AH1467" i="9"/>
  <c r="AI1467" i="9"/>
  <c r="AJ1467" i="9"/>
  <c r="AG1468" i="9"/>
  <c r="AH1468" i="9"/>
  <c r="AI1468" i="9"/>
  <c r="AJ1468" i="9"/>
  <c r="AG1469" i="9"/>
  <c r="AH1469" i="9"/>
  <c r="AI1469" i="9"/>
  <c r="AJ1469" i="9"/>
  <c r="AG1470" i="9"/>
  <c r="AH1470" i="9"/>
  <c r="AI1470" i="9"/>
  <c r="AJ1470" i="9"/>
  <c r="AG1471" i="9"/>
  <c r="AH1471" i="9"/>
  <c r="AI1471" i="9"/>
  <c r="AJ1471" i="9"/>
  <c r="AG1472" i="9"/>
  <c r="AH1472" i="9"/>
  <c r="AI1472" i="9"/>
  <c r="AJ1472" i="9"/>
  <c r="AG1473" i="9"/>
  <c r="AH1473" i="9"/>
  <c r="AI1473" i="9"/>
  <c r="AJ1473" i="9"/>
  <c r="AG1474" i="9"/>
  <c r="AH1474" i="9"/>
  <c r="AI1474" i="9"/>
  <c r="AJ1474" i="9"/>
  <c r="AG1475" i="9"/>
  <c r="AH1475" i="9"/>
  <c r="AI1475" i="9"/>
  <c r="AJ1475" i="9"/>
  <c r="AG1476" i="9"/>
  <c r="AH1476" i="9"/>
  <c r="AI1476" i="9"/>
  <c r="AJ1476" i="9"/>
  <c r="AG1477" i="9"/>
  <c r="AH1477" i="9"/>
  <c r="AI1477" i="9"/>
  <c r="AJ1477" i="9"/>
  <c r="AG1478" i="9"/>
  <c r="AH1478" i="9"/>
  <c r="AI1478" i="9"/>
  <c r="AJ1478" i="9"/>
  <c r="AG1479" i="9"/>
  <c r="AH1479" i="9"/>
  <c r="AI1479" i="9"/>
  <c r="AJ1479" i="9"/>
  <c r="AG1480" i="9"/>
  <c r="AH1480" i="9"/>
  <c r="AI1480" i="9"/>
  <c r="AJ1480" i="9"/>
  <c r="AG1481" i="9"/>
  <c r="AH1481" i="9"/>
  <c r="AI1481" i="9"/>
  <c r="AJ1481" i="9"/>
  <c r="AG1482" i="9"/>
  <c r="AH1482" i="9"/>
  <c r="AI1482" i="9"/>
  <c r="AJ1482" i="9"/>
  <c r="AG1483" i="9"/>
  <c r="AH1483" i="9"/>
  <c r="AI1483" i="9"/>
  <c r="AJ1483" i="9"/>
  <c r="AG1484" i="9"/>
  <c r="AH1484" i="9"/>
  <c r="AI1484" i="9"/>
  <c r="AJ1484" i="9"/>
  <c r="AG1485" i="9"/>
  <c r="AH1485" i="9"/>
  <c r="AI1485" i="9"/>
  <c r="AJ1485" i="9"/>
  <c r="AG1486" i="9"/>
  <c r="AH1486" i="9"/>
  <c r="AI1486" i="9"/>
  <c r="AJ1486" i="9"/>
  <c r="AG1487" i="9"/>
  <c r="AH1487" i="9"/>
  <c r="AI1487" i="9"/>
  <c r="AJ1487" i="9"/>
  <c r="AG1488" i="9"/>
  <c r="AH1488" i="9"/>
  <c r="AI1488" i="9"/>
  <c r="AJ1488" i="9"/>
  <c r="AG1489" i="9"/>
  <c r="AH1489" i="9"/>
  <c r="AI1489" i="9"/>
  <c r="AJ1489" i="9"/>
  <c r="AG1490" i="9"/>
  <c r="AH1490" i="9"/>
  <c r="AI1490" i="9"/>
  <c r="AJ1490" i="9"/>
  <c r="AG1491" i="9"/>
  <c r="AH1491" i="9"/>
  <c r="AI1491" i="9"/>
  <c r="AJ1491" i="9"/>
  <c r="AG1492" i="9"/>
  <c r="AH1492" i="9"/>
  <c r="AI1492" i="9"/>
  <c r="AJ1492" i="9"/>
  <c r="AG1493" i="9"/>
  <c r="AH1493" i="9"/>
  <c r="AI1493" i="9"/>
  <c r="AJ1493" i="9"/>
  <c r="AG1494" i="9"/>
  <c r="AH1494" i="9"/>
  <c r="AI1494" i="9"/>
  <c r="AJ1494" i="9"/>
  <c r="AG1495" i="9"/>
  <c r="AH1495" i="9"/>
  <c r="AI1495" i="9"/>
  <c r="AJ1495" i="9"/>
  <c r="AG1496" i="9"/>
  <c r="AH1496" i="9"/>
  <c r="AI1496" i="9"/>
  <c r="AJ1496" i="9"/>
  <c r="AG1497" i="9"/>
  <c r="AH1497" i="9"/>
  <c r="AI1497" i="9"/>
  <c r="AJ1497" i="9"/>
  <c r="AG1498" i="9"/>
  <c r="AH1498" i="9"/>
  <c r="AI1498" i="9"/>
  <c r="AJ1498" i="9"/>
  <c r="AG1499" i="9"/>
  <c r="AH1499" i="9"/>
  <c r="AI1499" i="9"/>
  <c r="AJ1499" i="9"/>
  <c r="AG1500" i="9"/>
  <c r="AH1500" i="9"/>
  <c r="AI1500" i="9"/>
  <c r="AJ1500" i="9"/>
  <c r="AG1501" i="9"/>
  <c r="AH1501" i="9"/>
  <c r="AI1501" i="9"/>
  <c r="AJ1501" i="9"/>
  <c r="AG1502" i="9"/>
  <c r="AH1502" i="9"/>
  <c r="AI1502" i="9"/>
  <c r="AJ1502" i="9"/>
  <c r="AG1503" i="9"/>
  <c r="AH1503" i="9"/>
  <c r="AI1503" i="9"/>
  <c r="AJ1503" i="9"/>
  <c r="AG1504" i="9"/>
  <c r="AH1504" i="9"/>
  <c r="AI1504" i="9"/>
  <c r="AJ1504" i="9"/>
  <c r="AG1505" i="9"/>
  <c r="AH1505" i="9"/>
  <c r="AI1505" i="9"/>
  <c r="AJ1505" i="9"/>
  <c r="AG1506" i="9"/>
  <c r="AH1506" i="9"/>
  <c r="AI1506" i="9"/>
  <c r="AJ1506" i="9"/>
  <c r="AG1507" i="9"/>
  <c r="AH1507" i="9"/>
  <c r="AI1507" i="9"/>
  <c r="AJ1507" i="9"/>
  <c r="AG1508" i="9"/>
  <c r="AH1508" i="9"/>
  <c r="AI1508" i="9"/>
  <c r="AJ1508" i="9"/>
  <c r="AG1509" i="9"/>
  <c r="AH1509" i="9"/>
  <c r="AI1509" i="9"/>
  <c r="AJ1509" i="9"/>
  <c r="AG1510" i="9"/>
  <c r="AH1510" i="9"/>
  <c r="AI1510" i="9"/>
  <c r="AJ1510" i="9"/>
  <c r="AG1511" i="9"/>
  <c r="AH1511" i="9"/>
  <c r="AI1511" i="9"/>
  <c r="AJ1511" i="9"/>
  <c r="AG1512" i="9"/>
  <c r="AH1512" i="9"/>
  <c r="AI1512" i="9"/>
  <c r="AJ1512" i="9"/>
  <c r="AG1513" i="9"/>
  <c r="AH1513" i="9"/>
  <c r="AI1513" i="9"/>
  <c r="AJ1513" i="9"/>
  <c r="AG1514" i="9"/>
  <c r="AH1514" i="9"/>
  <c r="AI1514" i="9"/>
  <c r="AJ1514" i="9"/>
  <c r="AG1515" i="9"/>
  <c r="AH1515" i="9"/>
  <c r="AI1515" i="9"/>
  <c r="AJ1515" i="9"/>
  <c r="AG1516" i="9"/>
  <c r="AH1516" i="9"/>
  <c r="AI1516" i="9"/>
  <c r="AJ1516" i="9"/>
  <c r="AG1517" i="9"/>
  <c r="AH1517" i="9"/>
  <c r="AI1517" i="9"/>
  <c r="AJ1517" i="9"/>
  <c r="AG1518" i="9"/>
  <c r="AH1518" i="9"/>
  <c r="AI1518" i="9"/>
  <c r="AJ1518" i="9"/>
  <c r="AG1519" i="9"/>
  <c r="AH1519" i="9"/>
  <c r="AI1519" i="9"/>
  <c r="AJ1519" i="9"/>
  <c r="AG1520" i="9"/>
  <c r="AH1520" i="9"/>
  <c r="AI1520" i="9"/>
  <c r="AJ1520" i="9"/>
  <c r="AG1521" i="9"/>
  <c r="AH1521" i="9"/>
  <c r="AI1521" i="9"/>
  <c r="AJ1521" i="9"/>
  <c r="AG1522" i="9"/>
  <c r="AH1522" i="9"/>
  <c r="AI1522" i="9"/>
  <c r="AJ1522" i="9"/>
  <c r="AG1523" i="9"/>
  <c r="AH1523" i="9"/>
  <c r="AI1523" i="9"/>
  <c r="AJ1523" i="9"/>
  <c r="AG1524" i="9"/>
  <c r="AH1524" i="9"/>
  <c r="AI1524" i="9"/>
  <c r="AJ1524" i="9"/>
  <c r="AG1525" i="9"/>
  <c r="AH1525" i="9"/>
  <c r="AI1525" i="9"/>
  <c r="AJ1525" i="9"/>
  <c r="AG1526" i="9"/>
  <c r="AH1526" i="9"/>
  <c r="AI1526" i="9"/>
  <c r="AJ1526" i="9"/>
  <c r="AG1527" i="9"/>
  <c r="AH1527" i="9"/>
  <c r="AI1527" i="9"/>
  <c r="AJ1527" i="9"/>
  <c r="AG1528" i="9"/>
  <c r="AH1528" i="9"/>
  <c r="AI1528" i="9"/>
  <c r="AJ1528" i="9"/>
  <c r="AG1529" i="9"/>
  <c r="AH1529" i="9"/>
  <c r="AI1529" i="9"/>
  <c r="AJ1529" i="9"/>
  <c r="AG1530" i="9"/>
  <c r="AH1530" i="9"/>
  <c r="AI1530" i="9"/>
  <c r="AJ1530" i="9"/>
  <c r="AG1531" i="9"/>
  <c r="AH1531" i="9"/>
  <c r="AI1531" i="9"/>
  <c r="AJ1531" i="9"/>
  <c r="AG1532" i="9"/>
  <c r="AH1532" i="9"/>
  <c r="AI1532" i="9"/>
  <c r="AJ1532" i="9"/>
  <c r="AG1533" i="9"/>
  <c r="AH1533" i="9"/>
  <c r="AI1533" i="9"/>
  <c r="AJ1533" i="9"/>
  <c r="AG1534" i="9"/>
  <c r="AH1534" i="9"/>
  <c r="AI1534" i="9"/>
  <c r="AJ1534" i="9"/>
  <c r="AG1535" i="9"/>
  <c r="AH1535" i="9"/>
  <c r="AI1535" i="9"/>
  <c r="AJ1535" i="9"/>
  <c r="AG1536" i="9"/>
  <c r="AH1536" i="9"/>
  <c r="AI1536" i="9"/>
  <c r="AJ1536" i="9"/>
  <c r="AG1537" i="9"/>
  <c r="AH1537" i="9"/>
  <c r="AI1537" i="9"/>
  <c r="AJ1537" i="9"/>
  <c r="AG1538" i="9"/>
  <c r="AH1538" i="9"/>
  <c r="AI1538" i="9"/>
  <c r="AJ1538" i="9"/>
  <c r="AG1539" i="9"/>
  <c r="AH1539" i="9"/>
  <c r="AI1539" i="9"/>
  <c r="AJ1539" i="9"/>
  <c r="AG1540" i="9"/>
  <c r="AH1540" i="9"/>
  <c r="AI1540" i="9"/>
  <c r="AJ1540" i="9"/>
  <c r="AG1541" i="9"/>
  <c r="AH1541" i="9"/>
  <c r="AI1541" i="9"/>
  <c r="AJ1541" i="9"/>
  <c r="AG1542" i="9"/>
  <c r="AH1542" i="9"/>
  <c r="AI1542" i="9"/>
  <c r="AJ1542" i="9"/>
  <c r="AG1543" i="9"/>
  <c r="AH1543" i="9"/>
  <c r="AI1543" i="9"/>
  <c r="AJ1543" i="9"/>
  <c r="AG1544" i="9"/>
  <c r="AH1544" i="9"/>
  <c r="AI1544" i="9"/>
  <c r="AJ1544" i="9"/>
  <c r="AG1545" i="9"/>
  <c r="AH1545" i="9"/>
  <c r="AI1545" i="9"/>
  <c r="AJ1545" i="9"/>
  <c r="AG1546" i="9"/>
  <c r="AH1546" i="9"/>
  <c r="AI1546" i="9"/>
  <c r="AJ1546" i="9"/>
  <c r="AG1547" i="9"/>
  <c r="AH1547" i="9"/>
  <c r="AI1547" i="9"/>
  <c r="AJ1547" i="9"/>
  <c r="AG1548" i="9"/>
  <c r="AH1548" i="9"/>
  <c r="AI1548" i="9"/>
  <c r="AJ1548" i="9"/>
  <c r="AG1549" i="9"/>
  <c r="AH1549" i="9"/>
  <c r="AI1549" i="9"/>
  <c r="AJ1549" i="9"/>
  <c r="AG1550" i="9"/>
  <c r="AH1550" i="9"/>
  <c r="AI1550" i="9"/>
  <c r="AJ1550" i="9"/>
  <c r="AG1551" i="9"/>
  <c r="AH1551" i="9"/>
  <c r="AI1551" i="9"/>
  <c r="AJ1551" i="9"/>
  <c r="AG1552" i="9"/>
  <c r="AH1552" i="9"/>
  <c r="AI1552" i="9"/>
  <c r="AJ1552" i="9"/>
  <c r="AG1553" i="9"/>
  <c r="AH1553" i="9"/>
  <c r="AI1553" i="9"/>
  <c r="AJ1553" i="9"/>
  <c r="AG1554" i="9"/>
  <c r="AH1554" i="9"/>
  <c r="AI1554" i="9"/>
  <c r="AJ1554" i="9"/>
  <c r="AG1555" i="9"/>
  <c r="AH1555" i="9"/>
  <c r="AI1555" i="9"/>
  <c r="AJ1555" i="9"/>
  <c r="AG1556" i="9"/>
  <c r="AH1556" i="9"/>
  <c r="AI1556" i="9"/>
  <c r="AJ1556" i="9"/>
  <c r="AG1557" i="9"/>
  <c r="AH1557" i="9"/>
  <c r="AI1557" i="9"/>
  <c r="AJ1557" i="9"/>
  <c r="AG1558" i="9"/>
  <c r="AH1558" i="9"/>
  <c r="AI1558" i="9"/>
  <c r="AJ1558" i="9"/>
  <c r="AG1559" i="9"/>
  <c r="AH1559" i="9"/>
  <c r="AI1559" i="9"/>
  <c r="AJ1559" i="9"/>
  <c r="AG1560" i="9"/>
  <c r="AH1560" i="9"/>
  <c r="AI1560" i="9"/>
  <c r="AJ1560" i="9"/>
  <c r="AG1561" i="9"/>
  <c r="AH1561" i="9"/>
  <c r="AI1561" i="9"/>
  <c r="AJ1561" i="9"/>
  <c r="AG1562" i="9"/>
  <c r="AH1562" i="9"/>
  <c r="AI1562" i="9"/>
  <c r="AJ1562" i="9"/>
  <c r="AG1563" i="9"/>
  <c r="AH1563" i="9"/>
  <c r="AI1563" i="9"/>
  <c r="AJ1563" i="9"/>
  <c r="AG1564" i="9"/>
  <c r="AH1564" i="9"/>
  <c r="AI1564" i="9"/>
  <c r="AJ1564" i="9"/>
  <c r="AG1565" i="9"/>
  <c r="AH1565" i="9"/>
  <c r="AI1565" i="9"/>
  <c r="AJ1565" i="9"/>
  <c r="AG1566" i="9"/>
  <c r="AH1566" i="9"/>
  <c r="AI1566" i="9"/>
  <c r="AJ1566" i="9"/>
  <c r="AG1567" i="9"/>
  <c r="AH1567" i="9"/>
  <c r="AI1567" i="9"/>
  <c r="AJ1567" i="9"/>
  <c r="AG1568" i="9"/>
  <c r="AH1568" i="9"/>
  <c r="AI1568" i="9"/>
  <c r="AJ1568" i="9"/>
  <c r="AG1569" i="9"/>
  <c r="AH1569" i="9"/>
  <c r="AI1569" i="9"/>
  <c r="AJ1569" i="9"/>
  <c r="AG1570" i="9"/>
  <c r="AH1570" i="9"/>
  <c r="AI1570" i="9"/>
  <c r="AJ1570" i="9"/>
  <c r="AG1571" i="9"/>
  <c r="AH1571" i="9"/>
  <c r="AI1571" i="9"/>
  <c r="AJ1571" i="9"/>
  <c r="AG1572" i="9"/>
  <c r="AH1572" i="9"/>
  <c r="AI1572" i="9"/>
  <c r="AJ1572" i="9"/>
  <c r="AG1573" i="9"/>
  <c r="AH1573" i="9"/>
  <c r="AI1573" i="9"/>
  <c r="AJ1573" i="9"/>
  <c r="AG1574" i="9"/>
  <c r="AH1574" i="9"/>
  <c r="AI1574" i="9"/>
  <c r="AJ1574" i="9"/>
  <c r="AG1575" i="9"/>
  <c r="AH1575" i="9"/>
  <c r="AI1575" i="9"/>
  <c r="AJ1575" i="9"/>
  <c r="AG1576" i="9"/>
  <c r="AH1576" i="9"/>
  <c r="AI1576" i="9"/>
  <c r="AJ1576" i="9"/>
  <c r="AG1577" i="9"/>
  <c r="AH1577" i="9"/>
  <c r="AI1577" i="9"/>
  <c r="AJ1577" i="9"/>
  <c r="AG1578" i="9"/>
  <c r="AH1578" i="9"/>
  <c r="AI1578" i="9"/>
  <c r="AJ1578" i="9"/>
  <c r="AG1579" i="9"/>
  <c r="AH1579" i="9"/>
  <c r="AI1579" i="9"/>
  <c r="AJ1579" i="9"/>
  <c r="AG1580" i="9"/>
  <c r="AH1580" i="9"/>
  <c r="AI1580" i="9"/>
  <c r="AJ1580" i="9"/>
  <c r="AG1581" i="9"/>
  <c r="AH1581" i="9"/>
  <c r="AI1581" i="9"/>
  <c r="AJ1581" i="9"/>
  <c r="AG1582" i="9"/>
  <c r="AH1582" i="9"/>
  <c r="AI1582" i="9"/>
  <c r="AJ1582" i="9"/>
  <c r="AG1583" i="9"/>
  <c r="AH1583" i="9"/>
  <c r="AI1583" i="9"/>
  <c r="AJ1583" i="9"/>
  <c r="AG1584" i="9"/>
  <c r="AH1584" i="9"/>
  <c r="AI1584" i="9"/>
  <c r="AJ1584" i="9"/>
  <c r="AG1585" i="9"/>
  <c r="AH1585" i="9"/>
  <c r="AI1585" i="9"/>
  <c r="AJ1585" i="9"/>
  <c r="AG1586" i="9"/>
  <c r="AH1586" i="9"/>
  <c r="AI1586" i="9"/>
  <c r="AJ1586" i="9"/>
  <c r="AG1587" i="9"/>
  <c r="AH1587" i="9"/>
  <c r="AI1587" i="9"/>
  <c r="AJ1587" i="9"/>
  <c r="AG1588" i="9"/>
  <c r="AH1588" i="9"/>
  <c r="AI1588" i="9"/>
  <c r="AJ1588" i="9"/>
  <c r="AG1589" i="9"/>
  <c r="AH1589" i="9"/>
  <c r="AI1589" i="9"/>
  <c r="AJ1589" i="9"/>
  <c r="AG1590" i="9"/>
  <c r="AH1590" i="9"/>
  <c r="AI1590" i="9"/>
  <c r="AJ1590" i="9"/>
  <c r="AG1591" i="9"/>
  <c r="AH1591" i="9"/>
  <c r="AI1591" i="9"/>
  <c r="AJ1591" i="9"/>
  <c r="AG1592" i="9"/>
  <c r="AH1592" i="9"/>
  <c r="AI1592" i="9"/>
  <c r="AJ1592" i="9"/>
  <c r="AG1593" i="9"/>
  <c r="AH1593" i="9"/>
  <c r="AI1593" i="9"/>
  <c r="AJ1593" i="9"/>
  <c r="AG1594" i="9"/>
  <c r="AH1594" i="9"/>
  <c r="AI1594" i="9"/>
  <c r="AJ1594" i="9"/>
  <c r="AG1595" i="9"/>
  <c r="AH1595" i="9"/>
  <c r="AI1595" i="9"/>
  <c r="AJ1595" i="9"/>
  <c r="AG1596" i="9"/>
  <c r="AH1596" i="9"/>
  <c r="AI1596" i="9"/>
  <c r="AJ1596" i="9"/>
  <c r="AG1597" i="9"/>
  <c r="AH1597" i="9"/>
  <c r="AI1597" i="9"/>
  <c r="AJ1597" i="9"/>
  <c r="AG1598" i="9"/>
  <c r="AH1598" i="9"/>
  <c r="AI1598" i="9"/>
  <c r="AJ1598" i="9"/>
  <c r="AG1599" i="9"/>
  <c r="AH1599" i="9"/>
  <c r="AI1599" i="9"/>
  <c r="AJ1599" i="9"/>
  <c r="AG1600" i="9"/>
  <c r="AH1600" i="9"/>
  <c r="AI1600" i="9"/>
  <c r="AJ1600" i="9"/>
  <c r="AG1601" i="9"/>
  <c r="AH1601" i="9"/>
  <c r="AI1601" i="9"/>
  <c r="AJ1601" i="9"/>
  <c r="AG1602" i="9"/>
  <c r="AH1602" i="9"/>
  <c r="AI1602" i="9"/>
  <c r="AJ1602" i="9"/>
  <c r="AG1603" i="9"/>
  <c r="AH1603" i="9"/>
  <c r="AI1603" i="9"/>
  <c r="AJ1603" i="9"/>
  <c r="AG1604" i="9"/>
  <c r="AH1604" i="9"/>
  <c r="AI1604" i="9"/>
  <c r="AJ1604" i="9"/>
  <c r="AG1605" i="9"/>
  <c r="AH1605" i="9"/>
  <c r="AI1605" i="9"/>
  <c r="AJ1605" i="9"/>
  <c r="AG1606" i="9"/>
  <c r="AH1606" i="9"/>
  <c r="AI1606" i="9"/>
  <c r="AJ1606" i="9"/>
  <c r="AG1607" i="9"/>
  <c r="AH1607" i="9"/>
  <c r="AI1607" i="9"/>
  <c r="AJ1607" i="9"/>
  <c r="AG1608" i="9"/>
  <c r="AH1608" i="9"/>
  <c r="AI1608" i="9"/>
  <c r="AJ1608" i="9"/>
  <c r="AG1609" i="9"/>
  <c r="AH1609" i="9"/>
  <c r="AI1609" i="9"/>
  <c r="AJ1609" i="9"/>
  <c r="AG1610" i="9"/>
  <c r="AH1610" i="9"/>
  <c r="AI1610" i="9"/>
  <c r="AJ1610" i="9"/>
  <c r="AG1611" i="9"/>
  <c r="AH1611" i="9"/>
  <c r="AI1611" i="9"/>
  <c r="AJ1611" i="9"/>
  <c r="AG1612" i="9"/>
  <c r="AH1612" i="9"/>
  <c r="AI1612" i="9"/>
  <c r="AJ1612" i="9"/>
  <c r="AG1613" i="9"/>
  <c r="AH1613" i="9"/>
  <c r="AI1613" i="9"/>
  <c r="AJ1613" i="9"/>
  <c r="AG1614" i="9"/>
  <c r="AH1614" i="9"/>
  <c r="AI1614" i="9"/>
  <c r="AJ1614" i="9"/>
  <c r="AG1615" i="9"/>
  <c r="AH1615" i="9"/>
  <c r="AI1615" i="9"/>
  <c r="AJ1615" i="9"/>
  <c r="AG1616" i="9"/>
  <c r="AH1616" i="9"/>
  <c r="AI1616" i="9"/>
  <c r="AJ1616" i="9"/>
  <c r="AG1617" i="9"/>
  <c r="AH1617" i="9"/>
  <c r="AI1617" i="9"/>
  <c r="AJ1617" i="9"/>
  <c r="AG1618" i="9"/>
  <c r="AH1618" i="9"/>
  <c r="AI1618" i="9"/>
  <c r="AJ1618" i="9"/>
  <c r="AG1619" i="9"/>
  <c r="AH1619" i="9"/>
  <c r="AI1619" i="9"/>
  <c r="AJ1619" i="9"/>
  <c r="AG1620" i="9"/>
  <c r="AH1620" i="9"/>
  <c r="AI1620" i="9"/>
  <c r="AJ1620" i="9"/>
  <c r="AG1621" i="9"/>
  <c r="AH1621" i="9"/>
  <c r="AI1621" i="9"/>
  <c r="AJ1621" i="9"/>
  <c r="AG1622" i="9"/>
  <c r="AH1622" i="9"/>
  <c r="AI1622" i="9"/>
  <c r="AJ1622" i="9"/>
  <c r="AG1623" i="9"/>
  <c r="AH1623" i="9"/>
  <c r="AI1623" i="9"/>
  <c r="AJ1623" i="9"/>
  <c r="AG1624" i="9"/>
  <c r="AH1624" i="9"/>
  <c r="AI1624" i="9"/>
  <c r="AJ1624" i="9"/>
  <c r="AG1625" i="9"/>
  <c r="AH1625" i="9"/>
  <c r="AI1625" i="9"/>
  <c r="AJ1625" i="9"/>
  <c r="AG1626" i="9"/>
  <c r="AH1626" i="9"/>
  <c r="AI1626" i="9"/>
  <c r="AJ1626" i="9"/>
  <c r="AG1627" i="9"/>
  <c r="AH1627" i="9"/>
  <c r="AI1627" i="9"/>
  <c r="AJ1627" i="9"/>
  <c r="AG1628" i="9"/>
  <c r="AH1628" i="9"/>
  <c r="AI1628" i="9"/>
  <c r="AJ1628" i="9"/>
  <c r="AG1629" i="9"/>
  <c r="AH1629" i="9"/>
  <c r="AI1629" i="9"/>
  <c r="AJ1629" i="9"/>
  <c r="AG1630" i="9"/>
  <c r="AH1630" i="9"/>
  <c r="AI1630" i="9"/>
  <c r="AJ1630" i="9"/>
  <c r="AG1631" i="9"/>
  <c r="AH1631" i="9"/>
  <c r="AI1631" i="9"/>
  <c r="AJ1631" i="9"/>
  <c r="AG1632" i="9"/>
  <c r="AH1632" i="9"/>
  <c r="AI1632" i="9"/>
  <c r="AJ1632" i="9"/>
  <c r="AG1633" i="9"/>
  <c r="AH1633" i="9"/>
  <c r="AI1633" i="9"/>
  <c r="AJ1633" i="9"/>
  <c r="AG1634" i="9"/>
  <c r="AH1634" i="9"/>
  <c r="AI1634" i="9"/>
  <c r="AJ1634" i="9"/>
  <c r="AG1635" i="9"/>
  <c r="AH1635" i="9"/>
  <c r="AI1635" i="9"/>
  <c r="AJ1635" i="9"/>
  <c r="AG1636" i="9"/>
  <c r="AH1636" i="9"/>
  <c r="AI1636" i="9"/>
  <c r="AJ1636" i="9"/>
  <c r="AG1637" i="9"/>
  <c r="AH1637" i="9"/>
  <c r="AI1637" i="9"/>
  <c r="AJ1637" i="9"/>
  <c r="AG1638" i="9"/>
  <c r="AH1638" i="9"/>
  <c r="AI1638" i="9"/>
  <c r="AJ1638" i="9"/>
  <c r="AG1639" i="9"/>
  <c r="AH1639" i="9"/>
  <c r="AI1639" i="9"/>
  <c r="AJ1639" i="9"/>
  <c r="AG1640" i="9"/>
  <c r="AH1640" i="9"/>
  <c r="AI1640" i="9"/>
  <c r="AJ1640" i="9"/>
  <c r="AG1641" i="9"/>
  <c r="AH1641" i="9"/>
  <c r="AI1641" i="9"/>
  <c r="AJ1641" i="9"/>
  <c r="AG1642" i="9"/>
  <c r="AH1642" i="9"/>
  <c r="AI1642" i="9"/>
  <c r="AJ1642" i="9"/>
  <c r="AG1643" i="9"/>
  <c r="AH1643" i="9"/>
  <c r="AI1643" i="9"/>
  <c r="AJ1643" i="9"/>
  <c r="AG1644" i="9"/>
  <c r="AH1644" i="9"/>
  <c r="AI1644" i="9"/>
  <c r="AJ1644" i="9"/>
  <c r="AG1645" i="9"/>
  <c r="AH1645" i="9"/>
  <c r="AI1645" i="9"/>
  <c r="AJ1645" i="9"/>
  <c r="AG1646" i="9"/>
  <c r="AH1646" i="9"/>
  <c r="AI1646" i="9"/>
  <c r="AJ1646" i="9"/>
  <c r="AG1647" i="9"/>
  <c r="AH1647" i="9"/>
  <c r="AI1647" i="9"/>
  <c r="AJ1647" i="9"/>
  <c r="AG1648" i="9"/>
  <c r="AH1648" i="9"/>
  <c r="AI1648" i="9"/>
  <c r="AJ1648" i="9"/>
  <c r="AG1649" i="9"/>
  <c r="AH1649" i="9"/>
  <c r="AI1649" i="9"/>
  <c r="AJ1649" i="9"/>
  <c r="AG1650" i="9"/>
  <c r="AH1650" i="9"/>
  <c r="AI1650" i="9"/>
  <c r="AJ1650" i="9"/>
  <c r="AG1651" i="9"/>
  <c r="AH1651" i="9"/>
  <c r="AI1651" i="9"/>
  <c r="AJ1651" i="9"/>
  <c r="AG1652" i="9"/>
  <c r="AH1652" i="9"/>
  <c r="AI1652" i="9"/>
  <c r="AJ1652" i="9"/>
  <c r="AG1653" i="9"/>
  <c r="AH1653" i="9"/>
  <c r="AI1653" i="9"/>
  <c r="AJ1653" i="9"/>
  <c r="AG1654" i="9"/>
  <c r="AH1654" i="9"/>
  <c r="AI1654" i="9"/>
  <c r="AJ1654" i="9"/>
  <c r="AG1655" i="9"/>
  <c r="AH1655" i="9"/>
  <c r="AI1655" i="9"/>
  <c r="AJ1655" i="9"/>
  <c r="AG1656" i="9"/>
  <c r="AH1656" i="9"/>
  <c r="AI1656" i="9"/>
  <c r="AJ1656" i="9"/>
  <c r="AG1657" i="9"/>
  <c r="AH1657" i="9"/>
  <c r="AI1657" i="9"/>
  <c r="AJ1657" i="9"/>
  <c r="AG1658" i="9"/>
  <c r="AH1658" i="9"/>
  <c r="AI1658" i="9"/>
  <c r="AJ1658" i="9"/>
  <c r="AG1659" i="9"/>
  <c r="AH1659" i="9"/>
  <c r="AI1659" i="9"/>
  <c r="AJ1659" i="9"/>
  <c r="AG1660" i="9"/>
  <c r="AH1660" i="9"/>
  <c r="AI1660" i="9"/>
  <c r="AJ1660" i="9"/>
  <c r="AG1661" i="9"/>
  <c r="AH1661" i="9"/>
  <c r="AI1661" i="9"/>
  <c r="AJ1661" i="9"/>
  <c r="AG1662" i="9"/>
  <c r="AH1662" i="9"/>
  <c r="AI1662" i="9"/>
  <c r="AJ1662" i="9"/>
  <c r="AG1663" i="9"/>
  <c r="AH1663" i="9"/>
  <c r="AI1663" i="9"/>
  <c r="AJ1663" i="9"/>
  <c r="AG1664" i="9"/>
  <c r="AH1664" i="9"/>
  <c r="AI1664" i="9"/>
  <c r="AJ1664" i="9"/>
  <c r="AG1665" i="9"/>
  <c r="AH1665" i="9"/>
  <c r="AI1665" i="9"/>
  <c r="AJ1665" i="9"/>
  <c r="AG1666" i="9"/>
  <c r="AH1666" i="9"/>
  <c r="AI1666" i="9"/>
  <c r="AJ1666" i="9"/>
  <c r="AG1667" i="9"/>
  <c r="AH1667" i="9"/>
  <c r="AI1667" i="9"/>
  <c r="AJ1667" i="9"/>
  <c r="AG1668" i="9"/>
  <c r="AH1668" i="9"/>
  <c r="AI1668" i="9"/>
  <c r="AJ1668" i="9"/>
  <c r="AG1669" i="9"/>
  <c r="AH1669" i="9"/>
  <c r="AI1669" i="9"/>
  <c r="AJ1669" i="9"/>
  <c r="AG1670" i="9"/>
  <c r="AH1670" i="9"/>
  <c r="AI1670" i="9"/>
  <c r="AJ1670" i="9"/>
  <c r="AG1671" i="9"/>
  <c r="AH1671" i="9"/>
  <c r="AI1671" i="9"/>
  <c r="AJ1671" i="9"/>
  <c r="AG1672" i="9"/>
  <c r="AH1672" i="9"/>
  <c r="AI1672" i="9"/>
  <c r="AJ1672" i="9"/>
  <c r="AG1673" i="9"/>
  <c r="AH1673" i="9"/>
  <c r="AI1673" i="9"/>
  <c r="AJ1673" i="9"/>
  <c r="AG1674" i="9"/>
  <c r="AH1674" i="9"/>
  <c r="AI1674" i="9"/>
  <c r="AJ1674" i="9"/>
  <c r="AG1675" i="9"/>
  <c r="AH1675" i="9"/>
  <c r="AI1675" i="9"/>
  <c r="AJ1675" i="9"/>
  <c r="AG1676" i="9"/>
  <c r="AH1676" i="9"/>
  <c r="AI1676" i="9"/>
  <c r="AJ1676" i="9"/>
  <c r="AG1677" i="9"/>
  <c r="AH1677" i="9"/>
  <c r="AI1677" i="9"/>
  <c r="AJ1677" i="9"/>
  <c r="AG1678" i="9"/>
  <c r="AH1678" i="9"/>
  <c r="AI1678" i="9"/>
  <c r="AJ1678" i="9"/>
  <c r="AG1679" i="9"/>
  <c r="AH1679" i="9"/>
  <c r="AI1679" i="9"/>
  <c r="AJ1679" i="9"/>
  <c r="AG1680" i="9"/>
  <c r="AH1680" i="9"/>
  <c r="AI1680" i="9"/>
  <c r="AJ1680" i="9"/>
  <c r="AG1681" i="9"/>
  <c r="AH1681" i="9"/>
  <c r="AI1681" i="9"/>
  <c r="AJ1681" i="9"/>
  <c r="AG1682" i="9"/>
  <c r="AH1682" i="9"/>
  <c r="AI1682" i="9"/>
  <c r="AJ1682" i="9"/>
  <c r="AG1683" i="9"/>
  <c r="AH1683" i="9"/>
  <c r="AI1683" i="9"/>
  <c r="AJ1683" i="9"/>
  <c r="AG1684" i="9"/>
  <c r="AH1684" i="9"/>
  <c r="AI1684" i="9"/>
  <c r="AJ1684" i="9"/>
  <c r="AG1685" i="9"/>
  <c r="AH1685" i="9"/>
  <c r="AI1685" i="9"/>
  <c r="AJ1685" i="9"/>
  <c r="AG1686" i="9"/>
  <c r="AH1686" i="9"/>
  <c r="AI1686" i="9"/>
  <c r="AJ1686" i="9"/>
  <c r="AG1687" i="9"/>
  <c r="AH1687" i="9"/>
  <c r="AI1687" i="9"/>
  <c r="AJ1687" i="9"/>
  <c r="AG1688" i="9"/>
  <c r="AH1688" i="9"/>
  <c r="AI1688" i="9"/>
  <c r="AJ1688" i="9"/>
  <c r="AG1689" i="9"/>
  <c r="AH1689" i="9"/>
  <c r="AI1689" i="9"/>
  <c r="AJ1689" i="9"/>
  <c r="AG1690" i="9"/>
  <c r="AH1690" i="9"/>
  <c r="AI1690" i="9"/>
  <c r="AJ1690" i="9"/>
  <c r="AG1691" i="9"/>
  <c r="AH1691" i="9"/>
  <c r="AI1691" i="9"/>
  <c r="AJ1691" i="9"/>
  <c r="AG1692" i="9"/>
  <c r="AH1692" i="9"/>
  <c r="AI1692" i="9"/>
  <c r="AJ1692" i="9"/>
  <c r="AG1693" i="9"/>
  <c r="AH1693" i="9"/>
  <c r="AI1693" i="9"/>
  <c r="AJ1693" i="9"/>
  <c r="AG1694" i="9"/>
  <c r="AH1694" i="9"/>
  <c r="AI1694" i="9"/>
  <c r="AJ1694" i="9"/>
  <c r="AG1695" i="9"/>
  <c r="AH1695" i="9"/>
  <c r="AI1695" i="9"/>
  <c r="AJ1695" i="9"/>
  <c r="AG1696" i="9"/>
  <c r="AH1696" i="9"/>
  <c r="AI1696" i="9"/>
  <c r="AJ1696" i="9"/>
  <c r="AG1697" i="9"/>
  <c r="AH1697" i="9"/>
  <c r="AI1697" i="9"/>
  <c r="AJ1697" i="9"/>
  <c r="AG1698" i="9"/>
  <c r="AH1698" i="9"/>
  <c r="AI1698" i="9"/>
  <c r="AJ1698" i="9"/>
  <c r="AG1699" i="9"/>
  <c r="AH1699" i="9"/>
  <c r="AI1699" i="9"/>
  <c r="AJ1699" i="9"/>
  <c r="AG1700" i="9"/>
  <c r="AH1700" i="9"/>
  <c r="AI1700" i="9"/>
  <c r="AJ1700" i="9"/>
  <c r="AG1701" i="9"/>
  <c r="AH1701" i="9"/>
  <c r="AI1701" i="9"/>
  <c r="AJ1701" i="9"/>
  <c r="AG1702" i="9"/>
  <c r="AH1702" i="9"/>
  <c r="AI1702" i="9"/>
  <c r="AJ1702" i="9"/>
  <c r="AG1703" i="9"/>
  <c r="AH1703" i="9"/>
  <c r="AI1703" i="9"/>
  <c r="AJ1703" i="9"/>
  <c r="AG1704" i="9"/>
  <c r="AH1704" i="9"/>
  <c r="AI1704" i="9"/>
  <c r="AJ1704" i="9"/>
  <c r="AG1705" i="9"/>
  <c r="AH1705" i="9"/>
  <c r="AI1705" i="9"/>
  <c r="AJ1705" i="9"/>
  <c r="AG1706" i="9"/>
  <c r="AH1706" i="9"/>
  <c r="AI1706" i="9"/>
  <c r="AJ1706" i="9"/>
  <c r="AG1707" i="9"/>
  <c r="AH1707" i="9"/>
  <c r="AI1707" i="9"/>
  <c r="AJ1707" i="9"/>
  <c r="AG1708" i="9"/>
  <c r="AH1708" i="9"/>
  <c r="AI1708" i="9"/>
  <c r="AJ1708" i="9"/>
  <c r="AG1709" i="9"/>
  <c r="AH1709" i="9"/>
  <c r="AI1709" i="9"/>
  <c r="AJ1709" i="9"/>
  <c r="AG1710" i="9"/>
  <c r="AH1710" i="9"/>
  <c r="AI1710" i="9"/>
  <c r="AJ1710" i="9"/>
  <c r="AG1711" i="9"/>
  <c r="AH1711" i="9"/>
  <c r="AI1711" i="9"/>
  <c r="AJ1711" i="9"/>
  <c r="AG1712" i="9"/>
  <c r="AH1712" i="9"/>
  <c r="AI1712" i="9"/>
  <c r="AJ1712" i="9"/>
  <c r="AG1713" i="9"/>
  <c r="AH1713" i="9"/>
  <c r="AI1713" i="9"/>
  <c r="AJ1713" i="9"/>
  <c r="AG1714" i="9"/>
  <c r="AH1714" i="9"/>
  <c r="AI1714" i="9"/>
  <c r="AJ1714" i="9"/>
  <c r="AG1715" i="9"/>
  <c r="AH1715" i="9"/>
  <c r="AI1715" i="9"/>
  <c r="AJ1715" i="9"/>
  <c r="AG1716" i="9"/>
  <c r="AH1716" i="9"/>
  <c r="AI1716" i="9"/>
  <c r="AJ1716" i="9"/>
  <c r="AG1717" i="9"/>
  <c r="AH1717" i="9"/>
  <c r="AI1717" i="9"/>
  <c r="AJ1717" i="9"/>
  <c r="AG1718" i="9"/>
  <c r="AH1718" i="9"/>
  <c r="AI1718" i="9"/>
  <c r="AJ1718" i="9"/>
  <c r="AG1719" i="9"/>
  <c r="AH1719" i="9"/>
  <c r="AI1719" i="9"/>
  <c r="AJ1719" i="9"/>
  <c r="AG1720" i="9"/>
  <c r="AH1720" i="9"/>
  <c r="AI1720" i="9"/>
  <c r="AJ1720" i="9"/>
  <c r="AG1721" i="9"/>
  <c r="AH1721" i="9"/>
  <c r="AI1721" i="9"/>
  <c r="AJ1721" i="9"/>
  <c r="AG1722" i="9"/>
  <c r="AH1722" i="9"/>
  <c r="AI1722" i="9"/>
  <c r="AJ1722" i="9"/>
  <c r="AG1723" i="9"/>
  <c r="AH1723" i="9"/>
  <c r="AI1723" i="9"/>
  <c r="AJ1723" i="9"/>
  <c r="AG1724" i="9"/>
  <c r="AH1724" i="9"/>
  <c r="AI1724" i="9"/>
  <c r="AJ1724" i="9"/>
  <c r="AG1725" i="9"/>
  <c r="AH1725" i="9"/>
  <c r="AI1725" i="9"/>
  <c r="AJ1725" i="9"/>
  <c r="AG1726" i="9"/>
  <c r="AH1726" i="9"/>
  <c r="AI1726" i="9"/>
  <c r="AJ1726" i="9"/>
  <c r="AG1727" i="9"/>
  <c r="AH1727" i="9"/>
  <c r="AI1727" i="9"/>
  <c r="AJ1727" i="9"/>
  <c r="AG1728" i="9"/>
  <c r="AH1728" i="9"/>
  <c r="AI1728" i="9"/>
  <c r="AJ1728" i="9"/>
  <c r="AG1729" i="9"/>
  <c r="AH1729" i="9"/>
  <c r="AI1729" i="9"/>
  <c r="AJ1729" i="9"/>
  <c r="AG1730" i="9"/>
  <c r="AH1730" i="9"/>
  <c r="AI1730" i="9"/>
  <c r="AJ1730" i="9"/>
  <c r="AG1731" i="9"/>
  <c r="AH1731" i="9"/>
  <c r="AI1731" i="9"/>
  <c r="AJ1731" i="9"/>
  <c r="AG1732" i="9"/>
  <c r="AH1732" i="9"/>
  <c r="AI1732" i="9"/>
  <c r="AJ1732" i="9"/>
  <c r="AG1733" i="9"/>
  <c r="AH1733" i="9"/>
  <c r="AI1733" i="9"/>
  <c r="AJ1733" i="9"/>
  <c r="AG1734" i="9"/>
  <c r="AH1734" i="9"/>
  <c r="AI1734" i="9"/>
  <c r="AJ1734" i="9"/>
  <c r="AG1735" i="9"/>
  <c r="AH1735" i="9"/>
  <c r="AI1735" i="9"/>
  <c r="AJ1735" i="9"/>
  <c r="AG1736" i="9"/>
  <c r="AH1736" i="9"/>
  <c r="AI1736" i="9"/>
  <c r="AJ1736" i="9"/>
  <c r="AG1737" i="9"/>
  <c r="AH1737" i="9"/>
  <c r="AI1737" i="9"/>
  <c r="AJ1737" i="9"/>
  <c r="AG1738" i="9"/>
  <c r="AH1738" i="9"/>
  <c r="AI1738" i="9"/>
  <c r="AJ1738" i="9"/>
  <c r="AG1739" i="9"/>
  <c r="AH1739" i="9"/>
  <c r="AI1739" i="9"/>
  <c r="AJ1739" i="9"/>
  <c r="AG1740" i="9"/>
  <c r="AH1740" i="9"/>
  <c r="AI1740" i="9"/>
  <c r="AJ1740" i="9"/>
  <c r="AG1741" i="9"/>
  <c r="AH1741" i="9"/>
  <c r="AI1741" i="9"/>
  <c r="AJ1741" i="9"/>
  <c r="AG1742" i="9"/>
  <c r="AH1742" i="9"/>
  <c r="AI1742" i="9"/>
  <c r="AJ1742" i="9"/>
  <c r="AG1743" i="9"/>
  <c r="AH1743" i="9"/>
  <c r="AI1743" i="9"/>
  <c r="AJ1743" i="9"/>
  <c r="AG1744" i="9"/>
  <c r="AH1744" i="9"/>
  <c r="AI1744" i="9"/>
  <c r="AJ1744" i="9"/>
  <c r="AG1745" i="9"/>
  <c r="AH1745" i="9"/>
  <c r="AI1745" i="9"/>
  <c r="AJ1745" i="9"/>
  <c r="AG1746" i="9"/>
  <c r="AH1746" i="9"/>
  <c r="AI1746" i="9"/>
  <c r="AJ1746" i="9"/>
  <c r="AG1747" i="9"/>
  <c r="AH1747" i="9"/>
  <c r="AI1747" i="9"/>
  <c r="AJ1747" i="9"/>
  <c r="AG1748" i="9"/>
  <c r="AH1748" i="9"/>
  <c r="AI1748" i="9"/>
  <c r="AJ1748" i="9"/>
  <c r="AG1749" i="9"/>
  <c r="AH1749" i="9"/>
  <c r="AI1749" i="9"/>
  <c r="AJ1749" i="9"/>
  <c r="AG1750" i="9"/>
  <c r="AH1750" i="9"/>
  <c r="AI1750" i="9"/>
  <c r="AJ1750" i="9"/>
  <c r="AG1751" i="9"/>
  <c r="AH1751" i="9"/>
  <c r="AI1751" i="9"/>
  <c r="AJ1751" i="9"/>
  <c r="AG1752" i="9"/>
  <c r="AH1752" i="9"/>
  <c r="AI1752" i="9"/>
  <c r="AJ1752" i="9"/>
  <c r="AG1753" i="9"/>
  <c r="AH1753" i="9"/>
  <c r="AI1753" i="9"/>
  <c r="AJ1753" i="9"/>
  <c r="AG1754" i="9"/>
  <c r="AH1754" i="9"/>
  <c r="AI1754" i="9"/>
  <c r="AJ1754" i="9"/>
  <c r="AG1755" i="9"/>
  <c r="AH1755" i="9"/>
  <c r="AI1755" i="9"/>
  <c r="AJ1755" i="9"/>
  <c r="AG1756" i="9"/>
  <c r="AH1756" i="9"/>
  <c r="AI1756" i="9"/>
  <c r="AJ1756" i="9"/>
  <c r="AG1757" i="9"/>
  <c r="AH1757" i="9"/>
  <c r="AI1757" i="9"/>
  <c r="AJ1757" i="9"/>
  <c r="AG1758" i="9"/>
  <c r="AH1758" i="9"/>
  <c r="AI1758" i="9"/>
  <c r="AJ1758" i="9"/>
  <c r="AG1759" i="9"/>
  <c r="AH1759" i="9"/>
  <c r="AI1759" i="9"/>
  <c r="AJ1759" i="9"/>
  <c r="AG1760" i="9"/>
  <c r="AH1760" i="9"/>
  <c r="AI1760" i="9"/>
  <c r="AJ1760" i="9"/>
  <c r="AG1761" i="9"/>
  <c r="AH1761" i="9"/>
  <c r="AI1761" i="9"/>
  <c r="AJ1761" i="9"/>
  <c r="AG1762" i="9"/>
  <c r="AH1762" i="9"/>
  <c r="AI1762" i="9"/>
  <c r="AJ1762" i="9"/>
  <c r="AG1763" i="9"/>
  <c r="AH1763" i="9"/>
  <c r="AI1763" i="9"/>
  <c r="AJ1763" i="9"/>
  <c r="AG1764" i="9"/>
  <c r="AH1764" i="9"/>
  <c r="AI1764" i="9"/>
  <c r="AJ1764" i="9"/>
  <c r="AG1765" i="9"/>
  <c r="AH1765" i="9"/>
  <c r="AI1765" i="9"/>
  <c r="AJ1765" i="9"/>
  <c r="AG1766" i="9"/>
  <c r="AH1766" i="9"/>
  <c r="AI1766" i="9"/>
  <c r="AJ1766" i="9"/>
  <c r="AG1767" i="9"/>
  <c r="AH1767" i="9"/>
  <c r="AI1767" i="9"/>
  <c r="AJ1767" i="9"/>
  <c r="AG1768" i="9"/>
  <c r="AH1768" i="9"/>
  <c r="AI1768" i="9"/>
  <c r="AJ1768" i="9"/>
  <c r="AG1769" i="9"/>
  <c r="AH1769" i="9"/>
  <c r="AI1769" i="9"/>
  <c r="AJ1769" i="9"/>
  <c r="AG1770" i="9"/>
  <c r="AH1770" i="9"/>
  <c r="AI1770" i="9"/>
  <c r="AJ1770" i="9"/>
  <c r="AG1771" i="9"/>
  <c r="AH1771" i="9"/>
  <c r="AI1771" i="9"/>
  <c r="AJ1771" i="9"/>
  <c r="AG1772" i="9"/>
  <c r="AH1772" i="9"/>
  <c r="AI1772" i="9"/>
  <c r="AJ1772" i="9"/>
  <c r="AG1773" i="9"/>
  <c r="AH1773" i="9"/>
  <c r="AI1773" i="9"/>
  <c r="AJ1773" i="9"/>
  <c r="AG1774" i="9"/>
  <c r="AH1774" i="9"/>
  <c r="AI1774" i="9"/>
  <c r="AJ1774" i="9"/>
  <c r="AG1775" i="9"/>
  <c r="AH1775" i="9"/>
  <c r="AI1775" i="9"/>
  <c r="AJ1775" i="9"/>
  <c r="AG1776" i="9"/>
  <c r="AH1776" i="9"/>
  <c r="AI1776" i="9"/>
  <c r="AJ1776" i="9"/>
  <c r="AG1777" i="9"/>
  <c r="AH1777" i="9"/>
  <c r="AI1777" i="9"/>
  <c r="AJ1777" i="9"/>
  <c r="AG1778" i="9"/>
  <c r="AH1778" i="9"/>
  <c r="AI1778" i="9"/>
  <c r="AJ1778" i="9"/>
  <c r="AG1779" i="9"/>
  <c r="AH1779" i="9"/>
  <c r="AI1779" i="9"/>
  <c r="AJ1779" i="9"/>
  <c r="AG1780" i="9"/>
  <c r="AH1780" i="9"/>
  <c r="AI1780" i="9"/>
  <c r="AJ1780" i="9"/>
  <c r="AG1781" i="9"/>
  <c r="AH1781" i="9"/>
  <c r="AI1781" i="9"/>
  <c r="AJ1781" i="9"/>
  <c r="AG1782" i="9"/>
  <c r="AH1782" i="9"/>
  <c r="AI1782" i="9"/>
  <c r="AJ1782" i="9"/>
  <c r="AG1783" i="9"/>
  <c r="AH1783" i="9"/>
  <c r="AI1783" i="9"/>
  <c r="AJ1783" i="9"/>
  <c r="AG1784" i="9"/>
  <c r="AH1784" i="9"/>
  <c r="AI1784" i="9"/>
  <c r="AJ1784" i="9"/>
  <c r="AG1785" i="9"/>
  <c r="AH1785" i="9"/>
  <c r="AI1785" i="9"/>
  <c r="AJ1785" i="9"/>
  <c r="AG1786" i="9"/>
  <c r="AH1786" i="9"/>
  <c r="AI1786" i="9"/>
  <c r="AJ1786" i="9"/>
  <c r="AG1787" i="9"/>
  <c r="AH1787" i="9"/>
  <c r="AI1787" i="9"/>
  <c r="AJ1787" i="9"/>
  <c r="AG1788" i="9"/>
  <c r="AH1788" i="9"/>
  <c r="AI1788" i="9"/>
  <c r="AJ1788" i="9"/>
  <c r="AG1789" i="9"/>
  <c r="AH1789" i="9"/>
  <c r="AI1789" i="9"/>
  <c r="AJ1789" i="9"/>
  <c r="AG1790" i="9"/>
  <c r="AH1790" i="9"/>
  <c r="AI1790" i="9"/>
  <c r="AJ1790" i="9"/>
  <c r="AG1791" i="9"/>
  <c r="AH1791" i="9"/>
  <c r="AI1791" i="9"/>
  <c r="AJ1791" i="9"/>
  <c r="AG1792" i="9"/>
  <c r="AH1792" i="9"/>
  <c r="AI1792" i="9"/>
  <c r="AJ1792" i="9"/>
  <c r="AG1793" i="9"/>
  <c r="AH1793" i="9"/>
  <c r="AI1793" i="9"/>
  <c r="AJ1793" i="9"/>
  <c r="AG1794" i="9"/>
  <c r="AH1794" i="9"/>
  <c r="AI1794" i="9"/>
  <c r="AJ1794" i="9"/>
  <c r="AG1795" i="9"/>
  <c r="AH1795" i="9"/>
  <c r="AI1795" i="9"/>
  <c r="AJ1795" i="9"/>
  <c r="AG1796" i="9"/>
  <c r="AH1796" i="9"/>
  <c r="AI1796" i="9"/>
  <c r="AJ1796" i="9"/>
  <c r="AG1797" i="9"/>
  <c r="AH1797" i="9"/>
  <c r="AI1797" i="9"/>
  <c r="AJ1797" i="9"/>
  <c r="AG1798" i="9"/>
  <c r="AH1798" i="9"/>
  <c r="AI1798" i="9"/>
  <c r="AJ1798" i="9"/>
  <c r="AG1799" i="9"/>
  <c r="AH1799" i="9"/>
  <c r="AI1799" i="9"/>
  <c r="AJ1799" i="9"/>
  <c r="AG1800" i="9"/>
  <c r="AH1800" i="9"/>
  <c r="AI1800" i="9"/>
  <c r="AJ1800" i="9"/>
  <c r="AG1801" i="9"/>
  <c r="AH1801" i="9"/>
  <c r="AI1801" i="9"/>
  <c r="AJ1801" i="9"/>
  <c r="AG1802" i="9"/>
  <c r="AH1802" i="9"/>
  <c r="AI1802" i="9"/>
  <c r="AJ1802" i="9"/>
  <c r="AG1803" i="9"/>
  <c r="AH1803" i="9"/>
  <c r="AI1803" i="9"/>
  <c r="AJ1803" i="9"/>
  <c r="AG1804" i="9"/>
  <c r="AH1804" i="9"/>
  <c r="AI1804" i="9"/>
  <c r="AJ1804" i="9"/>
  <c r="AG1805" i="9"/>
  <c r="AH1805" i="9"/>
  <c r="AI1805" i="9"/>
  <c r="AJ1805" i="9"/>
  <c r="AG1806" i="9"/>
  <c r="AH1806" i="9"/>
  <c r="AI1806" i="9"/>
  <c r="AJ1806" i="9"/>
  <c r="AG1807" i="9"/>
  <c r="AH1807" i="9"/>
  <c r="AI1807" i="9"/>
  <c r="AJ1807" i="9"/>
  <c r="AG1808" i="9"/>
  <c r="AH1808" i="9"/>
  <c r="AI1808" i="9"/>
  <c r="AJ1808" i="9"/>
  <c r="AG1809" i="9"/>
  <c r="AH1809" i="9"/>
  <c r="AI1809" i="9"/>
  <c r="AJ1809" i="9"/>
  <c r="AG1810" i="9"/>
  <c r="AH1810" i="9"/>
  <c r="AI1810" i="9"/>
  <c r="AJ1810" i="9"/>
  <c r="AG1811" i="9"/>
  <c r="AH1811" i="9"/>
  <c r="AI1811" i="9"/>
  <c r="AJ1811" i="9"/>
  <c r="AG1812" i="9"/>
  <c r="AH1812" i="9"/>
  <c r="AI1812" i="9"/>
  <c r="AJ1812" i="9"/>
  <c r="AG1813" i="9"/>
  <c r="AH1813" i="9"/>
  <c r="AI1813" i="9"/>
  <c r="AJ1813" i="9"/>
  <c r="AG1814" i="9"/>
  <c r="AH1814" i="9"/>
  <c r="AI1814" i="9"/>
  <c r="AJ1814" i="9"/>
  <c r="AG1815" i="9"/>
  <c r="AH1815" i="9"/>
  <c r="AI1815" i="9"/>
  <c r="AJ1815" i="9"/>
  <c r="AG1816" i="9"/>
  <c r="AH1816" i="9"/>
  <c r="AI1816" i="9"/>
  <c r="AJ1816" i="9"/>
  <c r="AG1817" i="9"/>
  <c r="AH1817" i="9"/>
  <c r="AI1817" i="9"/>
  <c r="AJ1817" i="9"/>
  <c r="AG1818" i="9"/>
  <c r="AH1818" i="9"/>
  <c r="AI1818" i="9"/>
  <c r="AJ1818" i="9"/>
  <c r="AG1819" i="9"/>
  <c r="AH1819" i="9"/>
  <c r="AI1819" i="9"/>
  <c r="AJ1819" i="9"/>
  <c r="AG1820" i="9"/>
  <c r="AH1820" i="9"/>
  <c r="AI1820" i="9"/>
  <c r="AJ1820" i="9"/>
  <c r="AG1821" i="9"/>
  <c r="AH1821" i="9"/>
  <c r="AI1821" i="9"/>
  <c r="AJ1821" i="9"/>
  <c r="AG1822" i="9"/>
  <c r="AH1822" i="9"/>
  <c r="AI1822" i="9"/>
  <c r="AJ1822" i="9"/>
  <c r="AG1823" i="9"/>
  <c r="AH1823" i="9"/>
  <c r="AI1823" i="9"/>
  <c r="AJ1823" i="9"/>
  <c r="AG1824" i="9"/>
  <c r="AH1824" i="9"/>
  <c r="AI1824" i="9"/>
  <c r="AJ1824" i="9"/>
  <c r="AG1825" i="9"/>
  <c r="AH1825" i="9"/>
  <c r="AI1825" i="9"/>
  <c r="AJ1825" i="9"/>
  <c r="AG1826" i="9"/>
  <c r="AH1826" i="9"/>
  <c r="AI1826" i="9"/>
  <c r="AJ1826" i="9"/>
  <c r="AG1827" i="9"/>
  <c r="AH1827" i="9"/>
  <c r="AI1827" i="9"/>
  <c r="AJ1827" i="9"/>
  <c r="AG1828" i="9"/>
  <c r="AH1828" i="9"/>
  <c r="AI1828" i="9"/>
  <c r="AJ1828" i="9"/>
  <c r="AG1829" i="9"/>
  <c r="AH1829" i="9"/>
  <c r="AI1829" i="9"/>
  <c r="AJ1829" i="9"/>
  <c r="AG1830" i="9"/>
  <c r="AH1830" i="9"/>
  <c r="AI1830" i="9"/>
  <c r="AJ1830" i="9"/>
  <c r="AG1831" i="9"/>
  <c r="AH1831" i="9"/>
  <c r="AI1831" i="9"/>
  <c r="AJ1831" i="9"/>
  <c r="AG1832" i="9"/>
  <c r="AH1832" i="9"/>
  <c r="AI1832" i="9"/>
  <c r="AJ1832" i="9"/>
  <c r="AG1833" i="9"/>
  <c r="AH1833" i="9"/>
  <c r="AI1833" i="9"/>
  <c r="AJ1833" i="9"/>
  <c r="AG1834" i="9"/>
  <c r="AH1834" i="9"/>
  <c r="AI1834" i="9"/>
  <c r="AJ1834" i="9"/>
  <c r="AG1835" i="9"/>
  <c r="AH1835" i="9"/>
  <c r="AI1835" i="9"/>
  <c r="AJ1835" i="9"/>
  <c r="AG1836" i="9"/>
  <c r="AH1836" i="9"/>
  <c r="AI1836" i="9"/>
  <c r="AJ1836" i="9"/>
  <c r="AG1837" i="9"/>
  <c r="AH1837" i="9"/>
  <c r="AI1837" i="9"/>
  <c r="AJ1837" i="9"/>
  <c r="AG1838" i="9"/>
  <c r="AH1838" i="9"/>
  <c r="AI1838" i="9"/>
  <c r="AJ1838" i="9"/>
  <c r="AG1839" i="9"/>
  <c r="AH1839" i="9"/>
  <c r="AI1839" i="9"/>
  <c r="AJ1839" i="9"/>
  <c r="AG1840" i="9"/>
  <c r="AH1840" i="9"/>
  <c r="AI1840" i="9"/>
  <c r="AJ1840" i="9"/>
  <c r="AG1841" i="9"/>
  <c r="AH1841" i="9"/>
  <c r="AI1841" i="9"/>
  <c r="AJ1841" i="9"/>
  <c r="AG1842" i="9"/>
  <c r="AH1842" i="9"/>
  <c r="AI1842" i="9"/>
  <c r="AJ1842" i="9"/>
  <c r="AG1843" i="9"/>
  <c r="AH1843" i="9"/>
  <c r="AI1843" i="9"/>
  <c r="AJ1843" i="9"/>
  <c r="AG1844" i="9"/>
  <c r="AH1844" i="9"/>
  <c r="AI1844" i="9"/>
  <c r="AJ1844" i="9"/>
  <c r="AG1845" i="9"/>
  <c r="AH1845" i="9"/>
  <c r="AI1845" i="9"/>
  <c r="AJ1845" i="9"/>
  <c r="AG1846" i="9"/>
  <c r="AH1846" i="9"/>
  <c r="AI1846" i="9"/>
  <c r="AJ1846" i="9"/>
  <c r="AG1847" i="9"/>
  <c r="AH1847" i="9"/>
  <c r="AI1847" i="9"/>
  <c r="AJ1847" i="9"/>
  <c r="AG1848" i="9"/>
  <c r="AH1848" i="9"/>
  <c r="AI1848" i="9"/>
  <c r="AJ1848" i="9"/>
  <c r="AG1849" i="9"/>
  <c r="AH1849" i="9"/>
  <c r="AI1849" i="9"/>
  <c r="AJ1849" i="9"/>
  <c r="AG1850" i="9"/>
  <c r="AH1850" i="9"/>
  <c r="AI1850" i="9"/>
  <c r="AJ1850" i="9"/>
  <c r="AG1851" i="9"/>
  <c r="AH1851" i="9"/>
  <c r="AI1851" i="9"/>
  <c r="AJ1851" i="9"/>
  <c r="AG1852" i="9"/>
  <c r="AH1852" i="9"/>
  <c r="AI1852" i="9"/>
  <c r="AJ1852" i="9"/>
  <c r="AG1853" i="9"/>
  <c r="AH1853" i="9"/>
  <c r="AI1853" i="9"/>
  <c r="AJ1853" i="9"/>
  <c r="AG1854" i="9"/>
  <c r="AH1854" i="9"/>
  <c r="AI1854" i="9"/>
  <c r="AJ1854" i="9"/>
  <c r="AG1855" i="9"/>
  <c r="AH1855" i="9"/>
  <c r="AI1855" i="9"/>
  <c r="AJ1855" i="9"/>
  <c r="AG1856" i="9"/>
  <c r="AH1856" i="9"/>
  <c r="AI1856" i="9"/>
  <c r="AJ1856" i="9"/>
  <c r="AG1857" i="9"/>
  <c r="AH1857" i="9"/>
  <c r="AI1857" i="9"/>
  <c r="AJ1857" i="9"/>
  <c r="AG1858" i="9"/>
  <c r="AH1858" i="9"/>
  <c r="AI1858" i="9"/>
  <c r="AJ1858" i="9"/>
  <c r="AG1859" i="9"/>
  <c r="AH1859" i="9"/>
  <c r="AI1859" i="9"/>
  <c r="AJ1859" i="9"/>
  <c r="AG1860" i="9"/>
  <c r="AH1860" i="9"/>
  <c r="AI1860" i="9"/>
  <c r="AJ1860" i="9"/>
  <c r="AG1861" i="9"/>
  <c r="AH1861" i="9"/>
  <c r="AI1861" i="9"/>
  <c r="AJ1861" i="9"/>
  <c r="AG1862" i="9"/>
  <c r="AH1862" i="9"/>
  <c r="AI1862" i="9"/>
  <c r="AJ1862" i="9"/>
  <c r="AG1863" i="9"/>
  <c r="AH1863" i="9"/>
  <c r="AI1863" i="9"/>
  <c r="AJ1863" i="9"/>
  <c r="AG1864" i="9"/>
  <c r="AH1864" i="9"/>
  <c r="AI1864" i="9"/>
  <c r="AJ1864" i="9"/>
  <c r="AG1865" i="9"/>
  <c r="AH1865" i="9"/>
  <c r="AI1865" i="9"/>
  <c r="AJ1865" i="9"/>
  <c r="AG1866" i="9"/>
  <c r="AH1866" i="9"/>
  <c r="AI1866" i="9"/>
  <c r="AJ1866" i="9"/>
  <c r="AG1867" i="9"/>
  <c r="AH1867" i="9"/>
  <c r="AI1867" i="9"/>
  <c r="AJ1867" i="9"/>
  <c r="AG1868" i="9"/>
  <c r="AH1868" i="9"/>
  <c r="AI1868" i="9"/>
  <c r="AJ1868" i="9"/>
  <c r="AG1869" i="9"/>
  <c r="AH1869" i="9"/>
  <c r="AI1869" i="9"/>
  <c r="AJ1869" i="9"/>
  <c r="AG1870" i="9"/>
  <c r="AH1870" i="9"/>
  <c r="AI1870" i="9"/>
  <c r="AJ1870" i="9"/>
  <c r="AG1871" i="9"/>
  <c r="AH1871" i="9"/>
  <c r="AI1871" i="9"/>
  <c r="AJ1871" i="9"/>
  <c r="AG1872" i="9"/>
  <c r="AH1872" i="9"/>
  <c r="AI1872" i="9"/>
  <c r="AJ1872" i="9"/>
  <c r="AG1873" i="9"/>
  <c r="AH1873" i="9"/>
  <c r="AI1873" i="9"/>
  <c r="AJ1873" i="9"/>
  <c r="AG1874" i="9"/>
  <c r="AH1874" i="9"/>
  <c r="AI1874" i="9"/>
  <c r="AJ1874" i="9"/>
  <c r="AG1875" i="9"/>
  <c r="AH1875" i="9"/>
  <c r="AI1875" i="9"/>
  <c r="AJ1875" i="9"/>
  <c r="AG1876" i="9"/>
  <c r="AH1876" i="9"/>
  <c r="AI1876" i="9"/>
  <c r="AJ1876" i="9"/>
  <c r="AG1877" i="9"/>
  <c r="AH1877" i="9"/>
  <c r="AI1877" i="9"/>
  <c r="AJ1877" i="9"/>
  <c r="AG1878" i="9"/>
  <c r="AH1878" i="9"/>
  <c r="AI1878" i="9"/>
  <c r="AJ1878" i="9"/>
  <c r="AG1879" i="9"/>
  <c r="AH1879" i="9"/>
  <c r="AI1879" i="9"/>
  <c r="AJ1879" i="9"/>
  <c r="AG1880" i="9"/>
  <c r="AH1880" i="9"/>
  <c r="AI1880" i="9"/>
  <c r="AJ1880" i="9"/>
  <c r="AG1881" i="9"/>
  <c r="AH1881" i="9"/>
  <c r="AI1881" i="9"/>
  <c r="AJ1881" i="9"/>
  <c r="AG1882" i="9"/>
  <c r="AH1882" i="9"/>
  <c r="AI1882" i="9"/>
  <c r="AJ1882" i="9"/>
  <c r="AG1883" i="9"/>
  <c r="AH1883" i="9"/>
  <c r="AI1883" i="9"/>
  <c r="AJ1883" i="9"/>
  <c r="AG1884" i="9"/>
  <c r="AH1884" i="9"/>
  <c r="AI1884" i="9"/>
  <c r="AJ1884" i="9"/>
  <c r="AG1885" i="9"/>
  <c r="AH1885" i="9"/>
  <c r="AI1885" i="9"/>
  <c r="AJ1885" i="9"/>
  <c r="AG1886" i="9"/>
  <c r="AH1886" i="9"/>
  <c r="AI1886" i="9"/>
  <c r="AJ1886" i="9"/>
  <c r="AG1887" i="9"/>
  <c r="AH1887" i="9"/>
  <c r="AI1887" i="9"/>
  <c r="AJ1887" i="9"/>
  <c r="AG1888" i="9"/>
  <c r="AH1888" i="9"/>
  <c r="AI1888" i="9"/>
  <c r="AJ1888" i="9"/>
  <c r="AG1889" i="9"/>
  <c r="AH1889" i="9"/>
  <c r="AI1889" i="9"/>
  <c r="AJ1889" i="9"/>
  <c r="AG1890" i="9"/>
  <c r="AH1890" i="9"/>
  <c r="AI1890" i="9"/>
  <c r="AJ1890" i="9"/>
  <c r="AG1891" i="9"/>
  <c r="AH1891" i="9"/>
  <c r="AI1891" i="9"/>
  <c r="AJ1891" i="9"/>
  <c r="AG1892" i="9"/>
  <c r="AH1892" i="9"/>
  <c r="AI1892" i="9"/>
  <c r="AJ1892" i="9"/>
  <c r="AG1893" i="9"/>
  <c r="AH1893" i="9"/>
  <c r="AI1893" i="9"/>
  <c r="AJ1893" i="9"/>
  <c r="AG1894" i="9"/>
  <c r="AH1894" i="9"/>
  <c r="AI1894" i="9"/>
  <c r="AJ1894" i="9"/>
  <c r="AG1895" i="9"/>
  <c r="AH1895" i="9"/>
  <c r="AI1895" i="9"/>
  <c r="AJ1895" i="9"/>
  <c r="AG1896" i="9"/>
  <c r="AH1896" i="9"/>
  <c r="AI1896" i="9"/>
  <c r="AJ1896" i="9"/>
  <c r="AG1897" i="9"/>
  <c r="AH1897" i="9"/>
  <c r="AI1897" i="9"/>
  <c r="AJ1897" i="9"/>
  <c r="AG1898" i="9"/>
  <c r="AH1898" i="9"/>
  <c r="AI1898" i="9"/>
  <c r="AJ1898" i="9"/>
  <c r="AG1899" i="9"/>
  <c r="AH1899" i="9"/>
  <c r="AI1899" i="9"/>
  <c r="AJ1899" i="9"/>
  <c r="AG1900" i="9"/>
  <c r="AH1900" i="9"/>
  <c r="AI1900" i="9"/>
  <c r="AJ1900" i="9"/>
  <c r="AG1901" i="9"/>
  <c r="AH1901" i="9"/>
  <c r="AI1901" i="9"/>
  <c r="AJ1901" i="9"/>
  <c r="AG1902" i="9"/>
  <c r="AH1902" i="9"/>
  <c r="AI1902" i="9"/>
  <c r="AJ1902" i="9"/>
  <c r="AG1903" i="9"/>
  <c r="AH1903" i="9"/>
  <c r="AI1903" i="9"/>
  <c r="AJ1903" i="9"/>
  <c r="AG1904" i="9"/>
  <c r="AH1904" i="9"/>
  <c r="AI1904" i="9"/>
  <c r="AJ1904" i="9"/>
  <c r="AG1905" i="9"/>
  <c r="AH1905" i="9"/>
  <c r="AI1905" i="9"/>
  <c r="AJ1905" i="9"/>
  <c r="AG1906" i="9"/>
  <c r="AH1906" i="9"/>
  <c r="AI1906" i="9"/>
  <c r="AJ1906" i="9"/>
  <c r="AG1907" i="9"/>
  <c r="AH1907" i="9"/>
  <c r="AI1907" i="9"/>
  <c r="AJ1907" i="9"/>
  <c r="AG1908" i="9"/>
  <c r="AH1908" i="9"/>
  <c r="AI1908" i="9"/>
  <c r="AJ1908" i="9"/>
  <c r="AG1909" i="9"/>
  <c r="AH1909" i="9"/>
  <c r="AI1909" i="9"/>
  <c r="AJ1909" i="9"/>
  <c r="AG1910" i="9"/>
  <c r="AH1910" i="9"/>
  <c r="AI1910" i="9"/>
  <c r="AJ1910" i="9"/>
  <c r="AG1911" i="9"/>
  <c r="AH1911" i="9"/>
  <c r="AI1911" i="9"/>
  <c r="AJ1911" i="9"/>
  <c r="AG1912" i="9"/>
  <c r="AH1912" i="9"/>
  <c r="AI1912" i="9"/>
  <c r="AJ1912" i="9"/>
  <c r="AG1913" i="9"/>
  <c r="AH1913" i="9"/>
  <c r="AI1913" i="9"/>
  <c r="AJ1913" i="9"/>
  <c r="AG1914" i="9"/>
  <c r="AH1914" i="9"/>
  <c r="AI1914" i="9"/>
  <c r="AJ1914" i="9"/>
  <c r="AG1915" i="9"/>
  <c r="AH1915" i="9"/>
  <c r="AI1915" i="9"/>
  <c r="AJ1915" i="9"/>
  <c r="AG1916" i="9"/>
  <c r="AH1916" i="9"/>
  <c r="AI1916" i="9"/>
  <c r="AJ1916" i="9"/>
  <c r="AG1917" i="9"/>
  <c r="AH1917" i="9"/>
  <c r="AI1917" i="9"/>
  <c r="AJ1917" i="9"/>
  <c r="AG1918" i="9"/>
  <c r="AH1918" i="9"/>
  <c r="AI1918" i="9"/>
  <c r="AJ1918" i="9"/>
  <c r="AG1919" i="9"/>
  <c r="AH1919" i="9"/>
  <c r="AI1919" i="9"/>
  <c r="AJ1919" i="9"/>
  <c r="AG1920" i="9"/>
  <c r="AH1920" i="9"/>
  <c r="AI1920" i="9"/>
  <c r="AJ1920" i="9"/>
  <c r="AG1921" i="9"/>
  <c r="AH1921" i="9"/>
  <c r="AI1921" i="9"/>
  <c r="AJ1921" i="9"/>
  <c r="AG1922" i="9"/>
  <c r="AH1922" i="9"/>
  <c r="AI1922" i="9"/>
  <c r="AJ1922" i="9"/>
  <c r="AG1923" i="9"/>
  <c r="AH1923" i="9"/>
  <c r="AI1923" i="9"/>
  <c r="AJ1923" i="9"/>
  <c r="AG1924" i="9"/>
  <c r="AH1924" i="9"/>
  <c r="AI1924" i="9"/>
  <c r="AJ1924" i="9"/>
  <c r="AG1925" i="9"/>
  <c r="AH1925" i="9"/>
  <c r="AI1925" i="9"/>
  <c r="AJ1925" i="9"/>
  <c r="AG1926" i="9"/>
  <c r="AH1926" i="9"/>
  <c r="AI1926" i="9"/>
  <c r="AJ1926" i="9"/>
  <c r="AG1927" i="9"/>
  <c r="AH1927" i="9"/>
  <c r="AI1927" i="9"/>
  <c r="AJ1927" i="9"/>
  <c r="AG1928" i="9"/>
  <c r="AH1928" i="9"/>
  <c r="AI1928" i="9"/>
  <c r="AJ1928" i="9"/>
  <c r="AG1929" i="9"/>
  <c r="AH1929" i="9"/>
  <c r="AI1929" i="9"/>
  <c r="AJ1929" i="9"/>
  <c r="AG1930" i="9"/>
  <c r="AH1930" i="9"/>
  <c r="AI1930" i="9"/>
  <c r="AJ1930" i="9"/>
  <c r="AG1931" i="9"/>
  <c r="AH1931" i="9"/>
  <c r="AI1931" i="9"/>
  <c r="AJ1931" i="9"/>
  <c r="AG1932" i="9"/>
  <c r="AH1932" i="9"/>
  <c r="AI1932" i="9"/>
  <c r="AJ1932" i="9"/>
  <c r="AG1933" i="9"/>
  <c r="AH1933" i="9"/>
  <c r="AI1933" i="9"/>
  <c r="AJ1933" i="9"/>
  <c r="AG1934" i="9"/>
  <c r="AH1934" i="9"/>
  <c r="AI1934" i="9"/>
  <c r="AJ1934" i="9"/>
  <c r="AG1935" i="9"/>
  <c r="AH1935" i="9"/>
  <c r="AI1935" i="9"/>
  <c r="AJ1935" i="9"/>
  <c r="AG1936" i="9"/>
  <c r="AH1936" i="9"/>
  <c r="AI1936" i="9"/>
  <c r="AJ1936" i="9"/>
  <c r="AG1937" i="9"/>
  <c r="AH1937" i="9"/>
  <c r="AI1937" i="9"/>
  <c r="AJ1937" i="9"/>
  <c r="AG1938" i="9"/>
  <c r="AH1938" i="9"/>
  <c r="AI1938" i="9"/>
  <c r="AJ1938" i="9"/>
  <c r="AG1939" i="9"/>
  <c r="AH1939" i="9"/>
  <c r="AI1939" i="9"/>
  <c r="AJ1939" i="9"/>
  <c r="AG1940" i="9"/>
  <c r="AH1940" i="9"/>
  <c r="AI1940" i="9"/>
  <c r="AJ1940" i="9"/>
  <c r="AG1941" i="9"/>
  <c r="AH1941" i="9"/>
  <c r="AI1941" i="9"/>
  <c r="AJ1941" i="9"/>
  <c r="AG1942" i="9"/>
  <c r="AH1942" i="9"/>
  <c r="AI1942" i="9"/>
  <c r="AJ1942" i="9"/>
  <c r="AG1943" i="9"/>
  <c r="AH1943" i="9"/>
  <c r="AI1943" i="9"/>
  <c r="AJ1943" i="9"/>
  <c r="AG1944" i="9"/>
  <c r="AH1944" i="9"/>
  <c r="AI1944" i="9"/>
  <c r="AJ1944" i="9"/>
  <c r="AG1945" i="9"/>
  <c r="AH1945" i="9"/>
  <c r="AI1945" i="9"/>
  <c r="AJ1945" i="9"/>
  <c r="AG1946" i="9"/>
  <c r="AH1946" i="9"/>
  <c r="AI1946" i="9"/>
  <c r="AJ1946" i="9"/>
  <c r="AG1947" i="9"/>
  <c r="AH1947" i="9"/>
  <c r="AI1947" i="9"/>
  <c r="AJ1947" i="9"/>
  <c r="AG1948" i="9"/>
  <c r="AH1948" i="9"/>
  <c r="AI1948" i="9"/>
  <c r="AJ1948" i="9"/>
  <c r="AG1949" i="9"/>
  <c r="AH1949" i="9"/>
  <c r="AI1949" i="9"/>
  <c r="AJ1949" i="9"/>
  <c r="AG1950" i="9"/>
  <c r="AH1950" i="9"/>
  <c r="AI1950" i="9"/>
  <c r="AJ1950" i="9"/>
  <c r="AG1951" i="9"/>
  <c r="AH1951" i="9"/>
  <c r="AI1951" i="9"/>
  <c r="AJ1951" i="9"/>
  <c r="AG1952" i="9"/>
  <c r="AH1952" i="9"/>
  <c r="AI1952" i="9"/>
  <c r="AJ1952" i="9"/>
  <c r="AG1953" i="9"/>
  <c r="AH1953" i="9"/>
  <c r="AI1953" i="9"/>
  <c r="AJ1953" i="9"/>
  <c r="AG1954" i="9"/>
  <c r="AH1954" i="9"/>
  <c r="AI1954" i="9"/>
  <c r="AJ1954" i="9"/>
  <c r="AG1955" i="9"/>
  <c r="AH1955" i="9"/>
  <c r="AI1955" i="9"/>
  <c r="AJ1955" i="9"/>
  <c r="AG1956" i="9"/>
  <c r="AH1956" i="9"/>
  <c r="AI1956" i="9"/>
  <c r="AJ1956" i="9"/>
  <c r="AG1957" i="9"/>
  <c r="AH1957" i="9"/>
  <c r="AI1957" i="9"/>
  <c r="AJ1957" i="9"/>
  <c r="AG1958" i="9"/>
  <c r="AH1958" i="9"/>
  <c r="AI1958" i="9"/>
  <c r="AJ1958" i="9"/>
  <c r="AG1959" i="9"/>
  <c r="AH1959" i="9"/>
  <c r="AI1959" i="9"/>
  <c r="AJ1959" i="9"/>
  <c r="AG1960" i="9"/>
  <c r="AH1960" i="9"/>
  <c r="AI1960" i="9"/>
  <c r="AJ1960" i="9"/>
  <c r="AG1961" i="9"/>
  <c r="AH1961" i="9"/>
  <c r="AI1961" i="9"/>
  <c r="AJ1961" i="9"/>
  <c r="AG1962" i="9"/>
  <c r="AH1962" i="9"/>
  <c r="AI1962" i="9"/>
  <c r="AJ1962" i="9"/>
  <c r="AG1963" i="9"/>
  <c r="AH1963" i="9"/>
  <c r="AI1963" i="9"/>
  <c r="AJ1963" i="9"/>
  <c r="AG1964" i="9"/>
  <c r="AH1964" i="9"/>
  <c r="AI1964" i="9"/>
  <c r="AJ1964" i="9"/>
  <c r="AG1965" i="9"/>
  <c r="AH1965" i="9"/>
  <c r="AI1965" i="9"/>
  <c r="AJ1965" i="9"/>
  <c r="AG1966" i="9"/>
  <c r="AH1966" i="9"/>
  <c r="AI1966" i="9"/>
  <c r="AJ1966" i="9"/>
  <c r="AG1967" i="9"/>
  <c r="AH1967" i="9"/>
  <c r="AI1967" i="9"/>
  <c r="AJ1967" i="9"/>
  <c r="AG1968" i="9"/>
  <c r="AH1968" i="9"/>
  <c r="AI1968" i="9"/>
  <c r="AJ1968" i="9"/>
  <c r="AG1969" i="9"/>
  <c r="AH1969" i="9"/>
  <c r="AI1969" i="9"/>
  <c r="AJ1969" i="9"/>
  <c r="AG1970" i="9"/>
  <c r="AH1970" i="9"/>
  <c r="AI1970" i="9"/>
  <c r="AJ1970" i="9"/>
  <c r="AG1971" i="9"/>
  <c r="AH1971" i="9"/>
  <c r="AI1971" i="9"/>
  <c r="AJ1971" i="9"/>
  <c r="AG1972" i="9"/>
  <c r="AH1972" i="9"/>
  <c r="AI1972" i="9"/>
  <c r="AJ1972" i="9"/>
  <c r="AG1973" i="9"/>
  <c r="AH1973" i="9"/>
  <c r="AI1973" i="9"/>
  <c r="AJ1973" i="9"/>
  <c r="AG1974" i="9"/>
  <c r="AH1974" i="9"/>
  <c r="AI1974" i="9"/>
  <c r="AJ1974" i="9"/>
  <c r="AG1975" i="9"/>
  <c r="AH1975" i="9"/>
  <c r="AI1975" i="9"/>
  <c r="AJ1975" i="9"/>
  <c r="AG1976" i="9"/>
  <c r="AH1976" i="9"/>
  <c r="AI1976" i="9"/>
  <c r="AJ1976" i="9"/>
  <c r="AG1977" i="9"/>
  <c r="AH1977" i="9"/>
  <c r="AI1977" i="9"/>
  <c r="AJ1977" i="9"/>
  <c r="AG1978" i="9"/>
  <c r="AH1978" i="9"/>
  <c r="AI1978" i="9"/>
  <c r="AJ1978" i="9"/>
  <c r="AG1979" i="9"/>
  <c r="AH1979" i="9"/>
  <c r="AI1979" i="9"/>
  <c r="AJ1979" i="9"/>
  <c r="AG1980" i="9"/>
  <c r="AH1980" i="9"/>
  <c r="AI1980" i="9"/>
  <c r="AJ1980" i="9"/>
  <c r="AG1981" i="9"/>
  <c r="AH1981" i="9"/>
  <c r="AI1981" i="9"/>
  <c r="AJ1981" i="9"/>
  <c r="AG1982" i="9"/>
  <c r="AH1982" i="9"/>
  <c r="AI1982" i="9"/>
  <c r="AJ1982" i="9"/>
  <c r="AG1983" i="9"/>
  <c r="AH1983" i="9"/>
  <c r="AI1983" i="9"/>
  <c r="AJ1983" i="9"/>
  <c r="AG1984" i="9"/>
  <c r="AH1984" i="9"/>
  <c r="AI1984" i="9"/>
  <c r="AJ1984" i="9"/>
  <c r="AG1985" i="9"/>
  <c r="AH1985" i="9"/>
  <c r="AI1985" i="9"/>
  <c r="AJ1985" i="9"/>
  <c r="AG1986" i="9"/>
  <c r="AH1986" i="9"/>
  <c r="AI1986" i="9"/>
  <c r="AJ1986" i="9"/>
  <c r="AG1987" i="9"/>
  <c r="AH1987" i="9"/>
  <c r="AI1987" i="9"/>
  <c r="AJ1987" i="9"/>
  <c r="AG1988" i="9"/>
  <c r="AH1988" i="9"/>
  <c r="AI1988" i="9"/>
  <c r="AJ1988" i="9"/>
  <c r="AG1989" i="9"/>
  <c r="AH1989" i="9"/>
  <c r="AI1989" i="9"/>
  <c r="AJ1989" i="9"/>
  <c r="AG1990" i="9"/>
  <c r="AH1990" i="9"/>
  <c r="AI1990" i="9"/>
  <c r="AJ1990" i="9"/>
  <c r="AG1991" i="9"/>
  <c r="AH1991" i="9"/>
  <c r="AI1991" i="9"/>
  <c r="AJ1991" i="9"/>
  <c r="AK43" i="9"/>
  <c r="H51" i="9"/>
  <c r="O51" i="9"/>
  <c r="AC28" i="9" l="1"/>
  <c r="AC51" i="9" s="1"/>
  <c r="AB25" i="9"/>
  <c r="AB24" i="9"/>
  <c r="AM32" i="9"/>
  <c r="D68" i="8"/>
  <c r="AB51" i="9" l="1"/>
  <c r="BR21" i="7" l="1"/>
  <c r="C34" i="5" l="1"/>
  <c r="C32" i="5"/>
  <c r="C33" i="5" s="1"/>
  <c r="BT101" i="7" l="1"/>
  <c r="BT100" i="7"/>
  <c r="BR119" i="7"/>
  <c r="AX117" i="7"/>
  <c r="AJ50" i="9"/>
  <c r="AN50" i="9" s="1"/>
  <c r="AK49" i="9"/>
  <c r="AN49" i="9" s="1"/>
  <c r="AJ48" i="9"/>
  <c r="AN48" i="9" s="1"/>
  <c r="AJ47" i="9"/>
  <c r="AM38" i="9"/>
  <c r="AN38" i="9" s="1"/>
  <c r="AM37" i="9"/>
  <c r="AN37" i="9" s="1"/>
  <c r="AL36" i="9"/>
  <c r="AN36" i="9" s="1"/>
  <c r="AN30" i="9"/>
  <c r="AB1949" i="9"/>
  <c r="AA1949" i="9"/>
  <c r="AB1948" i="9"/>
  <c r="AA1948" i="9"/>
  <c r="AB1947" i="9"/>
  <c r="AA1947" i="9"/>
  <c r="AB1946" i="9"/>
  <c r="AA1946" i="9"/>
  <c r="AB1945" i="9"/>
  <c r="AA1945" i="9"/>
  <c r="AB1944" i="9"/>
  <c r="AA1944" i="9"/>
  <c r="AB1943" i="9"/>
  <c r="AA1943" i="9"/>
  <c r="AB1956" i="9"/>
  <c r="AA1956" i="9"/>
  <c r="AB1955" i="9"/>
  <c r="AA1955" i="9"/>
  <c r="AB1954" i="9"/>
  <c r="AA1954" i="9"/>
  <c r="AB1953" i="9"/>
  <c r="AA1953" i="9"/>
  <c r="AB1952" i="9"/>
  <c r="AA1952" i="9"/>
  <c r="AB1951" i="9"/>
  <c r="AA1951" i="9"/>
  <c r="AB1950" i="9"/>
  <c r="AA1950" i="9"/>
  <c r="AB1963" i="9"/>
  <c r="AA1963" i="9"/>
  <c r="AB1962" i="9"/>
  <c r="AA1962" i="9"/>
  <c r="AB1961" i="9"/>
  <c r="AA1961" i="9"/>
  <c r="AB1960" i="9"/>
  <c r="AA1960" i="9"/>
  <c r="AB1959" i="9"/>
  <c r="AA1959" i="9"/>
  <c r="AB1958" i="9"/>
  <c r="AA1958" i="9"/>
  <c r="AB1957" i="9"/>
  <c r="AA1957" i="9"/>
  <c r="AB1969" i="9"/>
  <c r="AA1969" i="9"/>
  <c r="AB1968" i="9"/>
  <c r="AA1968" i="9"/>
  <c r="AB1967" i="9"/>
  <c r="AA1967" i="9"/>
  <c r="AB1966" i="9"/>
  <c r="AA1966" i="9"/>
  <c r="AB1965" i="9"/>
  <c r="AA1965" i="9"/>
  <c r="AB1964" i="9"/>
  <c r="AA1964" i="9"/>
  <c r="AB1970" i="9"/>
  <c r="AA1970" i="9"/>
  <c r="AB1977" i="9"/>
  <c r="AA1977" i="9"/>
  <c r="AB1976" i="9"/>
  <c r="AA1976" i="9"/>
  <c r="AB1975" i="9"/>
  <c r="AA1975" i="9"/>
  <c r="AB1974" i="9"/>
  <c r="AA1974" i="9"/>
  <c r="AB1973" i="9"/>
  <c r="AA1973" i="9"/>
  <c r="AB1972" i="9"/>
  <c r="AA1972" i="9"/>
  <c r="AB1971" i="9"/>
  <c r="AA1971" i="9"/>
  <c r="AB1984" i="9"/>
  <c r="AA1984" i="9"/>
  <c r="AB1983" i="9"/>
  <c r="AA1983" i="9"/>
  <c r="AB1982" i="9"/>
  <c r="AA1982" i="9"/>
  <c r="AB1981" i="9"/>
  <c r="AA1981" i="9"/>
  <c r="AB1980" i="9"/>
  <c r="AA1980" i="9"/>
  <c r="AB1979" i="9"/>
  <c r="AA1979" i="9"/>
  <c r="AB1978" i="9"/>
  <c r="AA1978" i="9"/>
  <c r="AB1991" i="9"/>
  <c r="AA1991" i="9"/>
  <c r="AB1990" i="9"/>
  <c r="AA1990" i="9"/>
  <c r="AB1989" i="9"/>
  <c r="AA1989" i="9"/>
  <c r="AB1988" i="9"/>
  <c r="AA1988" i="9"/>
  <c r="AB1987" i="9"/>
  <c r="AA1987" i="9"/>
  <c r="AB1986" i="9"/>
  <c r="AA1986" i="9"/>
  <c r="AB1985" i="9"/>
  <c r="AA1985" i="9"/>
  <c r="D184" i="8"/>
  <c r="J184" i="8" s="1"/>
  <c r="D185" i="8"/>
  <c r="J185" i="8" s="1"/>
  <c r="D183" i="8"/>
  <c r="J183" i="8" s="1"/>
  <c r="D176" i="8"/>
  <c r="J176" i="8" s="1"/>
  <c r="D177" i="8"/>
  <c r="J177" i="8" s="1"/>
  <c r="D175" i="8"/>
  <c r="J175" i="8" s="1"/>
  <c r="I191" i="8"/>
  <c r="I192" i="8"/>
  <c r="I193" i="8"/>
  <c r="I183" i="8"/>
  <c r="I184" i="8"/>
  <c r="I185" i="8"/>
  <c r="I175" i="8"/>
  <c r="I176" i="8"/>
  <c r="I177" i="8"/>
  <c r="I167" i="8"/>
  <c r="I168" i="8"/>
  <c r="I169" i="8"/>
  <c r="I151" i="8"/>
  <c r="I152" i="8"/>
  <c r="D257" i="8"/>
  <c r="J257" i="8" s="1"/>
  <c r="D258" i="8"/>
  <c r="J258" i="8" s="1"/>
  <c r="D259" i="8"/>
  <c r="J259" i="8" s="1"/>
  <c r="J256" i="8"/>
  <c r="D271" i="8"/>
  <c r="J271" i="8" s="1"/>
  <c r="CF124" i="7"/>
  <c r="CD124" i="7"/>
  <c r="BY124" i="7"/>
  <c r="BX124" i="7"/>
  <c r="BW124" i="7"/>
  <c r="BV124" i="7"/>
  <c r="D247" i="8" s="1"/>
  <c r="J247" i="8" s="1"/>
  <c r="D270" i="8"/>
  <c r="J270" i="8" s="1"/>
  <c r="CF123" i="7"/>
  <c r="CD123" i="7"/>
  <c r="BY123" i="7"/>
  <c r="BX123" i="7"/>
  <c r="BW123" i="7"/>
  <c r="BV123" i="7"/>
  <c r="D246" i="8" s="1"/>
  <c r="J246" i="8" s="1"/>
  <c r="D269" i="8"/>
  <c r="J269" i="8" s="1"/>
  <c r="CF122" i="7"/>
  <c r="CD122" i="7"/>
  <c r="BY122" i="7"/>
  <c r="BX122" i="7"/>
  <c r="BW122" i="7"/>
  <c r="BV122" i="7"/>
  <c r="D245" i="8" s="1"/>
  <c r="J245" i="8" s="1"/>
  <c r="D268" i="8"/>
  <c r="J268" i="8" s="1"/>
  <c r="CF121" i="7"/>
  <c r="CD121" i="7"/>
  <c r="BY121" i="7"/>
  <c r="BX121" i="7"/>
  <c r="BW121" i="7"/>
  <c r="BV121" i="7"/>
  <c r="D244" i="8" s="1"/>
  <c r="J244" i="8" s="1"/>
  <c r="D193" i="8"/>
  <c r="J193" i="8" s="1"/>
  <c r="CF119" i="7"/>
  <c r="CD119" i="7"/>
  <c r="BY119" i="7"/>
  <c r="BX119" i="7"/>
  <c r="BW119" i="7"/>
  <c r="BV119" i="7"/>
  <c r="D192" i="8"/>
  <c r="J192" i="8" s="1"/>
  <c r="CF118" i="7"/>
  <c r="CD118" i="7"/>
  <c r="BY118" i="7"/>
  <c r="BX118" i="7"/>
  <c r="BW118" i="7"/>
  <c r="BV118" i="7"/>
  <c r="D191" i="8"/>
  <c r="J191" i="8" s="1"/>
  <c r="CF117" i="7"/>
  <c r="CD117" i="7"/>
  <c r="BY117" i="7"/>
  <c r="BX117" i="7"/>
  <c r="BW117" i="7"/>
  <c r="BV117" i="7"/>
  <c r="I208" i="8"/>
  <c r="I209" i="8"/>
  <c r="I210" i="8"/>
  <c r="I211" i="8"/>
  <c r="I232" i="8"/>
  <c r="I233" i="8"/>
  <c r="I234" i="8"/>
  <c r="I235" i="8"/>
  <c r="I244" i="8"/>
  <c r="I245" i="8"/>
  <c r="I246" i="8"/>
  <c r="I247" i="8"/>
  <c r="I256" i="8"/>
  <c r="I257" i="8"/>
  <c r="I258" i="8"/>
  <c r="I259" i="8"/>
  <c r="I268" i="8"/>
  <c r="I269" i="8"/>
  <c r="I270" i="8"/>
  <c r="I271" i="8"/>
  <c r="F200" i="8"/>
  <c r="AN40" i="9"/>
  <c r="G51" i="9"/>
  <c r="G268" i="8" l="1"/>
  <c r="G260" i="8"/>
  <c r="G228" i="8"/>
  <c r="G201" i="8"/>
  <c r="G246" i="8"/>
  <c r="G214" i="8"/>
  <c r="G240" i="8"/>
  <c r="G208" i="8"/>
  <c r="G234" i="8"/>
  <c r="G271" i="8"/>
  <c r="G263" i="8"/>
  <c r="G255" i="8"/>
  <c r="G247" i="8"/>
  <c r="G239" i="8"/>
  <c r="G229" i="8"/>
  <c r="G221" i="8"/>
  <c r="G213" i="8"/>
  <c r="G205" i="8"/>
  <c r="G202" i="8"/>
  <c r="G252" i="8"/>
  <c r="G220" i="8"/>
  <c r="G270" i="8"/>
  <c r="G238" i="8"/>
  <c r="G206" i="8"/>
  <c r="G232" i="8"/>
  <c r="G258" i="8"/>
  <c r="G226" i="8"/>
  <c r="G269" i="8"/>
  <c r="G261" i="8"/>
  <c r="G253" i="8"/>
  <c r="G245" i="8"/>
  <c r="G237" i="8"/>
  <c r="G227" i="8"/>
  <c r="G219" i="8"/>
  <c r="G211" i="8"/>
  <c r="G203" i="8"/>
  <c r="G264" i="8"/>
  <c r="G244" i="8"/>
  <c r="G212" i="8"/>
  <c r="G262" i="8"/>
  <c r="G230" i="8"/>
  <c r="G256" i="8"/>
  <c r="G224" i="8"/>
  <c r="G250" i="8"/>
  <c r="G218" i="8"/>
  <c r="G267" i="8"/>
  <c r="G259" i="8"/>
  <c r="G251" i="8"/>
  <c r="G243" i="8"/>
  <c r="G233" i="8"/>
  <c r="G225" i="8"/>
  <c r="G217" i="8"/>
  <c r="G209" i="8"/>
  <c r="G210" i="8"/>
  <c r="G266" i="8"/>
  <c r="G236" i="8"/>
  <c r="G204" i="8"/>
  <c r="G254" i="8"/>
  <c r="G222" i="8"/>
  <c r="G248" i="8"/>
  <c r="G216" i="8"/>
  <c r="G242" i="8"/>
  <c r="G235" i="8"/>
  <c r="G265" i="8"/>
  <c r="G257" i="8"/>
  <c r="G249" i="8"/>
  <c r="G241" i="8"/>
  <c r="G231" i="8"/>
  <c r="G223" i="8"/>
  <c r="G215" i="8"/>
  <c r="G207" i="8"/>
  <c r="G200" i="8"/>
  <c r="AN7" i="9"/>
  <c r="D51" i="9"/>
  <c r="J51" i="9"/>
  <c r="AN39" i="9"/>
  <c r="AN47" i="9"/>
  <c r="Z1958" i="9"/>
  <c r="Z1982" i="9"/>
  <c r="Z1970" i="9"/>
  <c r="Z1971" i="9"/>
  <c r="Z1985" i="9"/>
  <c r="Z1986" i="9"/>
  <c r="Z1978" i="9"/>
  <c r="Z1950" i="9"/>
  <c r="Z1947" i="9"/>
  <c r="Z1967" i="9"/>
  <c r="Z1957" i="9"/>
  <c r="Z1959" i="9"/>
  <c r="Z1981" i="9"/>
  <c r="Z1984" i="9"/>
  <c r="Z1954" i="9"/>
  <c r="Z1955" i="9"/>
  <c r="Z1956" i="9"/>
  <c r="Z1989" i="9"/>
  <c r="Z1952" i="9"/>
  <c r="Z1943" i="9"/>
  <c r="Z1949" i="9"/>
  <c r="Z1975" i="9"/>
  <c r="Z1977" i="9"/>
  <c r="Z1965" i="9"/>
  <c r="Z1962" i="9"/>
  <c r="Z1987" i="9"/>
  <c r="Z1990" i="9"/>
  <c r="Z1973" i="9"/>
  <c r="Z1966" i="9"/>
  <c r="Z1968" i="9"/>
  <c r="Z1953" i="9"/>
  <c r="Z1945" i="9"/>
  <c r="Z1948" i="9"/>
  <c r="Z1980" i="9"/>
  <c r="Z1983" i="9"/>
  <c r="Z1972" i="9"/>
  <c r="Z1964" i="9"/>
  <c r="Z1969" i="9"/>
  <c r="Z1961" i="9"/>
  <c r="Z1963" i="9"/>
  <c r="Z1951" i="9"/>
  <c r="Z1944" i="9"/>
  <c r="Z1988" i="9"/>
  <c r="Z1991" i="9"/>
  <c r="Z1979" i="9"/>
  <c r="Z1974" i="9"/>
  <c r="Z1976" i="9"/>
  <c r="Z1960" i="9"/>
  <c r="Z1946" i="9"/>
  <c r="AJ26" i="11"/>
  <c r="AJ25" i="11"/>
  <c r="Z1599" i="9" l="1"/>
  <c r="Z1371" i="9"/>
  <c r="Z1368" i="9"/>
  <c r="Z1367" i="9"/>
  <c r="Z1365" i="9"/>
  <c r="Z1359" i="9"/>
  <c r="Z1357" i="9"/>
  <c r="Z1354" i="9"/>
  <c r="Z1349" i="9"/>
  <c r="Z1347" i="9"/>
  <c r="Z1341" i="9"/>
  <c r="Z1339" i="9"/>
  <c r="Z1336" i="9"/>
  <c r="Z1179" i="9"/>
  <c r="Z1177" i="9"/>
  <c r="Z1174" i="9"/>
  <c r="Z1171" i="9"/>
  <c r="Z1168" i="9"/>
  <c r="Z1167" i="9"/>
  <c r="Z1165" i="9"/>
  <c r="Z564" i="9"/>
  <c r="Z550" i="9"/>
  <c r="Z506" i="9"/>
  <c r="AJ46" i="9"/>
  <c r="AN46" i="9" s="1"/>
  <c r="AK44" i="9"/>
  <c r="AN44" i="9" s="1"/>
  <c r="AK42" i="9"/>
  <c r="AN42" i="9" s="1"/>
  <c r="AK41" i="9"/>
  <c r="AM35" i="9"/>
  <c r="AN35" i="9" s="1"/>
  <c r="AM34" i="9"/>
  <c r="AN34" i="9" s="1"/>
  <c r="AM33" i="9"/>
  <c r="AL31" i="9"/>
  <c r="AD29" i="9"/>
  <c r="Z29" i="9"/>
  <c r="Y29" i="9"/>
  <c r="X29" i="9"/>
  <c r="S29" i="9"/>
  <c r="P29" i="9"/>
  <c r="AD25" i="9"/>
  <c r="Z25" i="9"/>
  <c r="Y25" i="9"/>
  <c r="X25" i="9"/>
  <c r="S25" i="9"/>
  <c r="Q25" i="9"/>
  <c r="Q24" i="9"/>
  <c r="K22" i="9"/>
  <c r="K51" i="9" s="1"/>
  <c r="N21" i="9"/>
  <c r="N51" i="9" s="1"/>
  <c r="I21" i="9"/>
  <c r="I51" i="9" s="1"/>
  <c r="M20" i="9"/>
  <c r="L20" i="9"/>
  <c r="M19" i="9"/>
  <c r="L19" i="9"/>
  <c r="F17" i="9"/>
  <c r="F16" i="9"/>
  <c r="E15" i="9"/>
  <c r="F12" i="9"/>
  <c r="E11" i="9"/>
  <c r="E10" i="9"/>
  <c r="F9" i="9"/>
  <c r="E8" i="9"/>
  <c r="Z1942" i="9"/>
  <c r="AB1942" i="9"/>
  <c r="AA1942" i="9"/>
  <c r="Z1941" i="9"/>
  <c r="AB1941" i="9"/>
  <c r="AA1941" i="9"/>
  <c r="Z1940" i="9"/>
  <c r="AB1940" i="9"/>
  <c r="AA1940" i="9"/>
  <c r="Z1939" i="9"/>
  <c r="AB1939" i="9"/>
  <c r="AA1939" i="9"/>
  <c r="Z1938" i="9"/>
  <c r="AB1938" i="9"/>
  <c r="AA1938" i="9"/>
  <c r="Z1937" i="9"/>
  <c r="AB1937" i="9"/>
  <c r="AA1937" i="9"/>
  <c r="AB1936" i="9"/>
  <c r="AA1936" i="9"/>
  <c r="AB1935" i="9"/>
  <c r="AA1935" i="9"/>
  <c r="Z1935" i="9"/>
  <c r="Z1934" i="9"/>
  <c r="AB1934" i="9"/>
  <c r="AA1934" i="9"/>
  <c r="Z1933" i="9"/>
  <c r="AB1933" i="9"/>
  <c r="AA1933" i="9"/>
  <c r="Z1932" i="9"/>
  <c r="AB1932" i="9"/>
  <c r="AA1932" i="9"/>
  <c r="Z1931" i="9"/>
  <c r="AB1931" i="9"/>
  <c r="AA1931" i="9"/>
  <c r="AB1930" i="9"/>
  <c r="AA1930" i="9"/>
  <c r="Z1929" i="9"/>
  <c r="AB1929" i="9"/>
  <c r="AA1929" i="9"/>
  <c r="AB1928" i="9"/>
  <c r="AA1928" i="9"/>
  <c r="AB1927" i="9"/>
  <c r="AA1927" i="9"/>
  <c r="AB1926" i="9"/>
  <c r="AA1926" i="9"/>
  <c r="AB1925" i="9"/>
  <c r="AA1925" i="9"/>
  <c r="Z1925" i="9"/>
  <c r="AB1924" i="9"/>
  <c r="AA1924" i="9"/>
  <c r="Z1924" i="9"/>
  <c r="Z1923" i="9"/>
  <c r="AB1923" i="9"/>
  <c r="AA1923" i="9"/>
  <c r="Z1922" i="9"/>
  <c r="AB1922" i="9"/>
  <c r="AA1922" i="9"/>
  <c r="Z1921" i="9"/>
  <c r="AB1921" i="9"/>
  <c r="AA1921" i="9"/>
  <c r="Z1920" i="9"/>
  <c r="AB1920" i="9"/>
  <c r="AA1920" i="9"/>
  <c r="Z1919" i="9"/>
  <c r="AB1919" i="9"/>
  <c r="AA1919" i="9"/>
  <c r="Z1918" i="9"/>
  <c r="AB1918" i="9"/>
  <c r="AA1918" i="9"/>
  <c r="Z1917" i="9"/>
  <c r="AB1917" i="9"/>
  <c r="AA1917" i="9"/>
  <c r="Z1916" i="9"/>
  <c r="AB1916" i="9"/>
  <c r="AA1916" i="9"/>
  <c r="Z1915" i="9"/>
  <c r="AB1915" i="9"/>
  <c r="AA1915" i="9"/>
  <c r="Z1914" i="9"/>
  <c r="AB1914" i="9"/>
  <c r="AA1914" i="9"/>
  <c r="Z1913" i="9"/>
  <c r="AB1913" i="9"/>
  <c r="AA1913" i="9"/>
  <c r="Z1912" i="9"/>
  <c r="AB1912" i="9"/>
  <c r="AA1912" i="9"/>
  <c r="Z1911" i="9"/>
  <c r="AB1911" i="9"/>
  <c r="AA1911" i="9"/>
  <c r="AB1910" i="9"/>
  <c r="AA1910" i="9"/>
  <c r="AB1909" i="9"/>
  <c r="AA1909" i="9"/>
  <c r="AB1908" i="9"/>
  <c r="AA1908" i="9"/>
  <c r="Z1907" i="9"/>
  <c r="AB1907" i="9"/>
  <c r="AA1907" i="9"/>
  <c r="AB1906" i="9"/>
  <c r="AA1906" i="9"/>
  <c r="AB1905" i="9"/>
  <c r="AA1905" i="9"/>
  <c r="Z1904" i="9"/>
  <c r="AB1904" i="9"/>
  <c r="AA1904" i="9"/>
  <c r="AB1903" i="9"/>
  <c r="AA1903" i="9"/>
  <c r="AB1902" i="9"/>
  <c r="AA1902" i="9"/>
  <c r="Z1901" i="9"/>
  <c r="AB1901" i="9"/>
  <c r="AA1901" i="9"/>
  <c r="Z1900" i="9"/>
  <c r="AB1900" i="9"/>
  <c r="AA1900" i="9"/>
  <c r="AB1899" i="9"/>
  <c r="AA1899" i="9"/>
  <c r="AB1898" i="9"/>
  <c r="AA1898" i="9"/>
  <c r="Z1898" i="9"/>
  <c r="Z1897" i="9"/>
  <c r="AB1897" i="9"/>
  <c r="AA1897" i="9"/>
  <c r="Z1896" i="9"/>
  <c r="AB1896" i="9"/>
  <c r="AA1896" i="9"/>
  <c r="Z1895" i="9"/>
  <c r="AB1895" i="9"/>
  <c r="AA1895" i="9"/>
  <c r="AB1894" i="9"/>
  <c r="AA1894" i="9"/>
  <c r="Z1894" i="9"/>
  <c r="AB1893" i="9"/>
  <c r="AA1893" i="9"/>
  <c r="Z1893" i="9"/>
  <c r="Z1892" i="9"/>
  <c r="AB1892" i="9"/>
  <c r="AA1892" i="9"/>
  <c r="AB1891" i="9"/>
  <c r="AA1891" i="9"/>
  <c r="Z1891" i="9"/>
  <c r="Z1890" i="9"/>
  <c r="AB1890" i="9"/>
  <c r="AA1890" i="9"/>
  <c r="AB1889" i="9"/>
  <c r="AA1889" i="9"/>
  <c r="Z1889" i="9"/>
  <c r="AB1888" i="9"/>
  <c r="AA1888" i="9"/>
  <c r="Z1888" i="9"/>
  <c r="Z1887" i="9"/>
  <c r="AB1887" i="9"/>
  <c r="AA1887" i="9"/>
  <c r="AB1886" i="9"/>
  <c r="AA1886" i="9"/>
  <c r="Z1886" i="9"/>
  <c r="Z1885" i="9"/>
  <c r="AB1885" i="9"/>
  <c r="AA1885" i="9"/>
  <c r="AB1884" i="9"/>
  <c r="AA1884" i="9"/>
  <c r="AB1883" i="9"/>
  <c r="AA1883" i="9"/>
  <c r="Z1883" i="9"/>
  <c r="AB1882" i="9"/>
  <c r="AA1882" i="9"/>
  <c r="Z1882" i="9"/>
  <c r="Z1881" i="9"/>
  <c r="AB1881" i="9"/>
  <c r="AA1881" i="9"/>
  <c r="AB1880" i="9"/>
  <c r="AA1880" i="9"/>
  <c r="Z1880" i="9"/>
  <c r="Z1879" i="9"/>
  <c r="AB1879" i="9"/>
  <c r="AA1879" i="9"/>
  <c r="AB1878" i="9"/>
  <c r="AA1878" i="9"/>
  <c r="Z1877" i="9"/>
  <c r="AB1877" i="9"/>
  <c r="AA1877" i="9"/>
  <c r="AB1876" i="9"/>
  <c r="AA1876" i="9"/>
  <c r="Z1876" i="9"/>
  <c r="AB1875" i="9"/>
  <c r="AA1875" i="9"/>
  <c r="Z1875" i="9"/>
  <c r="Z1874" i="9"/>
  <c r="AB1874" i="9"/>
  <c r="AA1874" i="9"/>
  <c r="Z1873" i="9"/>
  <c r="AB1873" i="9"/>
  <c r="AA1873" i="9"/>
  <c r="Z1872" i="9"/>
  <c r="AB1872" i="9"/>
  <c r="AA1872" i="9"/>
  <c r="AB1871" i="9"/>
  <c r="AA1871" i="9"/>
  <c r="Z1871" i="9"/>
  <c r="AB1870" i="9"/>
  <c r="AA1870" i="9"/>
  <c r="Z1870" i="9"/>
  <c r="AB1869" i="9"/>
  <c r="AA1869" i="9"/>
  <c r="Z1868" i="9"/>
  <c r="AB1868" i="9"/>
  <c r="AA1868" i="9"/>
  <c r="AB1867" i="9"/>
  <c r="AA1867" i="9"/>
  <c r="Z1867" i="9"/>
  <c r="AB1866" i="9"/>
  <c r="AA1866" i="9"/>
  <c r="Z1866" i="9"/>
  <c r="Z1865" i="9"/>
  <c r="AB1865" i="9"/>
  <c r="AA1865" i="9"/>
  <c r="Z1864" i="9"/>
  <c r="AB1864" i="9"/>
  <c r="AA1864" i="9"/>
  <c r="AB1863" i="9"/>
  <c r="AA1863" i="9"/>
  <c r="Z1862" i="9"/>
  <c r="AB1862" i="9"/>
  <c r="AA1862" i="9"/>
  <c r="Z1861" i="9"/>
  <c r="AB1861" i="9"/>
  <c r="AA1861" i="9"/>
  <c r="Z1860" i="9"/>
  <c r="AB1860" i="9"/>
  <c r="AA1860" i="9"/>
  <c r="Z1859" i="9"/>
  <c r="AB1859" i="9"/>
  <c r="AA1859" i="9"/>
  <c r="AB1858" i="9"/>
  <c r="AA1858" i="9"/>
  <c r="Z1857" i="9"/>
  <c r="AB1857" i="9"/>
  <c r="AA1857" i="9"/>
  <c r="AB1856" i="9"/>
  <c r="AA1856" i="9"/>
  <c r="Z1855" i="9"/>
  <c r="AB1855" i="9"/>
  <c r="AA1855" i="9"/>
  <c r="Z1854" i="9"/>
  <c r="AB1854" i="9"/>
  <c r="AA1854" i="9"/>
  <c r="AB1853" i="9"/>
  <c r="AA1853" i="9"/>
  <c r="Z1853" i="9"/>
  <c r="Z1852" i="9"/>
  <c r="AB1852" i="9"/>
  <c r="AA1852" i="9"/>
  <c r="Z1851" i="9"/>
  <c r="AB1851" i="9"/>
  <c r="AA1851" i="9"/>
  <c r="AB1850" i="9"/>
  <c r="AA1850" i="9"/>
  <c r="Z1849" i="9"/>
  <c r="AB1849" i="9"/>
  <c r="AA1849" i="9"/>
  <c r="AB1848" i="9"/>
  <c r="AA1848" i="9"/>
  <c r="AB1847" i="9"/>
  <c r="AA1847" i="9"/>
  <c r="Z1847" i="9"/>
  <c r="AB1846" i="9"/>
  <c r="AA1846" i="9"/>
  <c r="Z1845" i="9"/>
  <c r="AB1845" i="9"/>
  <c r="AA1845" i="9"/>
  <c r="AB1844" i="9"/>
  <c r="AA1844" i="9"/>
  <c r="Z1844" i="9"/>
  <c r="Z1843" i="9"/>
  <c r="AB1843" i="9"/>
  <c r="AA1843" i="9"/>
  <c r="AB1842" i="9"/>
  <c r="AA1842" i="9"/>
  <c r="Z1842" i="9"/>
  <c r="AB1841" i="9"/>
  <c r="AA1841" i="9"/>
  <c r="Z1840" i="9"/>
  <c r="AB1840" i="9"/>
  <c r="AA1840" i="9"/>
  <c r="Z1839" i="9"/>
  <c r="AB1839" i="9"/>
  <c r="AA1839" i="9"/>
  <c r="Z1838" i="9"/>
  <c r="AB1838" i="9"/>
  <c r="AA1838" i="9"/>
  <c r="Z1837" i="9"/>
  <c r="AB1837" i="9"/>
  <c r="AA1837" i="9"/>
  <c r="AB1836" i="9"/>
  <c r="AA1836" i="9"/>
  <c r="Z1835" i="9"/>
  <c r="AB1835" i="9"/>
  <c r="AA1835" i="9"/>
  <c r="AB1834" i="9"/>
  <c r="AA1834" i="9"/>
  <c r="Z1834" i="9"/>
  <c r="AB1833" i="9"/>
  <c r="AA1833" i="9"/>
  <c r="Z1832" i="9"/>
  <c r="AB1832" i="9"/>
  <c r="AA1832" i="9"/>
  <c r="AB1831" i="9"/>
  <c r="AA1831" i="9"/>
  <c r="Z1830" i="9"/>
  <c r="AB1830" i="9"/>
  <c r="AA1830" i="9"/>
  <c r="Z1829" i="9"/>
  <c r="AB1829" i="9"/>
  <c r="AA1829" i="9"/>
  <c r="Z1828" i="9"/>
  <c r="AB1828" i="9"/>
  <c r="AA1828" i="9"/>
  <c r="Z1827" i="9"/>
  <c r="AB1827" i="9"/>
  <c r="AA1827" i="9"/>
  <c r="Z1826" i="9"/>
  <c r="AB1826" i="9"/>
  <c r="AA1826" i="9"/>
  <c r="AB1825" i="9"/>
  <c r="AA1825" i="9"/>
  <c r="Z1825" i="9"/>
  <c r="Z1824" i="9"/>
  <c r="AB1824" i="9"/>
  <c r="AA1824" i="9"/>
  <c r="Z1823" i="9"/>
  <c r="AB1823" i="9"/>
  <c r="AA1823" i="9"/>
  <c r="AB1822" i="9"/>
  <c r="AA1822" i="9"/>
  <c r="Z1822" i="9"/>
  <c r="AB1821" i="9"/>
  <c r="AA1821" i="9"/>
  <c r="Z1820" i="9"/>
  <c r="AB1820" i="9"/>
  <c r="AA1820" i="9"/>
  <c r="AB1819" i="9"/>
  <c r="AA1819" i="9"/>
  <c r="Z1819" i="9"/>
  <c r="Z1818" i="9"/>
  <c r="AB1818" i="9"/>
  <c r="AA1818" i="9"/>
  <c r="Z1817" i="9"/>
  <c r="AB1817" i="9"/>
  <c r="AA1817" i="9"/>
  <c r="Z1816" i="9"/>
  <c r="AB1816" i="9"/>
  <c r="AA1816" i="9"/>
  <c r="Z1815" i="9"/>
  <c r="AB1815" i="9"/>
  <c r="AA1815" i="9"/>
  <c r="Z1814" i="9"/>
  <c r="AB1814" i="9"/>
  <c r="AA1814" i="9"/>
  <c r="AB1813" i="9"/>
  <c r="AA1813" i="9"/>
  <c r="Z1813" i="9"/>
  <c r="AB1812" i="9"/>
  <c r="AA1812" i="9"/>
  <c r="AB1811" i="9"/>
  <c r="AA1811" i="9"/>
  <c r="Z1810" i="9"/>
  <c r="AB1810" i="9"/>
  <c r="AA1810" i="9"/>
  <c r="AB1809" i="9"/>
  <c r="AA1809" i="9"/>
  <c r="Z1808" i="9"/>
  <c r="AB1808" i="9"/>
  <c r="AA1808" i="9"/>
  <c r="AB1807" i="9"/>
  <c r="AA1807" i="9"/>
  <c r="Z1807" i="9"/>
  <c r="Z1806" i="9"/>
  <c r="AB1806" i="9"/>
  <c r="AA1806" i="9"/>
  <c r="AB1805" i="9"/>
  <c r="AA1805" i="9"/>
  <c r="AB1804" i="9"/>
  <c r="AA1804" i="9"/>
  <c r="Z1804" i="9"/>
  <c r="AB1803" i="9"/>
  <c r="AA1803" i="9"/>
  <c r="Z1802" i="9"/>
  <c r="AB1802" i="9"/>
  <c r="AA1802" i="9"/>
  <c r="AB1801" i="9"/>
  <c r="AA1801" i="9"/>
  <c r="Z1801" i="9"/>
  <c r="Z1800" i="9"/>
  <c r="AB1800" i="9"/>
  <c r="AA1800" i="9"/>
  <c r="Z1799" i="9"/>
  <c r="AB1799" i="9"/>
  <c r="AA1799" i="9"/>
  <c r="AB1798" i="9"/>
  <c r="AA1798" i="9"/>
  <c r="Z1797" i="9"/>
  <c r="AB1797" i="9"/>
  <c r="AA1797" i="9"/>
  <c r="AB1796" i="9"/>
  <c r="AA1796" i="9"/>
  <c r="Z1795" i="9"/>
  <c r="AB1795" i="9"/>
  <c r="AA1795" i="9"/>
  <c r="Z1794" i="9"/>
  <c r="AB1794" i="9"/>
  <c r="AA1794" i="9"/>
  <c r="AB1793" i="9"/>
  <c r="AA1793" i="9"/>
  <c r="AB1792" i="9"/>
  <c r="AA1792" i="9"/>
  <c r="Z1791" i="9"/>
  <c r="AB1791" i="9"/>
  <c r="AA1791" i="9"/>
  <c r="Z1790" i="9"/>
  <c r="AB1790" i="9"/>
  <c r="AA1790" i="9"/>
  <c r="Z1789" i="9"/>
  <c r="AB1789" i="9"/>
  <c r="AA1789" i="9"/>
  <c r="Z1788" i="9"/>
  <c r="AB1788" i="9"/>
  <c r="AA1788" i="9"/>
  <c r="AB1787" i="9"/>
  <c r="AA1787" i="9"/>
  <c r="Z1787" i="9"/>
  <c r="AB1786" i="9"/>
  <c r="AA1786" i="9"/>
  <c r="Z1785" i="9"/>
  <c r="AB1785" i="9"/>
  <c r="AA1785" i="9"/>
  <c r="AB1784" i="9"/>
  <c r="AA1784" i="9"/>
  <c r="Z1784" i="9"/>
  <c r="Z1783" i="9"/>
  <c r="AB1783" i="9"/>
  <c r="AA1783" i="9"/>
  <c r="Z1782" i="9"/>
  <c r="AB1782" i="9"/>
  <c r="AA1782" i="9"/>
  <c r="AB1781" i="9"/>
  <c r="AA1781" i="9"/>
  <c r="Z1781" i="9"/>
  <c r="Z1780" i="9"/>
  <c r="AB1780" i="9"/>
  <c r="AA1780" i="9"/>
  <c r="AB1779" i="9"/>
  <c r="AA1779" i="9"/>
  <c r="Z1778" i="9"/>
  <c r="AB1778" i="9"/>
  <c r="AA1778" i="9"/>
  <c r="Z1777" i="9"/>
  <c r="AB1777" i="9"/>
  <c r="AA1777" i="9"/>
  <c r="AB1776" i="9"/>
  <c r="AA1776" i="9"/>
  <c r="AB1775" i="9"/>
  <c r="AA1775" i="9"/>
  <c r="Z1775" i="9"/>
  <c r="Z1774" i="9"/>
  <c r="AB1774" i="9"/>
  <c r="AA1774" i="9"/>
  <c r="AB1773" i="9"/>
  <c r="AA1773" i="9"/>
  <c r="Z1772" i="9"/>
  <c r="AB1772" i="9"/>
  <c r="AA1772" i="9"/>
  <c r="Z1771" i="9"/>
  <c r="AB1771" i="9"/>
  <c r="AA1771" i="9"/>
  <c r="Z1770" i="9"/>
  <c r="AB1770" i="9"/>
  <c r="AA1770" i="9"/>
  <c r="AB1769" i="9"/>
  <c r="AA1769" i="9"/>
  <c r="Z1769" i="9"/>
  <c r="Z1768" i="9"/>
  <c r="AB1768" i="9"/>
  <c r="AA1768" i="9"/>
  <c r="Z1767" i="9"/>
  <c r="AB1767" i="9"/>
  <c r="AA1767" i="9"/>
  <c r="AB1766" i="9"/>
  <c r="AA1766" i="9"/>
  <c r="Z1766" i="9"/>
  <c r="AB1765" i="9"/>
  <c r="AA1765" i="9"/>
  <c r="Z1764" i="9"/>
  <c r="AB1764" i="9"/>
  <c r="AA1764" i="9"/>
  <c r="AB1763" i="9"/>
  <c r="AA1763" i="9"/>
  <c r="Z1763" i="9"/>
  <c r="Z1762" i="9"/>
  <c r="AB1762" i="9"/>
  <c r="AA1762" i="9"/>
  <c r="Z1761" i="9"/>
  <c r="AB1761" i="9"/>
  <c r="AA1761" i="9"/>
  <c r="Z1760" i="9"/>
  <c r="AB1760" i="9"/>
  <c r="AA1760" i="9"/>
  <c r="Z1759" i="9"/>
  <c r="AB1759" i="9"/>
  <c r="AA1759" i="9"/>
  <c r="AB1758" i="9"/>
  <c r="AA1758" i="9"/>
  <c r="Z1758" i="9"/>
  <c r="Z1757" i="9"/>
  <c r="AB1757" i="9"/>
  <c r="AA1757" i="9"/>
  <c r="AB1756" i="9"/>
  <c r="AA1756" i="9"/>
  <c r="AB1755" i="9"/>
  <c r="AA1755" i="9"/>
  <c r="AB1754" i="9"/>
  <c r="AA1754" i="9"/>
  <c r="AB1753" i="9"/>
  <c r="AA1753" i="9"/>
  <c r="Z1752" i="9"/>
  <c r="AB1752" i="9"/>
  <c r="AA1752" i="9"/>
  <c r="AB1751" i="9"/>
  <c r="AA1751" i="9"/>
  <c r="AB1750" i="9"/>
  <c r="AA1750" i="9"/>
  <c r="Z1749" i="9"/>
  <c r="AB1749" i="9"/>
  <c r="AA1749" i="9"/>
  <c r="AB1748" i="9"/>
  <c r="AA1748" i="9"/>
  <c r="AB1747" i="9"/>
  <c r="AA1747" i="9"/>
  <c r="AB1746" i="9"/>
  <c r="AA1746" i="9"/>
  <c r="Z1745" i="9"/>
  <c r="AB1745" i="9"/>
  <c r="AA1745" i="9"/>
  <c r="AB1744" i="9"/>
  <c r="AA1744" i="9"/>
  <c r="AB1743" i="9"/>
  <c r="AA1743" i="9"/>
  <c r="AB1742" i="9"/>
  <c r="AA1742" i="9"/>
  <c r="AB1741" i="9"/>
  <c r="AA1741" i="9"/>
  <c r="AB1740" i="9"/>
  <c r="AA1740" i="9"/>
  <c r="AB1739" i="9"/>
  <c r="AA1739" i="9"/>
  <c r="Z1738" i="9"/>
  <c r="AB1738" i="9"/>
  <c r="AA1738" i="9"/>
  <c r="AB1737" i="9"/>
  <c r="AA1737" i="9"/>
  <c r="Z1736" i="9"/>
  <c r="AB1736" i="9"/>
  <c r="AA1736" i="9"/>
  <c r="AB1735" i="9"/>
  <c r="AA1735" i="9"/>
  <c r="AB1734" i="9"/>
  <c r="AA1734" i="9"/>
  <c r="AB1733" i="9"/>
  <c r="AA1733" i="9"/>
  <c r="AB1732" i="9"/>
  <c r="AA1732" i="9"/>
  <c r="Z1731" i="9"/>
  <c r="AB1731" i="9"/>
  <c r="AA1731" i="9"/>
  <c r="AB1730" i="9"/>
  <c r="AA1730" i="9"/>
  <c r="Z1729" i="9"/>
  <c r="AB1729" i="9"/>
  <c r="AA1729" i="9"/>
  <c r="AB1728" i="9"/>
  <c r="AA1728" i="9"/>
  <c r="AB1727" i="9"/>
  <c r="AA1727" i="9"/>
  <c r="Z1726" i="9"/>
  <c r="AB1726" i="9"/>
  <c r="AA1726" i="9"/>
  <c r="AB1725" i="9"/>
  <c r="AA1725" i="9"/>
  <c r="AB1724" i="9"/>
  <c r="AA1724" i="9"/>
  <c r="AB1723" i="9"/>
  <c r="AA1723" i="9"/>
  <c r="AB1722" i="9"/>
  <c r="AA1722" i="9"/>
  <c r="AB1721" i="9"/>
  <c r="AA1721" i="9"/>
  <c r="Z1720" i="9"/>
  <c r="AB1720" i="9"/>
  <c r="AA1720" i="9"/>
  <c r="AB1719" i="9"/>
  <c r="AA1719" i="9"/>
  <c r="Z1718" i="9"/>
  <c r="AB1718" i="9"/>
  <c r="AA1718" i="9"/>
  <c r="AB1717" i="9"/>
  <c r="AA1717" i="9"/>
  <c r="AB1716" i="9"/>
  <c r="AA1716" i="9"/>
  <c r="AB1715" i="9"/>
  <c r="AA1715" i="9"/>
  <c r="AB1714" i="9"/>
  <c r="AA1714" i="9"/>
  <c r="Z1713" i="9"/>
  <c r="AB1713" i="9"/>
  <c r="AA1713" i="9"/>
  <c r="AB1712" i="9"/>
  <c r="AA1712" i="9"/>
  <c r="Z1711" i="9"/>
  <c r="AB1711" i="9"/>
  <c r="AA1711" i="9"/>
  <c r="AB1710" i="9"/>
  <c r="AA1710" i="9"/>
  <c r="AB1709" i="9"/>
  <c r="AA1709" i="9"/>
  <c r="AB1708" i="9"/>
  <c r="AA1708" i="9"/>
  <c r="Z1707" i="9"/>
  <c r="AB1707" i="9"/>
  <c r="AA1707" i="9"/>
  <c r="AB1706" i="9"/>
  <c r="AA1706" i="9"/>
  <c r="AB1705" i="9"/>
  <c r="AA1705" i="9"/>
  <c r="Z1704" i="9"/>
  <c r="AB1704" i="9"/>
  <c r="AA1704" i="9"/>
  <c r="Z1703" i="9"/>
  <c r="AB1703" i="9"/>
  <c r="AA1703" i="9"/>
  <c r="Z1702" i="9"/>
  <c r="AB1702" i="9"/>
  <c r="AA1702" i="9"/>
  <c r="Z1701" i="9"/>
  <c r="AB1701" i="9"/>
  <c r="AA1701" i="9"/>
  <c r="Z1700" i="9"/>
  <c r="AB1700" i="9"/>
  <c r="AA1700" i="9"/>
  <c r="Z1699" i="9"/>
  <c r="AB1699" i="9"/>
  <c r="AA1699" i="9"/>
  <c r="Z1698" i="9"/>
  <c r="AB1698" i="9"/>
  <c r="AA1698" i="9"/>
  <c r="Z1697" i="9"/>
  <c r="AB1697" i="9"/>
  <c r="AA1697" i="9"/>
  <c r="Z1696" i="9"/>
  <c r="AB1696" i="9"/>
  <c r="AA1696" i="9"/>
  <c r="Z1695" i="9"/>
  <c r="AB1695" i="9"/>
  <c r="AA1695" i="9"/>
  <c r="Z1694" i="9"/>
  <c r="AB1694" i="9"/>
  <c r="AA1694" i="9"/>
  <c r="AB1693" i="9"/>
  <c r="AA1693" i="9"/>
  <c r="Z1692" i="9"/>
  <c r="AB1692" i="9"/>
  <c r="AA1692" i="9"/>
  <c r="AB1691" i="9"/>
  <c r="AA1691" i="9"/>
  <c r="AB1690" i="9"/>
  <c r="AA1690" i="9"/>
  <c r="Z1689" i="9"/>
  <c r="AB1689" i="9"/>
  <c r="AA1689" i="9"/>
  <c r="AB1688" i="9"/>
  <c r="AA1688" i="9"/>
  <c r="Z1687" i="9"/>
  <c r="AB1687" i="9"/>
  <c r="AA1687" i="9"/>
  <c r="Z1686" i="9"/>
  <c r="AB1686" i="9"/>
  <c r="AA1686" i="9"/>
  <c r="Z1685" i="9"/>
  <c r="AB1685" i="9"/>
  <c r="AA1685" i="9"/>
  <c r="AB1684" i="9"/>
  <c r="AA1684" i="9"/>
  <c r="Z1683" i="9"/>
  <c r="AB1683" i="9"/>
  <c r="AA1683" i="9"/>
  <c r="AB1682" i="9"/>
  <c r="AA1682" i="9"/>
  <c r="AB1681" i="9"/>
  <c r="AA1681" i="9"/>
  <c r="AB1680" i="9"/>
  <c r="AA1680" i="9"/>
  <c r="Z1679" i="9"/>
  <c r="AB1679" i="9"/>
  <c r="AA1679" i="9"/>
  <c r="AB1678" i="9"/>
  <c r="AA1678" i="9"/>
  <c r="Z1677" i="9"/>
  <c r="AB1677" i="9"/>
  <c r="AA1677" i="9"/>
  <c r="Z1676" i="9"/>
  <c r="AB1676" i="9"/>
  <c r="AA1676" i="9"/>
  <c r="AB1675" i="9"/>
  <c r="AA1675" i="9"/>
  <c r="Z1674" i="9"/>
  <c r="AB1674" i="9"/>
  <c r="AA1674" i="9"/>
  <c r="AB1673" i="9"/>
  <c r="AA1673" i="9"/>
  <c r="Z1672" i="9"/>
  <c r="AB1672" i="9"/>
  <c r="AA1672" i="9"/>
  <c r="Z1671" i="9"/>
  <c r="AB1671" i="9"/>
  <c r="AA1671" i="9"/>
  <c r="AB1670" i="9"/>
  <c r="AA1670" i="9"/>
  <c r="AB1669" i="9"/>
  <c r="AA1669" i="9"/>
  <c r="Z1668" i="9"/>
  <c r="AB1668" i="9"/>
  <c r="AA1668" i="9"/>
  <c r="AB1667" i="9"/>
  <c r="AA1667" i="9"/>
  <c r="Z1666" i="9"/>
  <c r="AB1666" i="9"/>
  <c r="AA1666" i="9"/>
  <c r="AB1665" i="9"/>
  <c r="AA1665" i="9"/>
  <c r="Z1664" i="9"/>
  <c r="AB1664" i="9"/>
  <c r="AA1664" i="9"/>
  <c r="AB1663" i="9"/>
  <c r="AA1663" i="9"/>
  <c r="AB1662" i="9"/>
  <c r="AA1662" i="9"/>
  <c r="Z1661" i="9"/>
  <c r="AB1661" i="9"/>
  <c r="AA1661" i="9"/>
  <c r="Z1660" i="9"/>
  <c r="AB1660" i="9"/>
  <c r="AA1660" i="9"/>
  <c r="AB1659" i="9"/>
  <c r="AA1659" i="9"/>
  <c r="Z1658" i="9"/>
  <c r="AB1658" i="9"/>
  <c r="AA1658" i="9"/>
  <c r="Z1657" i="9"/>
  <c r="AB1657" i="9"/>
  <c r="AA1657" i="9"/>
  <c r="Z1656" i="9"/>
  <c r="AB1656" i="9"/>
  <c r="AA1656" i="9"/>
  <c r="AB1655" i="9"/>
  <c r="AA1655" i="9"/>
  <c r="AB1654" i="9"/>
  <c r="AA1654" i="9"/>
  <c r="Z1653" i="9"/>
  <c r="AB1653" i="9"/>
  <c r="AA1653" i="9"/>
  <c r="Z1652" i="9"/>
  <c r="AB1652" i="9"/>
  <c r="AA1652" i="9"/>
  <c r="AB1651" i="9"/>
  <c r="AA1651" i="9"/>
  <c r="Z1650" i="9"/>
  <c r="AB1650" i="9"/>
  <c r="AA1650" i="9"/>
  <c r="AB1649" i="9"/>
  <c r="AA1649" i="9"/>
  <c r="Z1648" i="9"/>
  <c r="AB1648" i="9"/>
  <c r="AA1648" i="9"/>
  <c r="Z1647" i="9"/>
  <c r="AB1647" i="9"/>
  <c r="AA1647" i="9"/>
  <c r="AB1646" i="9"/>
  <c r="AA1646" i="9"/>
  <c r="AB1645" i="9"/>
  <c r="AA1645" i="9"/>
  <c r="AB1644" i="9"/>
  <c r="AA1644" i="9"/>
  <c r="AB1643" i="9"/>
  <c r="AA1643" i="9"/>
  <c r="Z1642" i="9"/>
  <c r="AB1642" i="9"/>
  <c r="AA1642" i="9"/>
  <c r="AB1641" i="9"/>
  <c r="AA1641" i="9"/>
  <c r="Z1641" i="9"/>
  <c r="AB1640" i="9"/>
  <c r="AA1640" i="9"/>
  <c r="Z1640" i="9"/>
  <c r="AB1639" i="9"/>
  <c r="AA1639" i="9"/>
  <c r="Z1639" i="9"/>
  <c r="Z1638" i="9"/>
  <c r="AB1638" i="9"/>
  <c r="AA1638" i="9"/>
  <c r="AB1637" i="9"/>
  <c r="AA1637" i="9"/>
  <c r="Z1637" i="9"/>
  <c r="AB1636" i="9"/>
  <c r="AA1636" i="9"/>
  <c r="Z1636" i="9"/>
  <c r="AB1635" i="9"/>
  <c r="AA1635" i="9"/>
  <c r="Z1635" i="9"/>
  <c r="AB1634" i="9"/>
  <c r="AA1634" i="9"/>
  <c r="Z1634" i="9"/>
  <c r="Z1633" i="9"/>
  <c r="AB1633" i="9"/>
  <c r="AA1633" i="9"/>
  <c r="AB1632" i="9"/>
  <c r="AA1632" i="9"/>
  <c r="Z1632" i="9"/>
  <c r="AB1631" i="9"/>
  <c r="AA1631" i="9"/>
  <c r="Z1631" i="9"/>
  <c r="Z1630" i="9"/>
  <c r="AB1630" i="9"/>
  <c r="AA1630" i="9"/>
  <c r="AB1629" i="9"/>
  <c r="AA1629" i="9"/>
  <c r="Z1629" i="9"/>
  <c r="Z1628" i="9"/>
  <c r="AB1628" i="9"/>
  <c r="AA1628" i="9"/>
  <c r="Z1627" i="9"/>
  <c r="AB1627" i="9"/>
  <c r="AA1627" i="9"/>
  <c r="Z1626" i="9"/>
  <c r="AB1626" i="9"/>
  <c r="AA1626" i="9"/>
  <c r="AB1625" i="9"/>
  <c r="AA1625" i="9"/>
  <c r="Z1625" i="9"/>
  <c r="AB1624" i="9"/>
  <c r="AA1624" i="9"/>
  <c r="Z1624" i="9"/>
  <c r="Z1623" i="9"/>
  <c r="AB1623" i="9"/>
  <c r="AA1623" i="9"/>
  <c r="AB1622" i="9"/>
  <c r="AA1622" i="9"/>
  <c r="Z1622" i="9"/>
  <c r="Z1621" i="9"/>
  <c r="AB1621" i="9"/>
  <c r="AA1621" i="9"/>
  <c r="AB1620" i="9"/>
  <c r="AA1620" i="9"/>
  <c r="Z1620" i="9"/>
  <c r="AB1619" i="9"/>
  <c r="AA1619" i="9"/>
  <c r="Z1619" i="9"/>
  <c r="Z1618" i="9"/>
  <c r="AB1618" i="9"/>
  <c r="AA1618" i="9"/>
  <c r="AB1617" i="9"/>
  <c r="AA1617" i="9"/>
  <c r="Z1617" i="9"/>
  <c r="Z1616" i="9"/>
  <c r="AB1616" i="9"/>
  <c r="AA1616" i="9"/>
  <c r="Z1615" i="9"/>
  <c r="AB1615" i="9"/>
  <c r="AA1615" i="9"/>
  <c r="AB1614" i="9"/>
  <c r="AA1614" i="9"/>
  <c r="Z1614" i="9"/>
  <c r="AB1613" i="9"/>
  <c r="AA1613" i="9"/>
  <c r="Z1613" i="9"/>
  <c r="Z1612" i="9"/>
  <c r="AB1612" i="9"/>
  <c r="AA1612" i="9"/>
  <c r="AB1611" i="9"/>
  <c r="AA1611" i="9"/>
  <c r="Z1611" i="9"/>
  <c r="Z1610" i="9"/>
  <c r="AB1610" i="9"/>
  <c r="AA1610" i="9"/>
  <c r="Z1609" i="9"/>
  <c r="AB1609" i="9"/>
  <c r="AA1609" i="9"/>
  <c r="AB1608" i="9"/>
  <c r="AA1608" i="9"/>
  <c r="AB1607" i="9"/>
  <c r="AA1607" i="9"/>
  <c r="Z1607" i="9"/>
  <c r="AB1606" i="9"/>
  <c r="AA1606" i="9"/>
  <c r="Z1606" i="9"/>
  <c r="AB1605" i="9"/>
  <c r="AA1605" i="9"/>
  <c r="Z1604" i="9"/>
  <c r="AB1604" i="9"/>
  <c r="AA1604" i="9"/>
  <c r="Z1603" i="9"/>
  <c r="AB1603" i="9"/>
  <c r="AA1603" i="9"/>
  <c r="Z1602" i="9"/>
  <c r="AB1602" i="9"/>
  <c r="AA1602" i="9"/>
  <c r="Z1601" i="9"/>
  <c r="AB1601" i="9"/>
  <c r="AA1601" i="9"/>
  <c r="Z1600" i="9"/>
  <c r="AB1600" i="9"/>
  <c r="AA1600" i="9"/>
  <c r="AB1599" i="9"/>
  <c r="AA1599" i="9"/>
  <c r="Z1598" i="9"/>
  <c r="AB1598" i="9"/>
  <c r="AA1598" i="9"/>
  <c r="Z1597" i="9"/>
  <c r="AB1597" i="9"/>
  <c r="AA1597" i="9"/>
  <c r="Z1596" i="9"/>
  <c r="AB1596" i="9"/>
  <c r="AA1596" i="9"/>
  <c r="Z1595" i="9"/>
  <c r="AB1595" i="9"/>
  <c r="AA1595" i="9"/>
  <c r="Z1594" i="9"/>
  <c r="AB1594" i="9"/>
  <c r="AA1594" i="9"/>
  <c r="Z1593" i="9"/>
  <c r="AB1593" i="9"/>
  <c r="AA1593" i="9"/>
  <c r="Z1592" i="9"/>
  <c r="AB1592" i="9"/>
  <c r="AA1592" i="9"/>
  <c r="Z1591" i="9"/>
  <c r="AB1591" i="9"/>
  <c r="AA1591" i="9"/>
  <c r="Z1590" i="9"/>
  <c r="AB1590" i="9"/>
  <c r="AA1590" i="9"/>
  <c r="Z1589" i="9"/>
  <c r="AB1589" i="9"/>
  <c r="AA1589" i="9"/>
  <c r="Z1588" i="9"/>
  <c r="AB1588" i="9"/>
  <c r="AA1588" i="9"/>
  <c r="Z1587" i="9"/>
  <c r="AB1587" i="9"/>
  <c r="AA1587" i="9"/>
  <c r="Z1586" i="9"/>
  <c r="AB1586" i="9"/>
  <c r="AA1586" i="9"/>
  <c r="Z1585" i="9"/>
  <c r="AB1585" i="9"/>
  <c r="AA1585" i="9"/>
  <c r="Z1584" i="9"/>
  <c r="AB1584" i="9"/>
  <c r="AA1584" i="9"/>
  <c r="Z1583" i="9"/>
  <c r="AB1583" i="9"/>
  <c r="AA1583" i="9"/>
  <c r="Z1582" i="9"/>
  <c r="AB1582" i="9"/>
  <c r="AA1582" i="9"/>
  <c r="Z1581" i="9"/>
  <c r="AB1581" i="9"/>
  <c r="AA1581" i="9"/>
  <c r="Z1580" i="9"/>
  <c r="AB1580" i="9"/>
  <c r="AA1580" i="9"/>
  <c r="Z1579" i="9"/>
  <c r="AB1579" i="9"/>
  <c r="AA1579" i="9"/>
  <c r="Z1578" i="9"/>
  <c r="AB1578" i="9"/>
  <c r="AA1578" i="9"/>
  <c r="Z1577" i="9"/>
  <c r="AB1577" i="9"/>
  <c r="AA1577" i="9"/>
  <c r="Z1576" i="9"/>
  <c r="AB1576" i="9"/>
  <c r="AA1576" i="9"/>
  <c r="Z1575" i="9"/>
  <c r="AB1575" i="9"/>
  <c r="AA1575" i="9"/>
  <c r="Z1574" i="9"/>
  <c r="AB1574" i="9"/>
  <c r="AA1574" i="9"/>
  <c r="Z1573" i="9"/>
  <c r="AB1573" i="9"/>
  <c r="AA1573" i="9"/>
  <c r="Z1572" i="9"/>
  <c r="AB1572" i="9"/>
  <c r="AA1572" i="9"/>
  <c r="Z1571" i="9"/>
  <c r="AB1571" i="9"/>
  <c r="AA1571" i="9"/>
  <c r="Z1570" i="9"/>
  <c r="AB1570" i="9"/>
  <c r="AA1570" i="9"/>
  <c r="Z1569" i="9"/>
  <c r="AB1569" i="9"/>
  <c r="AA1569" i="9"/>
  <c r="Z1568" i="9"/>
  <c r="AB1568" i="9"/>
  <c r="AA1568" i="9"/>
  <c r="Z1567" i="9"/>
  <c r="AB1567" i="9"/>
  <c r="AA1567" i="9"/>
  <c r="Z1566" i="9"/>
  <c r="AB1566" i="9"/>
  <c r="AA1566" i="9"/>
  <c r="Z1565" i="9"/>
  <c r="AB1565" i="9"/>
  <c r="AA1565" i="9"/>
  <c r="Z1564" i="9"/>
  <c r="AB1564" i="9"/>
  <c r="AA1564" i="9"/>
  <c r="Z1563" i="9"/>
  <c r="AB1563" i="9"/>
  <c r="AA1563" i="9"/>
  <c r="Z1562" i="9"/>
  <c r="AB1562" i="9"/>
  <c r="AA1562" i="9"/>
  <c r="Z1561" i="9"/>
  <c r="AB1561" i="9"/>
  <c r="AA1561" i="9"/>
  <c r="Z1560" i="9"/>
  <c r="AB1560" i="9"/>
  <c r="AA1560" i="9"/>
  <c r="Z1559" i="9"/>
  <c r="AB1559" i="9"/>
  <c r="AA1559" i="9"/>
  <c r="Z1558" i="9"/>
  <c r="AB1558" i="9"/>
  <c r="AA1558" i="9"/>
  <c r="Z1557" i="9"/>
  <c r="AB1557" i="9"/>
  <c r="AA1557" i="9"/>
  <c r="Z1556" i="9"/>
  <c r="AB1556" i="9"/>
  <c r="AA1556" i="9"/>
  <c r="Z1555" i="9"/>
  <c r="AB1555" i="9"/>
  <c r="AA1555" i="9"/>
  <c r="Z1554" i="9"/>
  <c r="AB1554" i="9"/>
  <c r="AA1554" i="9"/>
  <c r="Z1553" i="9"/>
  <c r="AB1553" i="9"/>
  <c r="AA1553" i="9"/>
  <c r="Z1552" i="9"/>
  <c r="AB1552" i="9"/>
  <c r="AA1552" i="9"/>
  <c r="Z1551" i="9"/>
  <c r="AB1551" i="9"/>
  <c r="AA1551" i="9"/>
  <c r="Z1550" i="9"/>
  <c r="AB1550" i="9"/>
  <c r="AA1550" i="9"/>
  <c r="Z1549" i="9"/>
  <c r="AB1549" i="9"/>
  <c r="AA1549" i="9"/>
  <c r="Z1548" i="9"/>
  <c r="AB1548" i="9"/>
  <c r="AA1548" i="9"/>
  <c r="Z1547" i="9"/>
  <c r="AB1547" i="9"/>
  <c r="AA1547" i="9"/>
  <c r="Z1546" i="9"/>
  <c r="AB1546" i="9"/>
  <c r="AA1546" i="9"/>
  <c r="Z1545" i="9"/>
  <c r="AB1545" i="9"/>
  <c r="AA1545" i="9"/>
  <c r="Z1544" i="9"/>
  <c r="AB1544" i="9"/>
  <c r="AA1544" i="9"/>
  <c r="Z1543" i="9"/>
  <c r="AB1543" i="9"/>
  <c r="AA1543" i="9"/>
  <c r="Z1542" i="9"/>
  <c r="AB1542" i="9"/>
  <c r="AA1542" i="9"/>
  <c r="Z1541" i="9"/>
  <c r="AB1541" i="9"/>
  <c r="AA1541" i="9"/>
  <c r="Z1540" i="9"/>
  <c r="AB1540" i="9"/>
  <c r="AA1540" i="9"/>
  <c r="Z1539" i="9"/>
  <c r="AB1539" i="9"/>
  <c r="AA1539" i="9"/>
  <c r="Z1538" i="9"/>
  <c r="AB1538" i="9"/>
  <c r="AA1538" i="9"/>
  <c r="Z1537" i="9"/>
  <c r="AB1537" i="9"/>
  <c r="AA1537" i="9"/>
  <c r="Z1536" i="9"/>
  <c r="AB1536" i="9"/>
  <c r="AA1536" i="9"/>
  <c r="Z1535" i="9"/>
  <c r="AB1535" i="9"/>
  <c r="AA1535" i="9"/>
  <c r="Z1534" i="9"/>
  <c r="AB1534" i="9"/>
  <c r="AA1534" i="9"/>
  <c r="Z1533" i="9"/>
  <c r="AB1533" i="9"/>
  <c r="AA1533" i="9"/>
  <c r="Z1532" i="9"/>
  <c r="AB1532" i="9"/>
  <c r="AA1532" i="9"/>
  <c r="Z1531" i="9"/>
  <c r="AB1531" i="9"/>
  <c r="AA1531" i="9"/>
  <c r="Z1530" i="9"/>
  <c r="AB1530" i="9"/>
  <c r="AA1530" i="9"/>
  <c r="Z1529" i="9"/>
  <c r="AB1529" i="9"/>
  <c r="AA1529" i="9"/>
  <c r="Z1528" i="9"/>
  <c r="AB1528" i="9"/>
  <c r="AA1528" i="9"/>
  <c r="Z1527" i="9"/>
  <c r="AB1527" i="9"/>
  <c r="AA1527" i="9"/>
  <c r="Z1526" i="9"/>
  <c r="AB1526" i="9"/>
  <c r="AA1526" i="9"/>
  <c r="Z1525" i="9"/>
  <c r="AB1525" i="9"/>
  <c r="AA1525" i="9"/>
  <c r="Z1524" i="9"/>
  <c r="AB1524" i="9"/>
  <c r="AA1524" i="9"/>
  <c r="Z1523" i="9"/>
  <c r="AB1523" i="9"/>
  <c r="AA1523" i="9"/>
  <c r="Z1522" i="9"/>
  <c r="AB1522" i="9"/>
  <c r="AA1522" i="9"/>
  <c r="AB1521" i="9"/>
  <c r="AA1521" i="9"/>
  <c r="Z1521" i="9"/>
  <c r="AB1520" i="9"/>
  <c r="AA1520" i="9"/>
  <c r="Z1520" i="9"/>
  <c r="AB1519" i="9"/>
  <c r="AA1519" i="9"/>
  <c r="Z1519" i="9"/>
  <c r="AB1518" i="9"/>
  <c r="AA1518" i="9"/>
  <c r="Z1518" i="9"/>
  <c r="AB1517" i="9"/>
  <c r="AA1517" i="9"/>
  <c r="Z1517" i="9"/>
  <c r="AB1516" i="9"/>
  <c r="AA1516" i="9"/>
  <c r="Z1516" i="9"/>
  <c r="AB1515" i="9"/>
  <c r="AA1515" i="9"/>
  <c r="Z1515" i="9"/>
  <c r="AB1514" i="9"/>
  <c r="AA1514" i="9"/>
  <c r="Z1514" i="9"/>
  <c r="AB1513" i="9"/>
  <c r="AA1513" i="9"/>
  <c r="Z1513" i="9"/>
  <c r="AB1512" i="9"/>
  <c r="AA1512" i="9"/>
  <c r="Z1512" i="9"/>
  <c r="AB1511" i="9"/>
  <c r="AA1511" i="9"/>
  <c r="Z1511" i="9"/>
  <c r="AB1510" i="9"/>
  <c r="AA1510" i="9"/>
  <c r="Z1510" i="9"/>
  <c r="AB1509" i="9"/>
  <c r="AA1509" i="9"/>
  <c r="Z1509" i="9"/>
  <c r="AB1508" i="9"/>
  <c r="AA1508" i="9"/>
  <c r="Z1508" i="9"/>
  <c r="AB1507" i="9"/>
  <c r="AA1507" i="9"/>
  <c r="Z1507" i="9"/>
  <c r="AB1506" i="9"/>
  <c r="AA1506" i="9"/>
  <c r="Z1506" i="9"/>
  <c r="AB1505" i="9"/>
  <c r="AA1505" i="9"/>
  <c r="Z1505" i="9"/>
  <c r="AB1504" i="9"/>
  <c r="AA1504" i="9"/>
  <c r="Z1504" i="9"/>
  <c r="AB1503" i="9"/>
  <c r="AA1503" i="9"/>
  <c r="Z1503" i="9"/>
  <c r="AB1502" i="9"/>
  <c r="AA1502" i="9"/>
  <c r="Z1502" i="9"/>
  <c r="AB1501" i="9"/>
  <c r="AA1501" i="9"/>
  <c r="Z1501" i="9"/>
  <c r="AB1500" i="9"/>
  <c r="AA1500" i="9"/>
  <c r="Z1500" i="9"/>
  <c r="AB1499" i="9"/>
  <c r="AA1499" i="9"/>
  <c r="Z1499" i="9"/>
  <c r="AB1498" i="9"/>
  <c r="AA1498" i="9"/>
  <c r="Z1498" i="9"/>
  <c r="AB1497" i="9"/>
  <c r="AA1497" i="9"/>
  <c r="Z1497" i="9"/>
  <c r="AB1496" i="9"/>
  <c r="AA1496" i="9"/>
  <c r="Z1496" i="9"/>
  <c r="AB1495" i="9"/>
  <c r="AA1495" i="9"/>
  <c r="Z1495" i="9"/>
  <c r="AB1494" i="9"/>
  <c r="AA1494" i="9"/>
  <c r="Z1494" i="9"/>
  <c r="AB1493" i="9"/>
  <c r="AA1493" i="9"/>
  <c r="Z1493" i="9"/>
  <c r="AB1492" i="9"/>
  <c r="AA1492" i="9"/>
  <c r="Z1492" i="9"/>
  <c r="AB1491" i="9"/>
  <c r="AA1491" i="9"/>
  <c r="Z1491" i="9"/>
  <c r="AB1490" i="9"/>
  <c r="AA1490" i="9"/>
  <c r="Z1490" i="9"/>
  <c r="AB1489" i="9"/>
  <c r="AA1489" i="9"/>
  <c r="Z1489" i="9"/>
  <c r="Z1488" i="9"/>
  <c r="AB1488" i="9"/>
  <c r="AA1488" i="9"/>
  <c r="Z1487" i="9"/>
  <c r="AB1487" i="9"/>
  <c r="AA1487" i="9"/>
  <c r="AB1486" i="9"/>
  <c r="AA1486" i="9"/>
  <c r="Z1486" i="9"/>
  <c r="Z1485" i="9"/>
  <c r="AB1485" i="9"/>
  <c r="AA1485" i="9"/>
  <c r="AB1484" i="9"/>
  <c r="AA1484" i="9"/>
  <c r="Z1484" i="9"/>
  <c r="Z1483" i="9"/>
  <c r="AB1483" i="9"/>
  <c r="AA1483" i="9"/>
  <c r="Z1482" i="9"/>
  <c r="AB1482" i="9"/>
  <c r="AA1482" i="9"/>
  <c r="Z1481" i="9"/>
  <c r="AB1481" i="9"/>
  <c r="AA1481" i="9"/>
  <c r="Z1480" i="9"/>
  <c r="AB1480" i="9"/>
  <c r="AA1480" i="9"/>
  <c r="AB1479" i="9"/>
  <c r="AA1479" i="9"/>
  <c r="Z1479" i="9"/>
  <c r="Z1478" i="9"/>
  <c r="AB1478" i="9"/>
  <c r="AA1478" i="9"/>
  <c r="AB1477" i="9"/>
  <c r="AA1477" i="9"/>
  <c r="Z1477" i="9"/>
  <c r="Z1476" i="9"/>
  <c r="AB1476" i="9"/>
  <c r="AA1476" i="9"/>
  <c r="Z1475" i="9"/>
  <c r="AB1475" i="9"/>
  <c r="AA1475" i="9"/>
  <c r="Z1474" i="9"/>
  <c r="AB1474" i="9"/>
  <c r="AA1474" i="9"/>
  <c r="AB1473" i="9"/>
  <c r="AA1473" i="9"/>
  <c r="Z1473" i="9"/>
  <c r="Z1472" i="9"/>
  <c r="AB1472" i="9"/>
  <c r="AA1472" i="9"/>
  <c r="Z1471" i="9"/>
  <c r="AB1471" i="9"/>
  <c r="AA1471" i="9"/>
  <c r="AB1470" i="9"/>
  <c r="AA1470" i="9"/>
  <c r="Z1470" i="9"/>
  <c r="Z1469" i="9"/>
  <c r="AB1469" i="9"/>
  <c r="AA1469" i="9"/>
  <c r="Z1468" i="9"/>
  <c r="AB1468" i="9"/>
  <c r="AA1468" i="9"/>
  <c r="Z1467" i="9"/>
  <c r="AB1467" i="9"/>
  <c r="AA1467" i="9"/>
  <c r="Z1466" i="9"/>
  <c r="AB1466" i="9"/>
  <c r="AA1466" i="9"/>
  <c r="Z1465" i="9"/>
  <c r="AB1465" i="9"/>
  <c r="AA1465" i="9"/>
  <c r="Z1464" i="9"/>
  <c r="AB1464" i="9"/>
  <c r="AA1464" i="9"/>
  <c r="Z1463" i="9"/>
  <c r="AB1463" i="9"/>
  <c r="AA1463" i="9"/>
  <c r="Z1462" i="9"/>
  <c r="AB1462" i="9"/>
  <c r="AA1462" i="9"/>
  <c r="Z1461" i="9"/>
  <c r="AB1461" i="9"/>
  <c r="AA1461" i="9"/>
  <c r="Z1460" i="9"/>
  <c r="AB1460" i="9"/>
  <c r="AA1460" i="9"/>
  <c r="Z1459" i="9"/>
  <c r="AB1459" i="9"/>
  <c r="AA1459" i="9"/>
  <c r="Z1458" i="9"/>
  <c r="AB1458" i="9"/>
  <c r="AA1458" i="9"/>
  <c r="Z1457" i="9"/>
  <c r="AB1457" i="9"/>
  <c r="AA1457" i="9"/>
  <c r="Z1456" i="9"/>
  <c r="AB1456" i="9"/>
  <c r="AA1456" i="9"/>
  <c r="Z1455" i="9"/>
  <c r="AB1455" i="9"/>
  <c r="AA1455" i="9"/>
  <c r="Z1454" i="9"/>
  <c r="AB1454" i="9"/>
  <c r="AA1454" i="9"/>
  <c r="Z1453" i="9"/>
  <c r="AB1453" i="9"/>
  <c r="AA1453" i="9"/>
  <c r="Z1452" i="9"/>
  <c r="AB1452" i="9"/>
  <c r="AA1452" i="9"/>
  <c r="Z1451" i="9"/>
  <c r="AB1451" i="9"/>
  <c r="AA1451" i="9"/>
  <c r="Z1450" i="9"/>
  <c r="AB1450" i="9"/>
  <c r="AA1450" i="9"/>
  <c r="Z1449" i="9"/>
  <c r="AB1449" i="9"/>
  <c r="AA1449" i="9"/>
  <c r="Z1448" i="9"/>
  <c r="AB1448" i="9"/>
  <c r="AA1448" i="9"/>
  <c r="Z1447" i="9"/>
  <c r="AB1447" i="9"/>
  <c r="AA1447" i="9"/>
  <c r="Z1446" i="9"/>
  <c r="AB1446" i="9"/>
  <c r="AA1446" i="9"/>
  <c r="Z1445" i="9"/>
  <c r="AB1445" i="9"/>
  <c r="AA1445" i="9"/>
  <c r="Z1444" i="9"/>
  <c r="AB1444" i="9"/>
  <c r="AA1444" i="9"/>
  <c r="Z1443" i="9"/>
  <c r="AB1443" i="9"/>
  <c r="AA1443" i="9"/>
  <c r="Z1442" i="9"/>
  <c r="AB1442" i="9"/>
  <c r="AA1442" i="9"/>
  <c r="Z1441" i="9"/>
  <c r="AB1441" i="9"/>
  <c r="AA1441" i="9"/>
  <c r="Z1440" i="9"/>
  <c r="AB1440" i="9"/>
  <c r="AA1440" i="9"/>
  <c r="Z1439" i="9"/>
  <c r="AB1439" i="9"/>
  <c r="AA1439" i="9"/>
  <c r="Z1438" i="9"/>
  <c r="AB1438" i="9"/>
  <c r="AA1438" i="9"/>
  <c r="Z1437" i="9"/>
  <c r="AB1437" i="9"/>
  <c r="AA1437" i="9"/>
  <c r="Z1436" i="9"/>
  <c r="AB1436" i="9"/>
  <c r="AA1436" i="9"/>
  <c r="Z1435" i="9"/>
  <c r="AB1435" i="9"/>
  <c r="AA1435" i="9"/>
  <c r="Z1434" i="9"/>
  <c r="AB1434" i="9"/>
  <c r="AA1434" i="9"/>
  <c r="Z1433" i="9"/>
  <c r="AB1433" i="9"/>
  <c r="AA1433" i="9"/>
  <c r="Z1432" i="9"/>
  <c r="AB1432" i="9"/>
  <c r="AA1432" i="9"/>
  <c r="Z1431" i="9"/>
  <c r="AB1431" i="9"/>
  <c r="AA1431" i="9"/>
  <c r="Z1430" i="9"/>
  <c r="AB1430" i="9"/>
  <c r="AA1430" i="9"/>
  <c r="Z1429" i="9"/>
  <c r="AB1429" i="9"/>
  <c r="AA1429" i="9"/>
  <c r="Z1428" i="9"/>
  <c r="AB1428" i="9"/>
  <c r="AA1428" i="9"/>
  <c r="Z1427" i="9"/>
  <c r="AB1427" i="9"/>
  <c r="AA1427" i="9"/>
  <c r="Z1426" i="9"/>
  <c r="AB1426" i="9"/>
  <c r="AA1426" i="9"/>
  <c r="Z1425" i="9"/>
  <c r="AB1425" i="9"/>
  <c r="AA1425" i="9"/>
  <c r="Z1424" i="9"/>
  <c r="AB1424" i="9"/>
  <c r="AA1424" i="9"/>
  <c r="Z1423" i="9"/>
  <c r="AB1423" i="9"/>
  <c r="AA1423" i="9"/>
  <c r="Z1422" i="9"/>
  <c r="AB1422" i="9"/>
  <c r="AA1422" i="9"/>
  <c r="Z1421" i="9"/>
  <c r="AB1421" i="9"/>
  <c r="AA1421" i="9"/>
  <c r="Z1420" i="9"/>
  <c r="AB1420" i="9"/>
  <c r="AA1420" i="9"/>
  <c r="Z1419" i="9"/>
  <c r="AB1419" i="9"/>
  <c r="AA1419" i="9"/>
  <c r="Z1418" i="9"/>
  <c r="AB1418" i="9"/>
  <c r="AA1418" i="9"/>
  <c r="Z1417" i="9"/>
  <c r="AB1417" i="9"/>
  <c r="AA1417" i="9"/>
  <c r="Z1416" i="9"/>
  <c r="AB1416" i="9"/>
  <c r="AA1416" i="9"/>
  <c r="Z1415" i="9"/>
  <c r="AB1415" i="9"/>
  <c r="AA1415" i="9"/>
  <c r="Z1414" i="9"/>
  <c r="AB1414" i="9"/>
  <c r="AA1414" i="9"/>
  <c r="Z1413" i="9"/>
  <c r="AB1413" i="9"/>
  <c r="AA1413" i="9"/>
  <c r="Z1412" i="9"/>
  <c r="AB1412" i="9"/>
  <c r="AA1412" i="9"/>
  <c r="Z1411" i="9"/>
  <c r="AB1411" i="9"/>
  <c r="AA1411" i="9"/>
  <c r="Z1410" i="9"/>
  <c r="AB1410" i="9"/>
  <c r="AA1410" i="9"/>
  <c r="Z1409" i="9"/>
  <c r="AB1409" i="9"/>
  <c r="AA1409" i="9"/>
  <c r="Z1408" i="9"/>
  <c r="AB1408" i="9"/>
  <c r="AA1408" i="9"/>
  <c r="Z1407" i="9"/>
  <c r="AB1407" i="9"/>
  <c r="AA1407" i="9"/>
  <c r="Z1406" i="9"/>
  <c r="AB1406" i="9"/>
  <c r="AA1406" i="9"/>
  <c r="Z1405" i="9"/>
  <c r="AB1405" i="9"/>
  <c r="AA1405" i="9"/>
  <c r="Z1404" i="9"/>
  <c r="AB1404" i="9"/>
  <c r="AA1404" i="9"/>
  <c r="Z1403" i="9"/>
  <c r="AB1403" i="9"/>
  <c r="AA1403" i="9"/>
  <c r="Z1402" i="9"/>
  <c r="AB1402" i="9"/>
  <c r="AA1402" i="9"/>
  <c r="Z1401" i="9"/>
  <c r="AB1401" i="9"/>
  <c r="AA1401" i="9"/>
  <c r="Z1400" i="9"/>
  <c r="AB1400" i="9"/>
  <c r="AA1400" i="9"/>
  <c r="Z1399" i="9"/>
  <c r="AB1399" i="9"/>
  <c r="AA1399" i="9"/>
  <c r="Z1398" i="9"/>
  <c r="AB1398" i="9"/>
  <c r="AA1398" i="9"/>
  <c r="Z1397" i="9"/>
  <c r="AB1397" i="9"/>
  <c r="AA1397" i="9"/>
  <c r="Z1396" i="9"/>
  <c r="AB1396" i="9"/>
  <c r="AA1396" i="9"/>
  <c r="Z1395" i="9"/>
  <c r="AB1395" i="9"/>
  <c r="AA1395" i="9"/>
  <c r="Z1394" i="9"/>
  <c r="AB1394" i="9"/>
  <c r="AA1394" i="9"/>
  <c r="Z1393" i="9"/>
  <c r="AB1393" i="9"/>
  <c r="AA1393" i="9"/>
  <c r="Z1392" i="9"/>
  <c r="AB1392" i="9"/>
  <c r="AA1392" i="9"/>
  <c r="Z1391" i="9"/>
  <c r="AB1391" i="9"/>
  <c r="AA1391" i="9"/>
  <c r="Z1390" i="9"/>
  <c r="AB1390" i="9"/>
  <c r="AA1390" i="9"/>
  <c r="Z1389" i="9"/>
  <c r="AB1389" i="9"/>
  <c r="AA1389" i="9"/>
  <c r="Z1388" i="9"/>
  <c r="AB1388" i="9"/>
  <c r="AA1388" i="9"/>
  <c r="Z1387" i="9"/>
  <c r="AB1387" i="9"/>
  <c r="AA1387" i="9"/>
  <c r="Z1386" i="9"/>
  <c r="AB1386" i="9"/>
  <c r="AA1386" i="9"/>
  <c r="Z1385" i="9"/>
  <c r="AB1385" i="9"/>
  <c r="AA1385" i="9"/>
  <c r="AB1384" i="9"/>
  <c r="AA1384" i="9"/>
  <c r="AB1383" i="9"/>
  <c r="AA1383" i="9"/>
  <c r="Z1382" i="9"/>
  <c r="AB1382" i="9"/>
  <c r="AA1382" i="9"/>
  <c r="AB1381" i="9"/>
  <c r="AA1381" i="9"/>
  <c r="Z1380" i="9"/>
  <c r="AB1380" i="9"/>
  <c r="AA1380" i="9"/>
  <c r="AB1379" i="9"/>
  <c r="AA1379" i="9"/>
  <c r="AB1378" i="9"/>
  <c r="AA1378" i="9"/>
  <c r="AB1377" i="9"/>
  <c r="AA1377" i="9"/>
  <c r="Z1376" i="9"/>
  <c r="AB1376" i="9"/>
  <c r="AA1376" i="9"/>
  <c r="Z1375" i="9"/>
  <c r="AB1375" i="9"/>
  <c r="AA1375" i="9"/>
  <c r="AB1374" i="9"/>
  <c r="AA1374" i="9"/>
  <c r="Z1373" i="9"/>
  <c r="AB1373" i="9"/>
  <c r="AA1373" i="9"/>
  <c r="Z1372" i="9"/>
  <c r="AB1372" i="9"/>
  <c r="AA1372" i="9"/>
  <c r="AB1371" i="9"/>
  <c r="AA1371" i="9"/>
  <c r="Z1370" i="9"/>
  <c r="AB1370" i="9"/>
  <c r="AA1370" i="9"/>
  <c r="Z1369" i="9"/>
  <c r="AB1369" i="9"/>
  <c r="AA1369" i="9"/>
  <c r="AB1368" i="9"/>
  <c r="AA1368" i="9"/>
  <c r="AB1367" i="9"/>
  <c r="AA1367" i="9"/>
  <c r="Z1366" i="9"/>
  <c r="AB1366" i="9"/>
  <c r="AA1366" i="9"/>
  <c r="AB1365" i="9"/>
  <c r="AA1365" i="9"/>
  <c r="Z1364" i="9"/>
  <c r="AB1364" i="9"/>
  <c r="AA1364" i="9"/>
  <c r="Z1363" i="9"/>
  <c r="AB1363" i="9"/>
  <c r="AA1363" i="9"/>
  <c r="Z1362" i="9"/>
  <c r="AB1362" i="9"/>
  <c r="AA1362" i="9"/>
  <c r="Z1361" i="9"/>
  <c r="AB1361" i="9"/>
  <c r="AA1361" i="9"/>
  <c r="Z1360" i="9"/>
  <c r="AB1360" i="9"/>
  <c r="AA1360" i="9"/>
  <c r="AB1359" i="9"/>
  <c r="AA1359" i="9"/>
  <c r="Z1358" i="9"/>
  <c r="AB1358" i="9"/>
  <c r="AA1358" i="9"/>
  <c r="AB1357" i="9"/>
  <c r="AA1357" i="9"/>
  <c r="Z1356" i="9"/>
  <c r="AB1356" i="9"/>
  <c r="AA1356" i="9"/>
  <c r="Z1355" i="9"/>
  <c r="AB1355" i="9"/>
  <c r="AA1355" i="9"/>
  <c r="AB1354" i="9"/>
  <c r="AA1354" i="9"/>
  <c r="Z1353" i="9"/>
  <c r="AB1353" i="9"/>
  <c r="AA1353" i="9"/>
  <c r="Z1352" i="9"/>
  <c r="AB1352" i="9"/>
  <c r="AA1352" i="9"/>
  <c r="Z1351" i="9"/>
  <c r="AB1351" i="9"/>
  <c r="AA1351" i="9"/>
  <c r="Z1350" i="9"/>
  <c r="AB1350" i="9"/>
  <c r="AA1350" i="9"/>
  <c r="AB1349" i="9"/>
  <c r="AA1349" i="9"/>
  <c r="Z1348" i="9"/>
  <c r="AB1348" i="9"/>
  <c r="AA1348" i="9"/>
  <c r="AB1347" i="9"/>
  <c r="AA1347" i="9"/>
  <c r="Z1346" i="9"/>
  <c r="AB1346" i="9"/>
  <c r="AA1346" i="9"/>
  <c r="Z1345" i="9"/>
  <c r="AB1345" i="9"/>
  <c r="AA1345" i="9"/>
  <c r="Z1344" i="9"/>
  <c r="AB1344" i="9"/>
  <c r="AA1344" i="9"/>
  <c r="Z1343" i="9"/>
  <c r="AB1343" i="9"/>
  <c r="AA1343" i="9"/>
  <c r="Z1342" i="9"/>
  <c r="AB1342" i="9"/>
  <c r="AA1342" i="9"/>
  <c r="AB1341" i="9"/>
  <c r="AA1341" i="9"/>
  <c r="Z1340" i="9"/>
  <c r="AB1340" i="9"/>
  <c r="AA1340" i="9"/>
  <c r="AB1339" i="9"/>
  <c r="AA1339" i="9"/>
  <c r="Z1338" i="9"/>
  <c r="AB1338" i="9"/>
  <c r="AA1338" i="9"/>
  <c r="Z1337" i="9"/>
  <c r="AB1337" i="9"/>
  <c r="AA1337" i="9"/>
  <c r="AB1336" i="9"/>
  <c r="AA1336" i="9"/>
  <c r="Z1335" i="9"/>
  <c r="AB1335" i="9"/>
  <c r="AA1335" i="9"/>
  <c r="Z1334" i="9"/>
  <c r="AB1334" i="9"/>
  <c r="AA1334" i="9"/>
  <c r="Z1333" i="9"/>
  <c r="AB1333" i="9"/>
  <c r="AA1333" i="9"/>
  <c r="Z1332" i="9"/>
  <c r="AB1332" i="9"/>
  <c r="AA1332" i="9"/>
  <c r="Z1331" i="9"/>
  <c r="AB1331" i="9"/>
  <c r="AA1331" i="9"/>
  <c r="Z1330" i="9"/>
  <c r="AB1330" i="9"/>
  <c r="AA1330" i="9"/>
  <c r="Z1329" i="9"/>
  <c r="AB1329" i="9"/>
  <c r="AA1329" i="9"/>
  <c r="Z1328" i="9"/>
  <c r="AB1328" i="9"/>
  <c r="AA1328" i="9"/>
  <c r="Z1327" i="9"/>
  <c r="AB1327" i="9"/>
  <c r="AA1327" i="9"/>
  <c r="Z1326" i="9"/>
  <c r="AB1326" i="9"/>
  <c r="AA1326" i="9"/>
  <c r="Z1325" i="9"/>
  <c r="AB1325" i="9"/>
  <c r="AA1325" i="9"/>
  <c r="Z1324" i="9"/>
  <c r="AB1324" i="9"/>
  <c r="AA1324" i="9"/>
  <c r="Z1323" i="9"/>
  <c r="AB1323" i="9"/>
  <c r="AA1323" i="9"/>
  <c r="Z1322" i="9"/>
  <c r="AB1322" i="9"/>
  <c r="AA1322" i="9"/>
  <c r="Z1321" i="9"/>
  <c r="AB1321" i="9"/>
  <c r="AA1321" i="9"/>
  <c r="Z1320" i="9"/>
  <c r="AB1320" i="9"/>
  <c r="AA1320" i="9"/>
  <c r="Z1319" i="9"/>
  <c r="AB1319" i="9"/>
  <c r="AA1319" i="9"/>
  <c r="Z1318" i="9"/>
  <c r="AB1318" i="9"/>
  <c r="AA1318" i="9"/>
  <c r="Z1317" i="9"/>
  <c r="AB1317" i="9"/>
  <c r="AA1317" i="9"/>
  <c r="Z1316" i="9"/>
  <c r="AB1316" i="9"/>
  <c r="AA1316" i="9"/>
  <c r="Z1315" i="9"/>
  <c r="AB1315" i="9"/>
  <c r="AA1315" i="9"/>
  <c r="Z1314" i="9"/>
  <c r="AB1314" i="9"/>
  <c r="AA1314" i="9"/>
  <c r="Z1313" i="9"/>
  <c r="AB1313" i="9"/>
  <c r="AA1313" i="9"/>
  <c r="Z1312" i="9"/>
  <c r="AB1312" i="9"/>
  <c r="AA1312" i="9"/>
  <c r="Z1311" i="9"/>
  <c r="AB1311" i="9"/>
  <c r="AA1311" i="9"/>
  <c r="Z1310" i="9"/>
  <c r="AB1310" i="9"/>
  <c r="AA1310" i="9"/>
  <c r="Z1309" i="9"/>
  <c r="AB1309" i="9"/>
  <c r="AA1309" i="9"/>
  <c r="Z1308" i="9"/>
  <c r="AB1308" i="9"/>
  <c r="AA1308" i="9"/>
  <c r="Z1307" i="9"/>
  <c r="AB1307" i="9"/>
  <c r="AA1307" i="9"/>
  <c r="Z1306" i="9"/>
  <c r="AB1306" i="9"/>
  <c r="AA1306" i="9"/>
  <c r="Z1305" i="9"/>
  <c r="AB1305" i="9"/>
  <c r="AA1305" i="9"/>
  <c r="Z1304" i="9"/>
  <c r="AB1304" i="9"/>
  <c r="AA1304" i="9"/>
  <c r="Z1303" i="9"/>
  <c r="AB1303" i="9"/>
  <c r="AA1303" i="9"/>
  <c r="Z1302" i="9"/>
  <c r="AB1302" i="9"/>
  <c r="AA1302" i="9"/>
  <c r="Z1301" i="9"/>
  <c r="AB1301" i="9"/>
  <c r="AA1301" i="9"/>
  <c r="Z1300" i="9"/>
  <c r="AB1300" i="9"/>
  <c r="AA1300" i="9"/>
  <c r="Z1299" i="9"/>
  <c r="AB1299" i="9"/>
  <c r="AA1299" i="9"/>
  <c r="Z1298" i="9"/>
  <c r="AB1298" i="9"/>
  <c r="AA1298" i="9"/>
  <c r="Z1297" i="9"/>
  <c r="AB1297" i="9"/>
  <c r="AA1297" i="9"/>
  <c r="Z1296" i="9"/>
  <c r="AB1296" i="9"/>
  <c r="AA1296" i="9"/>
  <c r="Z1295" i="9"/>
  <c r="AB1295" i="9"/>
  <c r="AA1295" i="9"/>
  <c r="Z1294" i="9"/>
  <c r="AB1294" i="9"/>
  <c r="AA1294" i="9"/>
  <c r="Z1293" i="9"/>
  <c r="AB1293" i="9"/>
  <c r="AA1293" i="9"/>
  <c r="AB1292" i="9"/>
  <c r="AA1292" i="9"/>
  <c r="Z1291" i="9"/>
  <c r="AB1291" i="9"/>
  <c r="AA1291" i="9"/>
  <c r="Z1290" i="9"/>
  <c r="AB1290" i="9"/>
  <c r="AA1290" i="9"/>
  <c r="Z1289" i="9"/>
  <c r="AB1289" i="9"/>
  <c r="AA1289" i="9"/>
  <c r="Z1288" i="9"/>
  <c r="AB1288" i="9"/>
  <c r="AA1288" i="9"/>
  <c r="AB1287" i="9"/>
  <c r="AA1287" i="9"/>
  <c r="Z1286" i="9"/>
  <c r="AB1286" i="9"/>
  <c r="AA1286" i="9"/>
  <c r="AB1285" i="9"/>
  <c r="AA1285" i="9"/>
  <c r="AB1284" i="9"/>
  <c r="AA1284" i="9"/>
  <c r="AB1283" i="9"/>
  <c r="AA1283" i="9"/>
  <c r="Z1282" i="9"/>
  <c r="AB1282" i="9"/>
  <c r="AA1282" i="9"/>
  <c r="AB1281" i="9"/>
  <c r="AA1281" i="9"/>
  <c r="Z1280" i="9"/>
  <c r="AB1280" i="9"/>
  <c r="AA1280" i="9"/>
  <c r="Z1279" i="9"/>
  <c r="AB1279" i="9"/>
  <c r="AA1279" i="9"/>
  <c r="AB1278" i="9"/>
  <c r="AA1278" i="9"/>
  <c r="Z1277" i="9"/>
  <c r="AB1277" i="9"/>
  <c r="AA1277" i="9"/>
  <c r="AB1276" i="9"/>
  <c r="AA1276" i="9"/>
  <c r="AB1275" i="9"/>
  <c r="AA1275" i="9"/>
  <c r="Z1274" i="9"/>
  <c r="AB1274" i="9"/>
  <c r="AA1274" i="9"/>
  <c r="AB1273" i="9"/>
  <c r="AA1273" i="9"/>
  <c r="Z1272" i="9"/>
  <c r="AB1272" i="9"/>
  <c r="AA1272" i="9"/>
  <c r="Z1271" i="9"/>
  <c r="AB1271" i="9"/>
  <c r="AA1271" i="9"/>
  <c r="Z1270" i="9"/>
  <c r="AB1270" i="9"/>
  <c r="AA1270" i="9"/>
  <c r="AB1269" i="9"/>
  <c r="AA1269" i="9"/>
  <c r="Z1268" i="9"/>
  <c r="AB1268" i="9"/>
  <c r="AA1268" i="9"/>
  <c r="AB1267" i="9"/>
  <c r="AA1267" i="9"/>
  <c r="AB1266" i="9"/>
  <c r="AA1266" i="9"/>
  <c r="AB1265" i="9"/>
  <c r="AA1265" i="9"/>
  <c r="Z1264" i="9"/>
  <c r="AB1264" i="9"/>
  <c r="AA1264" i="9"/>
  <c r="AB1263" i="9"/>
  <c r="AA1263" i="9"/>
  <c r="Z1262" i="9"/>
  <c r="AB1262" i="9"/>
  <c r="AA1262" i="9"/>
  <c r="Z1261" i="9"/>
  <c r="AB1261" i="9"/>
  <c r="AA1261" i="9"/>
  <c r="AB1260" i="9"/>
  <c r="AA1260" i="9"/>
  <c r="Z1259" i="9"/>
  <c r="AB1259" i="9"/>
  <c r="AA1259" i="9"/>
  <c r="AB1258" i="9"/>
  <c r="AA1258" i="9"/>
  <c r="Z1257" i="9"/>
  <c r="AB1257" i="9"/>
  <c r="AA1257" i="9"/>
  <c r="Z1256" i="9"/>
  <c r="AB1256" i="9"/>
  <c r="AA1256" i="9"/>
  <c r="Z1255" i="9"/>
  <c r="AB1255" i="9"/>
  <c r="AA1255" i="9"/>
  <c r="AB1254" i="9"/>
  <c r="AA1254" i="9"/>
  <c r="Z1253" i="9"/>
  <c r="AB1253" i="9"/>
  <c r="AA1253" i="9"/>
  <c r="Z1252" i="9"/>
  <c r="AB1252" i="9"/>
  <c r="AA1252" i="9"/>
  <c r="Z1251" i="9"/>
  <c r="AB1251" i="9"/>
  <c r="AA1251" i="9"/>
  <c r="Z1250" i="9"/>
  <c r="AB1250" i="9"/>
  <c r="AA1250" i="9"/>
  <c r="AB1249" i="9"/>
  <c r="AA1249" i="9"/>
  <c r="Z1248" i="9"/>
  <c r="AB1248" i="9"/>
  <c r="AA1248" i="9"/>
  <c r="AB1247" i="9"/>
  <c r="AA1247" i="9"/>
  <c r="AB1246" i="9"/>
  <c r="AA1246" i="9"/>
  <c r="AB1245" i="9"/>
  <c r="AA1245" i="9"/>
  <c r="Z1244" i="9"/>
  <c r="AB1244" i="9"/>
  <c r="AA1244" i="9"/>
  <c r="AB1243" i="9"/>
  <c r="AA1243" i="9"/>
  <c r="Z1242" i="9"/>
  <c r="AB1242" i="9"/>
  <c r="AA1242" i="9"/>
  <c r="Z1241" i="9"/>
  <c r="AB1241" i="9"/>
  <c r="AA1241" i="9"/>
  <c r="AB1240" i="9"/>
  <c r="AA1240" i="9"/>
  <c r="Z1239" i="9"/>
  <c r="AB1239" i="9"/>
  <c r="AA1239" i="9"/>
  <c r="AB1238" i="9"/>
  <c r="AA1238" i="9"/>
  <c r="AB1237" i="9"/>
  <c r="AA1237" i="9"/>
  <c r="Z1236" i="9"/>
  <c r="AB1236" i="9"/>
  <c r="AA1236" i="9"/>
  <c r="AB1235" i="9"/>
  <c r="AA1235" i="9"/>
  <c r="Z1234" i="9"/>
  <c r="AB1234" i="9"/>
  <c r="AA1234" i="9"/>
  <c r="Z1233" i="9"/>
  <c r="AB1233" i="9"/>
  <c r="AA1233" i="9"/>
  <c r="Z1232" i="9"/>
  <c r="AB1232" i="9"/>
  <c r="AA1232" i="9"/>
  <c r="AB1231" i="9"/>
  <c r="AA1231" i="9"/>
  <c r="Z1230" i="9"/>
  <c r="AB1230" i="9"/>
  <c r="AA1230" i="9"/>
  <c r="AB1229" i="9"/>
  <c r="AA1229" i="9"/>
  <c r="AB1228" i="9"/>
  <c r="AA1228" i="9"/>
  <c r="AB1227" i="9"/>
  <c r="AA1227" i="9"/>
  <c r="Z1226" i="9"/>
  <c r="AB1226" i="9"/>
  <c r="AA1226" i="9"/>
  <c r="AB1225" i="9"/>
  <c r="AA1225" i="9"/>
  <c r="Z1224" i="9"/>
  <c r="AB1224" i="9"/>
  <c r="AA1224" i="9"/>
  <c r="Z1223" i="9"/>
  <c r="AB1223" i="9"/>
  <c r="AA1223" i="9"/>
  <c r="AB1222" i="9"/>
  <c r="AA1222" i="9"/>
  <c r="Z1221" i="9"/>
  <c r="AB1221" i="9"/>
  <c r="AA1221" i="9"/>
  <c r="AB1220" i="9"/>
  <c r="AA1220" i="9"/>
  <c r="AB1219" i="9"/>
  <c r="AA1219" i="9"/>
  <c r="Z1219" i="9"/>
  <c r="Z1218" i="9"/>
  <c r="AB1218" i="9"/>
  <c r="AA1218" i="9"/>
  <c r="Z1217" i="9"/>
  <c r="AB1217" i="9"/>
  <c r="AA1217" i="9"/>
  <c r="Z1216" i="9"/>
  <c r="AB1216" i="9"/>
  <c r="AA1216" i="9"/>
  <c r="Z1215" i="9"/>
  <c r="AB1215" i="9"/>
  <c r="AA1215" i="9"/>
  <c r="Z1214" i="9"/>
  <c r="AB1214" i="9"/>
  <c r="AA1214" i="9"/>
  <c r="Z1213" i="9"/>
  <c r="AB1213" i="9"/>
  <c r="AA1213" i="9"/>
  <c r="Z1212" i="9"/>
  <c r="AB1212" i="9"/>
  <c r="AA1212" i="9"/>
  <c r="Z1211" i="9"/>
  <c r="AB1211" i="9"/>
  <c r="AA1211" i="9"/>
  <c r="Z1210" i="9"/>
  <c r="AB1210" i="9"/>
  <c r="AA1210" i="9"/>
  <c r="Z1209" i="9"/>
  <c r="AB1209" i="9"/>
  <c r="AA1209" i="9"/>
  <c r="Z1208" i="9"/>
  <c r="AB1208" i="9"/>
  <c r="AA1208" i="9"/>
  <c r="Z1207" i="9"/>
  <c r="AB1207" i="9"/>
  <c r="AA1207" i="9"/>
  <c r="Z1206" i="9"/>
  <c r="AB1206" i="9"/>
  <c r="AA1206" i="9"/>
  <c r="Z1205" i="9"/>
  <c r="AB1205" i="9"/>
  <c r="AA1205" i="9"/>
  <c r="Z1204" i="9"/>
  <c r="AB1204" i="9"/>
  <c r="AA1204" i="9"/>
  <c r="Z1203" i="9"/>
  <c r="AB1203" i="9"/>
  <c r="AA1203" i="9"/>
  <c r="Z1202" i="9"/>
  <c r="AB1202" i="9"/>
  <c r="AA1202" i="9"/>
  <c r="Z1201" i="9"/>
  <c r="AB1201" i="9"/>
  <c r="AA1201" i="9"/>
  <c r="Z1200" i="9"/>
  <c r="AB1200" i="9"/>
  <c r="AA1200" i="9"/>
  <c r="Z1199" i="9"/>
  <c r="AB1199" i="9"/>
  <c r="AA1199" i="9"/>
  <c r="Z1198" i="9"/>
  <c r="AB1198" i="9"/>
  <c r="AA1198" i="9"/>
  <c r="Z1197" i="9"/>
  <c r="AB1197" i="9"/>
  <c r="AA1197" i="9"/>
  <c r="Z1196" i="9"/>
  <c r="AB1196" i="9"/>
  <c r="AA1196" i="9"/>
  <c r="Z1195" i="9"/>
  <c r="AB1195" i="9"/>
  <c r="AA1195" i="9"/>
  <c r="Z1194" i="9"/>
  <c r="AB1194" i="9"/>
  <c r="AA1194" i="9"/>
  <c r="Z1193" i="9"/>
  <c r="AB1193" i="9"/>
  <c r="AA1193" i="9"/>
  <c r="Z1192" i="9"/>
  <c r="AB1192" i="9"/>
  <c r="AA1192" i="9"/>
  <c r="Z1191" i="9"/>
  <c r="AB1191" i="9"/>
  <c r="AA1191" i="9"/>
  <c r="Z1190" i="9"/>
  <c r="AB1190" i="9"/>
  <c r="AA1190" i="9"/>
  <c r="Z1189" i="9"/>
  <c r="AB1189" i="9"/>
  <c r="AA1189" i="9"/>
  <c r="Z1188" i="9"/>
  <c r="AB1188" i="9"/>
  <c r="AA1188" i="9"/>
  <c r="Z1187" i="9"/>
  <c r="AB1187" i="9"/>
  <c r="AA1187" i="9"/>
  <c r="Z1186" i="9"/>
  <c r="AB1186" i="9"/>
  <c r="AA1186" i="9"/>
  <c r="Z1185" i="9"/>
  <c r="AB1185" i="9"/>
  <c r="AA1185" i="9"/>
  <c r="Z1184" i="9"/>
  <c r="AB1184" i="9"/>
  <c r="AA1184" i="9"/>
  <c r="Z1183" i="9"/>
  <c r="AB1183" i="9"/>
  <c r="AA1183" i="9"/>
  <c r="Z1182" i="9"/>
  <c r="AB1182" i="9"/>
  <c r="AA1182" i="9"/>
  <c r="Z1181" i="9"/>
  <c r="AB1181" i="9"/>
  <c r="AA1181" i="9"/>
  <c r="Z1180" i="9"/>
  <c r="AB1180" i="9"/>
  <c r="AA1180" i="9"/>
  <c r="AB1179" i="9"/>
  <c r="AA1179" i="9"/>
  <c r="Z1178" i="9"/>
  <c r="AB1178" i="9"/>
  <c r="AA1178" i="9"/>
  <c r="AB1177" i="9"/>
  <c r="AA1177" i="9"/>
  <c r="Z1176" i="9"/>
  <c r="AB1176" i="9"/>
  <c r="AA1176" i="9"/>
  <c r="Z1175" i="9"/>
  <c r="AB1175" i="9"/>
  <c r="AA1175" i="9"/>
  <c r="AB1174" i="9"/>
  <c r="AA1174" i="9"/>
  <c r="Z1173" i="9"/>
  <c r="AB1173" i="9"/>
  <c r="AA1173" i="9"/>
  <c r="Z1172" i="9"/>
  <c r="AB1172" i="9"/>
  <c r="AA1172" i="9"/>
  <c r="AB1171" i="9"/>
  <c r="AA1171" i="9"/>
  <c r="Z1170" i="9"/>
  <c r="AB1170" i="9"/>
  <c r="AA1170" i="9"/>
  <c r="Z1169" i="9"/>
  <c r="AB1169" i="9"/>
  <c r="AA1169" i="9"/>
  <c r="AB1168" i="9"/>
  <c r="AA1168" i="9"/>
  <c r="AB1167" i="9"/>
  <c r="AA1167" i="9"/>
  <c r="Z1166" i="9"/>
  <c r="AB1166" i="9"/>
  <c r="AA1166" i="9"/>
  <c r="AB1165" i="9"/>
  <c r="AA1165" i="9"/>
  <c r="Z1164" i="9"/>
  <c r="AB1164" i="9"/>
  <c r="AA1164" i="9"/>
  <c r="Z1163" i="9"/>
  <c r="AB1163" i="9"/>
  <c r="AA1163" i="9"/>
  <c r="Z1162" i="9"/>
  <c r="AB1162" i="9"/>
  <c r="AA1162" i="9"/>
  <c r="AB1161" i="9"/>
  <c r="AA1161" i="9"/>
  <c r="AB1160" i="9"/>
  <c r="AA1160" i="9"/>
  <c r="Z1159" i="9"/>
  <c r="AB1159" i="9"/>
  <c r="AA1159" i="9"/>
  <c r="AB1158" i="9"/>
  <c r="AA1158" i="9"/>
  <c r="Z1157" i="9"/>
  <c r="AB1157" i="9"/>
  <c r="AA1157" i="9"/>
  <c r="Z1156" i="9"/>
  <c r="AB1156" i="9"/>
  <c r="AA1156" i="9"/>
  <c r="AB1155" i="9"/>
  <c r="AA1155" i="9"/>
  <c r="Z1154" i="9"/>
  <c r="AB1154" i="9"/>
  <c r="AA1154" i="9"/>
  <c r="AB1153" i="9"/>
  <c r="AA1153" i="9"/>
  <c r="AB1152" i="9"/>
  <c r="AA1152" i="9"/>
  <c r="Z1151" i="9"/>
  <c r="AB1151" i="9"/>
  <c r="AA1151" i="9"/>
  <c r="AB1150" i="9"/>
  <c r="AA1150" i="9"/>
  <c r="Z1149" i="9"/>
  <c r="AB1149" i="9"/>
  <c r="AA1149" i="9"/>
  <c r="Z1148" i="9"/>
  <c r="AB1148" i="9"/>
  <c r="AA1148" i="9"/>
  <c r="Z1147" i="9"/>
  <c r="AB1147" i="9"/>
  <c r="AA1147" i="9"/>
  <c r="AB1146" i="9"/>
  <c r="AA1146" i="9"/>
  <c r="Z1145" i="9"/>
  <c r="AB1145" i="9"/>
  <c r="AA1145" i="9"/>
  <c r="Z1144" i="9"/>
  <c r="AB1144" i="9"/>
  <c r="AA1144" i="9"/>
  <c r="Z1143" i="9"/>
  <c r="AB1143" i="9"/>
  <c r="AA1143" i="9"/>
  <c r="Z1142" i="9"/>
  <c r="AB1142" i="9"/>
  <c r="AA1142" i="9"/>
  <c r="Z1141" i="9"/>
  <c r="AB1141" i="9"/>
  <c r="AA1141" i="9"/>
  <c r="Z1140" i="9"/>
  <c r="AB1140" i="9"/>
  <c r="AA1140" i="9"/>
  <c r="Z1139" i="9"/>
  <c r="AB1139" i="9"/>
  <c r="AA1139" i="9"/>
  <c r="AB1138" i="9"/>
  <c r="AA1138" i="9"/>
  <c r="Z1138" i="9"/>
  <c r="Z1137" i="9"/>
  <c r="AB1137" i="9"/>
  <c r="AA1137" i="9"/>
  <c r="AB1136" i="9"/>
  <c r="AA1136" i="9"/>
  <c r="Z1136" i="9"/>
  <c r="Z1135" i="9"/>
  <c r="AB1135" i="9"/>
  <c r="AA1135" i="9"/>
  <c r="Z1134" i="9"/>
  <c r="AB1134" i="9"/>
  <c r="AA1134" i="9"/>
  <c r="Z1133" i="9"/>
  <c r="AB1133" i="9"/>
  <c r="AA1133" i="9"/>
  <c r="Z1132" i="9"/>
  <c r="AB1132" i="9"/>
  <c r="AA1132" i="9"/>
  <c r="Z1131" i="9"/>
  <c r="AB1131" i="9"/>
  <c r="AA1131" i="9"/>
  <c r="Z1130" i="9"/>
  <c r="AB1130" i="9"/>
  <c r="AA1130" i="9"/>
  <c r="Z1129" i="9"/>
  <c r="AB1129" i="9"/>
  <c r="AA1129" i="9"/>
  <c r="Z1128" i="9"/>
  <c r="AB1128" i="9"/>
  <c r="AA1128" i="9"/>
  <c r="Z1127" i="9"/>
  <c r="AB1127" i="9"/>
  <c r="AA1127" i="9"/>
  <c r="Z1126" i="9"/>
  <c r="AB1126" i="9"/>
  <c r="AA1126" i="9"/>
  <c r="Z1125" i="9"/>
  <c r="AB1125" i="9"/>
  <c r="AA1125" i="9"/>
  <c r="Z1124" i="9"/>
  <c r="AB1124" i="9"/>
  <c r="AA1124" i="9"/>
  <c r="Z1123" i="9"/>
  <c r="AB1123" i="9"/>
  <c r="AA1123" i="9"/>
  <c r="Z1122" i="9"/>
  <c r="AB1122" i="9"/>
  <c r="AA1122" i="9"/>
  <c r="Z1121" i="9"/>
  <c r="AB1121" i="9"/>
  <c r="AA1121" i="9"/>
  <c r="Z1120" i="9"/>
  <c r="AB1120" i="9"/>
  <c r="AA1120" i="9"/>
  <c r="Z1119" i="9"/>
  <c r="AB1119" i="9"/>
  <c r="AA1119" i="9"/>
  <c r="Z1118" i="9"/>
  <c r="AB1118" i="9"/>
  <c r="AA1118" i="9"/>
  <c r="Z1117" i="9"/>
  <c r="AB1117" i="9"/>
  <c r="AA1117" i="9"/>
  <c r="Z1116" i="9"/>
  <c r="AB1116" i="9"/>
  <c r="AA1116" i="9"/>
  <c r="Z1115" i="9"/>
  <c r="AB1115" i="9"/>
  <c r="AA1115" i="9"/>
  <c r="Z1114" i="9"/>
  <c r="AB1114" i="9"/>
  <c r="AA1114" i="9"/>
  <c r="Z1113" i="9"/>
  <c r="AB1113" i="9"/>
  <c r="AA1113" i="9"/>
  <c r="Z1112" i="9"/>
  <c r="AB1112" i="9"/>
  <c r="AA1112" i="9"/>
  <c r="Z1111" i="9"/>
  <c r="AB1111" i="9"/>
  <c r="AA1111" i="9"/>
  <c r="Z1110" i="9"/>
  <c r="AB1110" i="9"/>
  <c r="AA1110" i="9"/>
  <c r="Z1109" i="9"/>
  <c r="AB1109" i="9"/>
  <c r="AA1109" i="9"/>
  <c r="Z1108" i="9"/>
  <c r="AB1108" i="9"/>
  <c r="AA1108" i="9"/>
  <c r="Z1107" i="9"/>
  <c r="AB1107" i="9"/>
  <c r="AA1107" i="9"/>
  <c r="Z1106" i="9"/>
  <c r="AB1106" i="9"/>
  <c r="AA1106" i="9"/>
  <c r="Z1105" i="9"/>
  <c r="AB1105" i="9"/>
  <c r="AA1105" i="9"/>
  <c r="Z1104" i="9"/>
  <c r="AB1104" i="9"/>
  <c r="AA1104" i="9"/>
  <c r="Z1103" i="9"/>
  <c r="AB1103" i="9"/>
  <c r="AA1103" i="9"/>
  <c r="Z1102" i="9"/>
  <c r="AB1102" i="9"/>
  <c r="AA1102" i="9"/>
  <c r="Z1101" i="9"/>
  <c r="AB1101" i="9"/>
  <c r="AA1101" i="9"/>
  <c r="Z1100" i="9"/>
  <c r="AB1100" i="9"/>
  <c r="AA1100" i="9"/>
  <c r="Z1099" i="9"/>
  <c r="AB1099" i="9"/>
  <c r="AA1099" i="9"/>
  <c r="Z1098" i="9"/>
  <c r="AB1098" i="9"/>
  <c r="AA1098" i="9"/>
  <c r="Z1097" i="9"/>
  <c r="AB1097" i="9"/>
  <c r="AA1097" i="9"/>
  <c r="Z1096" i="9"/>
  <c r="AB1096" i="9"/>
  <c r="AA1096" i="9"/>
  <c r="Z1095" i="9"/>
  <c r="AB1095" i="9"/>
  <c r="AA1095" i="9"/>
  <c r="Z1094" i="9"/>
  <c r="AB1094" i="9"/>
  <c r="AA1094" i="9"/>
  <c r="Z1093" i="9"/>
  <c r="AB1093" i="9"/>
  <c r="AA1093" i="9"/>
  <c r="Z1092" i="9"/>
  <c r="AB1092" i="9"/>
  <c r="AA1092" i="9"/>
  <c r="Z1091" i="9"/>
  <c r="AB1091" i="9"/>
  <c r="AA1091" i="9"/>
  <c r="Z1090" i="9"/>
  <c r="AB1090" i="9"/>
  <c r="AA1090" i="9"/>
  <c r="Z1089" i="9"/>
  <c r="AB1089" i="9"/>
  <c r="AA1089" i="9"/>
  <c r="Z1088" i="9"/>
  <c r="AB1088" i="9"/>
  <c r="AA1088" i="9"/>
  <c r="Z1087" i="9"/>
  <c r="AB1087" i="9"/>
  <c r="AA1087" i="9"/>
  <c r="Z1086" i="9"/>
  <c r="AB1086" i="9"/>
  <c r="AA1086" i="9"/>
  <c r="Z1085" i="9"/>
  <c r="AB1085" i="9"/>
  <c r="AA1085" i="9"/>
  <c r="Z1084" i="9"/>
  <c r="AB1084" i="9"/>
  <c r="AA1084" i="9"/>
  <c r="Z1083" i="9"/>
  <c r="AB1083" i="9"/>
  <c r="AA1083" i="9"/>
  <c r="Z1082" i="9"/>
  <c r="AB1082" i="9"/>
  <c r="AA1082" i="9"/>
  <c r="Z1081" i="9"/>
  <c r="AB1081" i="9"/>
  <c r="AA1081" i="9"/>
  <c r="Z1080" i="9"/>
  <c r="AB1080" i="9"/>
  <c r="AA1080" i="9"/>
  <c r="Z1079" i="9"/>
  <c r="AB1079" i="9"/>
  <c r="AA1079" i="9"/>
  <c r="Z1078" i="9"/>
  <c r="AB1078" i="9"/>
  <c r="AA1078" i="9"/>
  <c r="Z1077" i="9"/>
  <c r="AB1077" i="9"/>
  <c r="AA1077" i="9"/>
  <c r="Z1076" i="9"/>
  <c r="AB1076" i="9"/>
  <c r="AA1076" i="9"/>
  <c r="Z1075" i="9"/>
  <c r="AB1075" i="9"/>
  <c r="AA1075" i="9"/>
  <c r="Z1074" i="9"/>
  <c r="AB1074" i="9"/>
  <c r="AA1074" i="9"/>
  <c r="Z1073" i="9"/>
  <c r="AB1073" i="9"/>
  <c r="AA1073" i="9"/>
  <c r="Z1072" i="9"/>
  <c r="AB1072" i="9"/>
  <c r="AA1072" i="9"/>
  <c r="Z1071" i="9"/>
  <c r="AB1071" i="9"/>
  <c r="AA1071" i="9"/>
  <c r="Z1070" i="9"/>
  <c r="AB1070" i="9"/>
  <c r="AA1070" i="9"/>
  <c r="Z1069" i="9"/>
  <c r="AB1069" i="9"/>
  <c r="AA1069" i="9"/>
  <c r="Z1068" i="9"/>
  <c r="AB1068" i="9"/>
  <c r="AA1068" i="9"/>
  <c r="Z1067" i="9"/>
  <c r="AB1067" i="9"/>
  <c r="AA1067" i="9"/>
  <c r="Z1066" i="9"/>
  <c r="AB1066" i="9"/>
  <c r="AA1066" i="9"/>
  <c r="Z1065" i="9"/>
  <c r="AB1065" i="9"/>
  <c r="AA1065" i="9"/>
  <c r="Z1064" i="9"/>
  <c r="AB1064" i="9"/>
  <c r="AA1064" i="9"/>
  <c r="Z1063" i="9"/>
  <c r="AB1063" i="9"/>
  <c r="AA1063" i="9"/>
  <c r="Z1062" i="9"/>
  <c r="AB1062" i="9"/>
  <c r="AA1062" i="9"/>
  <c r="Z1061" i="9"/>
  <c r="AB1061" i="9"/>
  <c r="AA1061" i="9"/>
  <c r="Z1060" i="9"/>
  <c r="AB1060" i="9"/>
  <c r="AA1060" i="9"/>
  <c r="Z1059" i="9"/>
  <c r="AB1059" i="9"/>
  <c r="AA1059" i="9"/>
  <c r="Z1058" i="9"/>
  <c r="AB1058" i="9"/>
  <c r="AA1058" i="9"/>
  <c r="Z1057" i="9"/>
  <c r="AB1057" i="9"/>
  <c r="AA1057" i="9"/>
  <c r="Z1056" i="9"/>
  <c r="AB1056" i="9"/>
  <c r="AA1056" i="9"/>
  <c r="Z1055" i="9"/>
  <c r="AB1055" i="9"/>
  <c r="AA1055" i="9"/>
  <c r="Z1054" i="9"/>
  <c r="AB1054" i="9"/>
  <c r="AA1054" i="9"/>
  <c r="Z1053" i="9"/>
  <c r="AB1053" i="9"/>
  <c r="AA1053" i="9"/>
  <c r="Z1052" i="9"/>
  <c r="AB1052" i="9"/>
  <c r="AA1052" i="9"/>
  <c r="Z1051" i="9"/>
  <c r="AB1051" i="9"/>
  <c r="AA1051" i="9"/>
  <c r="Z1050" i="9"/>
  <c r="AB1050" i="9"/>
  <c r="AA1050" i="9"/>
  <c r="Z1049" i="9"/>
  <c r="AB1049" i="9"/>
  <c r="AA1049" i="9"/>
  <c r="Z1048" i="9"/>
  <c r="AB1048" i="9"/>
  <c r="AA1048" i="9"/>
  <c r="Z1047" i="9"/>
  <c r="AB1047" i="9"/>
  <c r="AA1047" i="9"/>
  <c r="Z1046" i="9"/>
  <c r="AB1046" i="9"/>
  <c r="AA1046" i="9"/>
  <c r="Z1045" i="9"/>
  <c r="AB1045" i="9"/>
  <c r="AA1045" i="9"/>
  <c r="Z1044" i="9"/>
  <c r="AB1044" i="9"/>
  <c r="AA1044" i="9"/>
  <c r="Z1043" i="9"/>
  <c r="AB1043" i="9"/>
  <c r="AA1043" i="9"/>
  <c r="Z1042" i="9"/>
  <c r="AB1042" i="9"/>
  <c r="AA1042" i="9"/>
  <c r="Z1041" i="9"/>
  <c r="AB1041" i="9"/>
  <c r="AA1041" i="9"/>
  <c r="Z1040" i="9"/>
  <c r="AB1040" i="9"/>
  <c r="AA1040" i="9"/>
  <c r="Z1039" i="9"/>
  <c r="AB1039" i="9"/>
  <c r="AA1039" i="9"/>
  <c r="Z1038" i="9"/>
  <c r="AB1038" i="9"/>
  <c r="AA1038" i="9"/>
  <c r="Z1037" i="9"/>
  <c r="AB1037" i="9"/>
  <c r="AA1037" i="9"/>
  <c r="Z1036" i="9"/>
  <c r="AB1036" i="9"/>
  <c r="AA1036" i="9"/>
  <c r="Z1035" i="9"/>
  <c r="AB1035" i="9"/>
  <c r="AA1035" i="9"/>
  <c r="Z1034" i="9"/>
  <c r="AB1034" i="9"/>
  <c r="AA1034" i="9"/>
  <c r="Z1033" i="9"/>
  <c r="AB1033" i="9"/>
  <c r="AA1033" i="9"/>
  <c r="Z1032" i="9"/>
  <c r="AB1032" i="9"/>
  <c r="AA1032" i="9"/>
  <c r="Z1031" i="9"/>
  <c r="AB1031" i="9"/>
  <c r="AA1031" i="9"/>
  <c r="Z1030" i="9"/>
  <c r="AB1030" i="9"/>
  <c r="AA1030" i="9"/>
  <c r="Z1029" i="9"/>
  <c r="AB1029" i="9"/>
  <c r="AA1029" i="9"/>
  <c r="Z1028" i="9"/>
  <c r="AB1028" i="9"/>
  <c r="AA1028" i="9"/>
  <c r="AB1027" i="9"/>
  <c r="AA1027" i="9"/>
  <c r="AB1026" i="9"/>
  <c r="AA1026" i="9"/>
  <c r="Z1025" i="9"/>
  <c r="AB1025" i="9"/>
  <c r="AA1025" i="9"/>
  <c r="Z1024" i="9"/>
  <c r="AB1024" i="9"/>
  <c r="AA1024" i="9"/>
  <c r="Z1023" i="9"/>
  <c r="AB1023" i="9"/>
  <c r="AA1023" i="9"/>
  <c r="AB1022" i="9"/>
  <c r="AA1022" i="9"/>
  <c r="Z1021" i="9"/>
  <c r="AB1021" i="9"/>
  <c r="AA1021" i="9"/>
  <c r="Z1020" i="9"/>
  <c r="AB1020" i="9"/>
  <c r="AA1020" i="9"/>
  <c r="AB1019" i="9"/>
  <c r="AA1019" i="9"/>
  <c r="AB1018" i="9"/>
  <c r="AA1018" i="9"/>
  <c r="Z1017" i="9"/>
  <c r="AB1017" i="9"/>
  <c r="AA1017" i="9"/>
  <c r="Z1016" i="9"/>
  <c r="AB1016" i="9"/>
  <c r="AA1016" i="9"/>
  <c r="Z1015" i="9"/>
  <c r="AB1015" i="9"/>
  <c r="AA1015" i="9"/>
  <c r="Z1014" i="9"/>
  <c r="AB1014" i="9"/>
  <c r="AA1014" i="9"/>
  <c r="AB1013" i="9"/>
  <c r="AA1013" i="9"/>
  <c r="AB1012" i="9"/>
  <c r="AA1012" i="9"/>
  <c r="AB1011" i="9"/>
  <c r="AA1011" i="9"/>
  <c r="Z1010" i="9"/>
  <c r="AB1010" i="9"/>
  <c r="AA1010" i="9"/>
  <c r="Z1009" i="9"/>
  <c r="AB1009" i="9"/>
  <c r="AA1009" i="9"/>
  <c r="Z1008" i="9"/>
  <c r="AB1008" i="9"/>
  <c r="AA1008" i="9"/>
  <c r="Z1007" i="9"/>
  <c r="AB1007" i="9"/>
  <c r="AA1007" i="9"/>
  <c r="AB1006" i="9"/>
  <c r="AA1006" i="9"/>
  <c r="Z1005" i="9"/>
  <c r="AB1005" i="9"/>
  <c r="AA1005" i="9"/>
  <c r="Z1004" i="9"/>
  <c r="AB1004" i="9"/>
  <c r="AA1004" i="9"/>
  <c r="AB1003" i="9"/>
  <c r="AA1003" i="9"/>
  <c r="Z1002" i="9"/>
  <c r="AB1002" i="9"/>
  <c r="AA1002" i="9"/>
  <c r="Z1001" i="9"/>
  <c r="AB1001" i="9"/>
  <c r="AA1001" i="9"/>
  <c r="Z1000" i="9"/>
  <c r="AB1000" i="9"/>
  <c r="AA1000" i="9"/>
  <c r="Z999" i="9"/>
  <c r="AB999" i="9"/>
  <c r="AA999" i="9"/>
  <c r="Z998" i="9"/>
  <c r="AB998" i="9"/>
  <c r="AA998" i="9"/>
  <c r="AB997" i="9"/>
  <c r="AA997" i="9"/>
  <c r="Z996" i="9"/>
  <c r="AB996" i="9"/>
  <c r="AA996" i="9"/>
  <c r="Z995" i="9"/>
  <c r="AB995" i="9"/>
  <c r="AA995" i="9"/>
  <c r="Z994" i="9"/>
  <c r="AB994" i="9"/>
  <c r="AA994" i="9"/>
  <c r="Z993" i="9"/>
  <c r="AB993" i="9"/>
  <c r="AA993" i="9"/>
  <c r="Z992" i="9"/>
  <c r="AB992" i="9"/>
  <c r="AA992" i="9"/>
  <c r="Z991" i="9"/>
  <c r="AB991" i="9"/>
  <c r="AA991" i="9"/>
  <c r="AB990" i="9"/>
  <c r="AA990" i="9"/>
  <c r="Z989" i="9"/>
  <c r="AB989" i="9"/>
  <c r="AA989" i="9"/>
  <c r="AB988" i="9"/>
  <c r="AA988" i="9"/>
  <c r="Z988" i="9"/>
  <c r="Z987" i="9"/>
  <c r="AB987" i="9"/>
  <c r="AA987" i="9"/>
  <c r="AB986" i="9"/>
  <c r="AA986" i="9"/>
  <c r="Z985" i="9"/>
  <c r="AB985" i="9"/>
  <c r="AA985" i="9"/>
  <c r="AB984" i="9"/>
  <c r="AA984" i="9"/>
  <c r="Z983" i="9"/>
  <c r="AB983" i="9"/>
  <c r="AA983" i="9"/>
  <c r="AB982" i="9"/>
  <c r="AA982" i="9"/>
  <c r="Z982" i="9"/>
  <c r="Z981" i="9"/>
  <c r="AB981" i="9"/>
  <c r="AA981" i="9"/>
  <c r="AB980" i="9"/>
  <c r="AA980" i="9"/>
  <c r="AB979" i="9"/>
  <c r="AA979" i="9"/>
  <c r="Z979" i="9"/>
  <c r="AB978" i="9"/>
  <c r="AA978" i="9"/>
  <c r="Z977" i="9"/>
  <c r="AB977" i="9"/>
  <c r="AA977" i="9"/>
  <c r="AB976" i="9"/>
  <c r="AA976" i="9"/>
  <c r="Z976" i="9"/>
  <c r="Z975" i="9"/>
  <c r="AB975" i="9"/>
  <c r="AA975" i="9"/>
  <c r="Z974" i="9"/>
  <c r="AB974" i="9"/>
  <c r="AA974" i="9"/>
  <c r="Z973" i="9"/>
  <c r="AB973" i="9"/>
  <c r="AA973" i="9"/>
  <c r="AB972" i="9"/>
  <c r="AA972" i="9"/>
  <c r="Z972" i="9"/>
  <c r="AB971" i="9"/>
  <c r="AA971" i="9"/>
  <c r="Z971" i="9"/>
  <c r="Z970" i="9"/>
  <c r="AB970" i="9"/>
  <c r="AA970" i="9"/>
  <c r="AB969" i="9"/>
  <c r="AA969" i="9"/>
  <c r="Z969" i="9"/>
  <c r="Z968" i="9"/>
  <c r="AB968" i="9"/>
  <c r="AA968" i="9"/>
  <c r="AB967" i="9"/>
  <c r="AA967" i="9"/>
  <c r="Z967" i="9"/>
  <c r="AB966" i="9"/>
  <c r="AA966" i="9"/>
  <c r="Z966" i="9"/>
  <c r="Z965" i="9"/>
  <c r="AB965" i="9"/>
  <c r="AA965" i="9"/>
  <c r="AB964" i="9"/>
  <c r="AA964" i="9"/>
  <c r="Z964" i="9"/>
  <c r="Z963" i="9"/>
  <c r="AB963" i="9"/>
  <c r="AA963" i="9"/>
  <c r="Z962" i="9"/>
  <c r="AB962" i="9"/>
  <c r="AA962" i="9"/>
  <c r="AB961" i="9"/>
  <c r="AA961" i="9"/>
  <c r="AB960" i="9"/>
  <c r="AA960" i="9"/>
  <c r="Z960" i="9"/>
  <c r="Z959" i="9"/>
  <c r="AB959" i="9"/>
  <c r="AA959" i="9"/>
  <c r="AB958" i="9"/>
  <c r="AA958" i="9"/>
  <c r="Z958" i="9"/>
  <c r="Z957" i="9"/>
  <c r="AB957" i="9"/>
  <c r="AA957" i="9"/>
  <c r="Z956" i="9"/>
  <c r="AB956" i="9"/>
  <c r="AA956" i="9"/>
  <c r="Z955" i="9"/>
  <c r="AB955" i="9"/>
  <c r="AA955" i="9"/>
  <c r="AB954" i="9"/>
  <c r="AA954" i="9"/>
  <c r="AB953" i="9"/>
  <c r="AA953" i="9"/>
  <c r="Z953" i="9"/>
  <c r="AB952" i="9"/>
  <c r="AA952" i="9"/>
  <c r="Z951" i="9"/>
  <c r="AB951" i="9"/>
  <c r="AA951" i="9"/>
  <c r="Z950" i="9"/>
  <c r="AB950" i="9"/>
  <c r="AA950" i="9"/>
  <c r="AB949" i="9"/>
  <c r="AA949" i="9"/>
  <c r="Z949" i="9"/>
  <c r="Z948" i="9"/>
  <c r="AB948" i="9"/>
  <c r="AA948" i="9"/>
  <c r="Z947" i="9"/>
  <c r="AB947" i="9"/>
  <c r="AA947" i="9"/>
  <c r="Z946" i="9"/>
  <c r="AB946" i="9"/>
  <c r="AA946" i="9"/>
  <c r="AB945" i="9"/>
  <c r="AA945" i="9"/>
  <c r="Z944" i="9"/>
  <c r="AB944" i="9"/>
  <c r="AA944" i="9"/>
  <c r="Z943" i="9"/>
  <c r="AB943" i="9"/>
  <c r="AA943" i="9"/>
  <c r="AB942" i="9"/>
  <c r="AA942" i="9"/>
  <c r="Z941" i="9"/>
  <c r="AB941" i="9"/>
  <c r="AA941" i="9"/>
  <c r="Z940" i="9"/>
  <c r="AB940" i="9"/>
  <c r="AA940" i="9"/>
  <c r="Z939" i="9"/>
  <c r="AB939" i="9"/>
  <c r="AA939" i="9"/>
  <c r="AB938" i="9"/>
  <c r="AA938" i="9"/>
  <c r="Z937" i="9"/>
  <c r="AB937" i="9"/>
  <c r="AA937" i="9"/>
  <c r="AB936" i="9"/>
  <c r="AA936" i="9"/>
  <c r="Z935" i="9"/>
  <c r="AB935" i="9"/>
  <c r="AA935" i="9"/>
  <c r="Z934" i="9"/>
  <c r="AB934" i="9"/>
  <c r="AA934" i="9"/>
  <c r="Z933" i="9"/>
  <c r="AB933" i="9"/>
  <c r="AA933" i="9"/>
  <c r="Z932" i="9"/>
  <c r="AB932" i="9"/>
  <c r="AA932" i="9"/>
  <c r="AB931" i="9"/>
  <c r="AA931" i="9"/>
  <c r="Z930" i="9"/>
  <c r="AB930" i="9"/>
  <c r="AA930" i="9"/>
  <c r="AB929" i="9"/>
  <c r="AA929" i="9"/>
  <c r="Z928" i="9"/>
  <c r="AB928" i="9"/>
  <c r="AA928" i="9"/>
  <c r="Z927" i="9"/>
  <c r="AB927" i="9"/>
  <c r="AA927" i="9"/>
  <c r="Z926" i="9"/>
  <c r="AB926" i="9"/>
  <c r="AA926" i="9"/>
  <c r="Z925" i="9"/>
  <c r="AB925" i="9"/>
  <c r="AA925" i="9"/>
  <c r="AB924" i="9"/>
  <c r="AA924" i="9"/>
  <c r="Z923" i="9"/>
  <c r="AB923" i="9"/>
  <c r="AA923" i="9"/>
  <c r="AB922" i="9"/>
  <c r="AA922" i="9"/>
  <c r="Z921" i="9"/>
  <c r="AB921" i="9"/>
  <c r="AA921" i="9"/>
  <c r="Z920" i="9"/>
  <c r="AB920" i="9"/>
  <c r="AA920" i="9"/>
  <c r="AB919" i="9"/>
  <c r="AA919" i="9"/>
  <c r="Z918" i="9"/>
  <c r="AB918" i="9"/>
  <c r="AA918" i="9"/>
  <c r="Z917" i="9"/>
  <c r="AB917" i="9"/>
  <c r="AA917" i="9"/>
  <c r="AB916" i="9"/>
  <c r="AA916" i="9"/>
  <c r="Z915" i="9"/>
  <c r="AB915" i="9"/>
  <c r="AA915" i="9"/>
  <c r="Z914" i="9"/>
  <c r="AB914" i="9"/>
  <c r="AA914" i="9"/>
  <c r="AB913" i="9"/>
  <c r="AA913" i="9"/>
  <c r="Z912" i="9"/>
  <c r="AB912" i="9"/>
  <c r="AA912" i="9"/>
  <c r="AB911" i="9"/>
  <c r="AA911" i="9"/>
  <c r="AB910" i="9"/>
  <c r="AA910" i="9"/>
  <c r="Z909" i="9"/>
  <c r="AB909" i="9"/>
  <c r="AA909" i="9"/>
  <c r="AB908" i="9"/>
  <c r="AA908" i="9"/>
  <c r="Z907" i="9"/>
  <c r="AB907" i="9"/>
  <c r="AA907" i="9"/>
  <c r="AB906" i="9"/>
  <c r="AA906" i="9"/>
  <c r="Z905" i="9"/>
  <c r="AB905" i="9"/>
  <c r="AA905" i="9"/>
  <c r="AB904" i="9"/>
  <c r="AA904" i="9"/>
  <c r="Z903" i="9"/>
  <c r="AB903" i="9"/>
  <c r="AA903" i="9"/>
  <c r="Z902" i="9"/>
  <c r="AB902" i="9"/>
  <c r="AA902" i="9"/>
  <c r="Z901" i="9"/>
  <c r="AB901" i="9"/>
  <c r="AA901" i="9"/>
  <c r="AB900" i="9"/>
  <c r="AA900" i="9"/>
  <c r="AB899" i="9"/>
  <c r="AA899" i="9"/>
  <c r="Z898" i="9"/>
  <c r="AB898" i="9"/>
  <c r="AA898" i="9"/>
  <c r="Z897" i="9"/>
  <c r="AB897" i="9"/>
  <c r="AA897" i="9"/>
  <c r="Z896" i="9"/>
  <c r="AB896" i="9"/>
  <c r="AA896" i="9"/>
  <c r="Z895" i="9"/>
  <c r="AB895" i="9"/>
  <c r="AA895" i="9"/>
  <c r="Z894" i="9"/>
  <c r="AB894" i="9"/>
  <c r="AA894" i="9"/>
  <c r="Z893" i="9"/>
  <c r="AB893" i="9"/>
  <c r="AA893" i="9"/>
  <c r="Z892" i="9"/>
  <c r="AB892" i="9"/>
  <c r="AA892" i="9"/>
  <c r="Z891" i="9"/>
  <c r="AB891" i="9"/>
  <c r="AA891" i="9"/>
  <c r="Z890" i="9"/>
  <c r="AB890" i="9"/>
  <c r="AA890" i="9"/>
  <c r="Z889" i="9"/>
  <c r="AB889" i="9"/>
  <c r="AA889" i="9"/>
  <c r="Z888" i="9"/>
  <c r="AB888" i="9"/>
  <c r="AA888" i="9"/>
  <c r="Z887" i="9"/>
  <c r="AB887" i="9"/>
  <c r="AA887" i="9"/>
  <c r="Z886" i="9"/>
  <c r="AB886" i="9"/>
  <c r="AA886" i="9"/>
  <c r="Z885" i="9"/>
  <c r="AB885" i="9"/>
  <c r="AA885" i="9"/>
  <c r="Z884" i="9"/>
  <c r="AB884" i="9"/>
  <c r="AA884" i="9"/>
  <c r="Z883" i="9"/>
  <c r="AB883" i="9"/>
  <c r="AA883" i="9"/>
  <c r="Z882" i="9"/>
  <c r="AB882" i="9"/>
  <c r="AA882" i="9"/>
  <c r="Z881" i="9"/>
  <c r="AB881" i="9"/>
  <c r="AA881" i="9"/>
  <c r="Z880" i="9"/>
  <c r="AB880" i="9"/>
  <c r="AA880" i="9"/>
  <c r="Z879" i="9"/>
  <c r="AB879" i="9"/>
  <c r="AA879" i="9"/>
  <c r="Z878" i="9"/>
  <c r="AB878" i="9"/>
  <c r="AA878" i="9"/>
  <c r="Z877" i="9"/>
  <c r="AB877" i="9"/>
  <c r="AA877" i="9"/>
  <c r="Z876" i="9"/>
  <c r="AB876" i="9"/>
  <c r="AA876" i="9"/>
  <c r="Z875" i="9"/>
  <c r="AB875" i="9"/>
  <c r="AA875" i="9"/>
  <c r="Z874" i="9"/>
  <c r="AB874" i="9"/>
  <c r="AA874" i="9"/>
  <c r="Z873" i="9"/>
  <c r="AB873" i="9"/>
  <c r="AA873" i="9"/>
  <c r="Z872" i="9"/>
  <c r="AB872" i="9"/>
  <c r="AA872" i="9"/>
  <c r="Z871" i="9"/>
  <c r="AB871" i="9"/>
  <c r="AA871" i="9"/>
  <c r="Z870" i="9"/>
  <c r="AB870" i="9"/>
  <c r="AA870" i="9"/>
  <c r="Z869" i="9"/>
  <c r="AB869" i="9"/>
  <c r="AA869" i="9"/>
  <c r="Z868" i="9"/>
  <c r="AB868" i="9"/>
  <c r="AA868" i="9"/>
  <c r="Z867" i="9"/>
  <c r="AB867" i="9"/>
  <c r="AA867" i="9"/>
  <c r="Z866" i="9"/>
  <c r="AB866" i="9"/>
  <c r="AA866" i="9"/>
  <c r="Z865" i="9"/>
  <c r="AB865" i="9"/>
  <c r="AA865" i="9"/>
  <c r="AB864" i="9"/>
  <c r="AA864" i="9"/>
  <c r="Z863" i="9"/>
  <c r="AB863" i="9"/>
  <c r="AA863" i="9"/>
  <c r="Z862" i="9"/>
  <c r="AB862" i="9"/>
  <c r="AA862" i="9"/>
  <c r="Z861" i="9"/>
  <c r="AB861" i="9"/>
  <c r="AA861" i="9"/>
  <c r="Z860" i="9"/>
  <c r="AB860" i="9"/>
  <c r="AA860" i="9"/>
  <c r="Z859" i="9"/>
  <c r="AB859" i="9"/>
  <c r="AA859" i="9"/>
  <c r="Z858" i="9"/>
  <c r="AB858" i="9"/>
  <c r="AA858" i="9"/>
  <c r="Z857" i="9"/>
  <c r="AB857" i="9"/>
  <c r="AA857" i="9"/>
  <c r="Z856" i="9"/>
  <c r="AB856" i="9"/>
  <c r="AA856" i="9"/>
  <c r="Z855" i="9"/>
  <c r="AB855" i="9"/>
  <c r="AA855" i="9"/>
  <c r="Z854" i="9"/>
  <c r="AB854" i="9"/>
  <c r="AA854" i="9"/>
  <c r="AB853" i="9"/>
  <c r="AA853" i="9"/>
  <c r="Z852" i="9"/>
  <c r="AB852" i="9"/>
  <c r="AA852" i="9"/>
  <c r="AB851" i="9"/>
  <c r="AA851" i="9"/>
  <c r="Z850" i="9"/>
  <c r="AB850" i="9"/>
  <c r="AA850" i="9"/>
  <c r="Z849" i="9"/>
  <c r="AB849" i="9"/>
  <c r="AA849" i="9"/>
  <c r="Z848" i="9"/>
  <c r="AB848" i="9"/>
  <c r="AA848" i="9"/>
  <c r="Z847" i="9"/>
  <c r="AB847" i="9"/>
  <c r="AA847" i="9"/>
  <c r="Z846" i="9"/>
  <c r="AB846" i="9"/>
  <c r="AA846" i="9"/>
  <c r="AB845" i="9"/>
  <c r="AA845" i="9"/>
  <c r="Z844" i="9"/>
  <c r="AB844" i="9"/>
  <c r="AA844" i="9"/>
  <c r="Z843" i="9"/>
  <c r="AB843" i="9"/>
  <c r="AA843" i="9"/>
  <c r="Z842" i="9"/>
  <c r="AB842" i="9"/>
  <c r="AA842" i="9"/>
  <c r="AB841" i="9"/>
  <c r="AA841" i="9"/>
  <c r="Z840" i="9"/>
  <c r="AB840" i="9"/>
  <c r="AA840" i="9"/>
  <c r="AB839" i="9"/>
  <c r="AA839" i="9"/>
  <c r="Z838" i="9"/>
  <c r="AB838" i="9"/>
  <c r="AA838" i="9"/>
  <c r="Z837" i="9"/>
  <c r="AB837" i="9"/>
  <c r="AA837" i="9"/>
  <c r="Z836" i="9"/>
  <c r="AB836" i="9"/>
  <c r="AA836" i="9"/>
  <c r="Z835" i="9"/>
  <c r="AB835" i="9"/>
  <c r="AA835" i="9"/>
  <c r="AB834" i="9"/>
  <c r="AA834" i="9"/>
  <c r="AB833" i="9"/>
  <c r="AA833" i="9"/>
  <c r="AB832" i="9"/>
  <c r="AA832" i="9"/>
  <c r="Z831" i="9"/>
  <c r="AB831" i="9"/>
  <c r="AA831" i="9"/>
  <c r="Z830" i="9"/>
  <c r="AB830" i="9"/>
  <c r="AA830" i="9"/>
  <c r="Z829" i="9"/>
  <c r="AB829" i="9"/>
  <c r="AA829" i="9"/>
  <c r="AB828" i="9"/>
  <c r="AA828" i="9"/>
  <c r="Z827" i="9"/>
  <c r="AB827" i="9"/>
  <c r="AA827" i="9"/>
  <c r="Z826" i="9"/>
  <c r="AB826" i="9"/>
  <c r="AA826" i="9"/>
  <c r="AB825" i="9"/>
  <c r="AA825" i="9"/>
  <c r="Z824" i="9"/>
  <c r="AB824" i="9"/>
  <c r="AA824" i="9"/>
  <c r="Z823" i="9"/>
  <c r="AB823" i="9"/>
  <c r="AA823" i="9"/>
  <c r="Z822" i="9"/>
  <c r="AB822" i="9"/>
  <c r="AA822" i="9"/>
  <c r="AB821" i="9"/>
  <c r="AA821" i="9"/>
  <c r="AB820" i="9"/>
  <c r="AA820" i="9"/>
  <c r="Z819" i="9"/>
  <c r="AB819" i="9"/>
  <c r="AA819" i="9"/>
  <c r="AB818" i="9"/>
  <c r="AA818" i="9"/>
  <c r="Z817" i="9"/>
  <c r="AB817" i="9"/>
  <c r="AA817" i="9"/>
  <c r="AB816" i="9"/>
  <c r="AA816" i="9"/>
  <c r="AB815" i="9"/>
  <c r="AA815" i="9"/>
  <c r="Z814" i="9"/>
  <c r="AB814" i="9"/>
  <c r="AA814" i="9"/>
  <c r="AB813" i="9"/>
  <c r="AA813" i="9"/>
  <c r="Z812" i="9"/>
  <c r="AB812" i="9"/>
  <c r="AA812" i="9"/>
  <c r="Z811" i="9"/>
  <c r="AB811" i="9"/>
  <c r="AA811" i="9"/>
  <c r="AB810" i="9"/>
  <c r="AA810" i="9"/>
  <c r="Z809" i="9"/>
  <c r="AB809" i="9"/>
  <c r="AA809" i="9"/>
  <c r="Z808" i="9"/>
  <c r="AB808" i="9"/>
  <c r="AA808" i="9"/>
  <c r="AB807" i="9"/>
  <c r="AA807" i="9"/>
  <c r="Z806" i="9"/>
  <c r="AB806" i="9"/>
  <c r="AA806" i="9"/>
  <c r="Z805" i="9"/>
  <c r="AB805" i="9"/>
  <c r="AA805" i="9"/>
  <c r="Z804" i="9"/>
  <c r="AB804" i="9"/>
  <c r="AA804" i="9"/>
  <c r="Z803" i="9"/>
  <c r="AB803" i="9"/>
  <c r="AA803" i="9"/>
  <c r="Z802" i="9"/>
  <c r="AB802" i="9"/>
  <c r="AA802" i="9"/>
  <c r="AB801" i="9"/>
  <c r="AA801" i="9"/>
  <c r="AB800" i="9"/>
  <c r="AA800" i="9"/>
  <c r="Z799" i="9"/>
  <c r="AB799" i="9"/>
  <c r="AA799" i="9"/>
  <c r="Z798" i="9"/>
  <c r="AB798" i="9"/>
  <c r="AA798" i="9"/>
  <c r="Z797" i="9"/>
  <c r="AB797" i="9"/>
  <c r="AA797" i="9"/>
  <c r="AB796" i="9"/>
  <c r="AA796" i="9"/>
  <c r="Z795" i="9"/>
  <c r="AB795" i="9"/>
  <c r="AA795" i="9"/>
  <c r="Z794" i="9"/>
  <c r="AB794" i="9"/>
  <c r="AA794" i="9"/>
  <c r="AB793" i="9"/>
  <c r="AA793" i="9"/>
  <c r="Z792" i="9"/>
  <c r="AB792" i="9"/>
  <c r="AA792" i="9"/>
  <c r="Z791" i="9"/>
  <c r="AB791" i="9"/>
  <c r="AA791" i="9"/>
  <c r="Z790" i="9"/>
  <c r="AB790" i="9"/>
  <c r="AA790" i="9"/>
  <c r="AB789" i="9"/>
  <c r="AA789" i="9"/>
  <c r="Z788" i="9"/>
  <c r="AB788" i="9"/>
  <c r="AA788" i="9"/>
  <c r="Z787" i="9"/>
  <c r="AB787" i="9"/>
  <c r="AA787" i="9"/>
  <c r="Z786" i="9"/>
  <c r="AB786" i="9"/>
  <c r="AA786" i="9"/>
  <c r="Z785" i="9"/>
  <c r="AB785" i="9"/>
  <c r="AA785" i="9"/>
  <c r="Z784" i="9"/>
  <c r="AB784" i="9"/>
  <c r="AA784" i="9"/>
  <c r="Z783" i="9"/>
  <c r="AB783" i="9"/>
  <c r="AA783" i="9"/>
  <c r="Z782" i="9"/>
  <c r="AB782" i="9"/>
  <c r="AA782" i="9"/>
  <c r="AB781" i="9"/>
  <c r="AA781" i="9"/>
  <c r="Z780" i="9"/>
  <c r="AB780" i="9"/>
  <c r="AA780" i="9"/>
  <c r="Z779" i="9"/>
  <c r="AB779" i="9"/>
  <c r="AA779" i="9"/>
  <c r="AB778" i="9"/>
  <c r="AA778" i="9"/>
  <c r="AB777" i="9"/>
  <c r="AA777" i="9"/>
  <c r="AB776" i="9"/>
  <c r="AA776" i="9"/>
  <c r="AB775" i="9"/>
  <c r="AA775" i="9"/>
  <c r="Z774" i="9"/>
  <c r="AB774" i="9"/>
  <c r="AA774" i="9"/>
  <c r="Z773" i="9"/>
  <c r="AB773" i="9"/>
  <c r="AA773" i="9"/>
  <c r="Z772" i="9"/>
  <c r="AB772" i="9"/>
  <c r="AA772" i="9"/>
  <c r="Z771" i="9"/>
  <c r="AB771" i="9"/>
  <c r="AA771" i="9"/>
  <c r="Z770" i="9"/>
  <c r="AB770" i="9"/>
  <c r="AA770" i="9"/>
  <c r="Z769" i="9"/>
  <c r="AB769" i="9"/>
  <c r="AA769" i="9"/>
  <c r="Z768" i="9"/>
  <c r="AB768" i="9"/>
  <c r="AA768" i="9"/>
  <c r="AB767" i="9"/>
  <c r="AA767" i="9"/>
  <c r="Z766" i="9"/>
  <c r="AB766" i="9"/>
  <c r="AA766" i="9"/>
  <c r="Z765" i="9"/>
  <c r="AB765" i="9"/>
  <c r="AA765" i="9"/>
  <c r="AB764" i="9"/>
  <c r="AA764" i="9"/>
  <c r="Z763" i="9"/>
  <c r="AB763" i="9"/>
  <c r="AA763" i="9"/>
  <c r="AB762" i="9"/>
  <c r="AA762" i="9"/>
  <c r="Z761" i="9"/>
  <c r="AB761" i="9"/>
  <c r="AA761" i="9"/>
  <c r="Z760" i="9"/>
  <c r="AB760" i="9"/>
  <c r="AA760" i="9"/>
  <c r="AB759" i="9"/>
  <c r="AA759" i="9"/>
  <c r="AB758" i="9"/>
  <c r="AA758" i="9"/>
  <c r="Z757" i="9"/>
  <c r="AB757" i="9"/>
  <c r="AA757" i="9"/>
  <c r="Z756" i="9"/>
  <c r="AB756" i="9"/>
  <c r="AA756" i="9"/>
  <c r="AB755" i="9"/>
  <c r="AA755" i="9"/>
  <c r="AB754" i="9"/>
  <c r="AA754" i="9"/>
  <c r="Z753" i="9"/>
  <c r="AB753" i="9"/>
  <c r="AA753" i="9"/>
  <c r="AB752" i="9"/>
  <c r="AA752" i="9"/>
  <c r="Z751" i="9"/>
  <c r="AB751" i="9"/>
  <c r="AA751" i="9"/>
  <c r="Z750" i="9"/>
  <c r="AB750" i="9"/>
  <c r="AA750" i="9"/>
  <c r="Z749" i="9"/>
  <c r="AB749" i="9"/>
  <c r="AA749" i="9"/>
  <c r="Z748" i="9"/>
  <c r="AB748" i="9"/>
  <c r="AA748" i="9"/>
  <c r="AB747" i="9"/>
  <c r="AA747" i="9"/>
  <c r="Z746" i="9"/>
  <c r="AB746" i="9"/>
  <c r="AA746" i="9"/>
  <c r="AB745" i="9"/>
  <c r="AA745" i="9"/>
  <c r="AB744" i="9"/>
  <c r="AA744" i="9"/>
  <c r="Z743" i="9"/>
  <c r="AB743" i="9"/>
  <c r="AA743" i="9"/>
  <c r="Z742" i="9"/>
  <c r="AB742" i="9"/>
  <c r="AA742" i="9"/>
  <c r="AB741" i="9"/>
  <c r="AA741" i="9"/>
  <c r="Z740" i="9"/>
  <c r="AB740" i="9"/>
  <c r="AA740" i="9"/>
  <c r="Z739" i="9"/>
  <c r="AB739" i="9"/>
  <c r="AA739" i="9"/>
  <c r="Z738" i="9"/>
  <c r="AB738" i="9"/>
  <c r="AA738" i="9"/>
  <c r="Z737" i="9"/>
  <c r="AB737" i="9"/>
  <c r="AA737" i="9"/>
  <c r="AB736" i="9"/>
  <c r="AA736" i="9"/>
  <c r="Z735" i="9"/>
  <c r="AB735" i="9"/>
  <c r="AA735" i="9"/>
  <c r="Z734" i="9"/>
  <c r="AB734" i="9"/>
  <c r="AA734" i="9"/>
  <c r="AB733" i="9"/>
  <c r="AA733" i="9"/>
  <c r="AB732" i="9"/>
  <c r="AA732" i="9"/>
  <c r="Z731" i="9"/>
  <c r="AB731" i="9"/>
  <c r="AA731" i="9"/>
  <c r="AB730" i="9"/>
  <c r="AA730" i="9"/>
  <c r="Z729" i="9"/>
  <c r="AB729" i="9"/>
  <c r="AA729" i="9"/>
  <c r="Z728" i="9"/>
  <c r="AB728" i="9"/>
  <c r="AA728" i="9"/>
  <c r="Z727" i="9"/>
  <c r="AB727" i="9"/>
  <c r="AA727" i="9"/>
  <c r="AB726" i="9"/>
  <c r="AA726" i="9"/>
  <c r="Z725" i="9"/>
  <c r="AB725" i="9"/>
  <c r="AA725" i="9"/>
  <c r="AB724" i="9"/>
  <c r="AA724" i="9"/>
  <c r="AB723" i="9"/>
  <c r="AA723" i="9"/>
  <c r="Z722" i="9"/>
  <c r="AB722" i="9"/>
  <c r="AA722" i="9"/>
  <c r="Z721" i="9"/>
  <c r="AB721" i="9"/>
  <c r="AA721" i="9"/>
  <c r="Z720" i="9"/>
  <c r="AB720" i="9"/>
  <c r="AA720" i="9"/>
  <c r="AB719" i="9"/>
  <c r="AA719" i="9"/>
  <c r="Z718" i="9"/>
  <c r="AB718" i="9"/>
  <c r="AA718" i="9"/>
  <c r="AB717" i="9"/>
  <c r="AA717" i="9"/>
  <c r="Z716" i="9"/>
  <c r="AB716" i="9"/>
  <c r="AA716" i="9"/>
  <c r="AB715" i="9"/>
  <c r="AA715" i="9"/>
  <c r="Z714" i="9"/>
  <c r="AB714" i="9"/>
  <c r="AA714" i="9"/>
  <c r="AB713" i="9"/>
  <c r="AA713" i="9"/>
  <c r="Z712" i="9"/>
  <c r="AB712" i="9"/>
  <c r="AA712" i="9"/>
  <c r="Z711" i="9"/>
  <c r="AB711" i="9"/>
  <c r="AA711" i="9"/>
  <c r="AB710" i="9"/>
  <c r="AA710" i="9"/>
  <c r="Z709" i="9"/>
  <c r="AB709" i="9"/>
  <c r="AA709" i="9"/>
  <c r="Z708" i="9"/>
  <c r="AB708" i="9"/>
  <c r="AA708" i="9"/>
  <c r="Z707" i="9"/>
  <c r="AB707" i="9"/>
  <c r="AA707" i="9"/>
  <c r="Z706" i="9"/>
  <c r="AB706" i="9"/>
  <c r="AA706" i="9"/>
  <c r="Z705" i="9"/>
  <c r="AB705" i="9"/>
  <c r="AA705" i="9"/>
  <c r="Z704" i="9"/>
  <c r="AB704" i="9"/>
  <c r="AA704" i="9"/>
  <c r="AB703" i="9"/>
  <c r="AA703" i="9"/>
  <c r="Z702" i="9"/>
  <c r="AB702" i="9"/>
  <c r="AA702" i="9"/>
  <c r="Z701" i="9"/>
  <c r="AB701" i="9"/>
  <c r="AA701" i="9"/>
  <c r="Z700" i="9"/>
  <c r="AB700" i="9"/>
  <c r="AA700" i="9"/>
  <c r="AB699" i="9"/>
  <c r="AA699" i="9"/>
  <c r="Z698" i="9"/>
  <c r="AB698" i="9"/>
  <c r="AA698" i="9"/>
  <c r="Z697" i="9"/>
  <c r="AB697" i="9"/>
  <c r="AA697" i="9"/>
  <c r="AB696" i="9"/>
  <c r="AA696" i="9"/>
  <c r="Z695" i="9"/>
  <c r="AB695" i="9"/>
  <c r="AA695" i="9"/>
  <c r="AB694" i="9"/>
  <c r="AA694" i="9"/>
  <c r="Z693" i="9"/>
  <c r="AB693" i="9"/>
  <c r="AA693" i="9"/>
  <c r="Z692" i="9"/>
  <c r="AB692" i="9"/>
  <c r="AA692" i="9"/>
  <c r="Z691" i="9"/>
  <c r="AB691" i="9"/>
  <c r="AA691" i="9"/>
  <c r="AB690" i="9"/>
  <c r="AA690" i="9"/>
  <c r="Z689" i="9"/>
  <c r="AB689" i="9"/>
  <c r="AA689" i="9"/>
  <c r="AB688" i="9"/>
  <c r="AA688" i="9"/>
  <c r="Z687" i="9"/>
  <c r="AB687" i="9"/>
  <c r="AA687" i="9"/>
  <c r="AB686" i="9"/>
  <c r="AA686" i="9"/>
  <c r="Z685" i="9"/>
  <c r="AB685" i="9"/>
  <c r="AA685" i="9"/>
  <c r="Z684" i="9"/>
  <c r="AB684" i="9"/>
  <c r="AA684" i="9"/>
  <c r="AB683" i="9"/>
  <c r="AA683" i="9"/>
  <c r="AB682" i="9"/>
  <c r="AA682" i="9"/>
  <c r="AB681" i="9"/>
  <c r="AA681" i="9"/>
  <c r="AB680" i="9"/>
  <c r="AA680" i="9"/>
  <c r="AB679" i="9"/>
  <c r="AA679" i="9"/>
  <c r="AB678" i="9"/>
  <c r="AA678" i="9"/>
  <c r="Z677" i="9"/>
  <c r="AB677" i="9"/>
  <c r="AA677" i="9"/>
  <c r="AB676" i="9"/>
  <c r="AA676" i="9"/>
  <c r="Z675" i="9"/>
  <c r="AB675" i="9"/>
  <c r="AA675" i="9"/>
  <c r="Z674" i="9"/>
  <c r="AB674" i="9"/>
  <c r="AA674" i="9"/>
  <c r="AB673" i="9"/>
  <c r="AA673" i="9"/>
  <c r="Z672" i="9"/>
  <c r="AB672" i="9"/>
  <c r="AA672" i="9"/>
  <c r="Z671" i="9"/>
  <c r="AB671" i="9"/>
  <c r="AA671" i="9"/>
  <c r="Z670" i="9"/>
  <c r="AB670" i="9"/>
  <c r="AA670" i="9"/>
  <c r="AB669" i="9"/>
  <c r="AA669" i="9"/>
  <c r="AB668" i="9"/>
  <c r="AA668" i="9"/>
  <c r="Z667" i="9"/>
  <c r="AB667" i="9"/>
  <c r="AA667" i="9"/>
  <c r="Z666" i="9"/>
  <c r="AB666" i="9"/>
  <c r="AA666" i="9"/>
  <c r="Z665" i="9"/>
  <c r="AB665" i="9"/>
  <c r="AA665" i="9"/>
  <c r="Z664" i="9"/>
  <c r="AB664" i="9"/>
  <c r="AA664" i="9"/>
  <c r="AB663" i="9"/>
  <c r="AA663" i="9"/>
  <c r="AB662" i="9"/>
  <c r="AA662" i="9"/>
  <c r="Z661" i="9"/>
  <c r="AB661" i="9"/>
  <c r="AA661" i="9"/>
  <c r="AB660" i="9"/>
  <c r="AA660" i="9"/>
  <c r="Z659" i="9"/>
  <c r="AB659" i="9"/>
  <c r="AA659" i="9"/>
  <c r="AB658" i="9"/>
  <c r="AA658" i="9"/>
  <c r="Z657" i="9"/>
  <c r="AB657" i="9"/>
  <c r="AA657" i="9"/>
  <c r="Z656" i="9"/>
  <c r="AB656" i="9"/>
  <c r="AA656" i="9"/>
  <c r="AB655" i="9"/>
  <c r="AA655" i="9"/>
  <c r="AB654" i="9"/>
  <c r="AA654" i="9"/>
  <c r="AB653" i="9"/>
  <c r="AA653" i="9"/>
  <c r="Z652" i="9"/>
  <c r="AB652" i="9"/>
  <c r="AA652" i="9"/>
  <c r="Z651" i="9"/>
  <c r="AB651" i="9"/>
  <c r="AA651" i="9"/>
  <c r="AB650" i="9"/>
  <c r="AA650" i="9"/>
  <c r="Z649" i="9"/>
  <c r="AB649" i="9"/>
  <c r="AA649" i="9"/>
  <c r="Z648" i="9"/>
  <c r="AB648" i="9"/>
  <c r="AA648" i="9"/>
  <c r="Z647" i="9"/>
  <c r="AB647" i="9"/>
  <c r="AA647" i="9"/>
  <c r="Z646" i="9"/>
  <c r="AB646" i="9"/>
  <c r="AA646" i="9"/>
  <c r="AB645" i="9"/>
  <c r="AA645" i="9"/>
  <c r="AB644" i="9"/>
  <c r="AA644" i="9"/>
  <c r="Z643" i="9"/>
  <c r="AB643" i="9"/>
  <c r="AA643" i="9"/>
  <c r="AB642" i="9"/>
  <c r="AA642" i="9"/>
  <c r="Z641" i="9"/>
  <c r="AB641" i="9"/>
  <c r="AA641" i="9"/>
  <c r="Z640" i="9"/>
  <c r="AB640" i="9"/>
  <c r="AA640" i="9"/>
  <c r="Z639" i="9"/>
  <c r="AB639" i="9"/>
  <c r="AA639" i="9"/>
  <c r="AB638" i="9"/>
  <c r="AA638" i="9"/>
  <c r="Z637" i="9"/>
  <c r="AB637" i="9"/>
  <c r="AA637" i="9"/>
  <c r="Z636" i="9"/>
  <c r="AB636" i="9"/>
  <c r="AA636" i="9"/>
  <c r="Z635" i="9"/>
  <c r="AB635" i="9"/>
  <c r="AA635" i="9"/>
  <c r="AB634" i="9"/>
  <c r="AA634" i="9"/>
  <c r="AB633" i="9"/>
  <c r="AA633" i="9"/>
  <c r="AB632" i="9"/>
  <c r="AA632" i="9"/>
  <c r="AB631" i="9"/>
  <c r="AA631" i="9"/>
  <c r="Z630" i="9"/>
  <c r="AB630" i="9"/>
  <c r="AA630" i="9"/>
  <c r="Z629" i="9"/>
  <c r="AB629" i="9"/>
  <c r="AA629" i="9"/>
  <c r="AB628" i="9"/>
  <c r="AA628" i="9"/>
  <c r="AB627" i="9"/>
  <c r="AA627" i="9"/>
  <c r="AB626" i="9"/>
  <c r="AA626" i="9"/>
  <c r="AB625" i="9"/>
  <c r="AA625" i="9"/>
  <c r="AB624" i="9"/>
  <c r="AA624" i="9"/>
  <c r="AB623" i="9"/>
  <c r="AA623" i="9"/>
  <c r="Z622" i="9"/>
  <c r="AB622" i="9"/>
  <c r="AA622" i="9"/>
  <c r="AB621" i="9"/>
  <c r="AA621" i="9"/>
  <c r="AB620" i="9"/>
  <c r="AA620" i="9"/>
  <c r="AB619" i="9"/>
  <c r="AA619" i="9"/>
  <c r="AB618" i="9"/>
  <c r="AA618" i="9"/>
  <c r="AB617" i="9"/>
  <c r="AA617" i="9"/>
  <c r="Z616" i="9"/>
  <c r="AB616" i="9"/>
  <c r="AA616" i="9"/>
  <c r="Z615" i="9"/>
  <c r="AB615" i="9"/>
  <c r="AA615" i="9"/>
  <c r="Z614" i="9"/>
  <c r="AB614" i="9"/>
  <c r="AA614" i="9"/>
  <c r="AB613" i="9"/>
  <c r="AA613" i="9"/>
  <c r="AB612" i="9"/>
  <c r="AA612" i="9"/>
  <c r="Z611" i="9"/>
  <c r="AB611" i="9"/>
  <c r="AA611" i="9"/>
  <c r="AB610" i="9"/>
  <c r="AA610" i="9"/>
  <c r="Z609" i="9"/>
  <c r="AB609" i="9"/>
  <c r="AA609" i="9"/>
  <c r="AB608" i="9"/>
  <c r="AA608" i="9"/>
  <c r="AB607" i="9"/>
  <c r="AA607" i="9"/>
  <c r="Z606" i="9"/>
  <c r="AB606" i="9"/>
  <c r="AA606" i="9"/>
  <c r="Z605" i="9"/>
  <c r="AB605" i="9"/>
  <c r="AA605" i="9"/>
  <c r="Z604" i="9"/>
  <c r="AB604" i="9"/>
  <c r="AA604" i="9"/>
  <c r="Z603" i="9"/>
  <c r="AB603" i="9"/>
  <c r="AA603" i="9"/>
  <c r="AB602" i="9"/>
  <c r="AA602" i="9"/>
  <c r="Z601" i="9"/>
  <c r="AB601" i="9"/>
  <c r="AA601" i="9"/>
  <c r="AB600" i="9"/>
  <c r="AA600" i="9"/>
  <c r="Z599" i="9"/>
  <c r="AB599" i="9"/>
  <c r="AA599" i="9"/>
  <c r="AB598" i="9"/>
  <c r="AA598" i="9"/>
  <c r="AB597" i="9"/>
  <c r="AA597" i="9"/>
  <c r="AB596" i="9"/>
  <c r="AA596" i="9"/>
  <c r="AB595" i="9"/>
  <c r="AA595" i="9"/>
  <c r="AB594" i="9"/>
  <c r="AA594" i="9"/>
  <c r="AB593" i="9"/>
  <c r="AA593" i="9"/>
  <c r="AB592" i="9"/>
  <c r="AA592" i="9"/>
  <c r="AB591" i="9"/>
  <c r="AA591" i="9"/>
  <c r="AB590" i="9"/>
  <c r="AA590" i="9"/>
  <c r="Z589" i="9"/>
  <c r="AB589" i="9"/>
  <c r="AA589" i="9"/>
  <c r="AB588" i="9"/>
  <c r="AA588" i="9"/>
  <c r="Z587" i="9"/>
  <c r="AB587" i="9"/>
  <c r="AA587" i="9"/>
  <c r="Z586" i="9"/>
  <c r="AB586" i="9"/>
  <c r="AA586" i="9"/>
  <c r="AB585" i="9"/>
  <c r="AA585" i="9"/>
  <c r="AB584" i="9"/>
  <c r="AA584" i="9"/>
  <c r="AB583" i="9"/>
  <c r="AA583" i="9"/>
  <c r="AB582" i="9"/>
  <c r="AA582" i="9"/>
  <c r="AB581" i="9"/>
  <c r="AA581" i="9"/>
  <c r="AB580" i="9"/>
  <c r="AA580" i="9"/>
  <c r="AB579" i="9"/>
  <c r="AA579" i="9"/>
  <c r="Z578" i="9"/>
  <c r="AB578" i="9"/>
  <c r="AA578" i="9"/>
  <c r="AB577" i="9"/>
  <c r="AA577" i="9"/>
  <c r="AB576" i="9"/>
  <c r="AA576" i="9"/>
  <c r="AB575" i="9"/>
  <c r="AA575" i="9"/>
  <c r="AB574" i="9"/>
  <c r="AA574" i="9"/>
  <c r="AB573" i="9"/>
  <c r="AA573" i="9"/>
  <c r="AB572" i="9"/>
  <c r="AA572" i="9"/>
  <c r="AB571" i="9"/>
  <c r="AA571" i="9"/>
  <c r="AB570" i="9"/>
  <c r="AA570" i="9"/>
  <c r="AB569" i="9"/>
  <c r="AA569" i="9"/>
  <c r="AB568" i="9"/>
  <c r="AA568" i="9"/>
  <c r="AB567" i="9"/>
  <c r="AA567" i="9"/>
  <c r="AB566" i="9"/>
  <c r="AA566" i="9"/>
  <c r="AB565" i="9"/>
  <c r="AA565" i="9"/>
  <c r="AB564" i="9"/>
  <c r="AA564" i="9"/>
  <c r="AB563" i="9"/>
  <c r="AA563" i="9"/>
  <c r="Z562" i="9"/>
  <c r="AB562" i="9"/>
  <c r="AA562" i="9"/>
  <c r="AB561" i="9"/>
  <c r="AA561" i="9"/>
  <c r="AB560" i="9"/>
  <c r="AA560" i="9"/>
  <c r="AB559" i="9"/>
  <c r="AA559" i="9"/>
  <c r="AB558" i="9"/>
  <c r="AA558" i="9"/>
  <c r="AB557" i="9"/>
  <c r="AA557" i="9"/>
  <c r="AB556" i="9"/>
  <c r="AA556" i="9"/>
  <c r="AB555" i="9"/>
  <c r="AA555" i="9"/>
  <c r="AB554" i="9"/>
  <c r="AA554" i="9"/>
  <c r="AB553" i="9"/>
  <c r="AA553" i="9"/>
  <c r="Z552" i="9"/>
  <c r="AB552" i="9"/>
  <c r="AA552" i="9"/>
  <c r="AB551" i="9"/>
  <c r="AA551" i="9"/>
  <c r="AB550" i="9"/>
  <c r="AA550" i="9"/>
  <c r="Z549" i="9"/>
  <c r="AB549" i="9"/>
  <c r="AA549" i="9"/>
  <c r="Z548" i="9"/>
  <c r="AB548" i="9"/>
  <c r="AA548" i="9"/>
  <c r="AB547" i="9"/>
  <c r="AA547" i="9"/>
  <c r="AB546" i="9"/>
  <c r="AA546" i="9"/>
  <c r="AB545" i="9"/>
  <c r="AA545" i="9"/>
  <c r="Z544" i="9"/>
  <c r="AB544" i="9"/>
  <c r="AA544" i="9"/>
  <c r="AB543" i="9"/>
  <c r="AA543" i="9"/>
  <c r="AB542" i="9"/>
  <c r="AA542" i="9"/>
  <c r="Z541" i="9"/>
  <c r="AB541" i="9"/>
  <c r="AA541" i="9"/>
  <c r="AB540" i="9"/>
  <c r="AA540" i="9"/>
  <c r="AB539" i="9"/>
  <c r="AA539" i="9"/>
  <c r="AB538" i="9"/>
  <c r="AA538" i="9"/>
  <c r="Z537" i="9"/>
  <c r="AB537" i="9"/>
  <c r="AA537" i="9"/>
  <c r="AB536" i="9"/>
  <c r="AA536" i="9"/>
  <c r="AB535" i="9"/>
  <c r="AA535" i="9"/>
  <c r="Z534" i="9"/>
  <c r="AB534" i="9"/>
  <c r="AA534" i="9"/>
  <c r="AB533" i="9"/>
  <c r="AA533" i="9"/>
  <c r="AB532" i="9"/>
  <c r="AA532" i="9"/>
  <c r="AB531" i="9"/>
  <c r="AA531" i="9"/>
  <c r="Z530" i="9"/>
  <c r="AB530" i="9"/>
  <c r="AA530" i="9"/>
  <c r="Z529" i="9"/>
  <c r="AB529" i="9"/>
  <c r="AA529" i="9"/>
  <c r="AB528" i="9"/>
  <c r="AA528" i="9"/>
  <c r="AB527" i="9"/>
  <c r="AA527" i="9"/>
  <c r="AB526" i="9"/>
  <c r="AA526" i="9"/>
  <c r="AB525" i="9"/>
  <c r="AA525" i="9"/>
  <c r="Z524" i="9"/>
  <c r="AB524" i="9"/>
  <c r="AA524" i="9"/>
  <c r="AB523" i="9"/>
  <c r="AA523" i="9"/>
  <c r="AB522" i="9"/>
  <c r="AA522" i="9"/>
  <c r="AB521" i="9"/>
  <c r="AA521" i="9"/>
  <c r="AB520" i="9"/>
  <c r="AA520" i="9"/>
  <c r="AB519" i="9"/>
  <c r="AA519" i="9"/>
  <c r="AB518" i="9"/>
  <c r="AA518" i="9"/>
  <c r="Z517" i="9"/>
  <c r="AB517" i="9"/>
  <c r="AA517" i="9"/>
  <c r="AB516" i="9"/>
  <c r="AA516" i="9"/>
  <c r="AB515" i="9"/>
  <c r="AA515" i="9"/>
  <c r="AB514" i="9"/>
  <c r="AA514" i="9"/>
  <c r="AB513" i="9"/>
  <c r="AA513" i="9"/>
  <c r="AB512" i="9"/>
  <c r="AA512" i="9"/>
  <c r="AB511" i="9"/>
  <c r="AA511" i="9"/>
  <c r="AB510" i="9"/>
  <c r="AA510" i="9"/>
  <c r="Z510" i="9"/>
  <c r="AB509" i="9"/>
  <c r="AA509" i="9"/>
  <c r="AB508" i="9"/>
  <c r="AA508" i="9"/>
  <c r="AB507" i="9"/>
  <c r="AA507" i="9"/>
  <c r="AB506" i="9"/>
  <c r="AA506" i="9"/>
  <c r="AB505" i="9"/>
  <c r="AA505" i="9"/>
  <c r="AB504" i="9"/>
  <c r="AA504" i="9"/>
  <c r="AB503" i="9"/>
  <c r="AA503" i="9"/>
  <c r="Z502" i="9"/>
  <c r="AB502" i="9"/>
  <c r="AA502" i="9"/>
  <c r="AB501" i="9"/>
  <c r="AA501" i="9"/>
  <c r="AB500" i="9"/>
  <c r="AA500" i="9"/>
  <c r="Z499" i="9"/>
  <c r="AB499" i="9"/>
  <c r="AA499" i="9"/>
  <c r="AB498" i="9"/>
  <c r="AA498" i="9"/>
  <c r="AB497" i="9"/>
  <c r="AA497" i="9"/>
  <c r="AB496" i="9"/>
  <c r="AA496" i="9"/>
  <c r="AB495" i="9"/>
  <c r="AA495" i="9"/>
  <c r="AB494" i="9"/>
  <c r="AA494" i="9"/>
  <c r="AB493" i="9"/>
  <c r="AA493" i="9"/>
  <c r="AB492" i="9"/>
  <c r="AA492" i="9"/>
  <c r="AB491" i="9"/>
  <c r="AA491" i="9"/>
  <c r="Z491" i="9"/>
  <c r="AB490" i="9"/>
  <c r="AA490" i="9"/>
  <c r="AB489" i="9"/>
  <c r="AA489" i="9"/>
  <c r="AB488" i="9"/>
  <c r="AA488" i="9"/>
  <c r="AB487" i="9"/>
  <c r="AA487" i="9"/>
  <c r="AB486" i="9"/>
  <c r="AA486" i="9"/>
  <c r="AB485" i="9"/>
  <c r="AA485" i="9"/>
  <c r="AB484" i="9"/>
  <c r="AA484" i="9"/>
  <c r="AB483" i="9"/>
  <c r="AA483" i="9"/>
  <c r="AB482" i="9"/>
  <c r="AA482" i="9"/>
  <c r="AB481" i="9"/>
  <c r="AA481" i="9"/>
  <c r="AB480" i="9"/>
  <c r="AA480" i="9"/>
  <c r="AB479" i="9"/>
  <c r="AA479" i="9"/>
  <c r="AB478" i="9"/>
  <c r="AA478" i="9"/>
  <c r="AB477" i="9"/>
  <c r="AA477" i="9"/>
  <c r="AB476" i="9"/>
  <c r="AA476" i="9"/>
  <c r="AB475" i="9"/>
  <c r="AA475" i="9"/>
  <c r="AB474" i="9"/>
  <c r="AA474" i="9"/>
  <c r="AB473" i="9"/>
  <c r="AA473" i="9"/>
  <c r="AB472" i="9"/>
  <c r="AA472" i="9"/>
  <c r="AB471" i="9"/>
  <c r="AA471" i="9"/>
  <c r="AB470" i="9"/>
  <c r="AA470" i="9"/>
  <c r="AB469" i="9"/>
  <c r="AA469" i="9"/>
  <c r="AB468" i="9"/>
  <c r="AA468" i="9"/>
  <c r="AB467" i="9"/>
  <c r="AA467" i="9"/>
  <c r="AB466" i="9"/>
  <c r="AA466" i="9"/>
  <c r="AB465" i="9"/>
  <c r="AA465" i="9"/>
  <c r="AB464" i="9"/>
  <c r="AA464" i="9"/>
  <c r="AB463" i="9"/>
  <c r="AA463" i="9"/>
  <c r="Z463" i="9"/>
  <c r="AB462" i="9"/>
  <c r="AA462" i="9"/>
  <c r="AB461" i="9"/>
  <c r="AA461" i="9"/>
  <c r="AB460" i="9"/>
  <c r="AA460" i="9"/>
  <c r="AB459" i="9"/>
  <c r="AA459" i="9"/>
  <c r="AB458" i="9"/>
  <c r="AA458" i="9"/>
  <c r="AB457" i="9"/>
  <c r="AA457" i="9"/>
  <c r="AB456" i="9"/>
  <c r="AA456" i="9"/>
  <c r="AB455" i="9"/>
  <c r="AA455" i="9"/>
  <c r="AB454" i="9"/>
  <c r="AA454" i="9"/>
  <c r="AB453" i="9"/>
  <c r="AA453" i="9"/>
  <c r="AB452" i="9"/>
  <c r="AA452" i="9"/>
  <c r="AB451" i="9"/>
  <c r="AA451" i="9"/>
  <c r="Z451" i="9"/>
  <c r="AB450" i="9"/>
  <c r="AA450" i="9"/>
  <c r="AB449" i="9"/>
  <c r="AA449" i="9"/>
  <c r="AB448" i="9"/>
  <c r="AA448" i="9"/>
  <c r="AB447" i="9"/>
  <c r="AA447" i="9"/>
  <c r="AB446" i="9"/>
  <c r="AA446" i="9"/>
  <c r="AB445" i="9"/>
  <c r="AA445" i="9"/>
  <c r="AB444" i="9"/>
  <c r="AA444" i="9"/>
  <c r="AB443" i="9"/>
  <c r="AA443" i="9"/>
  <c r="AB442" i="9"/>
  <c r="AA442" i="9"/>
  <c r="AB441" i="9"/>
  <c r="AA441" i="9"/>
  <c r="AB440" i="9"/>
  <c r="AA440" i="9"/>
  <c r="AB439" i="9"/>
  <c r="AA439" i="9"/>
  <c r="Z439" i="9"/>
  <c r="AB438" i="9"/>
  <c r="AA438" i="9"/>
  <c r="AB437" i="9"/>
  <c r="AA437" i="9"/>
  <c r="AB436" i="9"/>
  <c r="AA436" i="9"/>
  <c r="AB435" i="9"/>
  <c r="AA435" i="9"/>
  <c r="AB434" i="9"/>
  <c r="AA434" i="9"/>
  <c r="AB433" i="9"/>
  <c r="AA433" i="9"/>
  <c r="AB432" i="9"/>
  <c r="AA432" i="9"/>
  <c r="AB431" i="9"/>
  <c r="AA431" i="9"/>
  <c r="AB430" i="9"/>
  <c r="AA430" i="9"/>
  <c r="AB429" i="9"/>
  <c r="AA429" i="9"/>
  <c r="AB428" i="9"/>
  <c r="AA428" i="9"/>
  <c r="AB427" i="9"/>
  <c r="AA427" i="9"/>
  <c r="AB426" i="9"/>
  <c r="AA426" i="9"/>
  <c r="AB425" i="9"/>
  <c r="AA425" i="9"/>
  <c r="AB424" i="9"/>
  <c r="AA424" i="9"/>
  <c r="AB423" i="9"/>
  <c r="AA423" i="9"/>
  <c r="AB422" i="9"/>
  <c r="AA422" i="9"/>
  <c r="AB421" i="9"/>
  <c r="AA421" i="9"/>
  <c r="AB420" i="9"/>
  <c r="AA420" i="9"/>
  <c r="AB419" i="9"/>
  <c r="AA419" i="9"/>
  <c r="AB418" i="9"/>
  <c r="AA418" i="9"/>
  <c r="AB417" i="9"/>
  <c r="AA417" i="9"/>
  <c r="AB416" i="9"/>
  <c r="AA416" i="9"/>
  <c r="AB415" i="9"/>
  <c r="AA415" i="9"/>
  <c r="AB414" i="9"/>
  <c r="AA414" i="9"/>
  <c r="AB413" i="9"/>
  <c r="AA413" i="9"/>
  <c r="AB412" i="9"/>
  <c r="AA412" i="9"/>
  <c r="AB411" i="9"/>
  <c r="AA411" i="9"/>
  <c r="AB410" i="9"/>
  <c r="AA410" i="9"/>
  <c r="AB409" i="9"/>
  <c r="AA409" i="9"/>
  <c r="AB408" i="9"/>
  <c r="AA408" i="9"/>
  <c r="AB407" i="9"/>
  <c r="AA407" i="9"/>
  <c r="AB406" i="9"/>
  <c r="AA406" i="9"/>
  <c r="AB405" i="9"/>
  <c r="AA405" i="9"/>
  <c r="AB404" i="9"/>
  <c r="AA404" i="9"/>
  <c r="AB403" i="9"/>
  <c r="AA403" i="9"/>
  <c r="AB402" i="9"/>
  <c r="AA402" i="9"/>
  <c r="AB401" i="9"/>
  <c r="AA401" i="9"/>
  <c r="AB400" i="9"/>
  <c r="AA400" i="9"/>
  <c r="AB399" i="9"/>
  <c r="AA399" i="9"/>
  <c r="AB398" i="9"/>
  <c r="AA398" i="9"/>
  <c r="AB397" i="9"/>
  <c r="AA397" i="9"/>
  <c r="AB396" i="9"/>
  <c r="AA396" i="9"/>
  <c r="AB395" i="9"/>
  <c r="AA395" i="9"/>
  <c r="AB394" i="9"/>
  <c r="AA394" i="9"/>
  <c r="AB393" i="9"/>
  <c r="AA393" i="9"/>
  <c r="AB392" i="9"/>
  <c r="AA392" i="9"/>
  <c r="AB391" i="9"/>
  <c r="AA391" i="9"/>
  <c r="AB390" i="9"/>
  <c r="AA390" i="9"/>
  <c r="AB389" i="9"/>
  <c r="AA389" i="9"/>
  <c r="AB388" i="9"/>
  <c r="AA388" i="9"/>
  <c r="AB387" i="9"/>
  <c r="AA387" i="9"/>
  <c r="AB386" i="9"/>
  <c r="AA386" i="9"/>
  <c r="AB385" i="9"/>
  <c r="AA385" i="9"/>
  <c r="AB384" i="9"/>
  <c r="AA384" i="9"/>
  <c r="AB383" i="9"/>
  <c r="AA383" i="9"/>
  <c r="AB382" i="9"/>
  <c r="AA382" i="9"/>
  <c r="AB381" i="9"/>
  <c r="AA381" i="9"/>
  <c r="AB380" i="9"/>
  <c r="AA380" i="9"/>
  <c r="AB379" i="9"/>
  <c r="AA379" i="9"/>
  <c r="AB378" i="9"/>
  <c r="AA378" i="9"/>
  <c r="AB377" i="9"/>
  <c r="AA377" i="9"/>
  <c r="AB376" i="9"/>
  <c r="AA376" i="9"/>
  <c r="AB375" i="9"/>
  <c r="AA375" i="9"/>
  <c r="AB374" i="9"/>
  <c r="AA374" i="9"/>
  <c r="AB373" i="9"/>
  <c r="AA373" i="9"/>
  <c r="AB372" i="9"/>
  <c r="AA372" i="9"/>
  <c r="AB371" i="9"/>
  <c r="AA371" i="9"/>
  <c r="AB370" i="9"/>
  <c r="AA370" i="9"/>
  <c r="AB369" i="9"/>
  <c r="AA369" i="9"/>
  <c r="AB368" i="9"/>
  <c r="AA368" i="9"/>
  <c r="AB367" i="9"/>
  <c r="AA367" i="9"/>
  <c r="AB366" i="9"/>
  <c r="AA366" i="9"/>
  <c r="AB365" i="9"/>
  <c r="AA365" i="9"/>
  <c r="AB364" i="9"/>
  <c r="AA364" i="9"/>
  <c r="AB363" i="9"/>
  <c r="AA363" i="9"/>
  <c r="AB362" i="9"/>
  <c r="AA362" i="9"/>
  <c r="AB361" i="9"/>
  <c r="AA361" i="9"/>
  <c r="AB360" i="9"/>
  <c r="AA360" i="9"/>
  <c r="AB359" i="9"/>
  <c r="AA359" i="9"/>
  <c r="AB358" i="9"/>
  <c r="AA358" i="9"/>
  <c r="AB357" i="9"/>
  <c r="AA357" i="9"/>
  <c r="AB356" i="9"/>
  <c r="AA356" i="9"/>
  <c r="AB355" i="9"/>
  <c r="AA355" i="9"/>
  <c r="AB354" i="9"/>
  <c r="AA354" i="9"/>
  <c r="AB353" i="9"/>
  <c r="AA353" i="9"/>
  <c r="AB352" i="9"/>
  <c r="AA352" i="9"/>
  <c r="AB351" i="9"/>
  <c r="AA351" i="9"/>
  <c r="AB350" i="9"/>
  <c r="AA350" i="9"/>
  <c r="AB349" i="9"/>
  <c r="AA349" i="9"/>
  <c r="AB348" i="9"/>
  <c r="AA348" i="9"/>
  <c r="AB347" i="9"/>
  <c r="AA347" i="9"/>
  <c r="AB346" i="9"/>
  <c r="AA346" i="9"/>
  <c r="AB345" i="9"/>
  <c r="AA345" i="9"/>
  <c r="AB344" i="9"/>
  <c r="AA344" i="9"/>
  <c r="AB343" i="9"/>
  <c r="AA343" i="9"/>
  <c r="AB342" i="9"/>
  <c r="AA342" i="9"/>
  <c r="AB341" i="9"/>
  <c r="AA341" i="9"/>
  <c r="Z341" i="9"/>
  <c r="AB340" i="9"/>
  <c r="AA340" i="9"/>
  <c r="AB339" i="9"/>
  <c r="AA339" i="9"/>
  <c r="AB338" i="9"/>
  <c r="AA338" i="9"/>
  <c r="AB337" i="9"/>
  <c r="AA337" i="9"/>
  <c r="AB336" i="9"/>
  <c r="AA336" i="9"/>
  <c r="AB335" i="9"/>
  <c r="AA335" i="9"/>
  <c r="AB334" i="9"/>
  <c r="AA334" i="9"/>
  <c r="AB333" i="9"/>
  <c r="AA333" i="9"/>
  <c r="AB332" i="9"/>
  <c r="AA332" i="9"/>
  <c r="AB331" i="9"/>
  <c r="AA331" i="9"/>
  <c r="AB330" i="9"/>
  <c r="AA330" i="9"/>
  <c r="AB329" i="9"/>
  <c r="AA329" i="9"/>
  <c r="AB328" i="9"/>
  <c r="AA328" i="9"/>
  <c r="AB327" i="9"/>
  <c r="AA327" i="9"/>
  <c r="AB326" i="9"/>
  <c r="AA326" i="9"/>
  <c r="AB325" i="9"/>
  <c r="AA325" i="9"/>
  <c r="AB324" i="9"/>
  <c r="AA324" i="9"/>
  <c r="AB323" i="9"/>
  <c r="AA323" i="9"/>
  <c r="AB322" i="9"/>
  <c r="AA322" i="9"/>
  <c r="AB321" i="9"/>
  <c r="AA321" i="9"/>
  <c r="AB320" i="9"/>
  <c r="AA320" i="9"/>
  <c r="AB319" i="9"/>
  <c r="AA319" i="9"/>
  <c r="AB318" i="9"/>
  <c r="AA318" i="9"/>
  <c r="AB317" i="9"/>
  <c r="AA317" i="9"/>
  <c r="AB316" i="9"/>
  <c r="AA316" i="9"/>
  <c r="AB315" i="9"/>
  <c r="AA315" i="9"/>
  <c r="AB314" i="9"/>
  <c r="AA314" i="9"/>
  <c r="AB313" i="9"/>
  <c r="AA313" i="9"/>
  <c r="AB312" i="9"/>
  <c r="AA312" i="9"/>
  <c r="AB311" i="9"/>
  <c r="AA311" i="9"/>
  <c r="AB310" i="9"/>
  <c r="AA310" i="9"/>
  <c r="AB309" i="9"/>
  <c r="AA309" i="9"/>
  <c r="AB308" i="9"/>
  <c r="AA308" i="9"/>
  <c r="AB307" i="9"/>
  <c r="AA307" i="9"/>
  <c r="AB306" i="9"/>
  <c r="AA306" i="9"/>
  <c r="AB305" i="9"/>
  <c r="AA305" i="9"/>
  <c r="AB304" i="9"/>
  <c r="AA304" i="9"/>
  <c r="AB303" i="9"/>
  <c r="AA303" i="9"/>
  <c r="AB302" i="9"/>
  <c r="AA302" i="9"/>
  <c r="AB301" i="9"/>
  <c r="AA301" i="9"/>
  <c r="AB300" i="9"/>
  <c r="AA300" i="9"/>
  <c r="AB299" i="9"/>
  <c r="AA299" i="9"/>
  <c r="AB298" i="9"/>
  <c r="AA298" i="9"/>
  <c r="AB297" i="9"/>
  <c r="AA297" i="9"/>
  <c r="AB296" i="9"/>
  <c r="AA296" i="9"/>
  <c r="AB295" i="9"/>
  <c r="AA295" i="9"/>
  <c r="AB294" i="9"/>
  <c r="AA294" i="9"/>
  <c r="AB293" i="9"/>
  <c r="AA293" i="9"/>
  <c r="AB292" i="9"/>
  <c r="AA292" i="9"/>
  <c r="AB291" i="9"/>
  <c r="AA291" i="9"/>
  <c r="AB290" i="9"/>
  <c r="AA290" i="9"/>
  <c r="AB289" i="9"/>
  <c r="AA289" i="9"/>
  <c r="AB288" i="9"/>
  <c r="AA288" i="9"/>
  <c r="AB287" i="9"/>
  <c r="AA287" i="9"/>
  <c r="AB286" i="9"/>
  <c r="AA286" i="9"/>
  <c r="AB285" i="9"/>
  <c r="AA285" i="9"/>
  <c r="AB284" i="9"/>
  <c r="AA284" i="9"/>
  <c r="AB283" i="9"/>
  <c r="AA283" i="9"/>
  <c r="AB282" i="9"/>
  <c r="AA282" i="9"/>
  <c r="AB281" i="9"/>
  <c r="AA281" i="9"/>
  <c r="AB280" i="9"/>
  <c r="AA280" i="9"/>
  <c r="AB279" i="9"/>
  <c r="AA279" i="9"/>
  <c r="AB278" i="9"/>
  <c r="AA278" i="9"/>
  <c r="AB277" i="9"/>
  <c r="AA277" i="9"/>
  <c r="AB276" i="9"/>
  <c r="AA276" i="9"/>
  <c r="AB275" i="9"/>
  <c r="AA275" i="9"/>
  <c r="AB274" i="9"/>
  <c r="AA274" i="9"/>
  <c r="AB273" i="9"/>
  <c r="AA273" i="9"/>
  <c r="AB272" i="9"/>
  <c r="AA272" i="9"/>
  <c r="AB271" i="9"/>
  <c r="AA271" i="9"/>
  <c r="AB270" i="9"/>
  <c r="AA270" i="9"/>
  <c r="AB269" i="9"/>
  <c r="AA269" i="9"/>
  <c r="AB268" i="9"/>
  <c r="AA268" i="9"/>
  <c r="AB267" i="9"/>
  <c r="AA267" i="9"/>
  <c r="AB266" i="9"/>
  <c r="AA266" i="9"/>
  <c r="AB265" i="9"/>
  <c r="AA265" i="9"/>
  <c r="AB264" i="9"/>
  <c r="AA264" i="9"/>
  <c r="AB263" i="9"/>
  <c r="AA263" i="9"/>
  <c r="AB262" i="9"/>
  <c r="AA262" i="9"/>
  <c r="AB261" i="9"/>
  <c r="AA261" i="9"/>
  <c r="AB260" i="9"/>
  <c r="AA260" i="9"/>
  <c r="AB259" i="9"/>
  <c r="AA259" i="9"/>
  <c r="AB258" i="9"/>
  <c r="AA258" i="9"/>
  <c r="AB257" i="9"/>
  <c r="AA257" i="9"/>
  <c r="AB256" i="9"/>
  <c r="AA256" i="9"/>
  <c r="AB255" i="9"/>
  <c r="AA255" i="9"/>
  <c r="AB254" i="9"/>
  <c r="AA254" i="9"/>
  <c r="AB253" i="9"/>
  <c r="AA253" i="9"/>
  <c r="AB252" i="9"/>
  <c r="AA252" i="9"/>
  <c r="AB251" i="9"/>
  <c r="AA251" i="9"/>
  <c r="AB250" i="9"/>
  <c r="AA250" i="9"/>
  <c r="AB249" i="9"/>
  <c r="AA249" i="9"/>
  <c r="AB248" i="9"/>
  <c r="AA248" i="9"/>
  <c r="AB247" i="9"/>
  <c r="AA247" i="9"/>
  <c r="AB246" i="9"/>
  <c r="AA246" i="9"/>
  <c r="AB245" i="9"/>
  <c r="AA245" i="9"/>
  <c r="AB244" i="9"/>
  <c r="AA244" i="9"/>
  <c r="AB243" i="9"/>
  <c r="AA243" i="9"/>
  <c r="AB242" i="9"/>
  <c r="AA242" i="9"/>
  <c r="AB241" i="9"/>
  <c r="AA241" i="9"/>
  <c r="AB240" i="9"/>
  <c r="AA240" i="9"/>
  <c r="AB239" i="9"/>
  <c r="AA239" i="9"/>
  <c r="AB238" i="9"/>
  <c r="AA238" i="9"/>
  <c r="AB237" i="9"/>
  <c r="AA237" i="9"/>
  <c r="AB236" i="9"/>
  <c r="AA236" i="9"/>
  <c r="AB235" i="9"/>
  <c r="AA235" i="9"/>
  <c r="AB234" i="9"/>
  <c r="AA234" i="9"/>
  <c r="AB233" i="9"/>
  <c r="AA233" i="9"/>
  <c r="AB232" i="9"/>
  <c r="AA232" i="9"/>
  <c r="AB231" i="9"/>
  <c r="AA231" i="9"/>
  <c r="AB230" i="9"/>
  <c r="AA230" i="9"/>
  <c r="AB229" i="9"/>
  <c r="AA229" i="9"/>
  <c r="AB228" i="9"/>
  <c r="AA228" i="9"/>
  <c r="AB227" i="9"/>
  <c r="AA227" i="9"/>
  <c r="AB226" i="9"/>
  <c r="AA226" i="9"/>
  <c r="AB225" i="9"/>
  <c r="AA225" i="9"/>
  <c r="AB224" i="9"/>
  <c r="AA224" i="9"/>
  <c r="AB223" i="9"/>
  <c r="AA223" i="9"/>
  <c r="AB222" i="9"/>
  <c r="AA222" i="9"/>
  <c r="AB221" i="9"/>
  <c r="AA221" i="9"/>
  <c r="AB220" i="9"/>
  <c r="AA220" i="9"/>
  <c r="AB219" i="9"/>
  <c r="AA219" i="9"/>
  <c r="AB218" i="9"/>
  <c r="AA218" i="9"/>
  <c r="AB217" i="9"/>
  <c r="AA217" i="9"/>
  <c r="AB216" i="9"/>
  <c r="AA216" i="9"/>
  <c r="AB215" i="9"/>
  <c r="AA215" i="9"/>
  <c r="AB214" i="9"/>
  <c r="AA214" i="9"/>
  <c r="AB213" i="9"/>
  <c r="AA213" i="9"/>
  <c r="AB212" i="9"/>
  <c r="AA212" i="9"/>
  <c r="AB211" i="9"/>
  <c r="AA211" i="9"/>
  <c r="AB210" i="9"/>
  <c r="AA210" i="9"/>
  <c r="AB209" i="9"/>
  <c r="AA209" i="9"/>
  <c r="AB208" i="9"/>
  <c r="AA208" i="9"/>
  <c r="AB207" i="9"/>
  <c r="AA207" i="9"/>
  <c r="AB206" i="9"/>
  <c r="AA206" i="9"/>
  <c r="AB205" i="9"/>
  <c r="AA205" i="9"/>
  <c r="AB204" i="9"/>
  <c r="AA204" i="9"/>
  <c r="AB203" i="9"/>
  <c r="AA203" i="9"/>
  <c r="AB202" i="9"/>
  <c r="AA202" i="9"/>
  <c r="AB201" i="9"/>
  <c r="AA201" i="9"/>
  <c r="AB200" i="9"/>
  <c r="AA200" i="9"/>
  <c r="AB199" i="9"/>
  <c r="AA199" i="9"/>
  <c r="AB198" i="9"/>
  <c r="AA198" i="9"/>
  <c r="AB197" i="9"/>
  <c r="AA197" i="9"/>
  <c r="AB196" i="9"/>
  <c r="AA196" i="9"/>
  <c r="AB195" i="9"/>
  <c r="AA195" i="9"/>
  <c r="AB194" i="9"/>
  <c r="AA194" i="9"/>
  <c r="AB193" i="9"/>
  <c r="AA193" i="9"/>
  <c r="AB192" i="9"/>
  <c r="AA192" i="9"/>
  <c r="AB191" i="9"/>
  <c r="AA191" i="9"/>
  <c r="AB190" i="9"/>
  <c r="AA190" i="9"/>
  <c r="AB189" i="9"/>
  <c r="AA189" i="9"/>
  <c r="AB188" i="9"/>
  <c r="AA188" i="9"/>
  <c r="AB187" i="9"/>
  <c r="AA187" i="9"/>
  <c r="AB186" i="9"/>
  <c r="AA186" i="9"/>
  <c r="AB185" i="9"/>
  <c r="AA185" i="9"/>
  <c r="AB184" i="9"/>
  <c r="AA184" i="9"/>
  <c r="AB183" i="9"/>
  <c r="AA183" i="9"/>
  <c r="AB182" i="9"/>
  <c r="AA182" i="9"/>
  <c r="AB181" i="9"/>
  <c r="AA181" i="9"/>
  <c r="AB180" i="9"/>
  <c r="AA180" i="9"/>
  <c r="AB179" i="9"/>
  <c r="AA179" i="9"/>
  <c r="AB178" i="9"/>
  <c r="AA178" i="9"/>
  <c r="AB177" i="9"/>
  <c r="AA177" i="9"/>
  <c r="AB176" i="9"/>
  <c r="AA176" i="9"/>
  <c r="AB175" i="9"/>
  <c r="AA175" i="9"/>
  <c r="AB174" i="9"/>
  <c r="AA174" i="9"/>
  <c r="AB173" i="9"/>
  <c r="AA173" i="9"/>
  <c r="AB172" i="9"/>
  <c r="AA172" i="9"/>
  <c r="AB171" i="9"/>
  <c r="AA171" i="9"/>
  <c r="AB170" i="9"/>
  <c r="AA170" i="9"/>
  <c r="AB169" i="9"/>
  <c r="AA169" i="9"/>
  <c r="AB168" i="9"/>
  <c r="AA168" i="9"/>
  <c r="AB167" i="9"/>
  <c r="AA167" i="9"/>
  <c r="AB166" i="9"/>
  <c r="AA166" i="9"/>
  <c r="AB165" i="9"/>
  <c r="AA165" i="9"/>
  <c r="AB164" i="9"/>
  <c r="AA164" i="9"/>
  <c r="AB163" i="9"/>
  <c r="AA163" i="9"/>
  <c r="AB162" i="9"/>
  <c r="AA162" i="9"/>
  <c r="AB161" i="9"/>
  <c r="AA161" i="9"/>
  <c r="AB160" i="9"/>
  <c r="AA160" i="9"/>
  <c r="AB159" i="9"/>
  <c r="AA159" i="9"/>
  <c r="AB158" i="9"/>
  <c r="AA158" i="9"/>
  <c r="AB157" i="9"/>
  <c r="AA157" i="9"/>
  <c r="AB156" i="9"/>
  <c r="AA156" i="9"/>
  <c r="AB155" i="9"/>
  <c r="AA155" i="9"/>
  <c r="AB154" i="9"/>
  <c r="AA154" i="9"/>
  <c r="AB153" i="9"/>
  <c r="AA153" i="9"/>
  <c r="AB152" i="9"/>
  <c r="AA152" i="9"/>
  <c r="AB151" i="9"/>
  <c r="AA151" i="9"/>
  <c r="AB150" i="9"/>
  <c r="AA150" i="9"/>
  <c r="AB149" i="9"/>
  <c r="AA149" i="9"/>
  <c r="AB148" i="9"/>
  <c r="AA148" i="9"/>
  <c r="AB147" i="9"/>
  <c r="AA147" i="9"/>
  <c r="AB146" i="9"/>
  <c r="AA146" i="9"/>
  <c r="AB145" i="9"/>
  <c r="AA145" i="9"/>
  <c r="AB144" i="9"/>
  <c r="AA144" i="9"/>
  <c r="AB143" i="9"/>
  <c r="AA143" i="9"/>
  <c r="AB142" i="9"/>
  <c r="AA142" i="9"/>
  <c r="AB141" i="9"/>
  <c r="AA141" i="9"/>
  <c r="AB140" i="9"/>
  <c r="AA140" i="9"/>
  <c r="AB139" i="9"/>
  <c r="AA139" i="9"/>
  <c r="AB138" i="9"/>
  <c r="AA138" i="9"/>
  <c r="AB137" i="9"/>
  <c r="AA137" i="9"/>
  <c r="AB136" i="9"/>
  <c r="AA136" i="9"/>
  <c r="AB135" i="9"/>
  <c r="AA135" i="9"/>
  <c r="AB134" i="9"/>
  <c r="AA134" i="9"/>
  <c r="AB133" i="9"/>
  <c r="AA133" i="9"/>
  <c r="AB132" i="9"/>
  <c r="AA132" i="9"/>
  <c r="AB131" i="9"/>
  <c r="AA131" i="9"/>
  <c r="AB130" i="9"/>
  <c r="AA130" i="9"/>
  <c r="AB129" i="9"/>
  <c r="AA129" i="9"/>
  <c r="AB128" i="9"/>
  <c r="AA128" i="9"/>
  <c r="AB127" i="9"/>
  <c r="AA127" i="9"/>
  <c r="AB126" i="9"/>
  <c r="AA126" i="9"/>
  <c r="AB125" i="9"/>
  <c r="AA125" i="9"/>
  <c r="AB124" i="9"/>
  <c r="AA124" i="9"/>
  <c r="AB123" i="9"/>
  <c r="AA123" i="9"/>
  <c r="AB122" i="9"/>
  <c r="AA122" i="9"/>
  <c r="AB121" i="9"/>
  <c r="AA121" i="9"/>
  <c r="AB120" i="9"/>
  <c r="AA120" i="9"/>
  <c r="AB119" i="9"/>
  <c r="AA119" i="9"/>
  <c r="AB118" i="9"/>
  <c r="AA118" i="9"/>
  <c r="AB117" i="9"/>
  <c r="AA117" i="9"/>
  <c r="AB116" i="9"/>
  <c r="AA116" i="9"/>
  <c r="AB115" i="9"/>
  <c r="AA115" i="9"/>
  <c r="AB114" i="9"/>
  <c r="AA114" i="9"/>
  <c r="AB113" i="9"/>
  <c r="AA113" i="9"/>
  <c r="AB112" i="9"/>
  <c r="AA112" i="9"/>
  <c r="AB111" i="9"/>
  <c r="AA111" i="9"/>
  <c r="AB110" i="9"/>
  <c r="AA110" i="9"/>
  <c r="AB109" i="9"/>
  <c r="AA109" i="9"/>
  <c r="AB108" i="9"/>
  <c r="AA108" i="9"/>
  <c r="AB107" i="9"/>
  <c r="AA107" i="9"/>
  <c r="AB106" i="9"/>
  <c r="AA106" i="9"/>
  <c r="AB105" i="9"/>
  <c r="AA105" i="9"/>
  <c r="AB104" i="9"/>
  <c r="AA104" i="9"/>
  <c r="AB103" i="9"/>
  <c r="AA103" i="9"/>
  <c r="AB102" i="9"/>
  <c r="AA102" i="9"/>
  <c r="AB101" i="9"/>
  <c r="AA101" i="9"/>
  <c r="AB100" i="9"/>
  <c r="AA100" i="9"/>
  <c r="AB99" i="9"/>
  <c r="AA99" i="9"/>
  <c r="AB98" i="9"/>
  <c r="AA98" i="9"/>
  <c r="AB97" i="9"/>
  <c r="AA97" i="9"/>
  <c r="AB96" i="9"/>
  <c r="AA96" i="9"/>
  <c r="AB95" i="9"/>
  <c r="AA95" i="9"/>
  <c r="AB94" i="9"/>
  <c r="AA94" i="9"/>
  <c r="AB93" i="9"/>
  <c r="AA93" i="9"/>
  <c r="AB92" i="9"/>
  <c r="AA92" i="9"/>
  <c r="AB91" i="9"/>
  <c r="AA91" i="9"/>
  <c r="AB90" i="9"/>
  <c r="AA90" i="9"/>
  <c r="AB89" i="9"/>
  <c r="AA89" i="9"/>
  <c r="AB88" i="9"/>
  <c r="AA88" i="9"/>
  <c r="AB87" i="9"/>
  <c r="AA87" i="9"/>
  <c r="AB86" i="9"/>
  <c r="AA86" i="9"/>
  <c r="AB85" i="9"/>
  <c r="AA85" i="9"/>
  <c r="AB84" i="9"/>
  <c r="AA84" i="9"/>
  <c r="AB83" i="9"/>
  <c r="AA83" i="9"/>
  <c r="AB82" i="9"/>
  <c r="AA82" i="9"/>
  <c r="AB81" i="9"/>
  <c r="AA81" i="9"/>
  <c r="AB80" i="9"/>
  <c r="AA80" i="9"/>
  <c r="AB79" i="9"/>
  <c r="AA79" i="9"/>
  <c r="AB78" i="9"/>
  <c r="AA78" i="9"/>
  <c r="AB77" i="9"/>
  <c r="AA77" i="9"/>
  <c r="AB76" i="9"/>
  <c r="AA76" i="9"/>
  <c r="AB75" i="9"/>
  <c r="AA75" i="9"/>
  <c r="AB74" i="9"/>
  <c r="AA74" i="9"/>
  <c r="AB73" i="9"/>
  <c r="AA73" i="9"/>
  <c r="AB72" i="9"/>
  <c r="AA72" i="9"/>
  <c r="AB71" i="9"/>
  <c r="AA71" i="9"/>
  <c r="AB70" i="9"/>
  <c r="AA70" i="9"/>
  <c r="AB69" i="9"/>
  <c r="AA69" i="9"/>
  <c r="AB68" i="9"/>
  <c r="AA68" i="9"/>
  <c r="AB67" i="9"/>
  <c r="AA67" i="9"/>
  <c r="AB66" i="9"/>
  <c r="AA66" i="9"/>
  <c r="AB65" i="9"/>
  <c r="AA65" i="9"/>
  <c r="AB64" i="9"/>
  <c r="AA64" i="9"/>
  <c r="AB63" i="9"/>
  <c r="AA63" i="9"/>
  <c r="AB62" i="9"/>
  <c r="AA62" i="9"/>
  <c r="AB61" i="9"/>
  <c r="AA61" i="9"/>
  <c r="AB60" i="9"/>
  <c r="AA60" i="9"/>
  <c r="E56" i="9"/>
  <c r="K1413" i="9" l="1"/>
  <c r="K1431" i="9"/>
  <c r="K1424" i="9"/>
  <c r="K1436" i="9"/>
  <c r="K1412" i="9"/>
  <c r="K1416" i="9"/>
  <c r="K1427" i="9"/>
  <c r="K1426" i="9"/>
  <c r="K1415" i="9"/>
  <c r="K1429" i="9"/>
  <c r="K1408" i="9"/>
  <c r="K1405" i="9"/>
  <c r="K1418" i="9"/>
  <c r="K1414" i="9"/>
  <c r="K1435" i="9"/>
  <c r="K1430" i="9"/>
  <c r="K1422" i="9"/>
  <c r="K1406" i="9"/>
  <c r="K1432" i="9"/>
  <c r="K1433" i="9"/>
  <c r="K1419" i="9"/>
  <c r="K1409" i="9"/>
  <c r="K1421" i="9"/>
  <c r="K1410" i="9"/>
  <c r="K1411" i="9"/>
  <c r="K1423" i="9"/>
  <c r="K1420" i="9"/>
  <c r="K1437" i="9"/>
  <c r="K1407" i="9"/>
  <c r="K1434" i="9"/>
  <c r="K1428" i="9"/>
  <c r="K1417" i="9"/>
  <c r="K1425" i="9"/>
  <c r="L1426" i="9"/>
  <c r="L1425" i="9"/>
  <c r="L1427" i="9"/>
  <c r="L1429" i="9"/>
  <c r="L1410" i="9"/>
  <c r="L1428" i="9"/>
  <c r="L1420" i="9"/>
  <c r="L1409" i="9"/>
  <c r="L1406" i="9"/>
  <c r="L1432" i="9"/>
  <c r="L1407" i="9"/>
  <c r="L1413" i="9"/>
  <c r="L1430" i="9"/>
  <c r="L1437" i="9"/>
  <c r="L1411" i="9"/>
  <c r="L1421" i="9"/>
  <c r="L1422" i="9"/>
  <c r="L1431" i="9"/>
  <c r="L1423" i="9"/>
  <c r="L1436" i="9"/>
  <c r="L1412" i="9"/>
  <c r="L1405" i="9"/>
  <c r="L1418" i="9"/>
  <c r="L1424" i="9"/>
  <c r="L1433" i="9"/>
  <c r="L1408" i="9"/>
  <c r="L1414" i="9"/>
  <c r="L1417" i="9"/>
  <c r="L1415" i="9"/>
  <c r="L1435" i="9"/>
  <c r="L1416" i="9"/>
  <c r="L1419" i="9"/>
  <c r="L1434" i="9"/>
  <c r="M51" i="9"/>
  <c r="AM51" i="9"/>
  <c r="K61" i="9"/>
  <c r="K66" i="9"/>
  <c r="K68" i="9"/>
  <c r="K75" i="9"/>
  <c r="K84" i="9"/>
  <c r="K88" i="9"/>
  <c r="K73" i="9"/>
  <c r="K82" i="9"/>
  <c r="K98" i="9"/>
  <c r="K101" i="9"/>
  <c r="K103" i="9"/>
  <c r="K109" i="9"/>
  <c r="K111" i="9"/>
  <c r="K116" i="9"/>
  <c r="K119" i="9"/>
  <c r="K121" i="9"/>
  <c r="K78" i="9"/>
  <c r="K137" i="9"/>
  <c r="K141" i="9"/>
  <c r="K129" i="9"/>
  <c r="K133" i="9"/>
  <c r="K145" i="9"/>
  <c r="K148" i="9"/>
  <c r="K150" i="9"/>
  <c r="K156" i="9"/>
  <c r="K158" i="9"/>
  <c r="K163" i="9"/>
  <c r="K166" i="9"/>
  <c r="K168" i="9"/>
  <c r="K187" i="9"/>
  <c r="K190" i="9"/>
  <c r="K193" i="9"/>
  <c r="K199" i="9"/>
  <c r="K205" i="9"/>
  <c r="K208" i="9"/>
  <c r="K211" i="9"/>
  <c r="K178" i="9"/>
  <c r="K182" i="9"/>
  <c r="K172" i="9"/>
  <c r="K219" i="9"/>
  <c r="K215" i="9"/>
  <c r="K236" i="9"/>
  <c r="K241" i="9"/>
  <c r="K218" i="9"/>
  <c r="K223" i="9"/>
  <c r="K245" i="9"/>
  <c r="K221" i="9"/>
  <c r="K247" i="9"/>
  <c r="K250" i="9"/>
  <c r="K253" i="9"/>
  <c r="K255" i="9"/>
  <c r="K277" i="9"/>
  <c r="K296" i="9"/>
  <c r="K273" i="9"/>
  <c r="K282" i="9"/>
  <c r="K288" i="9"/>
  <c r="K285" i="9"/>
  <c r="K303" i="9"/>
  <c r="K276" i="9"/>
  <c r="K301" i="9"/>
  <c r="K315" i="9"/>
  <c r="K319" i="9"/>
  <c r="K309" i="9"/>
  <c r="K323" i="9"/>
  <c r="K324" i="9"/>
  <c r="K325" i="9"/>
  <c r="K326" i="9"/>
  <c r="K347" i="9"/>
  <c r="K364" i="9"/>
  <c r="K373" i="9"/>
  <c r="K375" i="9"/>
  <c r="K381" i="9"/>
  <c r="K384" i="9"/>
  <c r="K386" i="9"/>
  <c r="K391" i="9"/>
  <c r="K393" i="9"/>
  <c r="K400" i="9"/>
  <c r="K404" i="9"/>
  <c r="K327" i="9"/>
  <c r="K328" i="9"/>
  <c r="K336" i="9"/>
  <c r="K345" i="9"/>
  <c r="K341" i="9"/>
  <c r="K344" i="9"/>
  <c r="K365" i="9"/>
  <c r="K369" i="9"/>
  <c r="K348" i="9"/>
  <c r="K355" i="9"/>
  <c r="K407" i="9"/>
  <c r="K411" i="9"/>
  <c r="K415" i="9"/>
  <c r="K420" i="9"/>
  <c r="K422" i="9"/>
  <c r="K428" i="9"/>
  <c r="K431" i="9"/>
  <c r="K433" i="9"/>
  <c r="K438" i="9"/>
  <c r="K440" i="9"/>
  <c r="K447" i="9"/>
  <c r="K451" i="9"/>
  <c r="K453" i="9"/>
  <c r="K458" i="9"/>
  <c r="K460" i="9"/>
  <c r="K408" i="9"/>
  <c r="K409" i="9"/>
  <c r="K471" i="9"/>
  <c r="K478" i="9"/>
  <c r="K473" i="9"/>
  <c r="K475" i="9"/>
  <c r="K481" i="9"/>
  <c r="K477" i="9"/>
  <c r="K486" i="9"/>
  <c r="K504" i="9"/>
  <c r="K510" i="9"/>
  <c r="K516" i="9"/>
  <c r="K519" i="9"/>
  <c r="K522" i="9"/>
  <c r="K526" i="9"/>
  <c r="K530" i="9"/>
  <c r="K535" i="9"/>
  <c r="K537" i="9"/>
  <c r="K543" i="9"/>
  <c r="K546" i="9"/>
  <c r="K548" i="9"/>
  <c r="K553" i="9"/>
  <c r="K555" i="9"/>
  <c r="K562" i="9"/>
  <c r="K566" i="9"/>
  <c r="K568" i="9"/>
  <c r="K575" i="9"/>
  <c r="K578" i="9"/>
  <c r="K495" i="9"/>
  <c r="K499" i="9"/>
  <c r="K502" i="9"/>
  <c r="K501" i="9"/>
  <c r="K587" i="9"/>
  <c r="K609" i="9"/>
  <c r="K611" i="9"/>
  <c r="K616" i="9"/>
  <c r="K619" i="9"/>
  <c r="K621" i="9"/>
  <c r="K627" i="9"/>
  <c r="K629" i="9"/>
  <c r="K630" i="9"/>
  <c r="K633" i="9"/>
  <c r="K596" i="9"/>
  <c r="K597" i="9"/>
  <c r="K605" i="9"/>
  <c r="K642" i="9"/>
  <c r="K650" i="9"/>
  <c r="K649" i="9"/>
  <c r="K663" i="9"/>
  <c r="K666" i="9"/>
  <c r="K670" i="9"/>
  <c r="K672" i="9"/>
  <c r="K675" i="9"/>
  <c r="K679" i="9"/>
  <c r="K685" i="9"/>
  <c r="K692" i="9"/>
  <c r="K695" i="9"/>
  <c r="K698" i="9"/>
  <c r="K703" i="9"/>
  <c r="K710" i="9"/>
  <c r="K713" i="9"/>
  <c r="K717" i="9"/>
  <c r="K719" i="9"/>
  <c r="K723" i="9"/>
  <c r="K730" i="9"/>
  <c r="K733" i="9"/>
  <c r="K736" i="9"/>
  <c r="K741" i="9"/>
  <c r="K748" i="9"/>
  <c r="K751" i="9"/>
  <c r="K755" i="9"/>
  <c r="K757" i="9"/>
  <c r="K640" i="9"/>
  <c r="K646" i="9"/>
  <c r="K661" i="9"/>
  <c r="K638" i="9"/>
  <c r="K645" i="9"/>
  <c r="K780" i="9"/>
  <c r="K782" i="9"/>
  <c r="K787" i="9"/>
  <c r="K790" i="9"/>
  <c r="K794" i="9"/>
  <c r="K800" i="9"/>
  <c r="K807" i="9"/>
  <c r="K810" i="9"/>
  <c r="K813" i="9"/>
  <c r="K818" i="9"/>
  <c r="K825" i="9"/>
  <c r="K828" i="9"/>
  <c r="K832" i="9"/>
  <c r="K834" i="9"/>
  <c r="K841" i="9"/>
  <c r="K845" i="9"/>
  <c r="K851" i="9"/>
  <c r="K859" i="9"/>
  <c r="K863" i="9"/>
  <c r="K774" i="9"/>
  <c r="K769" i="9"/>
  <c r="K879" i="9"/>
  <c r="K882" i="9"/>
  <c r="K903" i="9"/>
  <c r="K907" i="9"/>
  <c r="K914" i="9"/>
  <c r="K935" i="9"/>
  <c r="K954" i="9"/>
  <c r="K961" i="9"/>
  <c r="K964" i="9"/>
  <c r="K967" i="9"/>
  <c r="K972" i="9"/>
  <c r="K979" i="9"/>
  <c r="K982" i="9"/>
  <c r="K986" i="9"/>
  <c r="K988" i="9"/>
  <c r="K992" i="9"/>
  <c r="K999" i="9"/>
  <c r="K1002" i="9"/>
  <c r="K1005" i="9"/>
  <c r="K1010" i="9"/>
  <c r="K1017" i="9"/>
  <c r="K1020" i="9"/>
  <c r="K1024" i="9"/>
  <c r="K1026" i="9"/>
  <c r="K1035" i="9"/>
  <c r="K1037" i="9"/>
  <c r="K1040" i="9"/>
  <c r="K1049" i="9"/>
  <c r="K1051" i="9"/>
  <c r="K1056" i="9"/>
  <c r="K1059" i="9"/>
  <c r="K1063" i="9"/>
  <c r="K1069" i="9"/>
  <c r="K1076" i="9"/>
  <c r="K1079" i="9"/>
  <c r="K1082" i="9"/>
  <c r="K1087" i="9"/>
  <c r="K1094" i="9"/>
  <c r="K1097" i="9"/>
  <c r="K1101" i="9"/>
  <c r="K1103" i="9"/>
  <c r="K886" i="9"/>
  <c r="K893" i="9"/>
  <c r="K922" i="9"/>
  <c r="K938" i="9"/>
  <c r="K942" i="9"/>
  <c r="K945" i="9"/>
  <c r="K867" i="9"/>
  <c r="K888" i="9"/>
  <c r="K890" i="9"/>
  <c r="K896" i="9"/>
  <c r="K923" i="9"/>
  <c r="K940" i="9"/>
  <c r="K946" i="9"/>
  <c r="K871" i="9"/>
  <c r="K877" i="9"/>
  <c r="K892" i="9"/>
  <c r="K927" i="9"/>
  <c r="K933" i="9"/>
  <c r="K1127" i="9"/>
  <c r="K1128" i="9"/>
  <c r="K1135" i="9"/>
  <c r="K1140" i="9"/>
  <c r="K1143" i="9"/>
  <c r="K1146" i="9"/>
  <c r="K1152" i="9"/>
  <c r="K1158" i="9"/>
  <c r="K1161" i="9"/>
  <c r="K1164" i="9"/>
  <c r="K1178" i="9"/>
  <c r="K1181" i="9"/>
  <c r="K1184" i="9"/>
  <c r="K1190" i="9"/>
  <c r="K1196" i="9"/>
  <c r="K1199" i="9"/>
  <c r="K1202" i="9"/>
  <c r="K1212" i="9"/>
  <c r="K1216" i="9"/>
  <c r="K1219" i="9"/>
  <c r="K1220" i="9"/>
  <c r="K1225" i="9"/>
  <c r="K1228" i="9"/>
  <c r="K1231" i="9"/>
  <c r="K1237" i="9"/>
  <c r="K1243" i="9"/>
  <c r="K1246" i="9"/>
  <c r="K1249" i="9"/>
  <c r="K1263" i="9"/>
  <c r="K1266" i="9"/>
  <c r="K1269" i="9"/>
  <c r="K1275" i="9"/>
  <c r="K1281" i="9"/>
  <c r="K1284" i="9"/>
  <c r="K1287" i="9"/>
  <c r="K1124" i="9"/>
  <c r="K1129" i="9"/>
  <c r="K1109" i="9"/>
  <c r="K1115" i="9"/>
  <c r="K1130" i="9"/>
  <c r="K1312" i="9"/>
  <c r="K1317" i="9"/>
  <c r="K1342" i="9"/>
  <c r="K1307" i="9"/>
  <c r="K1322" i="9"/>
  <c r="K1336" i="9"/>
  <c r="K1300" i="9"/>
  <c r="K1305" i="9"/>
  <c r="K1316" i="9"/>
  <c r="K1331" i="9"/>
  <c r="K1350" i="9"/>
  <c r="K1353" i="9"/>
  <c r="K1355" i="9"/>
  <c r="K1360" i="9"/>
  <c r="K1362" i="9"/>
  <c r="K1369" i="9"/>
  <c r="K1373" i="9"/>
  <c r="K1375" i="9"/>
  <c r="K1382" i="9"/>
  <c r="K1385" i="9"/>
  <c r="K1393" i="9"/>
  <c r="K1394" i="9"/>
  <c r="K1398" i="9"/>
  <c r="K1402" i="9"/>
  <c r="K1438" i="9"/>
  <c r="K1442" i="9"/>
  <c r="K1444" i="9"/>
  <c r="K1449" i="9"/>
  <c r="K1451" i="9"/>
  <c r="K1457" i="9"/>
  <c r="K1460" i="9"/>
  <c r="K1462" i="9"/>
  <c r="K1467" i="9"/>
  <c r="K1469" i="9"/>
  <c r="K1476" i="9"/>
  <c r="K1480" i="9"/>
  <c r="K1483" i="9"/>
  <c r="K1318" i="9"/>
  <c r="K1348" i="9"/>
  <c r="K1492" i="9"/>
  <c r="K1499" i="9"/>
  <c r="K1520" i="9"/>
  <c r="K1548" i="9"/>
  <c r="K1555" i="9"/>
  <c r="K1507" i="9"/>
  <c r="K1523" i="9"/>
  <c r="K1527" i="9"/>
  <c r="K1534" i="9"/>
  <c r="K1542" i="9"/>
  <c r="K1567" i="9"/>
  <c r="K1572" i="9"/>
  <c r="K1577" i="9"/>
  <c r="K1579" i="9"/>
  <c r="K1581" i="9"/>
  <c r="K1586" i="9"/>
  <c r="K1592" i="9"/>
  <c r="K1595" i="9"/>
  <c r="K1598" i="9"/>
  <c r="K1602" i="9"/>
  <c r="K1606" i="9"/>
  <c r="K1611" i="9"/>
  <c r="K1613" i="9"/>
  <c r="K1619" i="9"/>
  <c r="K1622" i="9"/>
  <c r="K1624" i="9"/>
  <c r="K1629" i="9"/>
  <c r="K1631" i="9"/>
  <c r="K1638" i="9"/>
  <c r="K1642" i="9"/>
  <c r="K1644" i="9"/>
  <c r="K1651" i="9"/>
  <c r="K1654" i="9"/>
  <c r="K1662" i="9"/>
  <c r="K1663" i="9"/>
  <c r="K1667" i="9"/>
  <c r="K1671" i="9"/>
  <c r="K1675" i="9"/>
  <c r="K1680" i="9"/>
  <c r="K1682" i="9"/>
  <c r="K1688" i="9"/>
  <c r="K1691" i="9"/>
  <c r="K1693" i="9"/>
  <c r="K1698" i="9"/>
  <c r="K1700" i="9"/>
  <c r="K1707" i="9"/>
  <c r="K1711" i="9"/>
  <c r="K1713" i="9"/>
  <c r="K1718" i="9"/>
  <c r="K1720" i="9"/>
  <c r="K1726" i="9"/>
  <c r="K1729" i="9"/>
  <c r="K1731" i="9"/>
  <c r="K1736" i="9"/>
  <c r="K1738" i="9"/>
  <c r="K1745" i="9"/>
  <c r="K1749" i="9"/>
  <c r="K1752" i="9"/>
  <c r="K1756" i="9"/>
  <c r="K1760" i="9"/>
  <c r="K1765" i="9"/>
  <c r="K1767" i="9"/>
  <c r="K1773" i="9"/>
  <c r="K1776" i="9"/>
  <c r="K1778" i="9"/>
  <c r="K1783" i="9"/>
  <c r="K1785" i="9"/>
  <c r="K1792" i="9"/>
  <c r="K1796" i="9"/>
  <c r="K1798" i="9"/>
  <c r="K1803" i="9"/>
  <c r="K1805" i="9"/>
  <c r="K1811" i="9"/>
  <c r="K1814" i="9"/>
  <c r="K1816" i="9"/>
  <c r="K1821" i="9"/>
  <c r="K1823" i="9"/>
  <c r="K1830" i="9"/>
  <c r="K1834" i="9"/>
  <c r="K1503" i="9"/>
  <c r="K1522" i="9"/>
  <c r="K1531" i="9"/>
  <c r="K1533" i="9"/>
  <c r="K1539" i="9"/>
  <c r="K1559" i="9"/>
  <c r="K1512" i="9"/>
  <c r="K1518" i="9"/>
  <c r="K1845" i="9"/>
  <c r="K1860" i="9"/>
  <c r="K1874" i="9"/>
  <c r="K1895" i="9"/>
  <c r="K1897" i="9"/>
  <c r="K1903" i="9"/>
  <c r="K1878" i="9"/>
  <c r="K1884" i="9"/>
  <c r="K1899" i="9"/>
  <c r="K1856" i="9"/>
  <c r="K1886" i="9"/>
  <c r="K1889" i="9"/>
  <c r="K1910" i="9"/>
  <c r="K1917" i="9"/>
  <c r="K1921" i="9"/>
  <c r="K1927" i="9"/>
  <c r="K1935" i="9"/>
  <c r="K1939" i="9"/>
  <c r="K1945" i="9"/>
  <c r="K1949" i="9"/>
  <c r="K1953" i="9"/>
  <c r="K1957" i="9"/>
  <c r="K1961" i="9"/>
  <c r="K1965" i="9"/>
  <c r="K1969" i="9"/>
  <c r="K1973" i="9"/>
  <c r="K1977" i="9"/>
  <c r="K1981" i="9"/>
  <c r="K1985" i="9"/>
  <c r="K1989" i="9"/>
  <c r="K1848" i="9"/>
  <c r="K1861" i="9"/>
  <c r="K1864" i="9"/>
  <c r="K1867" i="9"/>
  <c r="K1875" i="9"/>
  <c r="K1882" i="9"/>
  <c r="K1898" i="9"/>
  <c r="K62" i="9"/>
  <c r="K69" i="9"/>
  <c r="K72" i="9"/>
  <c r="K74" i="9"/>
  <c r="K89" i="9"/>
  <c r="K91" i="9"/>
  <c r="K92" i="9"/>
  <c r="K95" i="9"/>
  <c r="K99" i="9"/>
  <c r="K104" i="9"/>
  <c r="K106" i="9"/>
  <c r="K112" i="9"/>
  <c r="K115" i="9"/>
  <c r="K117" i="9"/>
  <c r="K122" i="9"/>
  <c r="K124" i="9"/>
  <c r="K76" i="9"/>
  <c r="K136" i="9"/>
  <c r="K140" i="9"/>
  <c r="K143" i="9"/>
  <c r="K126" i="9"/>
  <c r="K125" i="9"/>
  <c r="K134" i="9"/>
  <c r="K146" i="9"/>
  <c r="K151" i="9"/>
  <c r="K153" i="9"/>
  <c r="K159" i="9"/>
  <c r="K162" i="9"/>
  <c r="K164" i="9"/>
  <c r="K169" i="9"/>
  <c r="K186" i="9"/>
  <c r="K188" i="9"/>
  <c r="K194" i="9"/>
  <c r="K196" i="9"/>
  <c r="K201" i="9"/>
  <c r="K204" i="9"/>
  <c r="K206" i="9"/>
  <c r="K170" i="9"/>
  <c r="K174" i="9"/>
  <c r="K177" i="9"/>
  <c r="K242" i="9"/>
  <c r="K222" i="9"/>
  <c r="K227" i="9"/>
  <c r="K214" i="9"/>
  <c r="K238" i="9"/>
  <c r="K243" i="9"/>
  <c r="K213" i="9"/>
  <c r="K217" i="9"/>
  <c r="K237" i="9"/>
  <c r="K246" i="9"/>
  <c r="K251" i="9"/>
  <c r="K279" i="9"/>
  <c r="K286" i="9"/>
  <c r="K280" i="9"/>
  <c r="K287" i="9"/>
  <c r="K292" i="9"/>
  <c r="K278" i="9"/>
  <c r="K310" i="9"/>
  <c r="K314" i="9"/>
  <c r="K254" i="9"/>
  <c r="K307" i="9"/>
  <c r="K305" i="9"/>
  <c r="K312" i="9"/>
  <c r="K316" i="9"/>
  <c r="K318" i="9"/>
  <c r="K299" i="9"/>
  <c r="K317" i="9"/>
  <c r="K322" i="9"/>
  <c r="K329" i="9"/>
  <c r="K350" i="9"/>
  <c r="K352" i="9"/>
  <c r="K358" i="9"/>
  <c r="K376" i="9"/>
  <c r="K379" i="9"/>
  <c r="K382" i="9"/>
  <c r="K387" i="9"/>
  <c r="K394" i="9"/>
  <c r="K397" i="9"/>
  <c r="K401" i="9"/>
  <c r="K403" i="9"/>
  <c r="K363" i="9"/>
  <c r="K330" i="9"/>
  <c r="K337" i="9"/>
  <c r="K353" i="9"/>
  <c r="K410" i="9"/>
  <c r="K416" i="9"/>
  <c r="K423" i="9"/>
  <c r="K426" i="9"/>
  <c r="K429" i="9"/>
  <c r="K434" i="9"/>
  <c r="K441" i="9"/>
  <c r="K444" i="9"/>
  <c r="K448" i="9"/>
  <c r="K450" i="9"/>
  <c r="K454" i="9"/>
  <c r="K461" i="9"/>
  <c r="K464" i="9"/>
  <c r="K405" i="9"/>
  <c r="K476" i="9"/>
  <c r="K483" i="9"/>
  <c r="K468" i="9"/>
  <c r="K472" i="9"/>
  <c r="K479" i="9"/>
  <c r="K490" i="9"/>
  <c r="K506" i="9"/>
  <c r="K508" i="9"/>
  <c r="K511" i="9"/>
  <c r="K513" i="9"/>
  <c r="K518" i="9"/>
  <c r="K521" i="9"/>
  <c r="K525" i="9"/>
  <c r="K531" i="9"/>
  <c r="K538" i="9"/>
  <c r="K541" i="9"/>
  <c r="K544" i="9"/>
  <c r="K549" i="9"/>
  <c r="K556" i="9"/>
  <c r="K559" i="9"/>
  <c r="K563" i="9"/>
  <c r="K565" i="9"/>
  <c r="K572" i="9"/>
  <c r="K576" i="9"/>
  <c r="K582" i="9"/>
  <c r="K503" i="9"/>
  <c r="K594" i="9"/>
  <c r="K595" i="9"/>
  <c r="K606" i="9"/>
  <c r="K612" i="9"/>
  <c r="K615" i="9"/>
  <c r="K617" i="9"/>
  <c r="K622" i="9"/>
  <c r="K624" i="9"/>
  <c r="K631" i="9"/>
  <c r="K635" i="9"/>
  <c r="K588" i="9"/>
  <c r="K593" i="9"/>
  <c r="K653" i="9"/>
  <c r="K654" i="9"/>
  <c r="K664" i="9"/>
  <c r="K674" i="9"/>
  <c r="K678" i="9"/>
  <c r="K681" i="9"/>
  <c r="K682" i="9"/>
  <c r="K687" i="9"/>
  <c r="K690" i="9"/>
  <c r="K693" i="9"/>
  <c r="K699" i="9"/>
  <c r="K705" i="9"/>
  <c r="K708" i="9"/>
  <c r="K711" i="9"/>
  <c r="K725" i="9"/>
  <c r="K728" i="9"/>
  <c r="K731" i="9"/>
  <c r="K737" i="9"/>
  <c r="K743" i="9"/>
  <c r="K746" i="9"/>
  <c r="K749" i="9"/>
  <c r="K643" i="9"/>
  <c r="K652" i="9"/>
  <c r="K648" i="9"/>
  <c r="K651" i="9"/>
  <c r="K776" i="9"/>
  <c r="K781" i="9"/>
  <c r="K789" i="9"/>
  <c r="K793" i="9"/>
  <c r="K796" i="9"/>
  <c r="K797" i="9"/>
  <c r="K802" i="9"/>
  <c r="K805" i="9"/>
  <c r="K808" i="9"/>
  <c r="K814" i="9"/>
  <c r="K820" i="9"/>
  <c r="K823" i="9"/>
  <c r="K826" i="9"/>
  <c r="K838" i="9"/>
  <c r="K842" i="9"/>
  <c r="K848" i="9"/>
  <c r="K852" i="9"/>
  <c r="K858" i="9"/>
  <c r="K862" i="9"/>
  <c r="K865" i="9"/>
  <c r="K760" i="9"/>
  <c r="K765" i="9"/>
  <c r="K773" i="9"/>
  <c r="K901" i="9"/>
  <c r="K917" i="9"/>
  <c r="K920" i="9"/>
  <c r="K941" i="9"/>
  <c r="K948" i="9"/>
  <c r="K950" i="9"/>
  <c r="K951" i="9"/>
  <c r="K956" i="9"/>
  <c r="K959" i="9"/>
  <c r="K962" i="9"/>
  <c r="K968" i="9"/>
  <c r="K974" i="9"/>
  <c r="K977" i="9"/>
  <c r="K980" i="9"/>
  <c r="K994" i="9"/>
  <c r="K997" i="9"/>
  <c r="K1000" i="9"/>
  <c r="K1006" i="9"/>
  <c r="K1012" i="9"/>
  <c r="K1015" i="9"/>
  <c r="K1018" i="9"/>
  <c r="K1031" i="9"/>
  <c r="K1033" i="9"/>
  <c r="K1036" i="9"/>
  <c r="K1045" i="9"/>
  <c r="K1047" i="9"/>
  <c r="K1050" i="9"/>
  <c r="K1058" i="9"/>
  <c r="K1062" i="9"/>
  <c r="K1065" i="9"/>
  <c r="K1066" i="9"/>
  <c r="K1071" i="9"/>
  <c r="K1074" i="9"/>
  <c r="K1077" i="9"/>
  <c r="K1083" i="9"/>
  <c r="K1089" i="9"/>
  <c r="K1092" i="9"/>
  <c r="K1095" i="9"/>
  <c r="K868" i="9"/>
  <c r="K875" i="9"/>
  <c r="K891" i="9"/>
  <c r="K924" i="9"/>
  <c r="K931" i="9"/>
  <c r="K870" i="9"/>
  <c r="K872" i="9"/>
  <c r="K878" i="9"/>
  <c r="K898" i="9"/>
  <c r="K905" i="9"/>
  <c r="K926" i="9"/>
  <c r="K928" i="9"/>
  <c r="K934" i="9"/>
  <c r="K866" i="9"/>
  <c r="K874" i="9"/>
  <c r="K883" i="9"/>
  <c r="K909" i="9"/>
  <c r="K915" i="9"/>
  <c r="K930" i="9"/>
  <c r="K947" i="9"/>
  <c r="K1120" i="9"/>
  <c r="K1136" i="9"/>
  <c r="K1139" i="9"/>
  <c r="K1141" i="9"/>
  <c r="K1147" i="9"/>
  <c r="K1149" i="9"/>
  <c r="K1154" i="9"/>
  <c r="K1157" i="9"/>
  <c r="K1159" i="9"/>
  <c r="K1165" i="9"/>
  <c r="K1167" i="9"/>
  <c r="K1168" i="9"/>
  <c r="K1171" i="9"/>
  <c r="K1174" i="9"/>
  <c r="K1177" i="9"/>
  <c r="K1179" i="9"/>
  <c r="K1185" i="9"/>
  <c r="K1187" i="9"/>
  <c r="K1192" i="9"/>
  <c r="K1195" i="9"/>
  <c r="K1197" i="9"/>
  <c r="K1203" i="9"/>
  <c r="K1205" i="9"/>
  <c r="K1206" i="9"/>
  <c r="K1209" i="9"/>
  <c r="K1215" i="9"/>
  <c r="K1221" i="9"/>
  <c r="K1224" i="9"/>
  <c r="K1226" i="9"/>
  <c r="K1232" i="9"/>
  <c r="K1234" i="9"/>
  <c r="K1239" i="9"/>
  <c r="K1242" i="9"/>
  <c r="K1244" i="9"/>
  <c r="K1250" i="9"/>
  <c r="K1252" i="9"/>
  <c r="K1253" i="9"/>
  <c r="K1256" i="9"/>
  <c r="K1259" i="9"/>
  <c r="K1262" i="9"/>
  <c r="K1264" i="9"/>
  <c r="K1270" i="9"/>
  <c r="K1272" i="9"/>
  <c r="K1277" i="9"/>
  <c r="K1280" i="9"/>
  <c r="K1282" i="9"/>
  <c r="K1288" i="9"/>
  <c r="K1290" i="9"/>
  <c r="K1291" i="9"/>
  <c r="K1294" i="9"/>
  <c r="K1116" i="9"/>
  <c r="K1105" i="9"/>
  <c r="K1118" i="9"/>
  <c r="K1298" i="9"/>
  <c r="K1303" i="9"/>
  <c r="K1311" i="9"/>
  <c r="K1324" i="9"/>
  <c r="K1330" i="9"/>
  <c r="K1339" i="9"/>
  <c r="K1341" i="9"/>
  <c r="K1347" i="9"/>
  <c r="K1302" i="9"/>
  <c r="K1327" i="9"/>
  <c r="K1351" i="9"/>
  <c r="K1356" i="9"/>
  <c r="K1363" i="9"/>
  <c r="K1366" i="9"/>
  <c r="K1370" i="9"/>
  <c r="K1372" i="9"/>
  <c r="K1379" i="9"/>
  <c r="K1383" i="9"/>
  <c r="K1389" i="9"/>
  <c r="K1397" i="9"/>
  <c r="K1401" i="9"/>
  <c r="K1439" i="9"/>
  <c r="K1441" i="9"/>
  <c r="K1445" i="9"/>
  <c r="K1452" i="9"/>
  <c r="K1455" i="9"/>
  <c r="K1458" i="9"/>
  <c r="K1463" i="9"/>
  <c r="K1470" i="9"/>
  <c r="K1473" i="9"/>
  <c r="K1477" i="9"/>
  <c r="K1479" i="9"/>
  <c r="K1482" i="9"/>
  <c r="K1486" i="9"/>
  <c r="K1304" i="9"/>
  <c r="K1320" i="9"/>
  <c r="K1502" i="9"/>
  <c r="K1505" i="9"/>
  <c r="K1526" i="9"/>
  <c r="K1530" i="9"/>
  <c r="K1537" i="9"/>
  <c r="K1558" i="9"/>
  <c r="K1487" i="9"/>
  <c r="K1509" i="9"/>
  <c r="K1516" i="9"/>
  <c r="K1545" i="9"/>
  <c r="K1561" i="9"/>
  <c r="K1565" i="9"/>
  <c r="K1573" i="9"/>
  <c r="K1575" i="9"/>
  <c r="K1578" i="9"/>
  <c r="K1587" i="9"/>
  <c r="K1589" i="9"/>
  <c r="K1594" i="9"/>
  <c r="K1597" i="9"/>
  <c r="K1601" i="9"/>
  <c r="K1607" i="9"/>
  <c r="K1614" i="9"/>
  <c r="K1617" i="9"/>
  <c r="K1620" i="9"/>
  <c r="K1625" i="9"/>
  <c r="K1632" i="9"/>
  <c r="K1635" i="9"/>
  <c r="K1639" i="9"/>
  <c r="K1641" i="9"/>
  <c r="K1648" i="9"/>
  <c r="K1652" i="9"/>
  <c r="K1658" i="9"/>
  <c r="K1666" i="9"/>
  <c r="K1670" i="9"/>
  <c r="K1676" i="9"/>
  <c r="K1683" i="9"/>
  <c r="K1686" i="9"/>
  <c r="K1689" i="9"/>
  <c r="K1694" i="9"/>
  <c r="K1701" i="9"/>
  <c r="K1704" i="9"/>
  <c r="K1708" i="9"/>
  <c r="K1710" i="9"/>
  <c r="K1714" i="9"/>
  <c r="K1721" i="9"/>
  <c r="K1724" i="9"/>
  <c r="K1727" i="9"/>
  <c r="K1732" i="9"/>
  <c r="K1739" i="9"/>
  <c r="K1742" i="9"/>
  <c r="K1746" i="9"/>
  <c r="K1748" i="9"/>
  <c r="K1751" i="9"/>
  <c r="K1755" i="9"/>
  <c r="K1761" i="9"/>
  <c r="K1768" i="9"/>
  <c r="K1771" i="9"/>
  <c r="K1774" i="9"/>
  <c r="K1779" i="9"/>
  <c r="K1786" i="9"/>
  <c r="K1789" i="9"/>
  <c r="K1793" i="9"/>
  <c r="K1795" i="9"/>
  <c r="K1799" i="9"/>
  <c r="K1806" i="9"/>
  <c r="K1809" i="9"/>
  <c r="K1812" i="9"/>
  <c r="K1817" i="9"/>
  <c r="K1824" i="9"/>
  <c r="K1827" i="9"/>
  <c r="K1831" i="9"/>
  <c r="K1833" i="9"/>
  <c r="K1508" i="9"/>
  <c r="K1525" i="9"/>
  <c r="K1541" i="9"/>
  <c r="K1560" i="9"/>
  <c r="K1494" i="9"/>
  <c r="K1500" i="9"/>
  <c r="K1515" i="9"/>
  <c r="K1550" i="9"/>
  <c r="K1556" i="9"/>
  <c r="K1849" i="9"/>
  <c r="K1862" i="9"/>
  <c r="K1868" i="9"/>
  <c r="K1877" i="9"/>
  <c r="K1879" i="9"/>
  <c r="K1885" i="9"/>
  <c r="K1905" i="9"/>
  <c r="K1852" i="9"/>
  <c r="K1857" i="9"/>
  <c r="K1872" i="9"/>
  <c r="K1873" i="9"/>
  <c r="K1881" i="9"/>
  <c r="K1890" i="9"/>
  <c r="K1842" i="9"/>
  <c r="K1858" i="9"/>
  <c r="K1908" i="9"/>
  <c r="K1914" i="9"/>
  <c r="K1918" i="9"/>
  <c r="K1924" i="9"/>
  <c r="K1928" i="9"/>
  <c r="K1934" i="9"/>
  <c r="K1938" i="9"/>
  <c r="K1941" i="9"/>
  <c r="K1942" i="9"/>
  <c r="K1946" i="9"/>
  <c r="K1950" i="9"/>
  <c r="K1954" i="9"/>
  <c r="K1958" i="9"/>
  <c r="K1962" i="9"/>
  <c r="K1966" i="9"/>
  <c r="K1970" i="9"/>
  <c r="K1974" i="9"/>
  <c r="K1978" i="9"/>
  <c r="K1982" i="9"/>
  <c r="K1986" i="9"/>
  <c r="K1990" i="9"/>
  <c r="K1850" i="9"/>
  <c r="K1855" i="9"/>
  <c r="K1880" i="9"/>
  <c r="K1888" i="9"/>
  <c r="K64" i="9"/>
  <c r="K67" i="9"/>
  <c r="K70" i="9"/>
  <c r="K80" i="9"/>
  <c r="K77" i="9"/>
  <c r="K86" i="9"/>
  <c r="K93" i="9"/>
  <c r="K97" i="9"/>
  <c r="K100" i="9"/>
  <c r="K107" i="9"/>
  <c r="K110" i="9"/>
  <c r="K113" i="9"/>
  <c r="K118" i="9"/>
  <c r="K139" i="9"/>
  <c r="K131" i="9"/>
  <c r="K135" i="9"/>
  <c r="K127" i="9"/>
  <c r="K130" i="9"/>
  <c r="K147" i="9"/>
  <c r="K154" i="9"/>
  <c r="K157" i="9"/>
  <c r="K160" i="9"/>
  <c r="K165" i="9"/>
  <c r="K189" i="9"/>
  <c r="K191" i="9"/>
  <c r="K197" i="9"/>
  <c r="K200" i="9"/>
  <c r="K202" i="9"/>
  <c r="K207" i="9"/>
  <c r="K209" i="9"/>
  <c r="K171" i="9"/>
  <c r="K175" i="9"/>
  <c r="K179" i="9"/>
  <c r="K216" i="9"/>
  <c r="K220" i="9"/>
  <c r="K228" i="9"/>
  <c r="K244" i="9"/>
  <c r="K183" i="9"/>
  <c r="K232" i="9"/>
  <c r="K224" i="9"/>
  <c r="K229" i="9"/>
  <c r="K240" i="9"/>
  <c r="K225" i="9"/>
  <c r="K256" i="9"/>
  <c r="K231" i="9"/>
  <c r="K261" i="9"/>
  <c r="K268" i="9"/>
  <c r="K284" i="9"/>
  <c r="K249" i="9"/>
  <c r="K262" i="9"/>
  <c r="K269" i="9"/>
  <c r="K290" i="9"/>
  <c r="K294" i="9"/>
  <c r="K260" i="9"/>
  <c r="K281" i="9"/>
  <c r="K283" i="9"/>
  <c r="K289" i="9"/>
  <c r="K293" i="9"/>
  <c r="K297" i="9"/>
  <c r="K300" i="9"/>
  <c r="K304" i="9"/>
  <c r="K267" i="9"/>
  <c r="K302" i="9"/>
  <c r="K308" i="9"/>
  <c r="K332" i="9"/>
  <c r="K334" i="9"/>
  <c r="K340" i="9"/>
  <c r="K360" i="9"/>
  <c r="K367" i="9"/>
  <c r="K371" i="9"/>
  <c r="K374" i="9"/>
  <c r="K377" i="9"/>
  <c r="K383" i="9"/>
  <c r="K389" i="9"/>
  <c r="K392" i="9"/>
  <c r="K395" i="9"/>
  <c r="K351" i="9"/>
  <c r="K357" i="9"/>
  <c r="K349" i="9"/>
  <c r="K356" i="9"/>
  <c r="K335" i="9"/>
  <c r="K343" i="9"/>
  <c r="K368" i="9"/>
  <c r="K412" i="9"/>
  <c r="K413" i="9"/>
  <c r="K418" i="9"/>
  <c r="K421" i="9"/>
  <c r="K424" i="9"/>
  <c r="K430" i="9"/>
  <c r="K436" i="9"/>
  <c r="K439" i="9"/>
  <c r="K442" i="9"/>
  <c r="K456" i="9"/>
  <c r="K459" i="9"/>
  <c r="K462" i="9"/>
  <c r="K466" i="9"/>
  <c r="K465" i="9"/>
  <c r="K484" i="9"/>
  <c r="K482" i="9"/>
  <c r="K492" i="9"/>
  <c r="K494" i="9"/>
  <c r="K512" i="9"/>
  <c r="K520" i="9"/>
  <c r="K524" i="9"/>
  <c r="K527" i="9"/>
  <c r="K528" i="9"/>
  <c r="K533" i="9"/>
  <c r="K536" i="9"/>
  <c r="K539" i="9"/>
  <c r="K545" i="9"/>
  <c r="K551" i="9"/>
  <c r="K554" i="9"/>
  <c r="K557" i="9"/>
  <c r="K569" i="9"/>
  <c r="K573" i="9"/>
  <c r="K579" i="9"/>
  <c r="K583" i="9"/>
  <c r="K507" i="9"/>
  <c r="K505" i="9"/>
  <c r="K590" i="9"/>
  <c r="K600" i="9"/>
  <c r="K586" i="9"/>
  <c r="K591" i="9"/>
  <c r="K599" i="9"/>
  <c r="K607" i="9"/>
  <c r="K610" i="9"/>
  <c r="K613" i="9"/>
  <c r="K618" i="9"/>
  <c r="K625" i="9"/>
  <c r="K628" i="9"/>
  <c r="K632" i="9"/>
  <c r="K634" i="9"/>
  <c r="K585" i="9"/>
  <c r="K598" i="9"/>
  <c r="K589" i="9"/>
  <c r="K655" i="9"/>
  <c r="K662" i="9"/>
  <c r="K636" i="9"/>
  <c r="K657" i="9"/>
  <c r="K659" i="9"/>
  <c r="K665" i="9"/>
  <c r="K667" i="9"/>
  <c r="K668" i="9"/>
  <c r="K671" i="9"/>
  <c r="K677" i="9"/>
  <c r="K683" i="9"/>
  <c r="K686" i="9"/>
  <c r="K688" i="9"/>
  <c r="K694" i="9"/>
  <c r="K696" i="9"/>
  <c r="K701" i="9"/>
  <c r="K704" i="9"/>
  <c r="K706" i="9"/>
  <c r="K712" i="9"/>
  <c r="K714" i="9"/>
  <c r="K715" i="9"/>
  <c r="K718" i="9"/>
  <c r="K721" i="9"/>
  <c r="K724" i="9"/>
  <c r="K726" i="9"/>
  <c r="K732" i="9"/>
  <c r="K734" i="9"/>
  <c r="K739" i="9"/>
  <c r="K742" i="9"/>
  <c r="K744" i="9"/>
  <c r="K750" i="9"/>
  <c r="K752" i="9"/>
  <c r="K753" i="9"/>
  <c r="K756" i="9"/>
  <c r="K762" i="9"/>
  <c r="K767" i="9"/>
  <c r="K778" i="9"/>
  <c r="K766" i="9"/>
  <c r="K783" i="9"/>
  <c r="K784" i="9"/>
  <c r="K786" i="9"/>
  <c r="K792" i="9"/>
  <c r="K798" i="9"/>
  <c r="K801" i="9"/>
  <c r="K803" i="9"/>
  <c r="K809" i="9"/>
  <c r="K811" i="9"/>
  <c r="K816" i="9"/>
  <c r="K819" i="9"/>
  <c r="K821" i="9"/>
  <c r="K827" i="9"/>
  <c r="K829" i="9"/>
  <c r="K830" i="9"/>
  <c r="K833" i="9"/>
  <c r="K836" i="9"/>
  <c r="K839" i="9"/>
  <c r="K840" i="9"/>
  <c r="K843" i="9"/>
  <c r="K846" i="9"/>
  <c r="K849" i="9"/>
  <c r="K850" i="9"/>
  <c r="K853" i="9"/>
  <c r="K854" i="9"/>
  <c r="K857" i="9"/>
  <c r="K861" i="9"/>
  <c r="K770" i="9"/>
  <c r="K759" i="9"/>
  <c r="K775" i="9"/>
  <c r="K777" i="9"/>
  <c r="K887" i="9"/>
  <c r="K894" i="9"/>
  <c r="K939" i="9"/>
  <c r="K944" i="9"/>
  <c r="K952" i="9"/>
  <c r="K955" i="9"/>
  <c r="K957" i="9"/>
  <c r="K963" i="9"/>
  <c r="K965" i="9"/>
  <c r="K970" i="9"/>
  <c r="K973" i="9"/>
  <c r="K975" i="9"/>
  <c r="K981" i="9"/>
  <c r="K983" i="9"/>
  <c r="K984" i="9"/>
  <c r="K987" i="9"/>
  <c r="K990" i="9"/>
  <c r="K993" i="9"/>
  <c r="K995" i="9"/>
  <c r="K1001" i="9"/>
  <c r="K1003" i="9"/>
  <c r="K1008" i="9"/>
  <c r="K1011" i="9"/>
  <c r="K1013" i="9"/>
  <c r="K1019" i="9"/>
  <c r="K1021" i="9"/>
  <c r="K1022" i="9"/>
  <c r="K1025" i="9"/>
  <c r="K1028" i="9"/>
  <c r="K1030" i="9"/>
  <c r="K1032" i="9"/>
  <c r="K1038" i="9"/>
  <c r="K1042" i="9"/>
  <c r="K1044" i="9"/>
  <c r="K1046" i="9"/>
  <c r="K1052" i="9"/>
  <c r="K1053" i="9"/>
  <c r="K1055" i="9"/>
  <c r="K1061" i="9"/>
  <c r="K1067" i="9"/>
  <c r="K1070" i="9"/>
  <c r="K1072" i="9"/>
  <c r="K1078" i="9"/>
  <c r="K1080" i="9"/>
  <c r="K1085" i="9"/>
  <c r="K1088" i="9"/>
  <c r="K1090" i="9"/>
  <c r="K1096" i="9"/>
  <c r="K1098" i="9"/>
  <c r="K1099" i="9"/>
  <c r="K1102" i="9"/>
  <c r="K873" i="9"/>
  <c r="K881" i="9"/>
  <c r="K906" i="9"/>
  <c r="K913" i="9"/>
  <c r="K929" i="9"/>
  <c r="K880" i="9"/>
  <c r="K899" i="9"/>
  <c r="K908" i="9"/>
  <c r="K910" i="9"/>
  <c r="K916" i="9"/>
  <c r="K936" i="9"/>
  <c r="K912" i="9"/>
  <c r="K921" i="9"/>
  <c r="K943" i="9"/>
  <c r="K1117" i="9"/>
  <c r="K1121" i="9"/>
  <c r="K1134" i="9"/>
  <c r="K1110" i="9"/>
  <c r="K1137" i="9"/>
  <c r="K1142" i="9"/>
  <c r="K1144" i="9"/>
  <c r="K1150" i="9"/>
  <c r="K1153" i="9"/>
  <c r="K1155" i="9"/>
  <c r="K1160" i="9"/>
  <c r="K1162" i="9"/>
  <c r="K1169" i="9"/>
  <c r="K1173" i="9"/>
  <c r="K1175" i="9"/>
  <c r="K1180" i="9"/>
  <c r="K1182" i="9"/>
  <c r="K1188" i="9"/>
  <c r="K1191" i="9"/>
  <c r="K1193" i="9"/>
  <c r="K1198" i="9"/>
  <c r="K1200" i="9"/>
  <c r="K1207" i="9"/>
  <c r="K1211" i="9"/>
  <c r="K1214" i="9"/>
  <c r="K1218" i="9"/>
  <c r="K1222" i="9"/>
  <c r="K1227" i="9"/>
  <c r="K1229" i="9"/>
  <c r="K1235" i="9"/>
  <c r="K1238" i="9"/>
  <c r="K1240" i="9"/>
  <c r="K1245" i="9"/>
  <c r="K1247" i="9"/>
  <c r="K1254" i="9"/>
  <c r="K1258" i="9"/>
  <c r="K1260" i="9"/>
  <c r="K1265" i="9"/>
  <c r="K1267" i="9"/>
  <c r="K1273" i="9"/>
  <c r="K1276" i="9"/>
  <c r="K1278" i="9"/>
  <c r="K1283" i="9"/>
  <c r="K1285" i="9"/>
  <c r="K1292" i="9"/>
  <c r="K1296" i="9"/>
  <c r="K1104" i="9"/>
  <c r="K1106" i="9"/>
  <c r="K1125" i="9"/>
  <c r="K1108" i="9"/>
  <c r="K1122" i="9"/>
  <c r="K1126" i="9"/>
  <c r="K1308" i="9"/>
  <c r="K1333" i="9"/>
  <c r="K1297" i="9"/>
  <c r="K1313" i="9"/>
  <c r="K1315" i="9"/>
  <c r="K1340" i="9"/>
  <c r="K1346" i="9"/>
  <c r="K1352" i="9"/>
  <c r="K1358" i="9"/>
  <c r="K1361" i="9"/>
  <c r="K1364" i="9"/>
  <c r="K1376" i="9"/>
  <c r="K1380" i="9"/>
  <c r="K1386" i="9"/>
  <c r="K1390" i="9"/>
  <c r="K1396" i="9"/>
  <c r="K1400" i="9"/>
  <c r="K1403" i="9"/>
  <c r="K1404" i="9"/>
  <c r="K1447" i="9"/>
  <c r="K1450" i="9"/>
  <c r="K1453" i="9"/>
  <c r="K1459" i="9"/>
  <c r="K1465" i="9"/>
  <c r="K1468" i="9"/>
  <c r="K1471" i="9"/>
  <c r="K1481" i="9"/>
  <c r="K1485" i="9"/>
  <c r="K1306" i="9"/>
  <c r="K1309" i="9"/>
  <c r="K1325" i="9"/>
  <c r="K1332" i="9"/>
  <c r="K1524" i="9"/>
  <c r="K1540" i="9"/>
  <c r="K1543" i="9"/>
  <c r="K1564" i="9"/>
  <c r="K1491" i="9"/>
  <c r="K1498" i="9"/>
  <c r="K1514" i="9"/>
  <c r="K1547" i="9"/>
  <c r="K1554" i="9"/>
  <c r="K1569" i="9"/>
  <c r="K1571" i="9"/>
  <c r="K1574" i="9"/>
  <c r="K1583" i="9"/>
  <c r="K1585" i="9"/>
  <c r="K1588" i="9"/>
  <c r="K1596" i="9"/>
  <c r="K1600" i="9"/>
  <c r="K1603" i="9"/>
  <c r="K1604" i="9"/>
  <c r="K1609" i="9"/>
  <c r="K1612" i="9"/>
  <c r="K1615" i="9"/>
  <c r="K1621" i="9"/>
  <c r="K1627" i="9"/>
  <c r="K1630" i="9"/>
  <c r="K1633" i="9"/>
  <c r="K1645" i="9"/>
  <c r="K1649" i="9"/>
  <c r="K1655" i="9"/>
  <c r="K1659" i="9"/>
  <c r="K1665" i="9"/>
  <c r="K1669" i="9"/>
  <c r="K1672" i="9"/>
  <c r="K1673" i="9"/>
  <c r="K1678" i="9"/>
  <c r="K1681" i="9"/>
  <c r="K1684" i="9"/>
  <c r="K1690" i="9"/>
  <c r="K1696" i="9"/>
  <c r="K1699" i="9"/>
  <c r="K1702" i="9"/>
  <c r="K1716" i="9"/>
  <c r="K1719" i="9"/>
  <c r="K1722" i="9"/>
  <c r="K1728" i="9"/>
  <c r="K1734" i="9"/>
  <c r="K1737" i="9"/>
  <c r="K1740" i="9"/>
  <c r="K1750" i="9"/>
  <c r="K1754" i="9"/>
  <c r="K1757" i="9"/>
  <c r="K1758" i="9"/>
  <c r="K1763" i="9"/>
  <c r="K1766" i="9"/>
  <c r="K1769" i="9"/>
  <c r="K1775" i="9"/>
  <c r="K1781" i="9"/>
  <c r="K1784" i="9"/>
  <c r="K1787" i="9"/>
  <c r="K1801" i="9"/>
  <c r="K1804" i="9"/>
  <c r="K1807" i="9"/>
  <c r="K1813" i="9"/>
  <c r="K1819" i="9"/>
  <c r="K1822" i="9"/>
  <c r="K1825" i="9"/>
  <c r="K1490" i="9"/>
  <c r="K1511" i="9"/>
  <c r="K1513" i="9"/>
  <c r="K1519" i="9"/>
  <c r="K1546" i="9"/>
  <c r="K1563" i="9"/>
  <c r="K1488" i="9"/>
  <c r="K1489" i="9"/>
  <c r="K1497" i="9"/>
  <c r="K1506" i="9"/>
  <c r="K1532" i="9"/>
  <c r="K1538" i="9"/>
  <c r="K1553" i="9"/>
  <c r="K1835" i="9"/>
  <c r="K1851" i="9"/>
  <c r="K1853" i="9"/>
  <c r="K1887" i="9"/>
  <c r="K1906" i="9"/>
  <c r="K1838" i="9"/>
  <c r="K1843" i="9"/>
  <c r="K1854" i="9"/>
  <c r="K1869" i="9"/>
  <c r="K1844" i="9"/>
  <c r="K1847" i="9"/>
  <c r="K1863" i="9"/>
  <c r="K1870" i="9"/>
  <c r="K1894" i="9"/>
  <c r="K1901" i="9"/>
  <c r="K1912" i="9"/>
  <c r="K1915" i="9"/>
  <c r="K1916" i="9"/>
  <c r="K1919" i="9"/>
  <c r="K1922" i="9"/>
  <c r="K1925" i="9"/>
  <c r="K1926" i="9"/>
  <c r="K1929" i="9"/>
  <c r="K1930" i="9"/>
  <c r="K1933" i="9"/>
  <c r="K1937" i="9"/>
  <c r="K1943" i="9"/>
  <c r="K1947" i="9"/>
  <c r="K1951" i="9"/>
  <c r="K1955" i="9"/>
  <c r="K1959" i="9"/>
  <c r="K1963" i="9"/>
  <c r="K1967" i="9"/>
  <c r="K1971" i="9"/>
  <c r="K1975" i="9"/>
  <c r="K1979" i="9"/>
  <c r="K1983" i="9"/>
  <c r="K1987" i="9"/>
  <c r="K1991" i="9"/>
  <c r="K1836" i="9"/>
  <c r="K1841" i="9"/>
  <c r="K1891" i="9"/>
  <c r="K1907" i="9"/>
  <c r="K1911" i="9"/>
  <c r="K60" i="9"/>
  <c r="K63" i="9"/>
  <c r="K65" i="9"/>
  <c r="K71" i="9"/>
  <c r="K79" i="9"/>
  <c r="K87" i="9"/>
  <c r="K90" i="9"/>
  <c r="K85" i="9"/>
  <c r="K81" i="9"/>
  <c r="K83" i="9"/>
  <c r="K94" i="9"/>
  <c r="K96" i="9"/>
  <c r="K102" i="9"/>
  <c r="K105" i="9"/>
  <c r="K108" i="9"/>
  <c r="K114" i="9"/>
  <c r="K120" i="9"/>
  <c r="K123" i="9"/>
  <c r="K138" i="9"/>
  <c r="K142" i="9"/>
  <c r="K128" i="9"/>
  <c r="K132" i="9"/>
  <c r="K144" i="9"/>
  <c r="K149" i="9"/>
  <c r="K152" i="9"/>
  <c r="K155" i="9"/>
  <c r="K161" i="9"/>
  <c r="K167" i="9"/>
  <c r="K181" i="9"/>
  <c r="K185" i="9"/>
  <c r="K192" i="9"/>
  <c r="K195" i="9"/>
  <c r="K198" i="9"/>
  <c r="K203" i="9"/>
  <c r="K210" i="9"/>
  <c r="K173" i="9"/>
  <c r="K184" i="9"/>
  <c r="K176" i="9"/>
  <c r="K180" i="9"/>
  <c r="K230" i="9"/>
  <c r="K233" i="9"/>
  <c r="K212" i="9"/>
  <c r="K234" i="9"/>
  <c r="K226" i="9"/>
  <c r="K248" i="9"/>
  <c r="K252" i="9"/>
  <c r="K239" i="9"/>
  <c r="K257" i="9"/>
  <c r="K235" i="9"/>
  <c r="K266" i="9"/>
  <c r="K274" i="9"/>
  <c r="K272" i="9"/>
  <c r="K275" i="9"/>
  <c r="K291" i="9"/>
  <c r="K295" i="9"/>
  <c r="K263" i="9"/>
  <c r="K265" i="9"/>
  <c r="K271" i="9"/>
  <c r="K264" i="9"/>
  <c r="K270" i="9"/>
  <c r="K313" i="9"/>
  <c r="K258" i="9"/>
  <c r="K259" i="9"/>
  <c r="K298" i="9"/>
  <c r="K311" i="9"/>
  <c r="K321" i="9"/>
  <c r="K306" i="9"/>
  <c r="K320" i="9"/>
  <c r="K342" i="9"/>
  <c r="K361" i="9"/>
  <c r="K370" i="9"/>
  <c r="K372" i="9"/>
  <c r="K378" i="9"/>
  <c r="K380" i="9"/>
  <c r="K385" i="9"/>
  <c r="K388" i="9"/>
  <c r="K390" i="9"/>
  <c r="K396" i="9"/>
  <c r="K398" i="9"/>
  <c r="K399" i="9"/>
  <c r="K402" i="9"/>
  <c r="K333" i="9"/>
  <c r="K339" i="9"/>
  <c r="K354" i="9"/>
  <c r="K331" i="9"/>
  <c r="K338" i="9"/>
  <c r="K359" i="9"/>
  <c r="K346" i="9"/>
  <c r="K362" i="9"/>
  <c r="K366" i="9"/>
  <c r="K414" i="9"/>
  <c r="K417" i="9"/>
  <c r="K419" i="9"/>
  <c r="K425" i="9"/>
  <c r="K427" i="9"/>
  <c r="K432" i="9"/>
  <c r="K435" i="9"/>
  <c r="K437" i="9"/>
  <c r="K443" i="9"/>
  <c r="K445" i="9"/>
  <c r="K446" i="9"/>
  <c r="K449" i="9"/>
  <c r="K452" i="9"/>
  <c r="K455" i="9"/>
  <c r="K457" i="9"/>
  <c r="K463" i="9"/>
  <c r="K406" i="9"/>
  <c r="K469" i="9"/>
  <c r="K485" i="9"/>
  <c r="K489" i="9"/>
  <c r="K470" i="9"/>
  <c r="K487" i="9"/>
  <c r="K474" i="9"/>
  <c r="K480" i="9"/>
  <c r="K467" i="9"/>
  <c r="K488" i="9"/>
  <c r="K500" i="9"/>
  <c r="K514" i="9"/>
  <c r="K515" i="9"/>
  <c r="K517" i="9"/>
  <c r="K523" i="9"/>
  <c r="K529" i="9"/>
  <c r="K532" i="9"/>
  <c r="K534" i="9"/>
  <c r="K540" i="9"/>
  <c r="K542" i="9"/>
  <c r="K547" i="9"/>
  <c r="K550" i="9"/>
  <c r="K552" i="9"/>
  <c r="K558" i="9"/>
  <c r="K560" i="9"/>
  <c r="K561" i="9"/>
  <c r="K564" i="9"/>
  <c r="K567" i="9"/>
  <c r="K570" i="9"/>
  <c r="K571" i="9"/>
  <c r="K574" i="9"/>
  <c r="K577" i="9"/>
  <c r="K580" i="9"/>
  <c r="K581" i="9"/>
  <c r="K584" i="9"/>
  <c r="K493" i="9"/>
  <c r="K498" i="9"/>
  <c r="K509" i="9"/>
  <c r="K497" i="9"/>
  <c r="K491" i="9"/>
  <c r="K496" i="9"/>
  <c r="K604" i="9"/>
  <c r="K608" i="9"/>
  <c r="K614" i="9"/>
  <c r="K620" i="9"/>
  <c r="K623" i="9"/>
  <c r="K626" i="9"/>
  <c r="K592" i="9"/>
  <c r="K601" i="9"/>
  <c r="K603" i="9"/>
  <c r="K602" i="9"/>
  <c r="K637" i="9"/>
  <c r="K644" i="9"/>
  <c r="K660" i="9"/>
  <c r="K639" i="9"/>
  <c r="K641" i="9"/>
  <c r="K647" i="9"/>
  <c r="K669" i="9"/>
  <c r="K673" i="9"/>
  <c r="K676" i="9"/>
  <c r="K680" i="9"/>
  <c r="K684" i="9"/>
  <c r="K689" i="9"/>
  <c r="K691" i="9"/>
  <c r="K697" i="9"/>
  <c r="K700" i="9"/>
  <c r="K702" i="9"/>
  <c r="K707" i="9"/>
  <c r="K709" i="9"/>
  <c r="K716" i="9"/>
  <c r="K720" i="9"/>
  <c r="K722" i="9"/>
  <c r="K727" i="9"/>
  <c r="K729" i="9"/>
  <c r="K735" i="9"/>
  <c r="K738" i="9"/>
  <c r="K740" i="9"/>
  <c r="K745" i="9"/>
  <c r="K747" i="9"/>
  <c r="K754" i="9"/>
  <c r="K758" i="9"/>
  <c r="K658" i="9"/>
  <c r="K656" i="9"/>
  <c r="K764" i="9"/>
  <c r="K768" i="9"/>
  <c r="K771" i="9"/>
  <c r="K779" i="9"/>
  <c r="K785" i="9"/>
  <c r="K788" i="9"/>
  <c r="K791" i="9"/>
  <c r="K795" i="9"/>
  <c r="K799" i="9"/>
  <c r="K804" i="9"/>
  <c r="K806" i="9"/>
  <c r="K812" i="9"/>
  <c r="K815" i="9"/>
  <c r="K817" i="9"/>
  <c r="K822" i="9"/>
  <c r="K824" i="9"/>
  <c r="K831" i="9"/>
  <c r="K835" i="9"/>
  <c r="K837" i="9"/>
  <c r="K844" i="9"/>
  <c r="K847" i="9"/>
  <c r="K855" i="9"/>
  <c r="K856" i="9"/>
  <c r="K860" i="9"/>
  <c r="K864" i="9"/>
  <c r="K772" i="9"/>
  <c r="K761" i="9"/>
  <c r="K763" i="9"/>
  <c r="K869" i="9"/>
  <c r="K876" i="9"/>
  <c r="K897" i="9"/>
  <c r="K925" i="9"/>
  <c r="K932" i="9"/>
  <c r="K949" i="9"/>
  <c r="K953" i="9"/>
  <c r="K958" i="9"/>
  <c r="K960" i="9"/>
  <c r="K966" i="9"/>
  <c r="K969" i="9"/>
  <c r="K971" i="9"/>
  <c r="K976" i="9"/>
  <c r="K978" i="9"/>
  <c r="K985" i="9"/>
  <c r="K989" i="9"/>
  <c r="K991" i="9"/>
  <c r="K996" i="9"/>
  <c r="K998" i="9"/>
  <c r="K1004" i="9"/>
  <c r="K1007" i="9"/>
  <c r="K1009" i="9"/>
  <c r="K1014" i="9"/>
  <c r="K1016" i="9"/>
  <c r="K1023" i="9"/>
  <c r="K1027" i="9"/>
  <c r="K1029" i="9"/>
  <c r="K1034" i="9"/>
  <c r="K1039" i="9"/>
  <c r="K1041" i="9"/>
  <c r="K1043" i="9"/>
  <c r="K1048" i="9"/>
  <c r="K1054" i="9"/>
  <c r="K1057" i="9"/>
  <c r="K1060" i="9"/>
  <c r="K1064" i="9"/>
  <c r="K1068" i="9"/>
  <c r="K1073" i="9"/>
  <c r="K1075" i="9"/>
  <c r="K1081" i="9"/>
  <c r="K1084" i="9"/>
  <c r="K1086" i="9"/>
  <c r="K1091" i="9"/>
  <c r="K1093" i="9"/>
  <c r="K1100" i="9"/>
  <c r="K884" i="9"/>
  <c r="K900" i="9"/>
  <c r="K904" i="9"/>
  <c r="K911" i="9"/>
  <c r="K919" i="9"/>
  <c r="K885" i="9"/>
  <c r="K902" i="9"/>
  <c r="K918" i="9"/>
  <c r="K937" i="9"/>
  <c r="K889" i="9"/>
  <c r="K895" i="9"/>
  <c r="K1107" i="9"/>
  <c r="K1111" i="9"/>
  <c r="K1131" i="9"/>
  <c r="K1114" i="9"/>
  <c r="K1132" i="9"/>
  <c r="K1138" i="9"/>
  <c r="K1145" i="9"/>
  <c r="K1148" i="9"/>
  <c r="K1151" i="9"/>
  <c r="K1156" i="9"/>
  <c r="K1163" i="9"/>
  <c r="K1166" i="9"/>
  <c r="K1170" i="9"/>
  <c r="K1172" i="9"/>
  <c r="K1176" i="9"/>
  <c r="K1183" i="9"/>
  <c r="K1186" i="9"/>
  <c r="K1189" i="9"/>
  <c r="K1194" i="9"/>
  <c r="K1201" i="9"/>
  <c r="K1204" i="9"/>
  <c r="K1208" i="9"/>
  <c r="K1210" i="9"/>
  <c r="K1213" i="9"/>
  <c r="K1217" i="9"/>
  <c r="K1223" i="9"/>
  <c r="K1230" i="9"/>
  <c r="K1233" i="9"/>
  <c r="K1236" i="9"/>
  <c r="K1241" i="9"/>
  <c r="K1248" i="9"/>
  <c r="K1251" i="9"/>
  <c r="K1255" i="9"/>
  <c r="K1257" i="9"/>
  <c r="K1261" i="9"/>
  <c r="K1268" i="9"/>
  <c r="K1271" i="9"/>
  <c r="K1274" i="9"/>
  <c r="K1279" i="9"/>
  <c r="K1286" i="9"/>
  <c r="K1289" i="9"/>
  <c r="K1293" i="9"/>
  <c r="K1295" i="9"/>
  <c r="K1113" i="9"/>
  <c r="K1133" i="9"/>
  <c r="K1112" i="9"/>
  <c r="K1119" i="9"/>
  <c r="K1123" i="9"/>
  <c r="K1310" i="9"/>
  <c r="K1323" i="9"/>
  <c r="K1326" i="9"/>
  <c r="K1329" i="9"/>
  <c r="K1337" i="9"/>
  <c r="K1344" i="9"/>
  <c r="K1299" i="9"/>
  <c r="K1301" i="9"/>
  <c r="K1321" i="9"/>
  <c r="K1314" i="9"/>
  <c r="K1319" i="9"/>
  <c r="K1334" i="9"/>
  <c r="K1335" i="9"/>
  <c r="K1343" i="9"/>
  <c r="K1349" i="9"/>
  <c r="K1354" i="9"/>
  <c r="K1357" i="9"/>
  <c r="K1359" i="9"/>
  <c r="K1365" i="9"/>
  <c r="K1367" i="9"/>
  <c r="K1368" i="9"/>
  <c r="K1371" i="9"/>
  <c r="K1374" i="9"/>
  <c r="K1377" i="9"/>
  <c r="K1378" i="9"/>
  <c r="K1381" i="9"/>
  <c r="K1384" i="9"/>
  <c r="K1387" i="9"/>
  <c r="K1388" i="9"/>
  <c r="K1391" i="9"/>
  <c r="K1392" i="9"/>
  <c r="K1395" i="9"/>
  <c r="K1399" i="9"/>
  <c r="K1440" i="9"/>
  <c r="K1443" i="9"/>
  <c r="K1446" i="9"/>
  <c r="K1448" i="9"/>
  <c r="K1454" i="9"/>
  <c r="K1456" i="9"/>
  <c r="K1461" i="9"/>
  <c r="K1464" i="9"/>
  <c r="K1466" i="9"/>
  <c r="K1472" i="9"/>
  <c r="K1474" i="9"/>
  <c r="K1475" i="9"/>
  <c r="K1478" i="9"/>
  <c r="K1484" i="9"/>
  <c r="K1328" i="9"/>
  <c r="K1338" i="9"/>
  <c r="K1345" i="9"/>
  <c r="K1510" i="9"/>
  <c r="K1517" i="9"/>
  <c r="K1562" i="9"/>
  <c r="K1496" i="9"/>
  <c r="K1504" i="9"/>
  <c r="K1529" i="9"/>
  <c r="K1536" i="9"/>
  <c r="K1552" i="9"/>
  <c r="K1566" i="9"/>
  <c r="K1582" i="9"/>
  <c r="K1584" i="9"/>
  <c r="K1618" i="9"/>
  <c r="K1637" i="9"/>
  <c r="K1643" i="9"/>
  <c r="K1656" i="9"/>
  <c r="K1687" i="9"/>
  <c r="K1706" i="9"/>
  <c r="K1715" i="9"/>
  <c r="K1717" i="9"/>
  <c r="K1723" i="9"/>
  <c r="K1743" i="9"/>
  <c r="K1777" i="9"/>
  <c r="K1794" i="9"/>
  <c r="K1810" i="9"/>
  <c r="K1829" i="9"/>
  <c r="K1549" i="9"/>
  <c r="K1544" i="9"/>
  <c r="K1839" i="9"/>
  <c r="K1909" i="9"/>
  <c r="K1866" i="9"/>
  <c r="K1876" i="9"/>
  <c r="K1931" i="9"/>
  <c r="K1936" i="9"/>
  <c r="K1952" i="9"/>
  <c r="K1968" i="9"/>
  <c r="K1984" i="9"/>
  <c r="K1568" i="9"/>
  <c r="K1570" i="9"/>
  <c r="K1590" i="9"/>
  <c r="K1623" i="9"/>
  <c r="K1640" i="9"/>
  <c r="K1646" i="9"/>
  <c r="K1660" i="9"/>
  <c r="K1664" i="9"/>
  <c r="K1692" i="9"/>
  <c r="K1709" i="9"/>
  <c r="K1725" i="9"/>
  <c r="K1744" i="9"/>
  <c r="K1759" i="9"/>
  <c r="K1780" i="9"/>
  <c r="K1782" i="9"/>
  <c r="K1788" i="9"/>
  <c r="K1815" i="9"/>
  <c r="K1832" i="9"/>
  <c r="K1493" i="9"/>
  <c r="K1521" i="9"/>
  <c r="K1840" i="9"/>
  <c r="K1865" i="9"/>
  <c r="K1923" i="9"/>
  <c r="K1956" i="9"/>
  <c r="K1972" i="9"/>
  <c r="K1988" i="9"/>
  <c r="K1846" i="9"/>
  <c r="K1576" i="9"/>
  <c r="K1591" i="9"/>
  <c r="K1605" i="9"/>
  <c r="K1626" i="9"/>
  <c r="K1628" i="9"/>
  <c r="K1634" i="9"/>
  <c r="K1650" i="9"/>
  <c r="K1657" i="9"/>
  <c r="K1661" i="9"/>
  <c r="K1674" i="9"/>
  <c r="K1695" i="9"/>
  <c r="K1697" i="9"/>
  <c r="K1703" i="9"/>
  <c r="K1730" i="9"/>
  <c r="K1747" i="9"/>
  <c r="K1753" i="9"/>
  <c r="K1762" i="9"/>
  <c r="K1764" i="9"/>
  <c r="K1770" i="9"/>
  <c r="K1790" i="9"/>
  <c r="K1797" i="9"/>
  <c r="K1818" i="9"/>
  <c r="K1820" i="9"/>
  <c r="K1826" i="9"/>
  <c r="K1551" i="9"/>
  <c r="K1557" i="9"/>
  <c r="K1535" i="9"/>
  <c r="K1837" i="9"/>
  <c r="K1859" i="9"/>
  <c r="K1896" i="9"/>
  <c r="K1902" i="9"/>
  <c r="K1883" i="9"/>
  <c r="K1913" i="9"/>
  <c r="K1932" i="9"/>
  <c r="K1944" i="9"/>
  <c r="K1960" i="9"/>
  <c r="K1976" i="9"/>
  <c r="K1871" i="9"/>
  <c r="K1893" i="9"/>
  <c r="K1580" i="9"/>
  <c r="K1593" i="9"/>
  <c r="K1599" i="9"/>
  <c r="K1608" i="9"/>
  <c r="K1610" i="9"/>
  <c r="K1616" i="9"/>
  <c r="K1636" i="9"/>
  <c r="K1647" i="9"/>
  <c r="K1653" i="9"/>
  <c r="K1668" i="9"/>
  <c r="K1677" i="9"/>
  <c r="K1679" i="9"/>
  <c r="K1685" i="9"/>
  <c r="K1705" i="9"/>
  <c r="K1712" i="9"/>
  <c r="K1733" i="9"/>
  <c r="K1735" i="9"/>
  <c r="K1741" i="9"/>
  <c r="K1772" i="9"/>
  <c r="K1791" i="9"/>
  <c r="K1800" i="9"/>
  <c r="K1802" i="9"/>
  <c r="K1808" i="9"/>
  <c r="K1828" i="9"/>
  <c r="K1495" i="9"/>
  <c r="K1501" i="9"/>
  <c r="K1528" i="9"/>
  <c r="K1892" i="9"/>
  <c r="K1904" i="9"/>
  <c r="K1920" i="9"/>
  <c r="K1940" i="9"/>
  <c r="K1948" i="9"/>
  <c r="K1964" i="9"/>
  <c r="K1980" i="9"/>
  <c r="K1900" i="9"/>
  <c r="L64" i="9"/>
  <c r="L71" i="9"/>
  <c r="L73" i="9"/>
  <c r="L78" i="9"/>
  <c r="L81" i="9"/>
  <c r="L83" i="9"/>
  <c r="L90" i="9"/>
  <c r="L92" i="9"/>
  <c r="L95" i="9"/>
  <c r="L62" i="9"/>
  <c r="L101" i="9"/>
  <c r="L103" i="9"/>
  <c r="L109" i="9"/>
  <c r="L116" i="9"/>
  <c r="L121" i="9"/>
  <c r="L117" i="9"/>
  <c r="L124" i="9"/>
  <c r="L118" i="9"/>
  <c r="L129" i="9"/>
  <c r="L133" i="9"/>
  <c r="L138" i="9"/>
  <c r="L142" i="9"/>
  <c r="L102" i="9"/>
  <c r="L108" i="9"/>
  <c r="L144" i="9"/>
  <c r="L149" i="9"/>
  <c r="L152" i="9"/>
  <c r="L155" i="9"/>
  <c r="L161" i="9"/>
  <c r="L167" i="9"/>
  <c r="L170" i="9"/>
  <c r="L173" i="9"/>
  <c r="L126" i="9"/>
  <c r="L189" i="9"/>
  <c r="L191" i="9"/>
  <c r="L197" i="9"/>
  <c r="L200" i="9"/>
  <c r="L202" i="9"/>
  <c r="L207" i="9"/>
  <c r="L209" i="9"/>
  <c r="L216" i="9"/>
  <c r="L220" i="9"/>
  <c r="L224" i="9"/>
  <c r="L226" i="9"/>
  <c r="L229" i="9"/>
  <c r="L238" i="9"/>
  <c r="L240" i="9"/>
  <c r="L243" i="9"/>
  <c r="L254" i="9"/>
  <c r="L261" i="9"/>
  <c r="L266" i="9"/>
  <c r="L268" i="9"/>
  <c r="L274" i="9"/>
  <c r="L277" i="9"/>
  <c r="L279" i="9"/>
  <c r="L284" i="9"/>
  <c r="L286" i="9"/>
  <c r="L293" i="9"/>
  <c r="L297" i="9"/>
  <c r="L299" i="9"/>
  <c r="L306" i="9"/>
  <c r="L309" i="9"/>
  <c r="L317" i="9"/>
  <c r="L318" i="9"/>
  <c r="L322" i="9"/>
  <c r="L326" i="9"/>
  <c r="L66" i="9"/>
  <c r="L68" i="9"/>
  <c r="L74" i="9"/>
  <c r="L77" i="9"/>
  <c r="L79" i="9"/>
  <c r="L84" i="9"/>
  <c r="L93" i="9"/>
  <c r="L97" i="9"/>
  <c r="L110" i="9"/>
  <c r="L113" i="9"/>
  <c r="L120" i="9"/>
  <c r="L105" i="9"/>
  <c r="L114" i="9"/>
  <c r="L125" i="9"/>
  <c r="L134" i="9"/>
  <c r="L137" i="9"/>
  <c r="L141" i="9"/>
  <c r="L135" i="9"/>
  <c r="L145" i="9"/>
  <c r="L148" i="9"/>
  <c r="L150" i="9"/>
  <c r="L156" i="9"/>
  <c r="L158" i="9"/>
  <c r="L163" i="9"/>
  <c r="L166" i="9"/>
  <c r="L168" i="9"/>
  <c r="L174" i="9"/>
  <c r="L176" i="9"/>
  <c r="L177" i="9"/>
  <c r="L180" i="9"/>
  <c r="L181" i="9"/>
  <c r="L185" i="9"/>
  <c r="L192" i="9"/>
  <c r="L195" i="9"/>
  <c r="L198" i="9"/>
  <c r="L203" i="9"/>
  <c r="L210" i="9"/>
  <c r="L213" i="9"/>
  <c r="L217" i="9"/>
  <c r="L219" i="9"/>
  <c r="L221" i="9"/>
  <c r="L223" i="9"/>
  <c r="L225" i="9"/>
  <c r="L231" i="9"/>
  <c r="L235" i="9"/>
  <c r="L237" i="9"/>
  <c r="L239" i="9"/>
  <c r="L245" i="9"/>
  <c r="L246" i="9"/>
  <c r="L248" i="9"/>
  <c r="L255" i="9"/>
  <c r="L256" i="9"/>
  <c r="L262" i="9"/>
  <c r="L269" i="9"/>
  <c r="L272" i="9"/>
  <c r="L275" i="9"/>
  <c r="L280" i="9"/>
  <c r="L287" i="9"/>
  <c r="L290" i="9"/>
  <c r="L294" i="9"/>
  <c r="L296" i="9"/>
  <c r="L303" i="9"/>
  <c r="L307" i="9"/>
  <c r="L313" i="9"/>
  <c r="L321" i="9"/>
  <c r="L67" i="9"/>
  <c r="L69" i="9"/>
  <c r="L72" i="9"/>
  <c r="L75" i="9"/>
  <c r="L80" i="9"/>
  <c r="L60" i="9"/>
  <c r="L87" i="9"/>
  <c r="L88" i="9"/>
  <c r="L94" i="9"/>
  <c r="L96" i="9"/>
  <c r="L86" i="9"/>
  <c r="L98" i="9"/>
  <c r="L111" i="9"/>
  <c r="L123" i="9"/>
  <c r="L119" i="9"/>
  <c r="L127" i="9"/>
  <c r="L130" i="9"/>
  <c r="L91" i="9"/>
  <c r="L136" i="9"/>
  <c r="L140" i="9"/>
  <c r="L143" i="9"/>
  <c r="L122" i="9"/>
  <c r="L146" i="9"/>
  <c r="L151" i="9"/>
  <c r="L153" i="9"/>
  <c r="L159" i="9"/>
  <c r="L162" i="9"/>
  <c r="L164" i="9"/>
  <c r="L169" i="9"/>
  <c r="L171" i="9"/>
  <c r="L178" i="9"/>
  <c r="L99" i="9"/>
  <c r="L187" i="9"/>
  <c r="L190" i="9"/>
  <c r="L193" i="9"/>
  <c r="L199" i="9"/>
  <c r="L205" i="9"/>
  <c r="L208" i="9"/>
  <c r="L211" i="9"/>
  <c r="L184" i="9"/>
  <c r="L222" i="9"/>
  <c r="L227" i="9"/>
  <c r="L232" i="9"/>
  <c r="L234" i="9"/>
  <c r="L236" i="9"/>
  <c r="L241" i="9"/>
  <c r="L247" i="9"/>
  <c r="L251" i="9"/>
  <c r="L252" i="9"/>
  <c r="L258" i="9"/>
  <c r="L259" i="9"/>
  <c r="L264" i="9"/>
  <c r="L267" i="9"/>
  <c r="L270" i="9"/>
  <c r="L276" i="9"/>
  <c r="L282" i="9"/>
  <c r="L285" i="9"/>
  <c r="L288" i="9"/>
  <c r="L300" i="9"/>
  <c r="L304" i="9"/>
  <c r="L310" i="9"/>
  <c r="L314" i="9"/>
  <c r="L320" i="9"/>
  <c r="L324" i="9"/>
  <c r="L327" i="9"/>
  <c r="L328" i="9"/>
  <c r="L333" i="9"/>
  <c r="L76" i="9"/>
  <c r="L157" i="9"/>
  <c r="L160" i="9"/>
  <c r="L106" i="9"/>
  <c r="L204" i="9"/>
  <c r="L206" i="9"/>
  <c r="L212" i="9"/>
  <c r="L260" i="9"/>
  <c r="L281" i="9"/>
  <c r="L283" i="9"/>
  <c r="L289" i="9"/>
  <c r="L305" i="9"/>
  <c r="L312" i="9"/>
  <c r="L316" i="9"/>
  <c r="L329" i="9"/>
  <c r="L335" i="9"/>
  <c r="L337" i="9"/>
  <c r="L343" i="9"/>
  <c r="L346" i="9"/>
  <c r="L348" i="9"/>
  <c r="L353" i="9"/>
  <c r="L355" i="9"/>
  <c r="L362" i="9"/>
  <c r="L366" i="9"/>
  <c r="L368" i="9"/>
  <c r="L371" i="9"/>
  <c r="L374" i="9"/>
  <c r="L377" i="9"/>
  <c r="L383" i="9"/>
  <c r="L389" i="9"/>
  <c r="L392" i="9"/>
  <c r="L395" i="9"/>
  <c r="L405" i="9"/>
  <c r="L409" i="9"/>
  <c r="L412" i="9"/>
  <c r="L413" i="9"/>
  <c r="L418" i="9"/>
  <c r="L421" i="9"/>
  <c r="L424" i="9"/>
  <c r="L430" i="9"/>
  <c r="L436" i="9"/>
  <c r="L439" i="9"/>
  <c r="L442" i="9"/>
  <c r="L456" i="9"/>
  <c r="L459" i="9"/>
  <c r="L462" i="9"/>
  <c r="L468" i="9"/>
  <c r="L474" i="9"/>
  <c r="L477" i="9"/>
  <c r="L480" i="9"/>
  <c r="L493" i="9"/>
  <c r="L495" i="9"/>
  <c r="L498" i="9"/>
  <c r="L507" i="9"/>
  <c r="L509" i="9"/>
  <c r="L512" i="9"/>
  <c r="L520" i="9"/>
  <c r="L524" i="9"/>
  <c r="L527" i="9"/>
  <c r="L528" i="9"/>
  <c r="L533" i="9"/>
  <c r="L536" i="9"/>
  <c r="L539" i="9"/>
  <c r="L545" i="9"/>
  <c r="L551" i="9"/>
  <c r="L554" i="9"/>
  <c r="L557" i="9"/>
  <c r="L569" i="9"/>
  <c r="L573" i="9"/>
  <c r="L579" i="9"/>
  <c r="L583" i="9"/>
  <c r="L589" i="9"/>
  <c r="L593" i="9"/>
  <c r="L596" i="9"/>
  <c r="L597" i="9"/>
  <c r="L602" i="9"/>
  <c r="L605" i="9"/>
  <c r="L608" i="9"/>
  <c r="L614" i="9"/>
  <c r="L620" i="9"/>
  <c r="L623" i="9"/>
  <c r="L626" i="9"/>
  <c r="L640" i="9"/>
  <c r="L643" i="9"/>
  <c r="L646" i="9"/>
  <c r="L652" i="9"/>
  <c r="L658" i="9"/>
  <c r="L661" i="9"/>
  <c r="L664" i="9"/>
  <c r="L674" i="9"/>
  <c r="L678" i="9"/>
  <c r="L681" i="9"/>
  <c r="L682" i="9"/>
  <c r="L687" i="9"/>
  <c r="L690" i="9"/>
  <c r="L693" i="9"/>
  <c r="L699" i="9"/>
  <c r="L705" i="9"/>
  <c r="L708" i="9"/>
  <c r="L711" i="9"/>
  <c r="L725" i="9"/>
  <c r="L728" i="9"/>
  <c r="L731" i="9"/>
  <c r="L737" i="9"/>
  <c r="L743" i="9"/>
  <c r="L746" i="9"/>
  <c r="L749" i="9"/>
  <c r="L762" i="9"/>
  <c r="L764" i="9"/>
  <c r="L767" i="9"/>
  <c r="L776" i="9"/>
  <c r="L778" i="9"/>
  <c r="L781" i="9"/>
  <c r="L789" i="9"/>
  <c r="L793" i="9"/>
  <c r="L796" i="9"/>
  <c r="L797" i="9"/>
  <c r="L802" i="9"/>
  <c r="L805" i="9"/>
  <c r="L808" i="9"/>
  <c r="L814" i="9"/>
  <c r="L820" i="9"/>
  <c r="L823" i="9"/>
  <c r="L826" i="9"/>
  <c r="L838" i="9"/>
  <c r="L842" i="9"/>
  <c r="L848" i="9"/>
  <c r="L852" i="9"/>
  <c r="L858" i="9"/>
  <c r="L862" i="9"/>
  <c r="L865" i="9"/>
  <c r="L866" i="9"/>
  <c r="L871" i="9"/>
  <c r="L874" i="9"/>
  <c r="L877" i="9"/>
  <c r="L883" i="9"/>
  <c r="L889" i="9"/>
  <c r="L892" i="9"/>
  <c r="L895" i="9"/>
  <c r="L909" i="9"/>
  <c r="L912" i="9"/>
  <c r="L915" i="9"/>
  <c r="L921" i="9"/>
  <c r="L927" i="9"/>
  <c r="L930" i="9"/>
  <c r="L933" i="9"/>
  <c r="L943" i="9"/>
  <c r="L947" i="9"/>
  <c r="L950" i="9"/>
  <c r="L951" i="9"/>
  <c r="L956" i="9"/>
  <c r="L959" i="9"/>
  <c r="L962" i="9"/>
  <c r="L968" i="9"/>
  <c r="L974" i="9"/>
  <c r="L977" i="9"/>
  <c r="L980" i="9"/>
  <c r="L994" i="9"/>
  <c r="L997" i="9"/>
  <c r="L1000" i="9"/>
  <c r="L1006" i="9"/>
  <c r="L1012" i="9"/>
  <c r="L1015" i="9"/>
  <c r="L1018" i="9"/>
  <c r="L1031" i="9"/>
  <c r="L1033" i="9"/>
  <c r="L1036" i="9"/>
  <c r="L1045" i="9"/>
  <c r="L1047" i="9"/>
  <c r="L1050" i="9"/>
  <c r="L1058" i="9"/>
  <c r="L1062" i="9"/>
  <c r="L1065" i="9"/>
  <c r="L1066" i="9"/>
  <c r="L1071" i="9"/>
  <c r="L1074" i="9"/>
  <c r="L1077" i="9"/>
  <c r="L1083" i="9"/>
  <c r="L1089" i="9"/>
  <c r="L1092" i="9"/>
  <c r="L1095" i="9"/>
  <c r="L1107" i="9"/>
  <c r="L1111" i="9"/>
  <c r="L1117" i="9"/>
  <c r="L1121" i="9"/>
  <c r="L1127" i="9"/>
  <c r="L1131" i="9"/>
  <c r="L1134" i="9"/>
  <c r="L1135" i="9"/>
  <c r="L1140" i="9"/>
  <c r="L1143" i="9"/>
  <c r="L1146" i="9"/>
  <c r="L1152" i="9"/>
  <c r="L1158" i="9"/>
  <c r="L1161" i="9"/>
  <c r="L1164" i="9"/>
  <c r="L1178" i="9"/>
  <c r="L1181" i="9"/>
  <c r="L1184" i="9"/>
  <c r="L1190" i="9"/>
  <c r="L1196" i="9"/>
  <c r="L1199" i="9"/>
  <c r="L1202" i="9"/>
  <c r="L1212" i="9"/>
  <c r="L1216" i="9"/>
  <c r="L1219" i="9"/>
  <c r="L1220" i="9"/>
  <c r="L1225" i="9"/>
  <c r="L1228" i="9"/>
  <c r="L1231" i="9"/>
  <c r="L1237" i="9"/>
  <c r="L1243" i="9"/>
  <c r="L1246" i="9"/>
  <c r="L1249" i="9"/>
  <c r="L1263" i="9"/>
  <c r="L1266" i="9"/>
  <c r="L1269" i="9"/>
  <c r="L1275" i="9"/>
  <c r="L1281" i="9"/>
  <c r="L1284" i="9"/>
  <c r="L1287" i="9"/>
  <c r="L1300" i="9"/>
  <c r="L1302" i="9"/>
  <c r="L1305" i="9"/>
  <c r="L1314" i="9"/>
  <c r="L1316" i="9"/>
  <c r="L1319" i="9"/>
  <c r="L1327" i="9"/>
  <c r="L1331" i="9"/>
  <c r="L1334" i="9"/>
  <c r="L1335" i="9"/>
  <c r="L1340" i="9"/>
  <c r="L1343" i="9"/>
  <c r="L1346" i="9"/>
  <c r="L1352" i="9"/>
  <c r="L1358" i="9"/>
  <c r="L1361" i="9"/>
  <c r="L1364" i="9"/>
  <c r="L1376" i="9"/>
  <c r="L1380" i="9"/>
  <c r="L1386" i="9"/>
  <c r="L1390" i="9"/>
  <c r="L1396" i="9"/>
  <c r="L1400" i="9"/>
  <c r="L1403" i="9"/>
  <c r="L1404" i="9"/>
  <c r="L1447" i="9"/>
  <c r="L1450" i="9"/>
  <c r="L1453" i="9"/>
  <c r="L1459" i="9"/>
  <c r="L1465" i="9"/>
  <c r="L1468" i="9"/>
  <c r="L1471" i="9"/>
  <c r="L1481" i="9"/>
  <c r="L1485" i="9"/>
  <c r="L1488" i="9"/>
  <c r="L1489" i="9"/>
  <c r="L1494" i="9"/>
  <c r="L1497" i="9"/>
  <c r="L1500" i="9"/>
  <c r="L1506" i="9"/>
  <c r="L1512" i="9"/>
  <c r="L1515" i="9"/>
  <c r="L1518" i="9"/>
  <c r="L1532" i="9"/>
  <c r="L1535" i="9"/>
  <c r="L1538" i="9"/>
  <c r="L1544" i="9"/>
  <c r="L1550" i="9"/>
  <c r="L1553" i="9"/>
  <c r="L1556" i="9"/>
  <c r="L1569" i="9"/>
  <c r="L1571" i="9"/>
  <c r="L1574" i="9"/>
  <c r="L1583" i="9"/>
  <c r="L1585" i="9"/>
  <c r="L1588" i="9"/>
  <c r="L1596" i="9"/>
  <c r="L1600" i="9"/>
  <c r="L1603" i="9"/>
  <c r="L1604" i="9"/>
  <c r="L1609" i="9"/>
  <c r="L1612" i="9"/>
  <c r="L1615" i="9"/>
  <c r="L1621" i="9"/>
  <c r="L1627" i="9"/>
  <c r="L1630" i="9"/>
  <c r="L1633" i="9"/>
  <c r="L1645" i="9"/>
  <c r="L1649" i="9"/>
  <c r="L1655" i="9"/>
  <c r="L1659" i="9"/>
  <c r="L1665" i="9"/>
  <c r="L1669" i="9"/>
  <c r="L1672" i="9"/>
  <c r="L1673" i="9"/>
  <c r="L1678" i="9"/>
  <c r="L1681" i="9"/>
  <c r="L1684" i="9"/>
  <c r="L1690" i="9"/>
  <c r="L1696" i="9"/>
  <c r="L1699" i="9"/>
  <c r="L1702" i="9"/>
  <c r="L1716" i="9"/>
  <c r="L1719" i="9"/>
  <c r="L1722" i="9"/>
  <c r="L1728" i="9"/>
  <c r="L1734" i="9"/>
  <c r="L1737" i="9"/>
  <c r="L1740" i="9"/>
  <c r="L1750" i="9"/>
  <c r="L1754" i="9"/>
  <c r="L1757" i="9"/>
  <c r="L1758" i="9"/>
  <c r="L1763" i="9"/>
  <c r="L1766" i="9"/>
  <c r="L1769" i="9"/>
  <c r="L1775" i="9"/>
  <c r="L1781" i="9"/>
  <c r="L1784" i="9"/>
  <c r="L1787" i="9"/>
  <c r="L1801" i="9"/>
  <c r="L1804" i="9"/>
  <c r="L1807" i="9"/>
  <c r="L1813" i="9"/>
  <c r="L1819" i="9"/>
  <c r="L1822" i="9"/>
  <c r="L1825" i="9"/>
  <c r="L1838" i="9"/>
  <c r="L1840" i="9"/>
  <c r="L1843" i="9"/>
  <c r="L1852" i="9"/>
  <c r="L1854" i="9"/>
  <c r="L1857" i="9"/>
  <c r="L1865" i="9"/>
  <c r="L1869" i="9"/>
  <c r="L1872" i="9"/>
  <c r="L1873" i="9"/>
  <c r="L1878" i="9"/>
  <c r="L1881" i="9"/>
  <c r="L1884" i="9"/>
  <c r="L1890" i="9"/>
  <c r="L1896" i="9"/>
  <c r="L1899" i="9"/>
  <c r="L1902" i="9"/>
  <c r="L1914" i="9"/>
  <c r="L1918" i="9"/>
  <c r="L1924" i="9"/>
  <c r="L1928" i="9"/>
  <c r="L1934" i="9"/>
  <c r="L1938" i="9"/>
  <c r="L1941" i="9"/>
  <c r="L1942" i="9"/>
  <c r="L1946" i="9"/>
  <c r="L1950" i="9"/>
  <c r="L1954" i="9"/>
  <c r="L1958" i="9"/>
  <c r="L1962" i="9"/>
  <c r="L1966" i="9"/>
  <c r="L1970" i="9"/>
  <c r="L1974" i="9"/>
  <c r="L1978" i="9"/>
  <c r="L1982" i="9"/>
  <c r="L1986" i="9"/>
  <c r="L1990" i="9"/>
  <c r="L1943" i="9"/>
  <c r="L1947" i="9"/>
  <c r="L1955" i="9"/>
  <c r="L1967" i="9"/>
  <c r="L1975" i="9"/>
  <c r="L1979" i="9"/>
  <c r="L1991" i="9"/>
  <c r="L1401" i="9"/>
  <c r="L1455" i="9"/>
  <c r="L1477" i="9"/>
  <c r="L1479" i="9"/>
  <c r="L1502" i="9"/>
  <c r="L1526" i="9"/>
  <c r="L1530" i="9"/>
  <c r="L1537" i="9"/>
  <c r="L1543" i="9"/>
  <c r="L1587" i="9"/>
  <c r="L1607" i="9"/>
  <c r="L1614" i="9"/>
  <c r="L1620" i="9"/>
  <c r="L1635" i="9"/>
  <c r="L1670" i="9"/>
  <c r="L1683" i="9"/>
  <c r="L1689" i="9"/>
  <c r="L1710" i="9"/>
  <c r="L1714" i="9"/>
  <c r="L1732" i="9"/>
  <c r="L1739" i="9"/>
  <c r="L1751" i="9"/>
  <c r="L1755" i="9"/>
  <c r="L1789" i="9"/>
  <c r="L1799" i="9"/>
  <c r="L1809" i="9"/>
  <c r="L1812" i="9"/>
  <c r="L1842" i="9"/>
  <c r="L1858" i="9"/>
  <c r="L1870" i="9"/>
  <c r="L1894" i="9"/>
  <c r="L1901" i="9"/>
  <c r="L1917" i="9"/>
  <c r="L1945" i="9"/>
  <c r="L1961" i="9"/>
  <c r="L1977" i="9"/>
  <c r="L61" i="9"/>
  <c r="L63" i="9"/>
  <c r="L115" i="9"/>
  <c r="L131" i="9"/>
  <c r="L179" i="9"/>
  <c r="L186" i="9"/>
  <c r="L188" i="9"/>
  <c r="L194" i="9"/>
  <c r="L214" i="9"/>
  <c r="L242" i="9"/>
  <c r="L263" i="9"/>
  <c r="L265" i="9"/>
  <c r="L271" i="9"/>
  <c r="L291" i="9"/>
  <c r="L302" i="9"/>
  <c r="L308" i="9"/>
  <c r="L323" i="9"/>
  <c r="L330" i="9"/>
  <c r="L338" i="9"/>
  <c r="L341" i="9"/>
  <c r="L344" i="9"/>
  <c r="L349" i="9"/>
  <c r="L356" i="9"/>
  <c r="L359" i="9"/>
  <c r="L363" i="9"/>
  <c r="L365" i="9"/>
  <c r="L369" i="9"/>
  <c r="L250" i="9"/>
  <c r="L257" i="9"/>
  <c r="L370" i="9"/>
  <c r="L372" i="9"/>
  <c r="L378" i="9"/>
  <c r="L380" i="9"/>
  <c r="L385" i="9"/>
  <c r="L388" i="9"/>
  <c r="L390" i="9"/>
  <c r="L396" i="9"/>
  <c r="L398" i="9"/>
  <c r="L399" i="9"/>
  <c r="L402" i="9"/>
  <c r="L408" i="9"/>
  <c r="L414" i="9"/>
  <c r="L417" i="9"/>
  <c r="L419" i="9"/>
  <c r="L425" i="9"/>
  <c r="L427" i="9"/>
  <c r="L432" i="9"/>
  <c r="L435" i="9"/>
  <c r="L437" i="9"/>
  <c r="L443" i="9"/>
  <c r="L445" i="9"/>
  <c r="L446" i="9"/>
  <c r="L449" i="9"/>
  <c r="L452" i="9"/>
  <c r="L455" i="9"/>
  <c r="L457" i="9"/>
  <c r="L463" i="9"/>
  <c r="L465" i="9"/>
  <c r="L470" i="9"/>
  <c r="L473" i="9"/>
  <c r="L475" i="9"/>
  <c r="L481" i="9"/>
  <c r="L483" i="9"/>
  <c r="L484" i="9"/>
  <c r="L487" i="9"/>
  <c r="L490" i="9"/>
  <c r="L492" i="9"/>
  <c r="L494" i="9"/>
  <c r="L500" i="9"/>
  <c r="L504" i="9"/>
  <c r="L506" i="9"/>
  <c r="L508" i="9"/>
  <c r="L514" i="9"/>
  <c r="L515" i="9"/>
  <c r="L517" i="9"/>
  <c r="L523" i="9"/>
  <c r="L529" i="9"/>
  <c r="L532" i="9"/>
  <c r="L534" i="9"/>
  <c r="L540" i="9"/>
  <c r="L542" i="9"/>
  <c r="L547" i="9"/>
  <c r="L550" i="9"/>
  <c r="L552" i="9"/>
  <c r="L558" i="9"/>
  <c r="L560" i="9"/>
  <c r="L561" i="9"/>
  <c r="L564" i="9"/>
  <c r="L567" i="9"/>
  <c r="L570" i="9"/>
  <c r="L571" i="9"/>
  <c r="L574" i="9"/>
  <c r="L577" i="9"/>
  <c r="L580" i="9"/>
  <c r="L581" i="9"/>
  <c r="L584" i="9"/>
  <c r="L585" i="9"/>
  <c r="L588" i="9"/>
  <c r="L592" i="9"/>
  <c r="L598" i="9"/>
  <c r="L601" i="9"/>
  <c r="L603" i="9"/>
  <c r="L609" i="9"/>
  <c r="L611" i="9"/>
  <c r="L616" i="9"/>
  <c r="L619" i="9"/>
  <c r="L621" i="9"/>
  <c r="L627" i="9"/>
  <c r="L629" i="9"/>
  <c r="L630" i="9"/>
  <c r="L633" i="9"/>
  <c r="L636" i="9"/>
  <c r="L639" i="9"/>
  <c r="L641" i="9"/>
  <c r="L647" i="9"/>
  <c r="L649" i="9"/>
  <c r="L654" i="9"/>
  <c r="L657" i="9"/>
  <c r="L659" i="9"/>
  <c r="L665" i="9"/>
  <c r="L667" i="9"/>
  <c r="L668" i="9"/>
  <c r="L671" i="9"/>
  <c r="L677" i="9"/>
  <c r="L683" i="9"/>
  <c r="L686" i="9"/>
  <c r="L688" i="9"/>
  <c r="L694" i="9"/>
  <c r="L696" i="9"/>
  <c r="L701" i="9"/>
  <c r="L704" i="9"/>
  <c r="L706" i="9"/>
  <c r="L712" i="9"/>
  <c r="L714" i="9"/>
  <c r="L715" i="9"/>
  <c r="L718" i="9"/>
  <c r="L721" i="9"/>
  <c r="L724" i="9"/>
  <c r="L726" i="9"/>
  <c r="L732" i="9"/>
  <c r="L734" i="9"/>
  <c r="L739" i="9"/>
  <c r="L742" i="9"/>
  <c r="L744" i="9"/>
  <c r="L750" i="9"/>
  <c r="L752" i="9"/>
  <c r="L753" i="9"/>
  <c r="L756" i="9"/>
  <c r="L759" i="9"/>
  <c r="L761" i="9"/>
  <c r="L763" i="9"/>
  <c r="L769" i="9"/>
  <c r="L773" i="9"/>
  <c r="L775" i="9"/>
  <c r="L777" i="9"/>
  <c r="L783" i="9"/>
  <c r="L784" i="9"/>
  <c r="L786" i="9"/>
  <c r="L792" i="9"/>
  <c r="L798" i="9"/>
  <c r="L801" i="9"/>
  <c r="L803" i="9"/>
  <c r="L809" i="9"/>
  <c r="L811" i="9"/>
  <c r="L816" i="9"/>
  <c r="L819" i="9"/>
  <c r="L821" i="9"/>
  <c r="L827" i="9"/>
  <c r="L829" i="9"/>
  <c r="L830" i="9"/>
  <c r="L833" i="9"/>
  <c r="L836" i="9"/>
  <c r="L839" i="9"/>
  <c r="L840" i="9"/>
  <c r="L843" i="9"/>
  <c r="L846" i="9"/>
  <c r="L849" i="9"/>
  <c r="L850" i="9"/>
  <c r="L853" i="9"/>
  <c r="L854" i="9"/>
  <c r="L857" i="9"/>
  <c r="L861" i="9"/>
  <c r="L867" i="9"/>
  <c r="L870" i="9"/>
  <c r="L872" i="9"/>
  <c r="L878" i="9"/>
  <c r="L880" i="9"/>
  <c r="L885" i="9"/>
  <c r="L888" i="9"/>
  <c r="L890" i="9"/>
  <c r="L896" i="9"/>
  <c r="L898" i="9"/>
  <c r="L899" i="9"/>
  <c r="L902" i="9"/>
  <c r="L905" i="9"/>
  <c r="L908" i="9"/>
  <c r="L910" i="9"/>
  <c r="L916" i="9"/>
  <c r="L918" i="9"/>
  <c r="L923" i="9"/>
  <c r="L926" i="9"/>
  <c r="L928" i="9"/>
  <c r="L934" i="9"/>
  <c r="L936" i="9"/>
  <c r="L937" i="9"/>
  <c r="L940" i="9"/>
  <c r="L946" i="9"/>
  <c r="L952" i="9"/>
  <c r="L955" i="9"/>
  <c r="L957" i="9"/>
  <c r="L963" i="9"/>
  <c r="L965" i="9"/>
  <c r="L970" i="9"/>
  <c r="L973" i="9"/>
  <c r="L975" i="9"/>
  <c r="L981" i="9"/>
  <c r="L983" i="9"/>
  <c r="L984" i="9"/>
  <c r="L987" i="9"/>
  <c r="L990" i="9"/>
  <c r="L993" i="9"/>
  <c r="L995" i="9"/>
  <c r="L1001" i="9"/>
  <c r="L1003" i="9"/>
  <c r="L1008" i="9"/>
  <c r="L1011" i="9"/>
  <c r="L1013" i="9"/>
  <c r="L1019" i="9"/>
  <c r="L1021" i="9"/>
  <c r="L1022" i="9"/>
  <c r="L1025" i="9"/>
  <c r="L1028" i="9"/>
  <c r="L1030" i="9"/>
  <c r="L1032" i="9"/>
  <c r="L1038" i="9"/>
  <c r="L1042" i="9"/>
  <c r="L1044" i="9"/>
  <c r="L1046" i="9"/>
  <c r="L1052" i="9"/>
  <c r="L1053" i="9"/>
  <c r="L1055" i="9"/>
  <c r="L1061" i="9"/>
  <c r="L1067" i="9"/>
  <c r="L1070" i="9"/>
  <c r="L1072" i="9"/>
  <c r="L1078" i="9"/>
  <c r="L1080" i="9"/>
  <c r="L1085" i="9"/>
  <c r="L1088" i="9"/>
  <c r="L1090" i="9"/>
  <c r="L1096" i="9"/>
  <c r="L1098" i="9"/>
  <c r="L1099" i="9"/>
  <c r="L1102" i="9"/>
  <c r="L1105" i="9"/>
  <c r="L1108" i="9"/>
  <c r="L1109" i="9"/>
  <c r="L1112" i="9"/>
  <c r="L1115" i="9"/>
  <c r="L1118" i="9"/>
  <c r="L1119" i="9"/>
  <c r="L1122" i="9"/>
  <c r="L1123" i="9"/>
  <c r="L1126" i="9"/>
  <c r="L1130" i="9"/>
  <c r="L1136" i="9"/>
  <c r="L1139" i="9"/>
  <c r="L1141" i="9"/>
  <c r="L1147" i="9"/>
  <c r="L1149" i="9"/>
  <c r="L1154" i="9"/>
  <c r="L1157" i="9"/>
  <c r="L1159" i="9"/>
  <c r="L1165" i="9"/>
  <c r="L1167" i="9"/>
  <c r="L1168" i="9"/>
  <c r="L1171" i="9"/>
  <c r="L1174" i="9"/>
  <c r="L1177" i="9"/>
  <c r="L1179" i="9"/>
  <c r="L1185" i="9"/>
  <c r="L1187" i="9"/>
  <c r="L1192" i="9"/>
  <c r="L1195" i="9"/>
  <c r="L1197" i="9"/>
  <c r="L1203" i="9"/>
  <c r="L1205" i="9"/>
  <c r="L1206" i="9"/>
  <c r="L1209" i="9"/>
  <c r="L1215" i="9"/>
  <c r="L1221" i="9"/>
  <c r="L1224" i="9"/>
  <c r="L1226" i="9"/>
  <c r="L1232" i="9"/>
  <c r="L1234" i="9"/>
  <c r="L1239" i="9"/>
  <c r="L1242" i="9"/>
  <c r="L1244" i="9"/>
  <c r="L1250" i="9"/>
  <c r="L1252" i="9"/>
  <c r="L1253" i="9"/>
  <c r="L1256" i="9"/>
  <c r="L1259" i="9"/>
  <c r="L1262" i="9"/>
  <c r="L1264" i="9"/>
  <c r="L1270" i="9"/>
  <c r="L1272" i="9"/>
  <c r="L1277" i="9"/>
  <c r="L1280" i="9"/>
  <c r="L1282" i="9"/>
  <c r="L1288" i="9"/>
  <c r="L1290" i="9"/>
  <c r="L1291" i="9"/>
  <c r="L1294" i="9"/>
  <c r="L1297" i="9"/>
  <c r="L1299" i="9"/>
  <c r="L1301" i="9"/>
  <c r="L1307" i="9"/>
  <c r="L1311" i="9"/>
  <c r="L1313" i="9"/>
  <c r="L1315" i="9"/>
  <c r="L1321" i="9"/>
  <c r="L1322" i="9"/>
  <c r="L1324" i="9"/>
  <c r="L1330" i="9"/>
  <c r="L1336" i="9"/>
  <c r="L1339" i="9"/>
  <c r="L1341" i="9"/>
  <c r="L1347" i="9"/>
  <c r="L1349" i="9"/>
  <c r="L1354" i="9"/>
  <c r="L1357" i="9"/>
  <c r="L1359" i="9"/>
  <c r="L1365" i="9"/>
  <c r="L1367" i="9"/>
  <c r="L1368" i="9"/>
  <c r="L1371" i="9"/>
  <c r="L1374" i="9"/>
  <c r="L1377" i="9"/>
  <c r="L1378" i="9"/>
  <c r="L1381" i="9"/>
  <c r="L1384" i="9"/>
  <c r="L1387" i="9"/>
  <c r="L1388" i="9"/>
  <c r="L1391" i="9"/>
  <c r="L1392" i="9"/>
  <c r="L1395" i="9"/>
  <c r="L1399" i="9"/>
  <c r="L1440" i="9"/>
  <c r="L1443" i="9"/>
  <c r="L1446" i="9"/>
  <c r="L1448" i="9"/>
  <c r="L1454" i="9"/>
  <c r="L1456" i="9"/>
  <c r="L1461" i="9"/>
  <c r="L1464" i="9"/>
  <c r="L1466" i="9"/>
  <c r="L1472" i="9"/>
  <c r="L1474" i="9"/>
  <c r="L1475" i="9"/>
  <c r="L1478" i="9"/>
  <c r="L1484" i="9"/>
  <c r="L1490" i="9"/>
  <c r="L1493" i="9"/>
  <c r="L1495" i="9"/>
  <c r="L1501" i="9"/>
  <c r="L1503" i="9"/>
  <c r="L1508" i="9"/>
  <c r="L1511" i="9"/>
  <c r="L1513" i="9"/>
  <c r="L1519" i="9"/>
  <c r="L1521" i="9"/>
  <c r="L1522" i="9"/>
  <c r="L1525" i="9"/>
  <c r="L1528" i="9"/>
  <c r="L1531" i="9"/>
  <c r="L1533" i="9"/>
  <c r="L1539" i="9"/>
  <c r="L1541" i="9"/>
  <c r="L1546" i="9"/>
  <c r="L1549" i="9"/>
  <c r="L1551" i="9"/>
  <c r="L1557" i="9"/>
  <c r="L1559" i="9"/>
  <c r="L1560" i="9"/>
  <c r="L1563" i="9"/>
  <c r="L1566" i="9"/>
  <c r="L1568" i="9"/>
  <c r="L1570" i="9"/>
  <c r="L1576" i="9"/>
  <c r="L1580" i="9"/>
  <c r="L1582" i="9"/>
  <c r="L1584" i="9"/>
  <c r="L1590" i="9"/>
  <c r="L1591" i="9"/>
  <c r="L1593" i="9"/>
  <c r="L1599" i="9"/>
  <c r="L1605" i="9"/>
  <c r="L1608" i="9"/>
  <c r="L1610" i="9"/>
  <c r="L1616" i="9"/>
  <c r="L1618" i="9"/>
  <c r="L1623" i="9"/>
  <c r="L1626" i="9"/>
  <c r="L1628" i="9"/>
  <c r="L1634" i="9"/>
  <c r="L1636" i="9"/>
  <c r="L1637" i="9"/>
  <c r="L1640" i="9"/>
  <c r="L1643" i="9"/>
  <c r="L1646" i="9"/>
  <c r="L1647" i="9"/>
  <c r="L1650" i="9"/>
  <c r="L1653" i="9"/>
  <c r="L1656" i="9"/>
  <c r="L1657" i="9"/>
  <c r="L1660" i="9"/>
  <c r="L1661" i="9"/>
  <c r="L1664" i="9"/>
  <c r="L1668" i="9"/>
  <c r="L1674" i="9"/>
  <c r="L1677" i="9"/>
  <c r="L1679" i="9"/>
  <c r="L1685" i="9"/>
  <c r="L1687" i="9"/>
  <c r="L1692" i="9"/>
  <c r="L1695" i="9"/>
  <c r="L1697" i="9"/>
  <c r="L1703" i="9"/>
  <c r="L1705" i="9"/>
  <c r="L1706" i="9"/>
  <c r="L1709" i="9"/>
  <c r="L1712" i="9"/>
  <c r="L1715" i="9"/>
  <c r="L1717" i="9"/>
  <c r="L1723" i="9"/>
  <c r="L1725" i="9"/>
  <c r="L1730" i="9"/>
  <c r="L1733" i="9"/>
  <c r="L1735" i="9"/>
  <c r="L1741" i="9"/>
  <c r="L1743" i="9"/>
  <c r="L1744" i="9"/>
  <c r="L1747" i="9"/>
  <c r="L1753" i="9"/>
  <c r="L1759" i="9"/>
  <c r="L1762" i="9"/>
  <c r="L1764" i="9"/>
  <c r="L1770" i="9"/>
  <c r="L1772" i="9"/>
  <c r="L1777" i="9"/>
  <c r="L1780" i="9"/>
  <c r="L1782" i="9"/>
  <c r="L1788" i="9"/>
  <c r="L1790" i="9"/>
  <c r="L1791" i="9"/>
  <c r="L1794" i="9"/>
  <c r="L1797" i="9"/>
  <c r="L1800" i="9"/>
  <c r="L1802" i="9"/>
  <c r="L1808" i="9"/>
  <c r="L1810" i="9"/>
  <c r="L1815" i="9"/>
  <c r="L1818" i="9"/>
  <c r="L1820" i="9"/>
  <c r="L1826" i="9"/>
  <c r="L1828" i="9"/>
  <c r="L1829" i="9"/>
  <c r="L1832" i="9"/>
  <c r="L1835" i="9"/>
  <c r="L1837" i="9"/>
  <c r="L1839" i="9"/>
  <c r="L1845" i="9"/>
  <c r="L1849" i="9"/>
  <c r="L1851" i="9"/>
  <c r="L1853" i="9"/>
  <c r="L1859" i="9"/>
  <c r="L1860" i="9"/>
  <c r="L1862" i="9"/>
  <c r="L1868" i="9"/>
  <c r="L1874" i="9"/>
  <c r="L1877" i="9"/>
  <c r="L1879" i="9"/>
  <c r="L1885" i="9"/>
  <c r="L1887" i="9"/>
  <c r="L1892" i="9"/>
  <c r="L1895" i="9"/>
  <c r="L1897" i="9"/>
  <c r="L1903" i="9"/>
  <c r="L1905" i="9"/>
  <c r="L1906" i="9"/>
  <c r="L1909" i="9"/>
  <c r="L1912" i="9"/>
  <c r="L1915" i="9"/>
  <c r="L1916" i="9"/>
  <c r="L1919" i="9"/>
  <c r="L1922" i="9"/>
  <c r="L1925" i="9"/>
  <c r="L1926" i="9"/>
  <c r="L1929" i="9"/>
  <c r="L1930" i="9"/>
  <c r="L1933" i="9"/>
  <c r="L1937" i="9"/>
  <c r="L1951" i="9"/>
  <c r="L1959" i="9"/>
  <c r="L1963" i="9"/>
  <c r="L1971" i="9"/>
  <c r="L1983" i="9"/>
  <c r="L1987" i="9"/>
  <c r="L1439" i="9"/>
  <c r="L1458" i="9"/>
  <c r="L1505" i="9"/>
  <c r="L1524" i="9"/>
  <c r="L1540" i="9"/>
  <c r="L1558" i="9"/>
  <c r="L1562" i="9"/>
  <c r="L1617" i="9"/>
  <c r="L1676" i="9"/>
  <c r="L1686" i="9"/>
  <c r="L1701" i="9"/>
  <c r="L1742" i="9"/>
  <c r="L1779" i="9"/>
  <c r="L1795" i="9"/>
  <c r="L1806" i="9"/>
  <c r="L1827" i="9"/>
  <c r="L1833" i="9"/>
  <c r="L1863" i="9"/>
  <c r="L1908" i="9"/>
  <c r="L1927" i="9"/>
  <c r="L1953" i="9"/>
  <c r="L1965" i="9"/>
  <c r="L1981" i="9"/>
  <c r="L82" i="9"/>
  <c r="L112" i="9"/>
  <c r="L128" i="9"/>
  <c r="L165" i="9"/>
  <c r="L172" i="9"/>
  <c r="L196" i="9"/>
  <c r="L215" i="9"/>
  <c r="L183" i="9"/>
  <c r="L228" i="9"/>
  <c r="L244" i="9"/>
  <c r="L273" i="9"/>
  <c r="L292" i="9"/>
  <c r="L298" i="9"/>
  <c r="L311" i="9"/>
  <c r="L325" i="9"/>
  <c r="L331" i="9"/>
  <c r="L336" i="9"/>
  <c r="L339" i="9"/>
  <c r="L345" i="9"/>
  <c r="L351" i="9"/>
  <c r="L354" i="9"/>
  <c r="L357" i="9"/>
  <c r="L373" i="9"/>
  <c r="L375" i="9"/>
  <c r="L381" i="9"/>
  <c r="L384" i="9"/>
  <c r="L386" i="9"/>
  <c r="L391" i="9"/>
  <c r="L393" i="9"/>
  <c r="L400" i="9"/>
  <c r="L404" i="9"/>
  <c r="L407" i="9"/>
  <c r="L411" i="9"/>
  <c r="L415" i="9"/>
  <c r="L420" i="9"/>
  <c r="L422" i="9"/>
  <c r="L428" i="9"/>
  <c r="L431" i="9"/>
  <c r="L433" i="9"/>
  <c r="L438" i="9"/>
  <c r="L440" i="9"/>
  <c r="L447" i="9"/>
  <c r="L451" i="9"/>
  <c r="L453" i="9"/>
  <c r="L458" i="9"/>
  <c r="L460" i="9"/>
  <c r="L466" i="9"/>
  <c r="L469" i="9"/>
  <c r="L471" i="9"/>
  <c r="L476" i="9"/>
  <c r="L478" i="9"/>
  <c r="L485" i="9"/>
  <c r="L489" i="9"/>
  <c r="L491" i="9"/>
  <c r="L496" i="9"/>
  <c r="L501" i="9"/>
  <c r="L503" i="9"/>
  <c r="L505" i="9"/>
  <c r="L510" i="9"/>
  <c r="L516" i="9"/>
  <c r="L519" i="9"/>
  <c r="L522" i="9"/>
  <c r="L526" i="9"/>
  <c r="L530" i="9"/>
  <c r="L535" i="9"/>
  <c r="L537" i="9"/>
  <c r="L543" i="9"/>
  <c r="L546" i="9"/>
  <c r="L548" i="9"/>
  <c r="L553" i="9"/>
  <c r="L555" i="9"/>
  <c r="L562" i="9"/>
  <c r="L566" i="9"/>
  <c r="L568" i="9"/>
  <c r="L575" i="9"/>
  <c r="L578" i="9"/>
  <c r="L586" i="9"/>
  <c r="L587" i="9"/>
  <c r="L591" i="9"/>
  <c r="L595" i="9"/>
  <c r="L599" i="9"/>
  <c r="L604" i="9"/>
  <c r="L606" i="9"/>
  <c r="L612" i="9"/>
  <c r="L615" i="9"/>
  <c r="L617" i="9"/>
  <c r="L622" i="9"/>
  <c r="L624" i="9"/>
  <c r="L631" i="9"/>
  <c r="L635" i="9"/>
  <c r="L637" i="9"/>
  <c r="L642" i="9"/>
  <c r="L644" i="9"/>
  <c r="L650" i="9"/>
  <c r="L653" i="9"/>
  <c r="L655" i="9"/>
  <c r="L660" i="9"/>
  <c r="L662" i="9"/>
  <c r="L669" i="9"/>
  <c r="L673" i="9"/>
  <c r="L676" i="9"/>
  <c r="L680" i="9"/>
  <c r="L684" i="9"/>
  <c r="L689" i="9"/>
  <c r="L691" i="9"/>
  <c r="L697" i="9"/>
  <c r="L700" i="9"/>
  <c r="L702" i="9"/>
  <c r="L707" i="9"/>
  <c r="L709" i="9"/>
  <c r="L716" i="9"/>
  <c r="L720" i="9"/>
  <c r="L722" i="9"/>
  <c r="L727" i="9"/>
  <c r="L729" i="9"/>
  <c r="L735" i="9"/>
  <c r="L738" i="9"/>
  <c r="L740" i="9"/>
  <c r="L745" i="9"/>
  <c r="L747" i="9"/>
  <c r="L754" i="9"/>
  <c r="L758" i="9"/>
  <c r="L760" i="9"/>
  <c r="L765" i="9"/>
  <c r="L770" i="9"/>
  <c r="L772" i="9"/>
  <c r="L774" i="9"/>
  <c r="L779" i="9"/>
  <c r="L785" i="9"/>
  <c r="L788" i="9"/>
  <c r="L791" i="9"/>
  <c r="L795" i="9"/>
  <c r="L799" i="9"/>
  <c r="L804" i="9"/>
  <c r="L806" i="9"/>
  <c r="L812" i="9"/>
  <c r="L815" i="9"/>
  <c r="L817" i="9"/>
  <c r="L822" i="9"/>
  <c r="L824" i="9"/>
  <c r="L831" i="9"/>
  <c r="L835" i="9"/>
  <c r="L837" i="9"/>
  <c r="L844" i="9"/>
  <c r="L847" i="9"/>
  <c r="L855" i="9"/>
  <c r="L856" i="9"/>
  <c r="L860" i="9"/>
  <c r="L864" i="9"/>
  <c r="L868" i="9"/>
  <c r="L873" i="9"/>
  <c r="L875" i="9"/>
  <c r="L881" i="9"/>
  <c r="L884" i="9"/>
  <c r="L886" i="9"/>
  <c r="L891" i="9"/>
  <c r="L893" i="9"/>
  <c r="L900" i="9"/>
  <c r="L904" i="9"/>
  <c r="L906" i="9"/>
  <c r="L911" i="9"/>
  <c r="L913" i="9"/>
  <c r="L919" i="9"/>
  <c r="L922" i="9"/>
  <c r="L924" i="9"/>
  <c r="L929" i="9"/>
  <c r="L931" i="9"/>
  <c r="L938" i="9"/>
  <c r="L942" i="9"/>
  <c r="L945" i="9"/>
  <c r="L949" i="9"/>
  <c r="L953" i="9"/>
  <c r="L958" i="9"/>
  <c r="L960" i="9"/>
  <c r="L966" i="9"/>
  <c r="L969" i="9"/>
  <c r="L971" i="9"/>
  <c r="L976" i="9"/>
  <c r="L978" i="9"/>
  <c r="L985" i="9"/>
  <c r="L989" i="9"/>
  <c r="L991" i="9"/>
  <c r="L996" i="9"/>
  <c r="L998" i="9"/>
  <c r="L1004" i="9"/>
  <c r="L1007" i="9"/>
  <c r="L1009" i="9"/>
  <c r="L1014" i="9"/>
  <c r="L1016" i="9"/>
  <c r="L1023" i="9"/>
  <c r="L1027" i="9"/>
  <c r="L1029" i="9"/>
  <c r="L1034" i="9"/>
  <c r="L1039" i="9"/>
  <c r="L1041" i="9"/>
  <c r="L1043" i="9"/>
  <c r="L1048" i="9"/>
  <c r="L1054" i="9"/>
  <c r="L1057" i="9"/>
  <c r="L1060" i="9"/>
  <c r="L1064" i="9"/>
  <c r="L1068" i="9"/>
  <c r="L1073" i="9"/>
  <c r="L1075" i="9"/>
  <c r="L1081" i="9"/>
  <c r="L1084" i="9"/>
  <c r="L1086" i="9"/>
  <c r="L1091" i="9"/>
  <c r="L1093" i="9"/>
  <c r="L1100" i="9"/>
  <c r="L1104" i="9"/>
  <c r="L1106" i="9"/>
  <c r="L1113" i="9"/>
  <c r="L1116" i="9"/>
  <c r="L1124" i="9"/>
  <c r="L1125" i="9"/>
  <c r="L1129" i="9"/>
  <c r="L1133" i="9"/>
  <c r="L1137" i="9"/>
  <c r="L1142" i="9"/>
  <c r="L1144" i="9"/>
  <c r="L1150" i="9"/>
  <c r="L1153" i="9"/>
  <c r="L1155" i="9"/>
  <c r="L1160" i="9"/>
  <c r="L1162" i="9"/>
  <c r="L1169" i="9"/>
  <c r="L1173" i="9"/>
  <c r="L1175" i="9"/>
  <c r="L1180" i="9"/>
  <c r="L1182" i="9"/>
  <c r="L1188" i="9"/>
  <c r="L1191" i="9"/>
  <c r="L1193" i="9"/>
  <c r="L1198" i="9"/>
  <c r="L1200" i="9"/>
  <c r="L1207" i="9"/>
  <c r="L1211" i="9"/>
  <c r="L1214" i="9"/>
  <c r="L1218" i="9"/>
  <c r="L1222" i="9"/>
  <c r="L1227" i="9"/>
  <c r="L1229" i="9"/>
  <c r="L1235" i="9"/>
  <c r="L1238" i="9"/>
  <c r="L1240" i="9"/>
  <c r="L1245" i="9"/>
  <c r="L1247" i="9"/>
  <c r="L1254" i="9"/>
  <c r="L1258" i="9"/>
  <c r="L1260" i="9"/>
  <c r="L1265" i="9"/>
  <c r="L1267" i="9"/>
  <c r="L1273" i="9"/>
  <c r="L1276" i="9"/>
  <c r="L1278" i="9"/>
  <c r="L1283" i="9"/>
  <c r="L1285" i="9"/>
  <c r="L1292" i="9"/>
  <c r="L1296" i="9"/>
  <c r="L1298" i="9"/>
  <c r="L1303" i="9"/>
  <c r="L1308" i="9"/>
  <c r="L1310" i="9"/>
  <c r="L1312" i="9"/>
  <c r="L1317" i="9"/>
  <c r="L1323" i="9"/>
  <c r="L1326" i="9"/>
  <c r="L1329" i="9"/>
  <c r="L1333" i="9"/>
  <c r="L1337" i="9"/>
  <c r="L1342" i="9"/>
  <c r="L1344" i="9"/>
  <c r="L1350" i="9"/>
  <c r="L1353" i="9"/>
  <c r="L1355" i="9"/>
  <c r="L1360" i="9"/>
  <c r="L1362" i="9"/>
  <c r="L1369" i="9"/>
  <c r="L1373" i="9"/>
  <c r="L1375" i="9"/>
  <c r="L1382" i="9"/>
  <c r="L1385" i="9"/>
  <c r="L1393" i="9"/>
  <c r="L1394" i="9"/>
  <c r="L1398" i="9"/>
  <c r="L1402" i="9"/>
  <c r="L1438" i="9"/>
  <c r="L1442" i="9"/>
  <c r="L1444" i="9"/>
  <c r="L1449" i="9"/>
  <c r="L1451" i="9"/>
  <c r="L1457" i="9"/>
  <c r="L1460" i="9"/>
  <c r="L1462" i="9"/>
  <c r="L1467" i="9"/>
  <c r="L1469" i="9"/>
  <c r="L1476" i="9"/>
  <c r="L1480" i="9"/>
  <c r="L1483" i="9"/>
  <c r="L1487" i="9"/>
  <c r="L1491" i="9"/>
  <c r="L1496" i="9"/>
  <c r="L1498" i="9"/>
  <c r="L1504" i="9"/>
  <c r="L1507" i="9"/>
  <c r="L1509" i="9"/>
  <c r="L1514" i="9"/>
  <c r="L1516" i="9"/>
  <c r="L1523" i="9"/>
  <c r="L1527" i="9"/>
  <c r="L1529" i="9"/>
  <c r="L1534" i="9"/>
  <c r="L1536" i="9"/>
  <c r="L1542" i="9"/>
  <c r="L1545" i="9"/>
  <c r="L1547" i="9"/>
  <c r="L1552" i="9"/>
  <c r="L1554" i="9"/>
  <c r="L1561" i="9"/>
  <c r="L1565" i="9"/>
  <c r="L1567" i="9"/>
  <c r="L1572" i="9"/>
  <c r="L1577" i="9"/>
  <c r="L1579" i="9"/>
  <c r="L1581" i="9"/>
  <c r="L1586" i="9"/>
  <c r="L1592" i="9"/>
  <c r="L1595" i="9"/>
  <c r="L1598" i="9"/>
  <c r="L1602" i="9"/>
  <c r="L1606" i="9"/>
  <c r="L1611" i="9"/>
  <c r="L1613" i="9"/>
  <c r="L1619" i="9"/>
  <c r="L1622" i="9"/>
  <c r="L1624" i="9"/>
  <c r="L1629" i="9"/>
  <c r="L1631" i="9"/>
  <c r="L1638" i="9"/>
  <c r="L1642" i="9"/>
  <c r="L1644" i="9"/>
  <c r="L1651" i="9"/>
  <c r="L1654" i="9"/>
  <c r="L1662" i="9"/>
  <c r="L1663" i="9"/>
  <c r="L1667" i="9"/>
  <c r="L1671" i="9"/>
  <c r="L1675" i="9"/>
  <c r="L1680" i="9"/>
  <c r="L1682" i="9"/>
  <c r="L1688" i="9"/>
  <c r="L1691" i="9"/>
  <c r="L1693" i="9"/>
  <c r="L1698" i="9"/>
  <c r="L1700" i="9"/>
  <c r="L1707" i="9"/>
  <c r="L1711" i="9"/>
  <c r="L1713" i="9"/>
  <c r="L1718" i="9"/>
  <c r="L1720" i="9"/>
  <c r="L1726" i="9"/>
  <c r="L1729" i="9"/>
  <c r="L1731" i="9"/>
  <c r="L1736" i="9"/>
  <c r="L1738" i="9"/>
  <c r="L1745" i="9"/>
  <c r="L1749" i="9"/>
  <c r="L1752" i="9"/>
  <c r="L1756" i="9"/>
  <c r="L1760" i="9"/>
  <c r="L1765" i="9"/>
  <c r="L1767" i="9"/>
  <c r="L1773" i="9"/>
  <c r="L1776" i="9"/>
  <c r="L1778" i="9"/>
  <c r="L1783" i="9"/>
  <c r="L1785" i="9"/>
  <c r="L1792" i="9"/>
  <c r="L1796" i="9"/>
  <c r="L1798" i="9"/>
  <c r="L1803" i="9"/>
  <c r="L1805" i="9"/>
  <c r="L1811" i="9"/>
  <c r="L1814" i="9"/>
  <c r="L1816" i="9"/>
  <c r="L1821" i="9"/>
  <c r="L1823" i="9"/>
  <c r="L1830" i="9"/>
  <c r="L1834" i="9"/>
  <c r="L1836" i="9"/>
  <c r="L1841" i="9"/>
  <c r="L1846" i="9"/>
  <c r="L1848" i="9"/>
  <c r="L1850" i="9"/>
  <c r="L1855" i="9"/>
  <c r="L1861" i="9"/>
  <c r="L1864" i="9"/>
  <c r="L1867" i="9"/>
  <c r="L1871" i="9"/>
  <c r="L1875" i="9"/>
  <c r="L1880" i="9"/>
  <c r="L1882" i="9"/>
  <c r="L1888" i="9"/>
  <c r="L1891" i="9"/>
  <c r="L1893" i="9"/>
  <c r="L1898" i="9"/>
  <c r="L1900" i="9"/>
  <c r="L1907" i="9"/>
  <c r="L1911" i="9"/>
  <c r="L1913" i="9"/>
  <c r="L1920" i="9"/>
  <c r="L1923" i="9"/>
  <c r="L1931" i="9"/>
  <c r="L1932" i="9"/>
  <c r="L1936" i="9"/>
  <c r="L1940" i="9"/>
  <c r="L1944" i="9"/>
  <c r="L1948" i="9"/>
  <c r="L1952" i="9"/>
  <c r="L1956" i="9"/>
  <c r="L1960" i="9"/>
  <c r="L1964" i="9"/>
  <c r="L1968" i="9"/>
  <c r="L1972" i="9"/>
  <c r="L1976" i="9"/>
  <c r="L1980" i="9"/>
  <c r="L1984" i="9"/>
  <c r="L1988" i="9"/>
  <c r="L1397" i="9"/>
  <c r="L1463" i="9"/>
  <c r="L1470" i="9"/>
  <c r="L1482" i="9"/>
  <c r="L1510" i="9"/>
  <c r="L1517" i="9"/>
  <c r="L1555" i="9"/>
  <c r="L1573" i="9"/>
  <c r="L1589" i="9"/>
  <c r="L1597" i="9"/>
  <c r="L1639" i="9"/>
  <c r="L1648" i="9"/>
  <c r="L1658" i="9"/>
  <c r="L1666" i="9"/>
  <c r="L1708" i="9"/>
  <c r="L1721" i="9"/>
  <c r="L1748" i="9"/>
  <c r="L1768" i="9"/>
  <c r="L1786" i="9"/>
  <c r="L1824" i="9"/>
  <c r="L1844" i="9"/>
  <c r="L1856" i="9"/>
  <c r="L1866" i="9"/>
  <c r="L1876" i="9"/>
  <c r="L1883" i="9"/>
  <c r="L1889" i="9"/>
  <c r="L1904" i="9"/>
  <c r="L1921" i="9"/>
  <c r="L1939" i="9"/>
  <c r="L1957" i="9"/>
  <c r="L1973" i="9"/>
  <c r="L1985" i="9"/>
  <c r="L70" i="9"/>
  <c r="L85" i="9"/>
  <c r="L65" i="9"/>
  <c r="L89" i="9"/>
  <c r="L100" i="9"/>
  <c r="L107" i="9"/>
  <c r="L104" i="9"/>
  <c r="L132" i="9"/>
  <c r="L139" i="9"/>
  <c r="L147" i="9"/>
  <c r="L154" i="9"/>
  <c r="L175" i="9"/>
  <c r="L201" i="9"/>
  <c r="L218" i="9"/>
  <c r="L230" i="9"/>
  <c r="L233" i="9"/>
  <c r="L249" i="9"/>
  <c r="L278" i="9"/>
  <c r="L295" i="9"/>
  <c r="L301" i="9"/>
  <c r="L315" i="9"/>
  <c r="L319" i="9"/>
  <c r="L332" i="9"/>
  <c r="L334" i="9"/>
  <c r="L340" i="9"/>
  <c r="L342" i="9"/>
  <c r="L347" i="9"/>
  <c r="L350" i="9"/>
  <c r="L352" i="9"/>
  <c r="L358" i="9"/>
  <c r="L360" i="9"/>
  <c r="L361" i="9"/>
  <c r="L364" i="9"/>
  <c r="L367" i="9"/>
  <c r="L182" i="9"/>
  <c r="L253" i="9"/>
  <c r="L376" i="9"/>
  <c r="L379" i="9"/>
  <c r="L382" i="9"/>
  <c r="L387" i="9"/>
  <c r="L394" i="9"/>
  <c r="L397" i="9"/>
  <c r="L401" i="9"/>
  <c r="L403" i="9"/>
  <c r="L406" i="9"/>
  <c r="L410" i="9"/>
  <c r="L416" i="9"/>
  <c r="L423" i="9"/>
  <c r="L426" i="9"/>
  <c r="L429" i="9"/>
  <c r="L434" i="9"/>
  <c r="L441" i="9"/>
  <c r="L444" i="9"/>
  <c r="L448" i="9"/>
  <c r="L450" i="9"/>
  <c r="L454" i="9"/>
  <c r="L461" i="9"/>
  <c r="L464" i="9"/>
  <c r="L467" i="9"/>
  <c r="L472" i="9"/>
  <c r="L479" i="9"/>
  <c r="L482" i="9"/>
  <c r="L486" i="9"/>
  <c r="L488" i="9"/>
  <c r="L497" i="9"/>
  <c r="L499" i="9"/>
  <c r="L502" i="9"/>
  <c r="L511" i="9"/>
  <c r="L513" i="9"/>
  <c r="L518" i="9"/>
  <c r="L521" i="9"/>
  <c r="L525" i="9"/>
  <c r="L531" i="9"/>
  <c r="L538" i="9"/>
  <c r="L541" i="9"/>
  <c r="L544" i="9"/>
  <c r="L549" i="9"/>
  <c r="L556" i="9"/>
  <c r="L559" i="9"/>
  <c r="L563" i="9"/>
  <c r="L565" i="9"/>
  <c r="L572" i="9"/>
  <c r="L576" i="9"/>
  <c r="L582" i="9"/>
  <c r="L590" i="9"/>
  <c r="L594" i="9"/>
  <c r="L600" i="9"/>
  <c r="L607" i="9"/>
  <c r="L610" i="9"/>
  <c r="L613" i="9"/>
  <c r="L618" i="9"/>
  <c r="L625" i="9"/>
  <c r="L628" i="9"/>
  <c r="L632" i="9"/>
  <c r="L634" i="9"/>
  <c r="L638" i="9"/>
  <c r="L645" i="9"/>
  <c r="L648" i="9"/>
  <c r="L651" i="9"/>
  <c r="L656" i="9"/>
  <c r="L663" i="9"/>
  <c r="L666" i="9"/>
  <c r="L670" i="9"/>
  <c r="L672" i="9"/>
  <c r="L675" i="9"/>
  <c r="L679" i="9"/>
  <c r="L685" i="9"/>
  <c r="L692" i="9"/>
  <c r="L695" i="9"/>
  <c r="L698" i="9"/>
  <c r="L703" i="9"/>
  <c r="L710" i="9"/>
  <c r="L713" i="9"/>
  <c r="L717" i="9"/>
  <c r="L719" i="9"/>
  <c r="L723" i="9"/>
  <c r="L730" i="9"/>
  <c r="L733" i="9"/>
  <c r="L736" i="9"/>
  <c r="L741" i="9"/>
  <c r="L748" i="9"/>
  <c r="L751" i="9"/>
  <c r="L755" i="9"/>
  <c r="L757" i="9"/>
  <c r="L766" i="9"/>
  <c r="L768" i="9"/>
  <c r="L771" i="9"/>
  <c r="L780" i="9"/>
  <c r="L782" i="9"/>
  <c r="L787" i="9"/>
  <c r="L790" i="9"/>
  <c r="L794" i="9"/>
  <c r="L800" i="9"/>
  <c r="L807" i="9"/>
  <c r="L810" i="9"/>
  <c r="L813" i="9"/>
  <c r="L818" i="9"/>
  <c r="L825" i="9"/>
  <c r="L828" i="9"/>
  <c r="L832" i="9"/>
  <c r="L834" i="9"/>
  <c r="L841" i="9"/>
  <c r="L845" i="9"/>
  <c r="L851" i="9"/>
  <c r="L859" i="9"/>
  <c r="L863" i="9"/>
  <c r="L869" i="9"/>
  <c r="L876" i="9"/>
  <c r="L879" i="9"/>
  <c r="L882" i="9"/>
  <c r="L887" i="9"/>
  <c r="L894" i="9"/>
  <c r="L897" i="9"/>
  <c r="L901" i="9"/>
  <c r="L903" i="9"/>
  <c r="L907" i="9"/>
  <c r="L914" i="9"/>
  <c r="L917" i="9"/>
  <c r="L920" i="9"/>
  <c r="L925" i="9"/>
  <c r="L932" i="9"/>
  <c r="L935" i="9"/>
  <c r="L939" i="9"/>
  <c r="L941" i="9"/>
  <c r="L944" i="9"/>
  <c r="L948" i="9"/>
  <c r="L954" i="9"/>
  <c r="L961" i="9"/>
  <c r="L964" i="9"/>
  <c r="L967" i="9"/>
  <c r="L972" i="9"/>
  <c r="L979" i="9"/>
  <c r="L982" i="9"/>
  <c r="L986" i="9"/>
  <c r="L988" i="9"/>
  <c r="L992" i="9"/>
  <c r="L999" i="9"/>
  <c r="L1002" i="9"/>
  <c r="L1005" i="9"/>
  <c r="L1010" i="9"/>
  <c r="L1017" i="9"/>
  <c r="L1020" i="9"/>
  <c r="L1024" i="9"/>
  <c r="L1026" i="9"/>
  <c r="L1035" i="9"/>
  <c r="L1037" i="9"/>
  <c r="L1040" i="9"/>
  <c r="L1049" i="9"/>
  <c r="L1051" i="9"/>
  <c r="L1056" i="9"/>
  <c r="L1059" i="9"/>
  <c r="L1063" i="9"/>
  <c r="L1069" i="9"/>
  <c r="L1076" i="9"/>
  <c r="L1079" i="9"/>
  <c r="L1082" i="9"/>
  <c r="L1087" i="9"/>
  <c r="L1094" i="9"/>
  <c r="L1097" i="9"/>
  <c r="L1101" i="9"/>
  <c r="L1103" i="9"/>
  <c r="L1110" i="9"/>
  <c r="L1114" i="9"/>
  <c r="L1120" i="9"/>
  <c r="L1128" i="9"/>
  <c r="L1132" i="9"/>
  <c r="L1138" i="9"/>
  <c r="L1145" i="9"/>
  <c r="L1148" i="9"/>
  <c r="L1151" i="9"/>
  <c r="L1156" i="9"/>
  <c r="L1163" i="9"/>
  <c r="L1166" i="9"/>
  <c r="L1170" i="9"/>
  <c r="L1172" i="9"/>
  <c r="L1176" i="9"/>
  <c r="L1183" i="9"/>
  <c r="L1186" i="9"/>
  <c r="L1189" i="9"/>
  <c r="L1194" i="9"/>
  <c r="L1201" i="9"/>
  <c r="L1204" i="9"/>
  <c r="L1208" i="9"/>
  <c r="L1210" i="9"/>
  <c r="L1213" i="9"/>
  <c r="L1217" i="9"/>
  <c r="L1223" i="9"/>
  <c r="L1230" i="9"/>
  <c r="L1233" i="9"/>
  <c r="L1236" i="9"/>
  <c r="L1241" i="9"/>
  <c r="L1248" i="9"/>
  <c r="L1251" i="9"/>
  <c r="L1255" i="9"/>
  <c r="L1257" i="9"/>
  <c r="L1261" i="9"/>
  <c r="L1268" i="9"/>
  <c r="L1271" i="9"/>
  <c r="L1274" i="9"/>
  <c r="L1279" i="9"/>
  <c r="L1286" i="9"/>
  <c r="L1289" i="9"/>
  <c r="L1293" i="9"/>
  <c r="L1295" i="9"/>
  <c r="L1304" i="9"/>
  <c r="L1306" i="9"/>
  <c r="L1309" i="9"/>
  <c r="L1318" i="9"/>
  <c r="L1320" i="9"/>
  <c r="L1325" i="9"/>
  <c r="L1328" i="9"/>
  <c r="L1332" i="9"/>
  <c r="L1338" i="9"/>
  <c r="L1345" i="9"/>
  <c r="L1348" i="9"/>
  <c r="L1351" i="9"/>
  <c r="L1356" i="9"/>
  <c r="L1363" i="9"/>
  <c r="L1366" i="9"/>
  <c r="L1370" i="9"/>
  <c r="L1372" i="9"/>
  <c r="L1379" i="9"/>
  <c r="L1383" i="9"/>
  <c r="L1389" i="9"/>
  <c r="L1441" i="9"/>
  <c r="L1445" i="9"/>
  <c r="L1452" i="9"/>
  <c r="L1473" i="9"/>
  <c r="L1486" i="9"/>
  <c r="L1492" i="9"/>
  <c r="L1499" i="9"/>
  <c r="L1520" i="9"/>
  <c r="L1548" i="9"/>
  <c r="L1564" i="9"/>
  <c r="L1575" i="9"/>
  <c r="L1578" i="9"/>
  <c r="L1594" i="9"/>
  <c r="L1601" i="9"/>
  <c r="L1625" i="9"/>
  <c r="L1632" i="9"/>
  <c r="L1641" i="9"/>
  <c r="L1652" i="9"/>
  <c r="L1694" i="9"/>
  <c r="L1704" i="9"/>
  <c r="L1724" i="9"/>
  <c r="L1727" i="9"/>
  <c r="L1746" i="9"/>
  <c r="L1761" i="9"/>
  <c r="L1771" i="9"/>
  <c r="L1774" i="9"/>
  <c r="L1793" i="9"/>
  <c r="L1817" i="9"/>
  <c r="L1831" i="9"/>
  <c r="L1847" i="9"/>
  <c r="L1886" i="9"/>
  <c r="L1910" i="9"/>
  <c r="L1935" i="9"/>
  <c r="L1949" i="9"/>
  <c r="L1969" i="9"/>
  <c r="L1989" i="9"/>
  <c r="Z51" i="9"/>
  <c r="E51" i="9"/>
  <c r="L51" i="9"/>
  <c r="F51" i="9"/>
  <c r="AL51" i="9"/>
  <c r="AK51" i="9"/>
  <c r="AN33" i="9"/>
  <c r="Q51" i="9"/>
  <c r="Z715" i="9"/>
  <c r="Z724" i="9"/>
  <c r="Z726" i="9"/>
  <c r="Z732" i="9"/>
  <c r="Z759" i="9"/>
  <c r="Z775" i="9"/>
  <c r="Z777" i="9"/>
  <c r="Z801" i="9"/>
  <c r="Z821" i="9"/>
  <c r="Z833" i="9"/>
  <c r="Z839" i="9"/>
  <c r="Z853" i="9"/>
  <c r="Z899" i="9"/>
  <c r="Z908" i="9"/>
  <c r="Z910" i="9"/>
  <c r="Z916" i="9"/>
  <c r="Z936" i="9"/>
  <c r="Z487" i="9"/>
  <c r="Z1605" i="9"/>
  <c r="Z1608" i="9"/>
  <c r="AN31" i="9"/>
  <c r="AN29" i="9"/>
  <c r="AN41" i="9"/>
  <c r="Z312" i="9"/>
  <c r="Z274" i="9"/>
  <c r="Z278" i="9"/>
  <c r="Z336" i="9"/>
  <c r="Z208" i="9"/>
  <c r="Z345" i="9"/>
  <c r="Z411" i="9"/>
  <c r="Z424" i="9"/>
  <c r="Z140" i="9"/>
  <c r="Z240" i="9"/>
  <c r="Z107" i="9"/>
  <c r="Z317" i="9"/>
  <c r="Z100" i="9"/>
  <c r="Z162" i="9"/>
  <c r="Z197" i="9"/>
  <c r="Z206" i="9"/>
  <c r="Z215" i="9"/>
  <c r="Z241" i="9"/>
  <c r="Z254" i="9"/>
  <c r="Z308" i="9"/>
  <c r="Z355" i="9"/>
  <c r="Z466" i="9"/>
  <c r="Z485" i="9"/>
  <c r="Z111" i="9"/>
  <c r="Z92" i="9"/>
  <c r="Z104" i="9"/>
  <c r="Z112" i="9"/>
  <c r="Z522" i="9"/>
  <c r="Z523" i="9"/>
  <c r="Z224" i="9"/>
  <c r="Z436" i="9"/>
  <c r="Z328" i="9"/>
  <c r="Z796" i="9"/>
  <c r="Z789" i="9"/>
  <c r="Z267" i="9"/>
  <c r="Z408" i="9"/>
  <c r="Z415" i="9"/>
  <c r="Z421" i="9"/>
  <c r="Z430" i="9"/>
  <c r="Z435" i="9"/>
  <c r="Z481" i="9"/>
  <c r="Z413" i="9"/>
  <c r="Z420" i="9"/>
  <c r="Z433" i="9"/>
  <c r="Z456" i="9"/>
  <c r="Z477" i="9"/>
  <c r="Z573" i="9"/>
  <c r="Z445" i="9"/>
  <c r="Z512" i="9"/>
  <c r="Z535" i="9"/>
  <c r="Z543" i="9"/>
  <c r="Z617" i="9"/>
  <c r="Z642" i="9"/>
  <c r="Z699" i="9"/>
  <c r="Z997" i="9"/>
  <c r="Z291" i="9"/>
  <c r="Z348" i="9"/>
  <c r="Z365" i="9"/>
  <c r="Z389" i="9"/>
  <c r="Z395" i="9"/>
  <c r="Z400" i="9"/>
  <c r="Z62" i="9"/>
  <c r="Z69" i="9"/>
  <c r="Z73" i="9"/>
  <c r="Z222" i="9"/>
  <c r="Z251" i="9"/>
  <c r="Z282" i="9"/>
  <c r="Z381" i="9"/>
  <c r="Z388" i="9"/>
  <c r="Z473" i="9"/>
  <c r="Z124" i="9"/>
  <c r="Z243" i="9"/>
  <c r="Z304" i="9"/>
  <c r="Z337" i="9"/>
  <c r="Z349" i="9"/>
  <c r="Z362" i="9"/>
  <c r="Z412" i="9"/>
  <c r="Z431" i="9"/>
  <c r="Z452" i="9"/>
  <c r="Z525" i="9"/>
  <c r="Z443" i="9"/>
  <c r="Z542" i="9"/>
  <c r="Z458" i="9"/>
  <c r="Z469" i="9"/>
  <c r="Z478" i="9"/>
  <c r="Z546" i="9"/>
  <c r="Z561" i="9"/>
  <c r="Z563" i="9"/>
  <c r="Z591" i="9"/>
  <c r="Z681" i="9"/>
  <c r="Z690" i="9"/>
  <c r="Z547" i="9"/>
  <c r="Z590" i="9"/>
  <c r="Z658" i="9"/>
  <c r="Z764" i="9"/>
  <c r="Z776" i="9"/>
  <c r="Z825" i="9"/>
  <c r="Z828" i="9"/>
  <c r="Z832" i="9"/>
  <c r="Z834" i="9"/>
  <c r="Z978" i="9"/>
  <c r="Z1019" i="9"/>
  <c r="Z138" i="9"/>
  <c r="Z151" i="9"/>
  <c r="Z187" i="9"/>
  <c r="Z209" i="9"/>
  <c r="Z223" i="9"/>
  <c r="Z226" i="9"/>
  <c r="Z235" i="9"/>
  <c r="Z238" i="9"/>
  <c r="Z98" i="9"/>
  <c r="Z152" i="9"/>
  <c r="Z353" i="9"/>
  <c r="Z366" i="9"/>
  <c r="Z367" i="9"/>
  <c r="Z377" i="9"/>
  <c r="Z250" i="9"/>
  <c r="Z258" i="9"/>
  <c r="Z268" i="9"/>
  <c r="Z324" i="9"/>
  <c r="Z330" i="9"/>
  <c r="Z339" i="9"/>
  <c r="Z344" i="9"/>
  <c r="Z356" i="9"/>
  <c r="Z359" i="9"/>
  <c r="Z371" i="9"/>
  <c r="Z253" i="9"/>
  <c r="Z277" i="9"/>
  <c r="Z288" i="9"/>
  <c r="Z343" i="9"/>
  <c r="Z346" i="9"/>
  <c r="Z354" i="9"/>
  <c r="Z363" i="9"/>
  <c r="Z386" i="9"/>
  <c r="Z390" i="9"/>
  <c r="Z422" i="9"/>
  <c r="Z425" i="9"/>
  <c r="Z437" i="9"/>
  <c r="Z447" i="9"/>
  <c r="Z462" i="9"/>
  <c r="Z471" i="9"/>
  <c r="Z449" i="9"/>
  <c r="Z460" i="9"/>
  <c r="Z470" i="9"/>
  <c r="Z380" i="9"/>
  <c r="Z399" i="9"/>
  <c r="Z493" i="9"/>
  <c r="Z393" i="9"/>
  <c r="Z409" i="9"/>
  <c r="Z417" i="9"/>
  <c r="Z419" i="9"/>
  <c r="Z438" i="9"/>
  <c r="Z442" i="9"/>
  <c r="Z505" i="9"/>
  <c r="Z511" i="9"/>
  <c r="Z516" i="9"/>
  <c r="Z540" i="9"/>
  <c r="Z553" i="9"/>
  <c r="Z556" i="9"/>
  <c r="Z559" i="9"/>
  <c r="Z503" i="9"/>
  <c r="Z509" i="9"/>
  <c r="Z521" i="9"/>
  <c r="Z531" i="9"/>
  <c r="Z566" i="9"/>
  <c r="Z596" i="9"/>
  <c r="Z654" i="9"/>
  <c r="Z595" i="9"/>
  <c r="Z597" i="9"/>
  <c r="Z627" i="9"/>
  <c r="Z663" i="9"/>
  <c r="Z569" i="9"/>
  <c r="Z575" i="9"/>
  <c r="Z624" i="9"/>
  <c r="Z626" i="9"/>
  <c r="Z593" i="9"/>
  <c r="Z621" i="9"/>
  <c r="Z688" i="9"/>
  <c r="Z752" i="9"/>
  <c r="Z679" i="9"/>
  <c r="Z694" i="9"/>
  <c r="Z781" i="9"/>
  <c r="Z762" i="9"/>
  <c r="Z767" i="9"/>
  <c r="Z820" i="9"/>
  <c r="Z952" i="9"/>
  <c r="Z954" i="9"/>
  <c r="Z984" i="9"/>
  <c r="Z800" i="9"/>
  <c r="Z815" i="9"/>
  <c r="Z1006" i="9"/>
  <c r="Z980" i="9"/>
  <c r="Z1013" i="9"/>
  <c r="Z94" i="9"/>
  <c r="Z128" i="9"/>
  <c r="Z132" i="9"/>
  <c r="Z137" i="9"/>
  <c r="Z150" i="9"/>
  <c r="Z186" i="9"/>
  <c r="Z231" i="9"/>
  <c r="Z246" i="9"/>
  <c r="Z261" i="9"/>
  <c r="Z271" i="9"/>
  <c r="Z281" i="9"/>
  <c r="Z146" i="9"/>
  <c r="Z117" i="9"/>
  <c r="Z156" i="9"/>
  <c r="Z163" i="9"/>
  <c r="Z182" i="9"/>
  <c r="Z247" i="9"/>
  <c r="Z260" i="9"/>
  <c r="Z263" i="9"/>
  <c r="Z293" i="9"/>
  <c r="Z236" i="9"/>
  <c r="Z245" i="9"/>
  <c r="Z283" i="9"/>
  <c r="Z299" i="9"/>
  <c r="Z309" i="9"/>
  <c r="Z315" i="9"/>
  <c r="Z319" i="9"/>
  <c r="Z305" i="9"/>
  <c r="Z306" i="9"/>
  <c r="Z311" i="9"/>
  <c r="Z318" i="9"/>
  <c r="Z323" i="9"/>
  <c r="Z407" i="9"/>
  <c r="Z301" i="9"/>
  <c r="Z404" i="9"/>
  <c r="Z475" i="9"/>
  <c r="Z497" i="9"/>
  <c r="Z474" i="9"/>
  <c r="Z490" i="9"/>
  <c r="Z507" i="9"/>
  <c r="Z518" i="9"/>
  <c r="Z526" i="9"/>
  <c r="Z514" i="9"/>
  <c r="Z515" i="9"/>
  <c r="Z519" i="9"/>
  <c r="Z520" i="9"/>
  <c r="Z555" i="9"/>
  <c r="Z558" i="9"/>
  <c r="Z560" i="9"/>
  <c r="Z565" i="9"/>
  <c r="Z602" i="9"/>
  <c r="Z608" i="9"/>
  <c r="Z620" i="9"/>
  <c r="Z623" i="9"/>
  <c r="Z669" i="9"/>
  <c r="Z678" i="9"/>
  <c r="Z660" i="9"/>
  <c r="Z745" i="9"/>
  <c r="Z538" i="9"/>
  <c r="Z633" i="9"/>
  <c r="Z696" i="9"/>
  <c r="Z612" i="9"/>
  <c r="Z631" i="9"/>
  <c r="Z644" i="9"/>
  <c r="Z668" i="9"/>
  <c r="Z683" i="9"/>
  <c r="Z686" i="9"/>
  <c r="Z744" i="9"/>
  <c r="Z793" i="9"/>
  <c r="Z598" i="9"/>
  <c r="Z619" i="9"/>
  <c r="Z645" i="9"/>
  <c r="Z650" i="9"/>
  <c r="Z653" i="9"/>
  <c r="Z655" i="9"/>
  <c r="Z662" i="9"/>
  <c r="Z673" i="9"/>
  <c r="Z682" i="9"/>
  <c r="Z778" i="9"/>
  <c r="Z841" i="9"/>
  <c r="Z845" i="9"/>
  <c r="Z851" i="9"/>
  <c r="Z990" i="9"/>
  <c r="Z813" i="9"/>
  <c r="Z816" i="9"/>
  <c r="Z818" i="9"/>
  <c r="Z807" i="9"/>
  <c r="Z810" i="9"/>
  <c r="Z864" i="9"/>
  <c r="Z900" i="9"/>
  <c r="Z904" i="9"/>
  <c r="Z906" i="9"/>
  <c r="Z911" i="9"/>
  <c r="Z913" i="9"/>
  <c r="Z919" i="9"/>
  <c r="Z922" i="9"/>
  <c r="Z924" i="9"/>
  <c r="Z929" i="9"/>
  <c r="Z931" i="9"/>
  <c r="Z938" i="9"/>
  <c r="Z1018" i="9"/>
  <c r="Z703" i="9"/>
  <c r="Z710" i="9"/>
  <c r="Z713" i="9"/>
  <c r="Z717" i="9"/>
  <c r="Z719" i="9"/>
  <c r="Z723" i="9"/>
  <c r="Z730" i="9"/>
  <c r="Z733" i="9"/>
  <c r="Z736" i="9"/>
  <c r="Z741" i="9"/>
  <c r="Z755" i="9"/>
  <c r="Z986" i="9"/>
  <c r="Z1011" i="9"/>
  <c r="Z942" i="9"/>
  <c r="Z945" i="9"/>
  <c r="Z961" i="9"/>
  <c r="Z1012" i="9"/>
  <c r="Z1027" i="9"/>
  <c r="Z1003" i="9"/>
  <c r="Z1022" i="9"/>
  <c r="Z1026" i="9"/>
  <c r="Z207" i="9"/>
  <c r="Z225" i="9"/>
  <c r="Z227" i="9"/>
  <c r="Z229" i="9"/>
  <c r="Z234" i="9"/>
  <c r="Z248" i="9"/>
  <c r="Z266" i="9"/>
  <c r="Z289" i="9"/>
  <c r="Z295" i="9"/>
  <c r="Z300" i="9"/>
  <c r="Z302" i="9"/>
  <c r="Z255" i="9"/>
  <c r="Z259" i="9"/>
  <c r="Z265" i="9"/>
  <c r="Z276" i="9"/>
  <c r="Z284" i="9"/>
  <c r="Z297" i="9"/>
  <c r="Z310" i="9"/>
  <c r="Z314" i="9"/>
  <c r="Z316" i="9"/>
  <c r="Z320" i="9"/>
  <c r="Z322" i="9"/>
  <c r="Z326" i="9"/>
  <c r="Z327" i="9"/>
  <c r="Z331" i="9"/>
  <c r="Z333" i="9"/>
  <c r="Z335" i="9"/>
  <c r="Z338" i="9"/>
  <c r="Z351" i="9"/>
  <c r="Z357" i="9"/>
  <c r="Z373" i="9"/>
  <c r="Z384" i="9"/>
  <c r="Z385" i="9"/>
  <c r="Z392" i="9"/>
  <c r="Z396" i="9"/>
  <c r="Z402" i="9"/>
  <c r="Z414" i="9"/>
  <c r="Z418" i="9"/>
  <c r="Z427" i="9"/>
  <c r="Z428" i="9"/>
  <c r="Z432" i="9"/>
  <c r="Z440" i="9"/>
  <c r="Z446" i="9"/>
  <c r="Z453" i="9"/>
  <c r="Z455" i="9"/>
  <c r="Z457" i="9"/>
  <c r="Z459" i="9"/>
  <c r="Z465" i="9"/>
  <c r="Z468" i="9"/>
  <c r="Z476" i="9"/>
  <c r="Z480" i="9"/>
  <c r="Z483" i="9"/>
  <c r="Z492" i="9"/>
  <c r="Z500" i="9"/>
  <c r="Z513" i="9"/>
  <c r="Z199" i="9"/>
  <c r="Z484" i="9"/>
  <c r="Z489" i="9"/>
  <c r="Z495" i="9"/>
  <c r="Z496" i="9"/>
  <c r="Z498" i="9"/>
  <c r="Z501" i="9"/>
  <c r="Z504" i="9"/>
  <c r="Z508" i="9"/>
  <c r="Z532" i="9"/>
  <c r="Z86" i="9"/>
  <c r="Z119" i="9"/>
  <c r="Z121" i="9"/>
  <c r="Z127" i="9"/>
  <c r="Z153" i="9"/>
  <c r="Z158" i="9"/>
  <c r="Z184" i="9"/>
  <c r="Z202" i="9"/>
  <c r="Z214" i="9"/>
  <c r="Z60" i="9"/>
  <c r="Z61" i="9"/>
  <c r="Z63" i="9"/>
  <c r="Z64" i="9"/>
  <c r="Z65" i="9"/>
  <c r="Z66" i="9"/>
  <c r="Z67" i="9"/>
  <c r="Z68" i="9"/>
  <c r="Z70" i="9"/>
  <c r="Z71" i="9"/>
  <c r="Z72" i="9"/>
  <c r="Z74" i="9"/>
  <c r="Z75" i="9"/>
  <c r="Z76" i="9"/>
  <c r="Z77" i="9"/>
  <c r="Z78" i="9"/>
  <c r="Z79" i="9"/>
  <c r="Z80" i="9"/>
  <c r="Z81" i="9"/>
  <c r="Z82" i="9"/>
  <c r="Z83" i="9"/>
  <c r="Z84" i="9"/>
  <c r="Z85" i="9"/>
  <c r="Z87" i="9"/>
  <c r="Z88" i="9"/>
  <c r="Z89" i="9"/>
  <c r="Z90" i="9"/>
  <c r="Z91" i="9"/>
  <c r="Z93" i="9"/>
  <c r="Z95" i="9"/>
  <c r="Z96" i="9"/>
  <c r="Z97" i="9"/>
  <c r="Z99" i="9"/>
  <c r="Z101" i="9"/>
  <c r="Z102" i="9"/>
  <c r="Z103" i="9"/>
  <c r="Z105" i="9"/>
  <c r="Z106" i="9"/>
  <c r="Z108" i="9"/>
  <c r="Z109" i="9"/>
  <c r="Z110" i="9"/>
  <c r="Z113" i="9"/>
  <c r="Z114" i="9"/>
  <c r="Z115" i="9"/>
  <c r="Z116" i="9"/>
  <c r="Z118" i="9"/>
  <c r="Z120" i="9"/>
  <c r="Z122" i="9"/>
  <c r="Z123" i="9"/>
  <c r="Z125" i="9"/>
  <c r="Z126" i="9"/>
  <c r="Z129" i="9"/>
  <c r="Z130" i="9"/>
  <c r="Z131" i="9"/>
  <c r="Z133" i="9"/>
  <c r="Z134" i="9"/>
  <c r="Z135" i="9"/>
  <c r="Z136" i="9"/>
  <c r="Z139" i="9"/>
  <c r="Z141" i="9"/>
  <c r="Z142" i="9"/>
  <c r="Z143" i="9"/>
  <c r="Z144" i="9"/>
  <c r="Z145" i="9"/>
  <c r="Z147" i="9"/>
  <c r="Z148" i="9"/>
  <c r="Z149" i="9"/>
  <c r="Z154" i="9"/>
  <c r="Z155" i="9"/>
  <c r="Z157" i="9"/>
  <c r="Z159" i="9"/>
  <c r="Z160" i="9"/>
  <c r="Z161" i="9"/>
  <c r="Z164" i="9"/>
  <c r="Z165" i="9"/>
  <c r="Z166" i="9"/>
  <c r="Z167" i="9"/>
  <c r="Z168" i="9"/>
  <c r="Z169" i="9"/>
  <c r="Z170" i="9"/>
  <c r="Z171" i="9"/>
  <c r="Z172" i="9"/>
  <c r="Z173" i="9"/>
  <c r="Z174" i="9"/>
  <c r="Z175" i="9"/>
  <c r="Z176" i="9"/>
  <c r="Z177" i="9"/>
  <c r="Z178" i="9"/>
  <c r="Z179" i="9"/>
  <c r="Z180" i="9"/>
  <c r="Z181" i="9"/>
  <c r="Z183" i="9"/>
  <c r="Z185" i="9"/>
  <c r="Z188" i="9"/>
  <c r="Z189" i="9"/>
  <c r="Z190" i="9"/>
  <c r="Z191" i="9"/>
  <c r="Z193" i="9"/>
  <c r="Z192" i="9"/>
  <c r="Z194" i="9"/>
  <c r="Z195" i="9"/>
  <c r="Z196" i="9"/>
  <c r="Z198" i="9"/>
  <c r="Z200" i="9"/>
  <c r="Z201" i="9"/>
  <c r="Z203" i="9"/>
  <c r="Z204" i="9"/>
  <c r="Z205" i="9"/>
  <c r="Z210" i="9"/>
  <c r="Z211" i="9"/>
  <c r="Z212" i="9"/>
  <c r="Z213" i="9"/>
  <c r="Z216" i="9"/>
  <c r="Z217" i="9"/>
  <c r="Z218" i="9"/>
  <c r="Z219" i="9"/>
  <c r="Z220" i="9"/>
  <c r="Z221" i="9"/>
  <c r="Z228" i="9"/>
  <c r="Z230" i="9"/>
  <c r="Z232" i="9"/>
  <c r="Z233" i="9"/>
  <c r="Z237" i="9"/>
  <c r="Z239" i="9"/>
  <c r="Z242" i="9"/>
  <c r="Z244" i="9"/>
  <c r="Z249" i="9"/>
  <c r="Z252" i="9"/>
  <c r="Z256" i="9"/>
  <c r="Z257" i="9"/>
  <c r="Z262" i="9"/>
  <c r="Z264" i="9"/>
  <c r="Z269" i="9"/>
  <c r="Z270" i="9"/>
  <c r="Z272" i="9"/>
  <c r="Z273" i="9"/>
  <c r="Z275" i="9"/>
  <c r="Z279" i="9"/>
  <c r="Z280" i="9"/>
  <c r="Z285" i="9"/>
  <c r="Z286" i="9"/>
  <c r="Z287" i="9"/>
  <c r="Z290" i="9"/>
  <c r="Z292" i="9"/>
  <c r="Z294" i="9"/>
  <c r="Z296" i="9"/>
  <c r="Z298" i="9"/>
  <c r="Z303" i="9"/>
  <c r="Z307" i="9"/>
  <c r="Z313" i="9"/>
  <c r="Z321" i="9"/>
  <c r="Z325" i="9"/>
  <c r="Z329" i="9"/>
  <c r="Z332" i="9"/>
  <c r="Z334" i="9"/>
  <c r="Z340" i="9"/>
  <c r="Z342" i="9"/>
  <c r="Z347" i="9"/>
  <c r="Z350" i="9"/>
  <c r="Z352" i="9"/>
  <c r="Z358" i="9"/>
  <c r="Z360" i="9"/>
  <c r="Z361" i="9"/>
  <c r="Z364" i="9"/>
  <c r="Z368" i="9"/>
  <c r="Z369" i="9"/>
  <c r="Z370" i="9"/>
  <c r="Z372" i="9"/>
  <c r="Z374" i="9"/>
  <c r="Z375" i="9"/>
  <c r="Z376" i="9"/>
  <c r="Z378" i="9"/>
  <c r="Z379" i="9"/>
  <c r="Z382" i="9"/>
  <c r="Z383" i="9"/>
  <c r="Z387" i="9"/>
  <c r="Z391" i="9"/>
  <c r="Z394" i="9"/>
  <c r="Z397" i="9"/>
  <c r="Z398" i="9"/>
  <c r="Z401" i="9"/>
  <c r="Z403" i="9"/>
  <c r="Z405" i="9"/>
  <c r="Z406" i="9"/>
  <c r="Z410" i="9"/>
  <c r="Z416" i="9"/>
  <c r="Z423" i="9"/>
  <c r="Z426" i="9"/>
  <c r="Z429" i="9"/>
  <c r="Z434" i="9"/>
  <c r="Z441" i="9"/>
  <c r="Z444" i="9"/>
  <c r="Z448" i="9"/>
  <c r="Z450" i="9"/>
  <c r="Z454" i="9"/>
  <c r="Z461" i="9"/>
  <c r="Z464" i="9"/>
  <c r="Z467" i="9"/>
  <c r="Z472" i="9"/>
  <c r="Z479" i="9"/>
  <c r="Z482" i="9"/>
  <c r="Z486" i="9"/>
  <c r="Z488" i="9"/>
  <c r="Z494" i="9"/>
  <c r="Z527" i="9"/>
  <c r="Z528" i="9"/>
  <c r="Z533" i="9"/>
  <c r="Z536" i="9"/>
  <c r="Z539" i="9"/>
  <c r="Z545" i="9"/>
  <c r="Z551" i="9"/>
  <c r="Z554" i="9"/>
  <c r="Z557" i="9"/>
  <c r="Z579" i="9"/>
  <c r="Z583" i="9"/>
  <c r="Z592" i="9"/>
  <c r="Z594" i="9"/>
  <c r="Z600" i="9"/>
  <c r="Z607" i="9"/>
  <c r="Z610" i="9"/>
  <c r="Z613" i="9"/>
  <c r="Z618" i="9"/>
  <c r="Z625" i="9"/>
  <c r="Z628" i="9"/>
  <c r="Z632" i="9"/>
  <c r="Z634" i="9"/>
  <c r="Z638" i="9"/>
  <c r="Z676" i="9"/>
  <c r="Z680" i="9"/>
  <c r="Z747" i="9"/>
  <c r="Z754" i="9"/>
  <c r="Z570" i="9"/>
  <c r="Z571" i="9"/>
  <c r="Z574" i="9"/>
  <c r="Z577" i="9"/>
  <c r="Z580" i="9"/>
  <c r="Z581" i="9"/>
  <c r="Z584" i="9"/>
  <c r="Z585" i="9"/>
  <c r="Z588" i="9"/>
  <c r="Z567" i="9"/>
  <c r="Z568" i="9"/>
  <c r="Z572" i="9"/>
  <c r="Z576" i="9"/>
  <c r="Z582" i="9"/>
  <c r="Z758" i="9"/>
  <c r="Z1146" i="9"/>
  <c r="Z1150" i="9"/>
  <c r="Z1152" i="9"/>
  <c r="Z1153" i="9"/>
  <c r="Z1155" i="9"/>
  <c r="Z1158" i="9"/>
  <c r="Z1160" i="9"/>
  <c r="Z1161" i="9"/>
  <c r="Z1220" i="9"/>
  <c r="Z1222" i="9"/>
  <c r="Z1225" i="9"/>
  <c r="Z1227" i="9"/>
  <c r="Z1228" i="9"/>
  <c r="Z1229" i="9"/>
  <c r="Z1231" i="9"/>
  <c r="Z1235" i="9"/>
  <c r="Z1237" i="9"/>
  <c r="Z1238" i="9"/>
  <c r="Z1240" i="9"/>
  <c r="Z1243" i="9"/>
  <c r="Z1245" i="9"/>
  <c r="Z1246" i="9"/>
  <c r="Z1247" i="9"/>
  <c r="Z1249" i="9"/>
  <c r="Z1254" i="9"/>
  <c r="Z1258" i="9"/>
  <c r="Z1260" i="9"/>
  <c r="Z1263" i="9"/>
  <c r="Z1265" i="9"/>
  <c r="Z1266" i="9"/>
  <c r="Z1267" i="9"/>
  <c r="Z1269" i="9"/>
  <c r="Z1273" i="9"/>
  <c r="Z1275" i="9"/>
  <c r="Z1276" i="9"/>
  <c r="Z1278" i="9"/>
  <c r="Z1281" i="9"/>
  <c r="Z1283" i="9"/>
  <c r="Z1284" i="9"/>
  <c r="Z1285" i="9"/>
  <c r="Z1287" i="9"/>
  <c r="Z1292" i="9"/>
  <c r="Z1374" i="9"/>
  <c r="Z1377" i="9"/>
  <c r="Z1378" i="9"/>
  <c r="Z1379" i="9"/>
  <c r="Z1381" i="9"/>
  <c r="Z1383" i="9"/>
  <c r="Z1384" i="9"/>
  <c r="Z1643" i="9"/>
  <c r="Z1644" i="9"/>
  <c r="Z1645" i="9"/>
  <c r="Z1646" i="9"/>
  <c r="Z1649" i="9"/>
  <c r="Z1655" i="9"/>
  <c r="Z1659" i="9"/>
  <c r="Z1665" i="9"/>
  <c r="Z1669" i="9"/>
  <c r="Z1651" i="9"/>
  <c r="Z1654" i="9"/>
  <c r="Z1662" i="9"/>
  <c r="Z1663" i="9"/>
  <c r="Z1667" i="9"/>
  <c r="Z1673" i="9"/>
  <c r="Z1675" i="9"/>
  <c r="Z1678" i="9"/>
  <c r="Z1680" i="9"/>
  <c r="Z1681" i="9"/>
  <c r="Z1682" i="9"/>
  <c r="Z1684" i="9"/>
  <c r="Z1688" i="9"/>
  <c r="Z1690" i="9"/>
  <c r="Z1691" i="9"/>
  <c r="Z1693" i="9"/>
  <c r="Z1670" i="9"/>
  <c r="Z1705" i="9"/>
  <c r="Z1706" i="9"/>
  <c r="Z1709" i="9"/>
  <c r="Z1712" i="9"/>
  <c r="Z1715" i="9"/>
  <c r="Z1717" i="9"/>
  <c r="Z1723" i="9"/>
  <c r="Z1725" i="9"/>
  <c r="Z1730" i="9"/>
  <c r="Z1733" i="9"/>
  <c r="Z1735" i="9"/>
  <c r="Z1741" i="9"/>
  <c r="Z1743" i="9"/>
  <c r="Z1744" i="9"/>
  <c r="Z1747" i="9"/>
  <c r="Z1753" i="9"/>
  <c r="Z1756" i="9"/>
  <c r="Z1776" i="9"/>
  <c r="Z1779" i="9"/>
  <c r="Z1786" i="9"/>
  <c r="Z1792" i="9"/>
  <c r="Z1796" i="9"/>
  <c r="Z1803" i="9"/>
  <c r="Z1811" i="9"/>
  <c r="Z1831" i="9"/>
  <c r="Z1708" i="9"/>
  <c r="Z1710" i="9"/>
  <c r="Z1714" i="9"/>
  <c r="Z1721" i="9"/>
  <c r="Z1724" i="9"/>
  <c r="Z1727" i="9"/>
  <c r="Z1732" i="9"/>
  <c r="Z1739" i="9"/>
  <c r="Z1742" i="9"/>
  <c r="Z1746" i="9"/>
  <c r="Z1748" i="9"/>
  <c r="Z1751" i="9"/>
  <c r="Z1755" i="9"/>
  <c r="Z1716" i="9"/>
  <c r="Z1719" i="9"/>
  <c r="Z1722" i="9"/>
  <c r="Z1728" i="9"/>
  <c r="Z1734" i="9"/>
  <c r="Z1737" i="9"/>
  <c r="Z1740" i="9"/>
  <c r="Z1750" i="9"/>
  <c r="Z1754" i="9"/>
  <c r="Z1765" i="9"/>
  <c r="Z1773" i="9"/>
  <c r="Z1793" i="9"/>
  <c r="Z1798" i="9"/>
  <c r="Z1805" i="9"/>
  <c r="Z1809" i="9"/>
  <c r="Z1812" i="9"/>
  <c r="Z1821" i="9"/>
  <c r="Z1833" i="9"/>
  <c r="Z1836" i="9"/>
  <c r="Z1841" i="9"/>
  <c r="Z1846" i="9"/>
  <c r="Z1848" i="9"/>
  <c r="Z1850" i="9"/>
  <c r="Z1856" i="9"/>
  <c r="Z1858" i="9"/>
  <c r="Z1863" i="9"/>
  <c r="Z1869" i="9"/>
  <c r="Z1878" i="9"/>
  <c r="Z1884" i="9"/>
  <c r="Z1899" i="9"/>
  <c r="Z1903" i="9"/>
  <c r="Z1905" i="9"/>
  <c r="Z1906" i="9"/>
  <c r="Z1909" i="9"/>
  <c r="Z1908" i="9"/>
  <c r="Z1910" i="9"/>
  <c r="Z1902" i="9"/>
  <c r="Z1926" i="9"/>
  <c r="Z1930" i="9"/>
  <c r="Z1928" i="9"/>
  <c r="Z1927" i="9"/>
  <c r="Z1936" i="9"/>
  <c r="AN24" i="9"/>
  <c r="AN23" i="9"/>
  <c r="AN22" i="9"/>
  <c r="AN18" i="9"/>
  <c r="AN17" i="9"/>
  <c r="AN16" i="9"/>
  <c r="AN15" i="9"/>
  <c r="AN13" i="9"/>
  <c r="AN12" i="9"/>
  <c r="AN11" i="9"/>
  <c r="AN10" i="9"/>
  <c r="AN8" i="9"/>
  <c r="Z26" i="11"/>
  <c r="W26" i="11"/>
  <c r="AF26" i="11" s="1"/>
  <c r="U26" i="11"/>
  <c r="Q26" i="11"/>
  <c r="Z25" i="11"/>
  <c r="W25" i="11"/>
  <c r="AD25" i="11" s="1"/>
  <c r="U25" i="11"/>
  <c r="Q25" i="11"/>
  <c r="AQ64" i="11"/>
  <c r="AO60" i="11"/>
  <c r="AO58" i="11"/>
  <c r="AC48" i="11"/>
  <c r="I48" i="11"/>
  <c r="J47" i="11"/>
  <c r="AX33" i="11"/>
  <c r="AW33" i="11"/>
  <c r="BD33" i="11" s="1"/>
  <c r="AV33" i="11"/>
  <c r="AU33" i="11"/>
  <c r="AT33" i="11"/>
  <c r="AQ33" i="11"/>
  <c r="BE33" i="11" s="1"/>
  <c r="AP33" i="11"/>
  <c r="AM33" i="11"/>
  <c r="BA33" i="11" s="1"/>
  <c r="AH33" i="11"/>
  <c r="AG33" i="11"/>
  <c r="AF33" i="11"/>
  <c r="AO33" i="11" s="1"/>
  <c r="BC33" i="11" s="1"/>
  <c r="AE33" i="11"/>
  <c r="AN33" i="11" s="1"/>
  <c r="BB33" i="11" s="1"/>
  <c r="AD33" i="11"/>
  <c r="AA33" i="11"/>
  <c r="Q33" i="11"/>
  <c r="H33" i="11" s="1"/>
  <c r="J33" i="11" s="1"/>
  <c r="D33" i="11"/>
  <c r="AX32" i="11"/>
  <c r="BE32" i="11" s="1"/>
  <c r="AW32" i="11"/>
  <c r="AV32" i="11"/>
  <c r="AU32" i="11"/>
  <c r="AT32" i="11"/>
  <c r="BA32" i="11" s="1"/>
  <c r="AQ32" i="11"/>
  <c r="AN32" i="11"/>
  <c r="BB32" i="11" s="1"/>
  <c r="AM32" i="11"/>
  <c r="AH32" i="11"/>
  <c r="AG32" i="11"/>
  <c r="AP32" i="11" s="1"/>
  <c r="BD32" i="11" s="1"/>
  <c r="AF32" i="11"/>
  <c r="AO32" i="11" s="1"/>
  <c r="BC32" i="11" s="1"/>
  <c r="AE32" i="11"/>
  <c r="AD32" i="11"/>
  <c r="AA32" i="11"/>
  <c r="Q32" i="11"/>
  <c r="H32" i="11" s="1"/>
  <c r="J32" i="11" s="1"/>
  <c r="D32" i="11"/>
  <c r="AX31" i="11"/>
  <c r="AW31" i="11"/>
  <c r="AV31" i="11"/>
  <c r="AU31" i="11"/>
  <c r="BB31" i="11" s="1"/>
  <c r="AT31" i="11"/>
  <c r="AO31" i="11"/>
  <c r="BC31" i="11" s="1"/>
  <c r="AN31" i="11"/>
  <c r="AH31" i="11"/>
  <c r="AQ31" i="11" s="1"/>
  <c r="BE31" i="11" s="1"/>
  <c r="AG31" i="11"/>
  <c r="AP31" i="11" s="1"/>
  <c r="BD31" i="11" s="1"/>
  <c r="AF31" i="11"/>
  <c r="AE31" i="11"/>
  <c r="AD31" i="11"/>
  <c r="AM31" i="11" s="1"/>
  <c r="BA31" i="11" s="1"/>
  <c r="AA31" i="11"/>
  <c r="Q31" i="11"/>
  <c r="H31" i="11"/>
  <c r="J31" i="11" s="1"/>
  <c r="D31" i="11"/>
  <c r="AX30" i="11"/>
  <c r="AW30" i="11"/>
  <c r="AV30" i="11"/>
  <c r="BC30" i="11" s="1"/>
  <c r="AU30" i="11"/>
  <c r="AT30" i="11"/>
  <c r="AP30" i="11"/>
  <c r="BD30" i="11" s="1"/>
  <c r="AO30" i="11"/>
  <c r="AH30" i="11"/>
  <c r="AQ30" i="11" s="1"/>
  <c r="BE30" i="11" s="1"/>
  <c r="AG30" i="11"/>
  <c r="AF30" i="11"/>
  <c r="AE30" i="11"/>
  <c r="AN30" i="11" s="1"/>
  <c r="BB30" i="11" s="1"/>
  <c r="AD30" i="11"/>
  <c r="AM30" i="11" s="1"/>
  <c r="BA30" i="11" s="1"/>
  <c r="AA30" i="11"/>
  <c r="Q30" i="11"/>
  <c r="H30" i="11"/>
  <c r="J30" i="11" s="1"/>
  <c r="D30" i="11"/>
  <c r="AX29" i="11"/>
  <c r="AW29" i="11"/>
  <c r="BD29" i="11" s="1"/>
  <c r="AV29" i="11"/>
  <c r="AU29" i="11"/>
  <c r="AT29" i="11"/>
  <c r="AQ29" i="11"/>
  <c r="BE29" i="11" s="1"/>
  <c r="AP29" i="11"/>
  <c r="AM29" i="11"/>
  <c r="BA29" i="11" s="1"/>
  <c r="AH29" i="11"/>
  <c r="AG29" i="11"/>
  <c r="AF29" i="11"/>
  <c r="AO29" i="11" s="1"/>
  <c r="BC29" i="11" s="1"/>
  <c r="AE29" i="11"/>
  <c r="AN29" i="11" s="1"/>
  <c r="BB29" i="11" s="1"/>
  <c r="AD29" i="11"/>
  <c r="AA29" i="11"/>
  <c r="Q29" i="11"/>
  <c r="H29" i="11" s="1"/>
  <c r="J29" i="11" s="1"/>
  <c r="D29" i="11"/>
  <c r="P26" i="11"/>
  <c r="P25" i="11"/>
  <c r="BE24" i="11"/>
  <c r="BD24" i="11"/>
  <c r="BC24" i="11"/>
  <c r="BB24" i="11"/>
  <c r="BA24" i="11"/>
  <c r="O3" i="11"/>
  <c r="N3" i="11"/>
  <c r="M3" i="11"/>
  <c r="L3" i="11"/>
  <c r="K3" i="11"/>
  <c r="D249" i="8"/>
  <c r="D250" i="8"/>
  <c r="D251" i="8"/>
  <c r="D252" i="8"/>
  <c r="J252" i="8" s="1"/>
  <c r="D253" i="8"/>
  <c r="J253" i="8" s="1"/>
  <c r="D254" i="8"/>
  <c r="D255" i="8"/>
  <c r="J255" i="8" s="1"/>
  <c r="D238" i="8"/>
  <c r="J238" i="8" s="1"/>
  <c r="D239" i="8"/>
  <c r="D241" i="8"/>
  <c r="J241" i="8" s="1"/>
  <c r="D243" i="8"/>
  <c r="D225" i="8"/>
  <c r="J225" i="8" s="1"/>
  <c r="D226" i="8"/>
  <c r="D228" i="8"/>
  <c r="J228" i="8" s="1"/>
  <c r="D230" i="8"/>
  <c r="D224" i="8"/>
  <c r="D248" i="8"/>
  <c r="I201" i="8"/>
  <c r="I202" i="8"/>
  <c r="I203" i="8"/>
  <c r="I204" i="8"/>
  <c r="I205" i="8"/>
  <c r="I206" i="8"/>
  <c r="I207" i="8"/>
  <c r="I224" i="8"/>
  <c r="I225" i="8"/>
  <c r="I226" i="8"/>
  <c r="I227" i="8"/>
  <c r="I228" i="8"/>
  <c r="I229" i="8"/>
  <c r="I230" i="8"/>
  <c r="I231" i="8"/>
  <c r="I236" i="8"/>
  <c r="I237" i="8"/>
  <c r="I238" i="8"/>
  <c r="I239" i="8"/>
  <c r="I240" i="8"/>
  <c r="I241" i="8"/>
  <c r="I242" i="8"/>
  <c r="I243" i="8"/>
  <c r="I248" i="8"/>
  <c r="I249" i="8"/>
  <c r="I250" i="8"/>
  <c r="I251" i="8"/>
  <c r="I252" i="8"/>
  <c r="I253" i="8"/>
  <c r="I254" i="8"/>
  <c r="I255" i="8"/>
  <c r="I260" i="8"/>
  <c r="I261" i="8"/>
  <c r="I262" i="8"/>
  <c r="I263" i="8"/>
  <c r="I264" i="8"/>
  <c r="I265" i="8"/>
  <c r="I266" i="8"/>
  <c r="I267" i="8"/>
  <c r="I200" i="8"/>
  <c r="I190" i="8"/>
  <c r="I189" i="8"/>
  <c r="I188" i="8"/>
  <c r="I187" i="8"/>
  <c r="I186" i="8"/>
  <c r="I182" i="8"/>
  <c r="I181" i="8"/>
  <c r="I180" i="8"/>
  <c r="I179" i="8"/>
  <c r="D179" i="8"/>
  <c r="J179" i="8" s="1"/>
  <c r="I178" i="8"/>
  <c r="I174" i="8"/>
  <c r="I173" i="8"/>
  <c r="I172" i="8"/>
  <c r="I171" i="8"/>
  <c r="I170" i="8"/>
  <c r="I166" i="8"/>
  <c r="I165" i="8"/>
  <c r="I164" i="8"/>
  <c r="I163" i="8"/>
  <c r="I162" i="8"/>
  <c r="I150" i="8"/>
  <c r="I149" i="8"/>
  <c r="I148" i="8"/>
  <c r="I147" i="8"/>
  <c r="I146" i="8"/>
  <c r="I139" i="8"/>
  <c r="I138" i="8"/>
  <c r="I137" i="8"/>
  <c r="I136" i="8"/>
  <c r="I135" i="8"/>
  <c r="I134" i="8"/>
  <c r="I133" i="8"/>
  <c r="I132" i="8"/>
  <c r="I131" i="8"/>
  <c r="D131" i="8"/>
  <c r="J131" i="8" s="1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D116" i="8"/>
  <c r="I115" i="8"/>
  <c r="D115" i="8"/>
  <c r="I114" i="8"/>
  <c r="I113" i="8"/>
  <c r="I112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F86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D64" i="8"/>
  <c r="J64" i="8" s="1"/>
  <c r="I63" i="8"/>
  <c r="D63" i="8"/>
  <c r="J63" i="8" s="1"/>
  <c r="I62" i="8"/>
  <c r="I61" i="8"/>
  <c r="I60" i="8"/>
  <c r="I59" i="8"/>
  <c r="I58" i="8"/>
  <c r="I57" i="8"/>
  <c r="I56" i="8"/>
  <c r="D56" i="8"/>
  <c r="J56" i="8" s="1"/>
  <c r="I55" i="8"/>
  <c r="I54" i="8"/>
  <c r="I53" i="8"/>
  <c r="I52" i="8"/>
  <c r="I51" i="8"/>
  <c r="I50" i="8"/>
  <c r="I49" i="8"/>
  <c r="I48" i="8"/>
  <c r="I47" i="8"/>
  <c r="D47" i="8"/>
  <c r="J47" i="8" s="1"/>
  <c r="I46" i="8"/>
  <c r="I45" i="8"/>
  <c r="I44" i="8"/>
  <c r="I43" i="8"/>
  <c r="I42" i="8"/>
  <c r="I41" i="8"/>
  <c r="I40" i="8"/>
  <c r="D40" i="8"/>
  <c r="J40" i="8" s="1"/>
  <c r="I39" i="8"/>
  <c r="D39" i="8"/>
  <c r="J39" i="8" s="1"/>
  <c r="I38" i="8"/>
  <c r="I37" i="8"/>
  <c r="I36" i="8"/>
  <c r="I35" i="8"/>
  <c r="I34" i="8"/>
  <c r="I33" i="8"/>
  <c r="I32" i="8"/>
  <c r="D32" i="8"/>
  <c r="J32" i="8" s="1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D19" i="8"/>
  <c r="J19" i="8" s="1"/>
  <c r="T1963" i="9" s="1"/>
  <c r="I18" i="8"/>
  <c r="I17" i="8"/>
  <c r="I16" i="8"/>
  <c r="I15" i="8"/>
  <c r="I14" i="8"/>
  <c r="I13" i="8"/>
  <c r="I12" i="8"/>
  <c r="I11" i="8"/>
  <c r="I10" i="8"/>
  <c r="I9" i="8"/>
  <c r="I8" i="8"/>
  <c r="AZ124" i="7"/>
  <c r="AX124" i="7"/>
  <c r="AF124" i="7"/>
  <c r="BT124" i="7" s="1"/>
  <c r="AD124" i="7"/>
  <c r="BR124" i="7" s="1"/>
  <c r="D235" i="8" s="1"/>
  <c r="AB124" i="7"/>
  <c r="BH124" i="7" s="1"/>
  <c r="BL124" i="7" s="1"/>
  <c r="Z124" i="7"/>
  <c r="BF124" i="7" s="1"/>
  <c r="AZ123" i="7"/>
  <c r="AX123" i="7"/>
  <c r="AF123" i="7"/>
  <c r="BT123" i="7" s="1"/>
  <c r="AD123" i="7"/>
  <c r="BR123" i="7" s="1"/>
  <c r="D234" i="8" s="1"/>
  <c r="AB123" i="7"/>
  <c r="BH123" i="7" s="1"/>
  <c r="BL123" i="7" s="1"/>
  <c r="Z123" i="7"/>
  <c r="BF123" i="7" s="1"/>
  <c r="BT122" i="7"/>
  <c r="AZ122" i="7"/>
  <c r="AX122" i="7"/>
  <c r="AF122" i="7"/>
  <c r="AD122" i="7"/>
  <c r="BR122" i="7" s="1"/>
  <c r="D233" i="8" s="1"/>
  <c r="AB122" i="7"/>
  <c r="BH122" i="7" s="1"/>
  <c r="BL122" i="7" s="1"/>
  <c r="Z122" i="7"/>
  <c r="BF122" i="7" s="1"/>
  <c r="D341" i="8" s="1"/>
  <c r="AZ121" i="7"/>
  <c r="AX121" i="7"/>
  <c r="AF121" i="7"/>
  <c r="AD121" i="7"/>
  <c r="BR121" i="7" s="1"/>
  <c r="D232" i="8" s="1"/>
  <c r="AB121" i="7"/>
  <c r="BH121" i="7" s="1"/>
  <c r="BL121" i="7" s="1"/>
  <c r="Z121" i="7"/>
  <c r="BF121" i="7" s="1"/>
  <c r="D340" i="8" s="1"/>
  <c r="AZ119" i="7"/>
  <c r="AX119" i="7"/>
  <c r="AF119" i="7"/>
  <c r="BT119" i="7" s="1"/>
  <c r="AD119" i="7"/>
  <c r="D169" i="8" s="1"/>
  <c r="J169" i="8" s="1"/>
  <c r="AB119" i="7"/>
  <c r="BH119" i="7" s="1"/>
  <c r="BL119" i="7" s="1"/>
  <c r="Z119" i="7"/>
  <c r="BF119" i="7" s="1"/>
  <c r="D285" i="8" s="1"/>
  <c r="AZ118" i="7"/>
  <c r="AX118" i="7"/>
  <c r="AF118" i="7"/>
  <c r="BT118" i="7" s="1"/>
  <c r="AD118" i="7"/>
  <c r="D168" i="8" s="1"/>
  <c r="J168" i="8" s="1"/>
  <c r="AB118" i="7"/>
  <c r="BH118" i="7" s="1"/>
  <c r="BL118" i="7" s="1"/>
  <c r="Z118" i="7"/>
  <c r="BF118" i="7" s="1"/>
  <c r="D284" i="8" s="1"/>
  <c r="AZ117" i="7"/>
  <c r="AF117" i="7"/>
  <c r="BT117" i="7" s="1"/>
  <c r="AD117" i="7"/>
  <c r="BR117" i="7" s="1"/>
  <c r="D167" i="8" s="1"/>
  <c r="J167" i="8" s="1"/>
  <c r="AB117" i="7"/>
  <c r="BH117" i="7" s="1"/>
  <c r="BL117" i="7" s="1"/>
  <c r="Z117" i="7"/>
  <c r="BF117" i="7" s="1"/>
  <c r="D267" i="8"/>
  <c r="CF103" i="7"/>
  <c r="CD103" i="7"/>
  <c r="BY103" i="7"/>
  <c r="BX103" i="7"/>
  <c r="BW103" i="7"/>
  <c r="BV103" i="7"/>
  <c r="AZ103" i="7"/>
  <c r="AX103" i="7"/>
  <c r="AF103" i="7"/>
  <c r="BT103" i="7" s="1"/>
  <c r="AD103" i="7"/>
  <c r="BR103" i="7" s="1"/>
  <c r="D231" i="8" s="1"/>
  <c r="AB103" i="7"/>
  <c r="BH103" i="7" s="1"/>
  <c r="Z103" i="7"/>
  <c r="BF103" i="7" s="1"/>
  <c r="D339" i="8" s="1"/>
  <c r="J339" i="8" s="1"/>
  <c r="D266" i="8"/>
  <c r="CF102" i="7"/>
  <c r="CD102" i="7"/>
  <c r="BY102" i="7"/>
  <c r="BX102" i="7"/>
  <c r="BW102" i="7"/>
  <c r="BV102" i="7"/>
  <c r="AJ45" i="9" s="1"/>
  <c r="BT102" i="7"/>
  <c r="BR102" i="7"/>
  <c r="AZ102" i="7"/>
  <c r="AX102" i="7"/>
  <c r="AB102" i="7"/>
  <c r="BH102" i="7" s="1"/>
  <c r="Z102" i="7"/>
  <c r="BF102" i="7" s="1"/>
  <c r="D338" i="8" s="1"/>
  <c r="J338" i="8" s="1"/>
  <c r="D265" i="8"/>
  <c r="J265" i="8" s="1"/>
  <c r="CF101" i="7"/>
  <c r="CD101" i="7"/>
  <c r="BY101" i="7"/>
  <c r="BX101" i="7"/>
  <c r="BW101" i="7"/>
  <c r="BV101" i="7"/>
  <c r="AZ101" i="7"/>
  <c r="AX101" i="7"/>
  <c r="AF101" i="7"/>
  <c r="AD101" i="7"/>
  <c r="D229" i="8" s="1"/>
  <c r="J229" i="8" s="1"/>
  <c r="AB101" i="7"/>
  <c r="BH101" i="7" s="1"/>
  <c r="Z101" i="7"/>
  <c r="BF101" i="7" s="1"/>
  <c r="D337" i="8" s="1"/>
  <c r="J337" i="8" s="1"/>
  <c r="D264" i="8"/>
  <c r="J264" i="8" s="1"/>
  <c r="CF100" i="7"/>
  <c r="CD100" i="7"/>
  <c r="BY100" i="7"/>
  <c r="BX100" i="7"/>
  <c r="BW100" i="7"/>
  <c r="BV100" i="7"/>
  <c r="AN43" i="9" s="1"/>
  <c r="AZ100" i="7"/>
  <c r="AX100" i="7"/>
  <c r="AB100" i="7"/>
  <c r="BH100" i="7" s="1"/>
  <c r="BP100" i="7" s="1"/>
  <c r="Z100" i="7"/>
  <c r="BF100" i="7" s="1"/>
  <c r="D263" i="8"/>
  <c r="CF99" i="7"/>
  <c r="CD99" i="7"/>
  <c r="BY99" i="7"/>
  <c r="BX99" i="7"/>
  <c r="BW99" i="7"/>
  <c r="BV99" i="7"/>
  <c r="AZ99" i="7"/>
  <c r="AX99" i="7"/>
  <c r="AF99" i="7"/>
  <c r="BT99" i="7" s="1"/>
  <c r="AD99" i="7"/>
  <c r="AB99" i="7"/>
  <c r="BH99" i="7" s="1"/>
  <c r="Z99" i="7"/>
  <c r="BF99" i="7" s="1"/>
  <c r="D335" i="8" s="1"/>
  <c r="J335" i="8" s="1"/>
  <c r="X99" i="7"/>
  <c r="D262" i="8"/>
  <c r="CF98" i="7"/>
  <c r="CD98" i="7"/>
  <c r="BY98" i="7"/>
  <c r="BX98" i="7"/>
  <c r="BW98" i="7"/>
  <c r="BV98" i="7"/>
  <c r="BT98" i="7"/>
  <c r="BR98" i="7"/>
  <c r="AZ98" i="7"/>
  <c r="AX98" i="7"/>
  <c r="AB98" i="7"/>
  <c r="BH98" i="7" s="1"/>
  <c r="Z98" i="7"/>
  <c r="BF98" i="7" s="1"/>
  <c r="D334" i="8" s="1"/>
  <c r="J334" i="8" s="1"/>
  <c r="X98" i="7"/>
  <c r="D261" i="8"/>
  <c r="CF97" i="7"/>
  <c r="CD97" i="7"/>
  <c r="BY97" i="7"/>
  <c r="BX97" i="7"/>
  <c r="BW97" i="7"/>
  <c r="BV97" i="7"/>
  <c r="D237" i="8" s="1"/>
  <c r="BT97" i="7"/>
  <c r="BR97" i="7"/>
  <c r="AX97" i="7"/>
  <c r="AB97" i="7"/>
  <c r="BH97" i="7" s="1"/>
  <c r="Z97" i="7"/>
  <c r="BF97" i="7" s="1"/>
  <c r="D333" i="8" s="1"/>
  <c r="J333" i="8" s="1"/>
  <c r="X97" i="7"/>
  <c r="T97" i="7"/>
  <c r="AZ97" i="7" s="1"/>
  <c r="D260" i="8"/>
  <c r="CF96" i="7"/>
  <c r="CD96" i="7"/>
  <c r="BY96" i="7"/>
  <c r="BX96" i="7"/>
  <c r="BW96" i="7"/>
  <c r="BV96" i="7"/>
  <c r="D236" i="8" s="1"/>
  <c r="BT96" i="7"/>
  <c r="BR96" i="7"/>
  <c r="AZ96" i="7"/>
  <c r="AX96" i="7"/>
  <c r="AB96" i="7"/>
  <c r="BH96" i="7" s="1"/>
  <c r="Z96" i="7"/>
  <c r="BF96" i="7" s="1"/>
  <c r="D332" i="8" s="1"/>
  <c r="J332" i="8" s="1"/>
  <c r="X96" i="7"/>
  <c r="T96" i="7"/>
  <c r="D190" i="8"/>
  <c r="J190" i="8" s="1"/>
  <c r="CF94" i="7"/>
  <c r="CD94" i="7"/>
  <c r="D182" i="8" s="1"/>
  <c r="J182" i="8" s="1"/>
  <c r="BY94" i="7"/>
  <c r="BX94" i="7"/>
  <c r="BW94" i="7"/>
  <c r="BV94" i="7"/>
  <c r="D174" i="8" s="1"/>
  <c r="J174" i="8" s="1"/>
  <c r="AZ94" i="7"/>
  <c r="AX94" i="7"/>
  <c r="AF94" i="7"/>
  <c r="BT94" i="7" s="1"/>
  <c r="AD94" i="7"/>
  <c r="BR94" i="7" s="1"/>
  <c r="D166" i="8" s="1"/>
  <c r="J166" i="8" s="1"/>
  <c r="AB94" i="7"/>
  <c r="BH94" i="7" s="1"/>
  <c r="Z94" i="7"/>
  <c r="BF94" i="7" s="1"/>
  <c r="D189" i="8"/>
  <c r="J189" i="8" s="1"/>
  <c r="CF93" i="7"/>
  <c r="CD93" i="7"/>
  <c r="D181" i="8" s="1"/>
  <c r="J181" i="8" s="1"/>
  <c r="BY93" i="7"/>
  <c r="BX93" i="7"/>
  <c r="BW93" i="7"/>
  <c r="BV93" i="7"/>
  <c r="D173" i="8" s="1"/>
  <c r="J173" i="8" s="1"/>
  <c r="BT93" i="7"/>
  <c r="BR93" i="7"/>
  <c r="D165" i="8" s="1"/>
  <c r="J165" i="8" s="1"/>
  <c r="AZ93" i="7"/>
  <c r="AX93" i="7"/>
  <c r="AB93" i="7"/>
  <c r="BH93" i="7" s="1"/>
  <c r="BP93" i="7" s="1"/>
  <c r="Z93" i="7"/>
  <c r="BF93" i="7" s="1"/>
  <c r="D188" i="8"/>
  <c r="J188" i="8" s="1"/>
  <c r="CF92" i="7"/>
  <c r="CD92" i="7"/>
  <c r="D180" i="8" s="1"/>
  <c r="J180" i="8" s="1"/>
  <c r="BY92" i="7"/>
  <c r="BX92" i="7"/>
  <c r="BW92" i="7"/>
  <c r="BV92" i="7"/>
  <c r="D172" i="8" s="1"/>
  <c r="J172" i="8" s="1"/>
  <c r="AZ92" i="7"/>
  <c r="AX92" i="7"/>
  <c r="AF92" i="7"/>
  <c r="BT92" i="7" s="1"/>
  <c r="AD92" i="7"/>
  <c r="D164" i="8" s="1"/>
  <c r="J164" i="8" s="1"/>
  <c r="AB92" i="7"/>
  <c r="BH92" i="7" s="1"/>
  <c r="Z92" i="7"/>
  <c r="BF92" i="7" s="1"/>
  <c r="D187" i="8"/>
  <c r="J187" i="8" s="1"/>
  <c r="CF91" i="7"/>
  <c r="CD91" i="7"/>
  <c r="BY91" i="7"/>
  <c r="BX91" i="7"/>
  <c r="BW91" i="7"/>
  <c r="BV91" i="7"/>
  <c r="BT91" i="7"/>
  <c r="BR91" i="7"/>
  <c r="D163" i="8" s="1"/>
  <c r="J163" i="8" s="1"/>
  <c r="AZ91" i="7"/>
  <c r="AX91" i="7"/>
  <c r="AB91" i="7"/>
  <c r="BH91" i="7" s="1"/>
  <c r="Z91" i="7"/>
  <c r="BF91" i="7" s="1"/>
  <c r="D186" i="8"/>
  <c r="J186" i="8" s="1"/>
  <c r="CF90" i="7"/>
  <c r="CD90" i="7"/>
  <c r="D178" i="8" s="1"/>
  <c r="J178" i="8" s="1"/>
  <c r="BY90" i="7"/>
  <c r="BX90" i="7"/>
  <c r="BW90" i="7"/>
  <c r="BV90" i="7"/>
  <c r="D170" i="8" s="1"/>
  <c r="J170" i="8" s="1"/>
  <c r="BT90" i="7"/>
  <c r="D162" i="8"/>
  <c r="J162" i="8" s="1"/>
  <c r="AZ90" i="7"/>
  <c r="AX90" i="7"/>
  <c r="AB90" i="7"/>
  <c r="BH90" i="7" s="1"/>
  <c r="BP90" i="7" s="1"/>
  <c r="Z90" i="7"/>
  <c r="BF90" i="7" s="1"/>
  <c r="D278" i="8" s="1"/>
  <c r="X90" i="7"/>
  <c r="T90" i="7"/>
  <c r="AB82" i="7"/>
  <c r="Z82" i="7"/>
  <c r="V82" i="7"/>
  <c r="AB81" i="7"/>
  <c r="Z81" i="7"/>
  <c r="V81" i="7"/>
  <c r="AB80" i="7"/>
  <c r="Z80" i="7"/>
  <c r="V80" i="7"/>
  <c r="AB79" i="7"/>
  <c r="Z79" i="7"/>
  <c r="V79" i="7"/>
  <c r="AB78" i="7"/>
  <c r="Z78" i="7"/>
  <c r="V78" i="7"/>
  <c r="AB77" i="7"/>
  <c r="Z77" i="7"/>
  <c r="V77" i="7"/>
  <c r="D139" i="8"/>
  <c r="J139" i="8" s="1"/>
  <c r="CF73" i="7"/>
  <c r="CD73" i="7"/>
  <c r="D132" i="8" s="1"/>
  <c r="J132" i="8" s="1"/>
  <c r="BX73" i="7"/>
  <c r="BV73" i="7"/>
  <c r="D125" i="8" s="1"/>
  <c r="J125" i="8" s="1"/>
  <c r="D118" i="8"/>
  <c r="J118" i="8" s="1"/>
  <c r="V1963" i="9" s="1"/>
  <c r="D138" i="8"/>
  <c r="J138" i="8" s="1"/>
  <c r="CF72" i="7"/>
  <c r="CD72" i="7"/>
  <c r="BX72" i="7"/>
  <c r="BV72" i="7"/>
  <c r="D124" i="8" s="1"/>
  <c r="J124" i="8" s="1"/>
  <c r="BL72" i="7"/>
  <c r="BJ72" i="7"/>
  <c r="D117" i="8" s="1"/>
  <c r="D137" i="8"/>
  <c r="J137" i="8" s="1"/>
  <c r="CF71" i="7"/>
  <c r="CD71" i="7"/>
  <c r="D130" i="8" s="1"/>
  <c r="J130" i="8" s="1"/>
  <c r="BX71" i="7"/>
  <c r="BV71" i="7"/>
  <c r="D136" i="8"/>
  <c r="J136" i="8" s="1"/>
  <c r="CF70" i="7"/>
  <c r="CD70" i="7"/>
  <c r="D129" i="8" s="1"/>
  <c r="J129" i="8" s="1"/>
  <c r="BX70" i="7"/>
  <c r="BV70" i="7"/>
  <c r="AB70" i="7"/>
  <c r="V70" i="7"/>
  <c r="X70" i="7" s="1"/>
  <c r="T70" i="7"/>
  <c r="P70" i="7"/>
  <c r="L70" i="7"/>
  <c r="H70" i="7"/>
  <c r="D135" i="8"/>
  <c r="J135" i="8" s="1"/>
  <c r="CF69" i="7"/>
  <c r="CD69" i="7"/>
  <c r="D128" i="8" s="1"/>
  <c r="J128" i="8" s="1"/>
  <c r="BX69" i="7"/>
  <c r="BV69" i="7"/>
  <c r="D121" i="8" s="1"/>
  <c r="J121" i="8" s="1"/>
  <c r="AB69" i="7"/>
  <c r="BH69" i="7" s="1"/>
  <c r="BL69" i="7" s="1"/>
  <c r="Z69" i="7"/>
  <c r="BF69" i="7" s="1"/>
  <c r="BJ69" i="7" s="1"/>
  <c r="D134" i="8"/>
  <c r="J134" i="8" s="1"/>
  <c r="CF68" i="7"/>
  <c r="CD68" i="7"/>
  <c r="D127" i="8" s="1"/>
  <c r="J127" i="8" s="1"/>
  <c r="BX68" i="7"/>
  <c r="BV68" i="7"/>
  <c r="D120" i="8" s="1"/>
  <c r="J120" i="8" s="1"/>
  <c r="AB68" i="7"/>
  <c r="BH68" i="7" s="1"/>
  <c r="BL68" i="7" s="1"/>
  <c r="D133" i="8"/>
  <c r="J133" i="8" s="1"/>
  <c r="CF67" i="7"/>
  <c r="CD67" i="7"/>
  <c r="D126" i="8" s="1"/>
  <c r="J126" i="8" s="1"/>
  <c r="BX67" i="7"/>
  <c r="BV67" i="7"/>
  <c r="D119" i="8" s="1"/>
  <c r="J119" i="8" s="1"/>
  <c r="D105" i="8"/>
  <c r="J105" i="8" s="1"/>
  <c r="CF52" i="7"/>
  <c r="CD52" i="7"/>
  <c r="D100" i="8" s="1"/>
  <c r="J100" i="8" s="1"/>
  <c r="BX52" i="7"/>
  <c r="BV52" i="7"/>
  <c r="D95" i="8" s="1"/>
  <c r="J95" i="8" s="1"/>
  <c r="BL52" i="7"/>
  <c r="BJ52" i="7"/>
  <c r="D90" i="8" s="1"/>
  <c r="J90" i="8" s="1"/>
  <c r="D104" i="8"/>
  <c r="J104" i="8" s="1"/>
  <c r="CF51" i="7"/>
  <c r="CD51" i="7"/>
  <c r="D99" i="8" s="1"/>
  <c r="J99" i="8" s="1"/>
  <c r="BX51" i="7"/>
  <c r="BV51" i="7"/>
  <c r="D94" i="8" s="1"/>
  <c r="J94" i="8" s="1"/>
  <c r="BL51" i="7"/>
  <c r="BJ51" i="7"/>
  <c r="D89" i="8" s="1"/>
  <c r="D103" i="8"/>
  <c r="J103" i="8" s="1"/>
  <c r="CF50" i="7"/>
  <c r="CD50" i="7"/>
  <c r="D98" i="8" s="1"/>
  <c r="J98" i="8" s="1"/>
  <c r="BX50" i="7"/>
  <c r="BV50" i="7"/>
  <c r="D93" i="8" s="1"/>
  <c r="J93" i="8" s="1"/>
  <c r="BF50" i="7"/>
  <c r="X50" i="7"/>
  <c r="V50" i="7"/>
  <c r="T50" i="7"/>
  <c r="D102" i="8"/>
  <c r="J102" i="8" s="1"/>
  <c r="CF49" i="7"/>
  <c r="CD49" i="7"/>
  <c r="D97" i="8" s="1"/>
  <c r="J97" i="8" s="1"/>
  <c r="BX49" i="7"/>
  <c r="BV49" i="7"/>
  <c r="D92" i="8" s="1"/>
  <c r="J92" i="8" s="1"/>
  <c r="BF49" i="7"/>
  <c r="X49" i="7"/>
  <c r="V49" i="7"/>
  <c r="T49" i="7"/>
  <c r="D101" i="8"/>
  <c r="J101" i="8" s="1"/>
  <c r="CF48" i="7"/>
  <c r="CD48" i="7"/>
  <c r="D96" i="8" s="1"/>
  <c r="J96" i="8" s="1"/>
  <c r="BX48" i="7"/>
  <c r="BV48" i="7"/>
  <c r="D91" i="8" s="1"/>
  <c r="J91" i="8" s="1"/>
  <c r="V48" i="7"/>
  <c r="T48" i="7"/>
  <c r="AF40" i="7"/>
  <c r="AD40" i="7"/>
  <c r="X40" i="7"/>
  <c r="V40" i="7"/>
  <c r="H40" i="7"/>
  <c r="F40" i="7"/>
  <c r="AF39" i="7"/>
  <c r="AD39" i="7"/>
  <c r="X39" i="7"/>
  <c r="V39" i="7"/>
  <c r="H39" i="7"/>
  <c r="F39" i="7"/>
  <c r="AF38" i="7"/>
  <c r="AD38" i="7"/>
  <c r="X38" i="7"/>
  <c r="V38" i="7"/>
  <c r="H38" i="7"/>
  <c r="F38" i="7"/>
  <c r="AF37" i="7"/>
  <c r="AD37" i="7"/>
  <c r="X37" i="7"/>
  <c r="V37" i="7"/>
  <c r="H37" i="7"/>
  <c r="F37" i="7"/>
  <c r="AF36" i="7"/>
  <c r="AD36" i="7"/>
  <c r="AB36" i="7"/>
  <c r="Z36" i="7"/>
  <c r="X36" i="7"/>
  <c r="V36" i="7"/>
  <c r="T36" i="7"/>
  <c r="R36" i="7"/>
  <c r="H36" i="7"/>
  <c r="F36" i="7"/>
  <c r="X35" i="7"/>
  <c r="V35" i="7"/>
  <c r="H35" i="7"/>
  <c r="F35" i="7"/>
  <c r="X34" i="7"/>
  <c r="V34" i="7"/>
  <c r="H34" i="7"/>
  <c r="F34" i="7"/>
  <c r="AF32" i="7"/>
  <c r="AD32" i="7"/>
  <c r="AB32" i="7"/>
  <c r="Z32" i="7"/>
  <c r="X32" i="7"/>
  <c r="V32" i="7"/>
  <c r="J32" i="7"/>
  <c r="H32" i="7"/>
  <c r="F32" i="7"/>
  <c r="D79" i="8"/>
  <c r="CF28" i="7"/>
  <c r="CD28" i="7"/>
  <c r="D67" i="8" s="1"/>
  <c r="J67" i="8" s="1"/>
  <c r="CB28" i="7"/>
  <c r="BZ28" i="7"/>
  <c r="D55" i="8" s="1"/>
  <c r="J55" i="8" s="1"/>
  <c r="BX28" i="7"/>
  <c r="BV28" i="7"/>
  <c r="D43" i="8" s="1"/>
  <c r="J43" i="8" s="1"/>
  <c r="BR28" i="7"/>
  <c r="D31" i="8" s="1"/>
  <c r="J31" i="8" s="1"/>
  <c r="BL28" i="7"/>
  <c r="D78" i="8"/>
  <c r="CF27" i="7"/>
  <c r="CD27" i="7"/>
  <c r="D66" i="8" s="1"/>
  <c r="J66" i="8" s="1"/>
  <c r="CB27" i="7"/>
  <c r="BZ27" i="7"/>
  <c r="D54" i="8" s="1"/>
  <c r="J54" i="8" s="1"/>
  <c r="BX27" i="7"/>
  <c r="BV27" i="7"/>
  <c r="D42" i="8" s="1"/>
  <c r="J42" i="8" s="1"/>
  <c r="AZ27" i="7"/>
  <c r="AF27" i="7"/>
  <c r="BT27" i="7" s="1"/>
  <c r="AD27" i="7"/>
  <c r="BR27" i="7" s="1"/>
  <c r="D30" i="8" s="1"/>
  <c r="J30" i="8" s="1"/>
  <c r="AB27" i="7"/>
  <c r="BH27" i="7" s="1"/>
  <c r="BL27" i="7" s="1"/>
  <c r="Z27" i="7"/>
  <c r="BF27" i="7" s="1"/>
  <c r="BJ27" i="7" s="1"/>
  <c r="R27" i="7"/>
  <c r="AX27" i="7" s="1"/>
  <c r="P27" i="7"/>
  <c r="L27" i="7"/>
  <c r="H27" i="7"/>
  <c r="D77" i="8"/>
  <c r="CF26" i="7"/>
  <c r="CD26" i="7"/>
  <c r="D65" i="8" s="1"/>
  <c r="J65" i="8" s="1"/>
  <c r="CB26" i="7"/>
  <c r="BZ26" i="7"/>
  <c r="D53" i="8" s="1"/>
  <c r="J53" i="8" s="1"/>
  <c r="BX26" i="7"/>
  <c r="BV26" i="7"/>
  <c r="D41" i="8" s="1"/>
  <c r="J41" i="8" s="1"/>
  <c r="AZ26" i="7"/>
  <c r="AF26" i="7"/>
  <c r="AD26" i="7"/>
  <c r="BR26" i="7" s="1"/>
  <c r="D29" i="8" s="1"/>
  <c r="J29" i="8" s="1"/>
  <c r="AB26" i="7"/>
  <c r="BH26" i="7" s="1"/>
  <c r="BL26" i="7" s="1"/>
  <c r="Z26" i="7"/>
  <c r="BF26" i="7" s="1"/>
  <c r="BJ26" i="7" s="1"/>
  <c r="R26" i="7"/>
  <c r="AX26" i="7" s="1"/>
  <c r="P26" i="7"/>
  <c r="L26" i="7"/>
  <c r="H26" i="7"/>
  <c r="D76" i="8"/>
  <c r="CF25" i="7"/>
  <c r="CD25" i="7"/>
  <c r="CB25" i="7"/>
  <c r="BZ25" i="7"/>
  <c r="D52" i="8" s="1"/>
  <c r="J52" i="8" s="1"/>
  <c r="BX25" i="7"/>
  <c r="BV25" i="7"/>
  <c r="AZ25" i="7"/>
  <c r="AF25" i="7"/>
  <c r="BT25" i="7" s="1"/>
  <c r="AD25" i="7"/>
  <c r="BR25" i="7" s="1"/>
  <c r="D28" i="8" s="1"/>
  <c r="J28" i="8" s="1"/>
  <c r="AB25" i="7"/>
  <c r="BH25" i="7" s="1"/>
  <c r="BL25" i="7" s="1"/>
  <c r="Z25" i="7"/>
  <c r="BF25" i="7" s="1"/>
  <c r="BJ25" i="7" s="1"/>
  <c r="R25" i="7"/>
  <c r="AX25" i="7" s="1"/>
  <c r="P25" i="7"/>
  <c r="L25" i="7"/>
  <c r="H25" i="7"/>
  <c r="D75" i="8"/>
  <c r="CF24" i="7"/>
  <c r="CD24" i="7"/>
  <c r="CB24" i="7"/>
  <c r="BZ24" i="7"/>
  <c r="D51" i="8" s="1"/>
  <c r="J51" i="8" s="1"/>
  <c r="BX24" i="7"/>
  <c r="BV24" i="7"/>
  <c r="AZ24" i="7"/>
  <c r="AF24" i="7"/>
  <c r="BT24" i="7" s="1"/>
  <c r="AD24" i="7"/>
  <c r="BR24" i="7" s="1"/>
  <c r="D27" i="8" s="1"/>
  <c r="J27" i="8" s="1"/>
  <c r="AB24" i="7"/>
  <c r="BH24" i="7" s="1"/>
  <c r="BL24" i="7" s="1"/>
  <c r="Z24" i="7"/>
  <c r="BF24" i="7" s="1"/>
  <c r="BJ24" i="7" s="1"/>
  <c r="R24" i="7"/>
  <c r="AX24" i="7" s="1"/>
  <c r="P24" i="7"/>
  <c r="L24" i="7"/>
  <c r="H24" i="7"/>
  <c r="D74" i="8"/>
  <c r="CF23" i="7"/>
  <c r="CB23" i="7"/>
  <c r="BZ23" i="7"/>
  <c r="D50" i="8" s="1"/>
  <c r="J50" i="8" s="1"/>
  <c r="BX23" i="7"/>
  <c r="BT23" i="7"/>
  <c r="BR23" i="7"/>
  <c r="D26" i="8" s="1"/>
  <c r="J26" i="8" s="1"/>
  <c r="AZ23" i="7"/>
  <c r="AR23" i="7"/>
  <c r="AP23" i="7"/>
  <c r="CD23" i="7" s="1"/>
  <c r="D62" i="8" s="1"/>
  <c r="J62" i="8" s="1"/>
  <c r="AH23" i="7"/>
  <c r="BV23" i="7" s="1"/>
  <c r="D38" i="8" s="1"/>
  <c r="J38" i="8" s="1"/>
  <c r="AB23" i="7"/>
  <c r="BH23" i="7" s="1"/>
  <c r="BL23" i="7" s="1"/>
  <c r="Z23" i="7"/>
  <c r="BF23" i="7" s="1"/>
  <c r="BJ23" i="7" s="1"/>
  <c r="R23" i="7"/>
  <c r="AX23" i="7" s="1"/>
  <c r="P23" i="7"/>
  <c r="L23" i="7"/>
  <c r="H23" i="7"/>
  <c r="D73" i="8"/>
  <c r="CF22" i="7"/>
  <c r="CD22" i="7"/>
  <c r="D61" i="8" s="1"/>
  <c r="J61" i="8" s="1"/>
  <c r="CB22" i="7"/>
  <c r="BZ22" i="7"/>
  <c r="D49" i="8" s="1"/>
  <c r="J49" i="8" s="1"/>
  <c r="BX22" i="7"/>
  <c r="BV22" i="7"/>
  <c r="D37" i="8" s="1"/>
  <c r="J37" i="8" s="1"/>
  <c r="BT22" i="7"/>
  <c r="BR22" i="7"/>
  <c r="D25" i="8" s="1"/>
  <c r="J25" i="8" s="1"/>
  <c r="AZ22" i="7"/>
  <c r="AB22" i="7"/>
  <c r="BH22" i="7" s="1"/>
  <c r="BL22" i="7" s="1"/>
  <c r="Z22" i="7"/>
  <c r="BF22" i="7" s="1"/>
  <c r="BJ22" i="7" s="1"/>
  <c r="R22" i="7"/>
  <c r="AX22" i="7" s="1"/>
  <c r="P22" i="7"/>
  <c r="L22" i="7"/>
  <c r="H22" i="7"/>
  <c r="D72" i="8"/>
  <c r="CF21" i="7"/>
  <c r="CD21" i="7"/>
  <c r="D60" i="8" s="1"/>
  <c r="J60" i="8" s="1"/>
  <c r="CB21" i="7"/>
  <c r="BZ21" i="7"/>
  <c r="D48" i="8" s="1"/>
  <c r="J48" i="8" s="1"/>
  <c r="BX21" i="7"/>
  <c r="BV21" i="7"/>
  <c r="D36" i="8" s="1"/>
  <c r="J36" i="8" s="1"/>
  <c r="AZ21" i="7"/>
  <c r="D24" i="8"/>
  <c r="J24" i="8" s="1"/>
  <c r="AB21" i="7"/>
  <c r="BH21" i="7" s="1"/>
  <c r="BL21" i="7" s="1"/>
  <c r="Z21" i="7"/>
  <c r="BF21" i="7" s="1"/>
  <c r="BJ21" i="7" s="1"/>
  <c r="R21" i="7"/>
  <c r="AX21" i="7" s="1"/>
  <c r="P21" i="7"/>
  <c r="L21" i="7"/>
  <c r="H21" i="7"/>
  <c r="D71" i="8"/>
  <c r="CF20" i="7"/>
  <c r="CD20" i="7"/>
  <c r="D59" i="8" s="1"/>
  <c r="J59" i="8" s="1"/>
  <c r="CB20" i="7"/>
  <c r="BZ20" i="7"/>
  <c r="BX20" i="7"/>
  <c r="BV20" i="7"/>
  <c r="D35" i="8" s="1"/>
  <c r="J35" i="8" s="1"/>
  <c r="BT20" i="7"/>
  <c r="BR20" i="7"/>
  <c r="D23" i="8" s="1"/>
  <c r="J23" i="8" s="1"/>
  <c r="AZ20" i="7"/>
  <c r="AB20" i="7"/>
  <c r="BH20" i="7" s="1"/>
  <c r="BL20" i="7" s="1"/>
  <c r="Z20" i="7"/>
  <c r="BF20" i="7" s="1"/>
  <c r="BJ20" i="7" s="1"/>
  <c r="R20" i="7"/>
  <c r="AX20" i="7" s="1"/>
  <c r="P20" i="7"/>
  <c r="L20" i="7"/>
  <c r="H20" i="7"/>
  <c r="D70" i="8"/>
  <c r="CF19" i="7"/>
  <c r="CD19" i="7"/>
  <c r="D58" i="8" s="1"/>
  <c r="J58" i="8" s="1"/>
  <c r="BX19" i="7"/>
  <c r="BV19" i="7"/>
  <c r="D34" i="8" s="1"/>
  <c r="J34" i="8" s="1"/>
  <c r="AZ19" i="7"/>
  <c r="AD19" i="7"/>
  <c r="AB19" i="7"/>
  <c r="Z19" i="7"/>
  <c r="R19" i="7"/>
  <c r="P19" i="7"/>
  <c r="L19" i="7"/>
  <c r="H19" i="7"/>
  <c r="D69" i="8"/>
  <c r="CF18" i="7"/>
  <c r="CD18" i="7"/>
  <c r="D57" i="8" s="1"/>
  <c r="J57" i="8" s="1"/>
  <c r="BX18" i="7"/>
  <c r="BV18" i="7"/>
  <c r="D33" i="8" s="1"/>
  <c r="J33" i="8" s="1"/>
  <c r="AZ18" i="7"/>
  <c r="AD18" i="7"/>
  <c r="AB18" i="7"/>
  <c r="Z18" i="7"/>
  <c r="R18" i="7"/>
  <c r="P18" i="7"/>
  <c r="L18" i="7"/>
  <c r="H18" i="7"/>
  <c r="J68" i="8"/>
  <c r="CF17" i="7"/>
  <c r="CD17" i="7"/>
  <c r="BX17" i="7"/>
  <c r="BW17" i="7"/>
  <c r="BV17" i="7"/>
  <c r="AZ17" i="7"/>
  <c r="AD17" i="7"/>
  <c r="AB17" i="7"/>
  <c r="Z17" i="7"/>
  <c r="R17" i="7"/>
  <c r="P17" i="7"/>
  <c r="L17" i="7"/>
  <c r="H17" i="7"/>
  <c r="M18" i="4"/>
  <c r="M17" i="4"/>
  <c r="N16" i="4"/>
  <c r="M16" i="4"/>
  <c r="D16" i="4"/>
  <c r="N15" i="4"/>
  <c r="M15" i="4"/>
  <c r="N14" i="4"/>
  <c r="M14" i="4"/>
  <c r="N13" i="4"/>
  <c r="M13" i="4"/>
  <c r="N12" i="4"/>
  <c r="M12" i="4"/>
  <c r="N11" i="4"/>
  <c r="M11" i="4"/>
  <c r="M10" i="4"/>
  <c r="D10" i="4"/>
  <c r="M9" i="4"/>
  <c r="M19" i="4" s="1"/>
  <c r="I126" i="3"/>
  <c r="I125" i="3"/>
  <c r="J124" i="3"/>
  <c r="I124" i="3"/>
  <c r="J123" i="3"/>
  <c r="I123" i="3"/>
  <c r="J122" i="3"/>
  <c r="I122" i="3"/>
  <c r="J121" i="3"/>
  <c r="I121" i="3"/>
  <c r="J120" i="3"/>
  <c r="I120" i="3"/>
  <c r="J119" i="3"/>
  <c r="I119" i="3"/>
  <c r="I118" i="3"/>
  <c r="I117" i="3"/>
  <c r="I127" i="3" s="1"/>
  <c r="I102" i="3"/>
  <c r="I101" i="3"/>
  <c r="J100" i="3"/>
  <c r="I100" i="3"/>
  <c r="J99" i="3"/>
  <c r="I99" i="3"/>
  <c r="J98" i="3"/>
  <c r="I98" i="3"/>
  <c r="J97" i="3"/>
  <c r="I97" i="3"/>
  <c r="J96" i="3"/>
  <c r="I96" i="3"/>
  <c r="J95" i="3"/>
  <c r="I95" i="3"/>
  <c r="I94" i="3"/>
  <c r="I93" i="3"/>
  <c r="I103" i="3" s="1"/>
  <c r="I78" i="3"/>
  <c r="I77" i="3"/>
  <c r="J76" i="3"/>
  <c r="I76" i="3"/>
  <c r="J75" i="3"/>
  <c r="I75" i="3"/>
  <c r="J74" i="3"/>
  <c r="I74" i="3"/>
  <c r="J73" i="3"/>
  <c r="I73" i="3"/>
  <c r="J72" i="3"/>
  <c r="I72" i="3"/>
  <c r="J71" i="3"/>
  <c r="I71" i="3"/>
  <c r="I70" i="3"/>
  <c r="I69" i="3"/>
  <c r="I79" i="3" s="1"/>
  <c r="I54" i="3"/>
  <c r="I53" i="3"/>
  <c r="J52" i="3"/>
  <c r="I52" i="3"/>
  <c r="J51" i="3"/>
  <c r="I51" i="3"/>
  <c r="J50" i="3"/>
  <c r="I50" i="3"/>
  <c r="J49" i="3"/>
  <c r="I49" i="3"/>
  <c r="J48" i="3"/>
  <c r="I48" i="3"/>
  <c r="J47" i="3"/>
  <c r="I47" i="3"/>
  <c r="I46" i="3"/>
  <c r="I45" i="3"/>
  <c r="I55" i="3" s="1"/>
  <c r="I30" i="3"/>
  <c r="I29" i="3"/>
  <c r="J28" i="3"/>
  <c r="I28" i="3"/>
  <c r="J27" i="3"/>
  <c r="I27" i="3"/>
  <c r="J26" i="3"/>
  <c r="I26" i="3"/>
  <c r="J25" i="3"/>
  <c r="I25" i="3"/>
  <c r="J24" i="3"/>
  <c r="I24" i="3"/>
  <c r="J23" i="3"/>
  <c r="I23" i="3"/>
  <c r="I22" i="3"/>
  <c r="I21" i="3"/>
  <c r="I31" i="3" s="1"/>
  <c r="D282" i="8" l="1"/>
  <c r="J282" i="8" s="1"/>
  <c r="D283" i="8"/>
  <c r="J283" i="8" s="1"/>
  <c r="D343" i="8"/>
  <c r="J343" i="8" s="1"/>
  <c r="D280" i="8"/>
  <c r="J280" i="8" s="1"/>
  <c r="D342" i="8"/>
  <c r="J342" i="8" s="1"/>
  <c r="BN93" i="7"/>
  <c r="D281" i="8"/>
  <c r="J278" i="8"/>
  <c r="BN91" i="7"/>
  <c r="D279" i="8"/>
  <c r="BN100" i="7"/>
  <c r="D336" i="8"/>
  <c r="J336" i="8" s="1"/>
  <c r="J285" i="8"/>
  <c r="E100" i="3" a="1"/>
  <c r="E100" i="3" s="1"/>
  <c r="J284" i="8"/>
  <c r="E99" i="3" a="1"/>
  <c r="E99" i="3" s="1"/>
  <c r="J340" i="8"/>
  <c r="E125" i="3" a="1"/>
  <c r="E125" i="3" s="1"/>
  <c r="J341" i="8"/>
  <c r="E126" i="3" a="1"/>
  <c r="E126" i="3" s="1"/>
  <c r="V1957" i="9"/>
  <c r="V1958" i="9"/>
  <c r="V1962" i="9"/>
  <c r="V1959" i="9"/>
  <c r="V1960" i="9"/>
  <c r="V1961" i="9"/>
  <c r="D216" i="8"/>
  <c r="J216" i="8" s="1"/>
  <c r="D348" i="8"/>
  <c r="D157" i="8"/>
  <c r="J157" i="8" s="1"/>
  <c r="W1102" i="9" s="1"/>
  <c r="D289" i="8"/>
  <c r="J289" i="8" s="1"/>
  <c r="J232" i="8"/>
  <c r="X1946" i="9" s="1"/>
  <c r="J234" i="8"/>
  <c r="X1948" i="9" s="1"/>
  <c r="J233" i="8"/>
  <c r="X1947" i="9" s="1"/>
  <c r="J235" i="8"/>
  <c r="X1949" i="9" s="1"/>
  <c r="W1943" i="9"/>
  <c r="BN97" i="7"/>
  <c r="BP99" i="7"/>
  <c r="BP101" i="7"/>
  <c r="V1965" i="9"/>
  <c r="V1969" i="9"/>
  <c r="V1964" i="9"/>
  <c r="V1968" i="9"/>
  <c r="V1966" i="9"/>
  <c r="V1970" i="9"/>
  <c r="V1967" i="9"/>
  <c r="V1134" i="9"/>
  <c r="V1133" i="9"/>
  <c r="V1135" i="9"/>
  <c r="V1130" i="9"/>
  <c r="V1129" i="9"/>
  <c r="V1132" i="9"/>
  <c r="V1131" i="9"/>
  <c r="V1128" i="9"/>
  <c r="V1127" i="9"/>
  <c r="V1120" i="9"/>
  <c r="V1121" i="9"/>
  <c r="V1126" i="9"/>
  <c r="V1123" i="9"/>
  <c r="V1122" i="9"/>
  <c r="V1119" i="9"/>
  <c r="V1125" i="9"/>
  <c r="V1124" i="9"/>
  <c r="V1116" i="9"/>
  <c r="V1113" i="9"/>
  <c r="V1106" i="9"/>
  <c r="V1114" i="9"/>
  <c r="V1110" i="9"/>
  <c r="V1117" i="9"/>
  <c r="V1111" i="9"/>
  <c r="V1107" i="9"/>
  <c r="V1118" i="9"/>
  <c r="V1115" i="9"/>
  <c r="V1112" i="9"/>
  <c r="V1109" i="9"/>
  <c r="V1108" i="9"/>
  <c r="V1105" i="9"/>
  <c r="V1095" i="9"/>
  <c r="V1092" i="9"/>
  <c r="V1089" i="9"/>
  <c r="V1083" i="9"/>
  <c r="V1077" i="9"/>
  <c r="V1074" i="9"/>
  <c r="V1071" i="9"/>
  <c r="V1104" i="9"/>
  <c r="V1100" i="9"/>
  <c r="V1093" i="9"/>
  <c r="V1091" i="9"/>
  <c r="V1086" i="9"/>
  <c r="V1084" i="9"/>
  <c r="V1081" i="9"/>
  <c r="V1075" i="9"/>
  <c r="V1073" i="9"/>
  <c r="V1068" i="9"/>
  <c r="V1099" i="9"/>
  <c r="V1096" i="9"/>
  <c r="V1090" i="9"/>
  <c r="V1088" i="9"/>
  <c r="V1080" i="9"/>
  <c r="V1067" i="9"/>
  <c r="V1064" i="9"/>
  <c r="V1102" i="9"/>
  <c r="V1098" i="9"/>
  <c r="V1085" i="9"/>
  <c r="V1078" i="9"/>
  <c r="V1072" i="9"/>
  <c r="V1070" i="9"/>
  <c r="V1066" i="9"/>
  <c r="V1065" i="9"/>
  <c r="V1103" i="9"/>
  <c r="V1094" i="9"/>
  <c r="V1087" i="9"/>
  <c r="V1082" i="9"/>
  <c r="V1079" i="9"/>
  <c r="V1097" i="9"/>
  <c r="V1063" i="9"/>
  <c r="V1059" i="9"/>
  <c r="V1056" i="9"/>
  <c r="V1101" i="9"/>
  <c r="V1062" i="9"/>
  <c r="V1058" i="9"/>
  <c r="V1060" i="9"/>
  <c r="V1057" i="9"/>
  <c r="V1054" i="9"/>
  <c r="V1069" i="9"/>
  <c r="V1052" i="9"/>
  <c r="V1046" i="9"/>
  <c r="V1044" i="9"/>
  <c r="V1042" i="9"/>
  <c r="V1038" i="9"/>
  <c r="V1032" i="9"/>
  <c r="V1030" i="9"/>
  <c r="V1028" i="9"/>
  <c r="V1053" i="9"/>
  <c r="V1048" i="9"/>
  <c r="V1043" i="9"/>
  <c r="V1041" i="9"/>
  <c r="V1039" i="9"/>
  <c r="V1034" i="9"/>
  <c r="V1029" i="9"/>
  <c r="V1061" i="9"/>
  <c r="V1055" i="9"/>
  <c r="V1051" i="9"/>
  <c r="V1049" i="9"/>
  <c r="V1040" i="9"/>
  <c r="V1037" i="9"/>
  <c r="V1035" i="9"/>
  <c r="V1076" i="9"/>
  <c r="V1050" i="9"/>
  <c r="V1047" i="9"/>
  <c r="V1045" i="9"/>
  <c r="V1036" i="9"/>
  <c r="V1033" i="9"/>
  <c r="V1031" i="9"/>
  <c r="V1025" i="9"/>
  <c r="V1027" i="9"/>
  <c r="V1023" i="9"/>
  <c r="V1026" i="9"/>
  <c r="V1024" i="9"/>
  <c r="V1018" i="9"/>
  <c r="V1015" i="9"/>
  <c r="V1012" i="9"/>
  <c r="V1006" i="9"/>
  <c r="V1000" i="9"/>
  <c r="V997" i="9"/>
  <c r="V994" i="9"/>
  <c r="V980" i="9"/>
  <c r="V977" i="9"/>
  <c r="V974" i="9"/>
  <c r="V968" i="9"/>
  <c r="V962" i="9"/>
  <c r="V959" i="9"/>
  <c r="V956" i="9"/>
  <c r="V951" i="9"/>
  <c r="V950" i="9"/>
  <c r="V1022" i="9"/>
  <c r="V1021" i="9"/>
  <c r="V1019" i="9"/>
  <c r="V1013" i="9"/>
  <c r="V1011" i="9"/>
  <c r="V1008" i="9"/>
  <c r="V1003" i="9"/>
  <c r="V1001" i="9"/>
  <c r="V995" i="9"/>
  <c r="V993" i="9"/>
  <c r="V990" i="9"/>
  <c r="V987" i="9"/>
  <c r="V984" i="9"/>
  <c r="V983" i="9"/>
  <c r="V981" i="9"/>
  <c r="V975" i="9"/>
  <c r="V973" i="9"/>
  <c r="V970" i="9"/>
  <c r="V965" i="9"/>
  <c r="V963" i="9"/>
  <c r="V957" i="9"/>
  <c r="V955" i="9"/>
  <c r="V952" i="9"/>
  <c r="V1016" i="9"/>
  <c r="V1014" i="9"/>
  <c r="V1009" i="9"/>
  <c r="V1007" i="9"/>
  <c r="V1004" i="9"/>
  <c r="V998" i="9"/>
  <c r="V996" i="9"/>
  <c r="V991" i="9"/>
  <c r="V989" i="9"/>
  <c r="V985" i="9"/>
  <c r="V978" i="9"/>
  <c r="V976" i="9"/>
  <c r="V971" i="9"/>
  <c r="V969" i="9"/>
  <c r="V966" i="9"/>
  <c r="V960" i="9"/>
  <c r="V958" i="9"/>
  <c r="V953" i="9"/>
  <c r="V949" i="9"/>
  <c r="V1020" i="9"/>
  <c r="V1017" i="9"/>
  <c r="V1010" i="9"/>
  <c r="V1005" i="9"/>
  <c r="V1002" i="9"/>
  <c r="V999" i="9"/>
  <c r="V992" i="9"/>
  <c r="V988" i="9"/>
  <c r="V986" i="9"/>
  <c r="V982" i="9"/>
  <c r="V979" i="9"/>
  <c r="V972" i="9"/>
  <c r="V967" i="9"/>
  <c r="V964" i="9"/>
  <c r="V961" i="9"/>
  <c r="V954" i="9"/>
  <c r="V948" i="9"/>
  <c r="V944" i="9"/>
  <c r="V941" i="9"/>
  <c r="V939" i="9"/>
  <c r="V935" i="9"/>
  <c r="V932" i="9"/>
  <c r="V925" i="9"/>
  <c r="V920" i="9"/>
  <c r="V917" i="9"/>
  <c r="V914" i="9"/>
  <c r="V907" i="9"/>
  <c r="V903" i="9"/>
  <c r="V901" i="9"/>
  <c r="V897" i="9"/>
  <c r="V894" i="9"/>
  <c r="V947" i="9"/>
  <c r="V943" i="9"/>
  <c r="V933" i="9"/>
  <c r="V930" i="9"/>
  <c r="V927" i="9"/>
  <c r="V921" i="9"/>
  <c r="V915" i="9"/>
  <c r="V912" i="9"/>
  <c r="V909" i="9"/>
  <c r="V895" i="9"/>
  <c r="V892" i="9"/>
  <c r="V889" i="9"/>
  <c r="V946" i="9"/>
  <c r="V940" i="9"/>
  <c r="V937" i="9"/>
  <c r="V936" i="9"/>
  <c r="V934" i="9"/>
  <c r="V928" i="9"/>
  <c r="V926" i="9"/>
  <c r="V923" i="9"/>
  <c r="V918" i="9"/>
  <c r="V916" i="9"/>
  <c r="V910" i="9"/>
  <c r="V908" i="9"/>
  <c r="V905" i="9"/>
  <c r="V902" i="9"/>
  <c r="V899" i="9"/>
  <c r="V898" i="9"/>
  <c r="V896" i="9"/>
  <c r="V890" i="9"/>
  <c r="V945" i="9"/>
  <c r="V942" i="9"/>
  <c r="V938" i="9"/>
  <c r="V931" i="9"/>
  <c r="V929" i="9"/>
  <c r="V924" i="9"/>
  <c r="V922" i="9"/>
  <c r="V919" i="9"/>
  <c r="V913" i="9"/>
  <c r="V911" i="9"/>
  <c r="V906" i="9"/>
  <c r="V904" i="9"/>
  <c r="V900" i="9"/>
  <c r="V893" i="9"/>
  <c r="V891" i="9"/>
  <c r="V883" i="9"/>
  <c r="V877" i="9"/>
  <c r="V874" i="9"/>
  <c r="V871" i="9"/>
  <c r="V888" i="9"/>
  <c r="V885" i="9"/>
  <c r="V880" i="9"/>
  <c r="V878" i="9"/>
  <c r="V872" i="9"/>
  <c r="V870" i="9"/>
  <c r="V867" i="9"/>
  <c r="V886" i="9"/>
  <c r="V884" i="9"/>
  <c r="V881" i="9"/>
  <c r="V875" i="9"/>
  <c r="V873" i="9"/>
  <c r="V868" i="9"/>
  <c r="V887" i="9"/>
  <c r="V882" i="9"/>
  <c r="V879" i="9"/>
  <c r="V876" i="9"/>
  <c r="V869" i="9"/>
  <c r="T1967" i="9"/>
  <c r="T1966" i="9"/>
  <c r="T1970" i="9"/>
  <c r="T1965" i="9"/>
  <c r="T1969" i="9"/>
  <c r="T1964" i="9"/>
  <c r="T1968" i="9"/>
  <c r="T1135" i="9"/>
  <c r="T1133" i="9"/>
  <c r="T1134" i="9"/>
  <c r="T1132" i="9"/>
  <c r="T1131" i="9"/>
  <c r="T1130" i="9"/>
  <c r="T1129" i="9"/>
  <c r="T1128" i="9"/>
  <c r="T1127" i="9"/>
  <c r="T1126" i="9"/>
  <c r="T1123" i="9"/>
  <c r="T1122" i="9"/>
  <c r="T1119" i="9"/>
  <c r="T1125" i="9"/>
  <c r="T1124" i="9"/>
  <c r="T1120" i="9"/>
  <c r="T1121" i="9"/>
  <c r="T1117" i="9"/>
  <c r="T1111" i="9"/>
  <c r="T1107" i="9"/>
  <c r="T1118" i="9"/>
  <c r="T1115" i="9"/>
  <c r="T1112" i="9"/>
  <c r="T1109" i="9"/>
  <c r="T1108" i="9"/>
  <c r="T1105" i="9"/>
  <c r="T1116" i="9"/>
  <c r="T1113" i="9"/>
  <c r="T1106" i="9"/>
  <c r="T1114" i="9"/>
  <c r="T1110" i="9"/>
  <c r="T1104" i="9"/>
  <c r="T1100" i="9"/>
  <c r="T1093" i="9"/>
  <c r="T1091" i="9"/>
  <c r="T1086" i="9"/>
  <c r="T1084" i="9"/>
  <c r="T1081" i="9"/>
  <c r="T1075" i="9"/>
  <c r="T1073" i="9"/>
  <c r="T1068" i="9"/>
  <c r="T1095" i="9"/>
  <c r="T1092" i="9"/>
  <c r="T1089" i="9"/>
  <c r="T1083" i="9"/>
  <c r="T1077" i="9"/>
  <c r="T1074" i="9"/>
  <c r="T1071" i="9"/>
  <c r="T1103" i="9"/>
  <c r="T1094" i="9"/>
  <c r="T1087" i="9"/>
  <c r="T1082" i="9"/>
  <c r="T1079" i="9"/>
  <c r="T1066" i="9"/>
  <c r="T1065" i="9"/>
  <c r="T1101" i="9"/>
  <c r="T1097" i="9"/>
  <c r="T1076" i="9"/>
  <c r="T1069" i="9"/>
  <c r="T1064" i="9"/>
  <c r="T1102" i="9"/>
  <c r="T1098" i="9"/>
  <c r="T1085" i="9"/>
  <c r="T1078" i="9"/>
  <c r="T1072" i="9"/>
  <c r="T1070" i="9"/>
  <c r="T1061" i="9"/>
  <c r="T1055" i="9"/>
  <c r="T1053" i="9"/>
  <c r="T1096" i="9"/>
  <c r="T1090" i="9"/>
  <c r="T1088" i="9"/>
  <c r="T1060" i="9"/>
  <c r="T1057" i="9"/>
  <c r="T1054" i="9"/>
  <c r="T1067" i="9"/>
  <c r="T1062" i="9"/>
  <c r="T1058" i="9"/>
  <c r="T1059" i="9"/>
  <c r="T1051" i="9"/>
  <c r="T1049" i="9"/>
  <c r="T1040" i="9"/>
  <c r="T1037" i="9"/>
  <c r="T1035" i="9"/>
  <c r="T1080" i="9"/>
  <c r="T1050" i="9"/>
  <c r="T1047" i="9"/>
  <c r="T1045" i="9"/>
  <c r="T1036" i="9"/>
  <c r="T1033" i="9"/>
  <c r="T1031" i="9"/>
  <c r="T1099" i="9"/>
  <c r="T1052" i="9"/>
  <c r="T1046" i="9"/>
  <c r="T1044" i="9"/>
  <c r="T1042" i="9"/>
  <c r="T1038" i="9"/>
  <c r="T1032" i="9"/>
  <c r="T1030" i="9"/>
  <c r="T1028" i="9"/>
  <c r="T1063" i="9"/>
  <c r="T1056" i="9"/>
  <c r="T1048" i="9"/>
  <c r="T1043" i="9"/>
  <c r="T1041" i="9"/>
  <c r="T1039" i="9"/>
  <c r="T1034" i="9"/>
  <c r="T1029" i="9"/>
  <c r="T1027" i="9"/>
  <c r="T1026" i="9"/>
  <c r="T1024" i="9"/>
  <c r="T1025" i="9"/>
  <c r="T1023" i="9"/>
  <c r="T1016" i="9"/>
  <c r="T1014" i="9"/>
  <c r="T1009" i="9"/>
  <c r="T1007" i="9"/>
  <c r="T1004" i="9"/>
  <c r="T998" i="9"/>
  <c r="T996" i="9"/>
  <c r="T991" i="9"/>
  <c r="T989" i="9"/>
  <c r="T985" i="9"/>
  <c r="T978" i="9"/>
  <c r="T976" i="9"/>
  <c r="T971" i="9"/>
  <c r="T969" i="9"/>
  <c r="T966" i="9"/>
  <c r="T960" i="9"/>
  <c r="T958" i="9"/>
  <c r="T953" i="9"/>
  <c r="T949" i="9"/>
  <c r="T1020" i="9"/>
  <c r="T1017" i="9"/>
  <c r="T1010" i="9"/>
  <c r="T1005" i="9"/>
  <c r="T1002" i="9"/>
  <c r="T999" i="9"/>
  <c r="T992" i="9"/>
  <c r="T988" i="9"/>
  <c r="T986" i="9"/>
  <c r="T982" i="9"/>
  <c r="T979" i="9"/>
  <c r="T972" i="9"/>
  <c r="T967" i="9"/>
  <c r="T964" i="9"/>
  <c r="T961" i="9"/>
  <c r="T954" i="9"/>
  <c r="T1018" i="9"/>
  <c r="T1015" i="9"/>
  <c r="T1012" i="9"/>
  <c r="T1006" i="9"/>
  <c r="T1000" i="9"/>
  <c r="T997" i="9"/>
  <c r="T994" i="9"/>
  <c r="T980" i="9"/>
  <c r="T977" i="9"/>
  <c r="T974" i="9"/>
  <c r="T968" i="9"/>
  <c r="T962" i="9"/>
  <c r="T959" i="9"/>
  <c r="T956" i="9"/>
  <c r="T951" i="9"/>
  <c r="T950" i="9"/>
  <c r="T1022" i="9"/>
  <c r="T1021" i="9"/>
  <c r="T1019" i="9"/>
  <c r="T1013" i="9"/>
  <c r="T1011" i="9"/>
  <c r="T1008" i="9"/>
  <c r="T1003" i="9"/>
  <c r="T1001" i="9"/>
  <c r="T995" i="9"/>
  <c r="T993" i="9"/>
  <c r="T990" i="9"/>
  <c r="T987" i="9"/>
  <c r="T984" i="9"/>
  <c r="T983" i="9"/>
  <c r="T981" i="9"/>
  <c r="T975" i="9"/>
  <c r="T973" i="9"/>
  <c r="T970" i="9"/>
  <c r="T965" i="9"/>
  <c r="T963" i="9"/>
  <c r="T957" i="9"/>
  <c r="T955" i="9"/>
  <c r="T952" i="9"/>
  <c r="T946" i="9"/>
  <c r="T940" i="9"/>
  <c r="T937" i="9"/>
  <c r="T936" i="9"/>
  <c r="T934" i="9"/>
  <c r="T928" i="9"/>
  <c r="T926" i="9"/>
  <c r="T923" i="9"/>
  <c r="T918" i="9"/>
  <c r="T916" i="9"/>
  <c r="T910" i="9"/>
  <c r="T908" i="9"/>
  <c r="T905" i="9"/>
  <c r="T902" i="9"/>
  <c r="T899" i="9"/>
  <c r="T898" i="9"/>
  <c r="T896" i="9"/>
  <c r="T890" i="9"/>
  <c r="T945" i="9"/>
  <c r="T942" i="9"/>
  <c r="T938" i="9"/>
  <c r="T931" i="9"/>
  <c r="T929" i="9"/>
  <c r="T924" i="9"/>
  <c r="T922" i="9"/>
  <c r="T919" i="9"/>
  <c r="T913" i="9"/>
  <c r="T911" i="9"/>
  <c r="T906" i="9"/>
  <c r="T904" i="9"/>
  <c r="T900" i="9"/>
  <c r="T893" i="9"/>
  <c r="T891" i="9"/>
  <c r="T948" i="9"/>
  <c r="T944" i="9"/>
  <c r="T941" i="9"/>
  <c r="T939" i="9"/>
  <c r="T935" i="9"/>
  <c r="T932" i="9"/>
  <c r="T925" i="9"/>
  <c r="T920" i="9"/>
  <c r="T917" i="9"/>
  <c r="T914" i="9"/>
  <c r="T907" i="9"/>
  <c r="T903" i="9"/>
  <c r="T901" i="9"/>
  <c r="T897" i="9"/>
  <c r="T894" i="9"/>
  <c r="T947" i="9"/>
  <c r="T943" i="9"/>
  <c r="T933" i="9"/>
  <c r="T930" i="9"/>
  <c r="T927" i="9"/>
  <c r="T921" i="9"/>
  <c r="T915" i="9"/>
  <c r="T912" i="9"/>
  <c r="T909" i="9"/>
  <c r="T895" i="9"/>
  <c r="T892" i="9"/>
  <c r="T889" i="9"/>
  <c r="T886" i="9"/>
  <c r="T884" i="9"/>
  <c r="T881" i="9"/>
  <c r="T875" i="9"/>
  <c r="T873" i="9"/>
  <c r="T868" i="9"/>
  <c r="T887" i="9"/>
  <c r="T882" i="9"/>
  <c r="T879" i="9"/>
  <c r="T876" i="9"/>
  <c r="T869" i="9"/>
  <c r="T883" i="9"/>
  <c r="T877" i="9"/>
  <c r="T874" i="9"/>
  <c r="T871" i="9"/>
  <c r="T888" i="9"/>
  <c r="T885" i="9"/>
  <c r="T880" i="9"/>
  <c r="T878" i="9"/>
  <c r="T872" i="9"/>
  <c r="T870" i="9"/>
  <c r="T867" i="9"/>
  <c r="X1964" i="9"/>
  <c r="X1959" i="9"/>
  <c r="X1957" i="9"/>
  <c r="X1958" i="9"/>
  <c r="U1968" i="9"/>
  <c r="U1964" i="9"/>
  <c r="U1965" i="9"/>
  <c r="U1969" i="9"/>
  <c r="U1967" i="9"/>
  <c r="U1966" i="9"/>
  <c r="U1970" i="9"/>
  <c r="U1135" i="9"/>
  <c r="U1134" i="9"/>
  <c r="U1133" i="9"/>
  <c r="U1131" i="9"/>
  <c r="U1130" i="9"/>
  <c r="U1129" i="9"/>
  <c r="U1132" i="9"/>
  <c r="U1128" i="9"/>
  <c r="U1127" i="9"/>
  <c r="U1125" i="9"/>
  <c r="U1124" i="9"/>
  <c r="U1120" i="9"/>
  <c r="U1121" i="9"/>
  <c r="U1126" i="9"/>
  <c r="U1123" i="9"/>
  <c r="U1122" i="9"/>
  <c r="U1119" i="9"/>
  <c r="U1118" i="9"/>
  <c r="U1115" i="9"/>
  <c r="U1112" i="9"/>
  <c r="U1109" i="9"/>
  <c r="U1108" i="9"/>
  <c r="U1105" i="9"/>
  <c r="U1116" i="9"/>
  <c r="U1113" i="9"/>
  <c r="U1106" i="9"/>
  <c r="U1114" i="9"/>
  <c r="U1110" i="9"/>
  <c r="U1117" i="9"/>
  <c r="U1111" i="9"/>
  <c r="U1107" i="9"/>
  <c r="U1103" i="9"/>
  <c r="U1101" i="9"/>
  <c r="U1097" i="9"/>
  <c r="U1094" i="9"/>
  <c r="U1087" i="9"/>
  <c r="U1082" i="9"/>
  <c r="U1079" i="9"/>
  <c r="U1076" i="9"/>
  <c r="U1069" i="9"/>
  <c r="U1102" i="9"/>
  <c r="U1099" i="9"/>
  <c r="U1098" i="9"/>
  <c r="U1096" i="9"/>
  <c r="U1090" i="9"/>
  <c r="U1088" i="9"/>
  <c r="U1085" i="9"/>
  <c r="U1080" i="9"/>
  <c r="U1078" i="9"/>
  <c r="U1072" i="9"/>
  <c r="U1070" i="9"/>
  <c r="U1067" i="9"/>
  <c r="U1092" i="9"/>
  <c r="U1077" i="9"/>
  <c r="U1071" i="9"/>
  <c r="U1095" i="9"/>
  <c r="U1089" i="9"/>
  <c r="U1083" i="9"/>
  <c r="U1074" i="9"/>
  <c r="U1104" i="9"/>
  <c r="U1100" i="9"/>
  <c r="U1091" i="9"/>
  <c r="U1084" i="9"/>
  <c r="U1075" i="9"/>
  <c r="U1068" i="9"/>
  <c r="U1066" i="9"/>
  <c r="U1065" i="9"/>
  <c r="U1093" i="9"/>
  <c r="U1060" i="9"/>
  <c r="U1057" i="9"/>
  <c r="U1054" i="9"/>
  <c r="U1081" i="9"/>
  <c r="U1073" i="9"/>
  <c r="U1063" i="9"/>
  <c r="U1059" i="9"/>
  <c r="U1056" i="9"/>
  <c r="U1064" i="9"/>
  <c r="U1061" i="9"/>
  <c r="U1055" i="9"/>
  <c r="U1053" i="9"/>
  <c r="U1050" i="9"/>
  <c r="U1047" i="9"/>
  <c r="U1045" i="9"/>
  <c r="U1036" i="9"/>
  <c r="U1033" i="9"/>
  <c r="U1031" i="9"/>
  <c r="U1062" i="9"/>
  <c r="U1052" i="9"/>
  <c r="U1046" i="9"/>
  <c r="U1044" i="9"/>
  <c r="U1042" i="9"/>
  <c r="U1038" i="9"/>
  <c r="U1032" i="9"/>
  <c r="U1030" i="9"/>
  <c r="U1028" i="9"/>
  <c r="U1058" i="9"/>
  <c r="U1048" i="9"/>
  <c r="U1043" i="9"/>
  <c r="U1041" i="9"/>
  <c r="U1039" i="9"/>
  <c r="U1034" i="9"/>
  <c r="U1029" i="9"/>
  <c r="U1086" i="9"/>
  <c r="U1051" i="9"/>
  <c r="U1049" i="9"/>
  <c r="U1040" i="9"/>
  <c r="U1037" i="9"/>
  <c r="U1035" i="9"/>
  <c r="U1026" i="9"/>
  <c r="U1024" i="9"/>
  <c r="U1025" i="9"/>
  <c r="U1027" i="9"/>
  <c r="U1020" i="9"/>
  <c r="U1017" i="9"/>
  <c r="U1010" i="9"/>
  <c r="U1005" i="9"/>
  <c r="U1002" i="9"/>
  <c r="U999" i="9"/>
  <c r="U992" i="9"/>
  <c r="U988" i="9"/>
  <c r="U986" i="9"/>
  <c r="U982" i="9"/>
  <c r="U979" i="9"/>
  <c r="U972" i="9"/>
  <c r="U967" i="9"/>
  <c r="U964" i="9"/>
  <c r="U961" i="9"/>
  <c r="U954" i="9"/>
  <c r="U1018" i="9"/>
  <c r="U1015" i="9"/>
  <c r="U1012" i="9"/>
  <c r="U1006" i="9"/>
  <c r="U1000" i="9"/>
  <c r="U997" i="9"/>
  <c r="U994" i="9"/>
  <c r="U980" i="9"/>
  <c r="U977" i="9"/>
  <c r="U974" i="9"/>
  <c r="U968" i="9"/>
  <c r="U962" i="9"/>
  <c r="U959" i="9"/>
  <c r="U956" i="9"/>
  <c r="U951" i="9"/>
  <c r="U950" i="9"/>
  <c r="U1022" i="9"/>
  <c r="U1021" i="9"/>
  <c r="U1019" i="9"/>
  <c r="U1013" i="9"/>
  <c r="U1011" i="9"/>
  <c r="U1008" i="9"/>
  <c r="U1003" i="9"/>
  <c r="U1001" i="9"/>
  <c r="U995" i="9"/>
  <c r="U993" i="9"/>
  <c r="U990" i="9"/>
  <c r="U987" i="9"/>
  <c r="U984" i="9"/>
  <c r="U983" i="9"/>
  <c r="U981" i="9"/>
  <c r="U975" i="9"/>
  <c r="U973" i="9"/>
  <c r="U970" i="9"/>
  <c r="U965" i="9"/>
  <c r="U963" i="9"/>
  <c r="U957" i="9"/>
  <c r="U955" i="9"/>
  <c r="U952" i="9"/>
  <c r="U1023" i="9"/>
  <c r="U1016" i="9"/>
  <c r="U1014" i="9"/>
  <c r="U1009" i="9"/>
  <c r="U1007" i="9"/>
  <c r="U1004" i="9"/>
  <c r="U998" i="9"/>
  <c r="U996" i="9"/>
  <c r="U991" i="9"/>
  <c r="U989" i="9"/>
  <c r="U985" i="9"/>
  <c r="U978" i="9"/>
  <c r="U976" i="9"/>
  <c r="U971" i="9"/>
  <c r="U969" i="9"/>
  <c r="U966" i="9"/>
  <c r="U960" i="9"/>
  <c r="U958" i="9"/>
  <c r="U953" i="9"/>
  <c r="U949" i="9"/>
  <c r="U945" i="9"/>
  <c r="U942" i="9"/>
  <c r="U938" i="9"/>
  <c r="U931" i="9"/>
  <c r="U929" i="9"/>
  <c r="U924" i="9"/>
  <c r="U922" i="9"/>
  <c r="U919" i="9"/>
  <c r="U913" i="9"/>
  <c r="U911" i="9"/>
  <c r="U906" i="9"/>
  <c r="U904" i="9"/>
  <c r="U900" i="9"/>
  <c r="U893" i="9"/>
  <c r="U891" i="9"/>
  <c r="U948" i="9"/>
  <c r="U944" i="9"/>
  <c r="U941" i="9"/>
  <c r="U939" i="9"/>
  <c r="U935" i="9"/>
  <c r="U932" i="9"/>
  <c r="U925" i="9"/>
  <c r="U920" i="9"/>
  <c r="U917" i="9"/>
  <c r="U914" i="9"/>
  <c r="U907" i="9"/>
  <c r="U903" i="9"/>
  <c r="U901" i="9"/>
  <c r="U897" i="9"/>
  <c r="U894" i="9"/>
  <c r="U947" i="9"/>
  <c r="U943" i="9"/>
  <c r="U933" i="9"/>
  <c r="U930" i="9"/>
  <c r="U927" i="9"/>
  <c r="U921" i="9"/>
  <c r="U915" i="9"/>
  <c r="U912" i="9"/>
  <c r="U909" i="9"/>
  <c r="U895" i="9"/>
  <c r="U892" i="9"/>
  <c r="U889" i="9"/>
  <c r="U946" i="9"/>
  <c r="U940" i="9"/>
  <c r="U937" i="9"/>
  <c r="U936" i="9"/>
  <c r="U934" i="9"/>
  <c r="U928" i="9"/>
  <c r="U926" i="9"/>
  <c r="U923" i="9"/>
  <c r="U918" i="9"/>
  <c r="U916" i="9"/>
  <c r="U910" i="9"/>
  <c r="U908" i="9"/>
  <c r="U905" i="9"/>
  <c r="U902" i="9"/>
  <c r="U899" i="9"/>
  <c r="U898" i="9"/>
  <c r="U896" i="9"/>
  <c r="U890" i="9"/>
  <c r="U887" i="9"/>
  <c r="U882" i="9"/>
  <c r="U879" i="9"/>
  <c r="U876" i="9"/>
  <c r="U869" i="9"/>
  <c r="U883" i="9"/>
  <c r="U877" i="9"/>
  <c r="U874" i="9"/>
  <c r="U871" i="9"/>
  <c r="U888" i="9"/>
  <c r="U885" i="9"/>
  <c r="U880" i="9"/>
  <c r="U878" i="9"/>
  <c r="U872" i="9"/>
  <c r="U870" i="9"/>
  <c r="U867" i="9"/>
  <c r="U886" i="9"/>
  <c r="U884" i="9"/>
  <c r="U881" i="9"/>
  <c r="U875" i="9"/>
  <c r="U873" i="9"/>
  <c r="U868" i="9"/>
  <c r="W1963" i="9"/>
  <c r="W1961" i="9"/>
  <c r="W1960" i="9"/>
  <c r="W1962" i="9"/>
  <c r="H25" i="11"/>
  <c r="J25" i="11" s="1"/>
  <c r="BN94" i="7"/>
  <c r="BP96" i="7"/>
  <c r="BP98" i="7"/>
  <c r="BP103" i="7"/>
  <c r="BP92" i="7"/>
  <c r="BN99" i="7"/>
  <c r="BN101" i="7"/>
  <c r="AE26" i="11"/>
  <c r="N1890" i="9"/>
  <c r="BN96" i="7"/>
  <c r="BP97" i="7"/>
  <c r="BN98" i="7"/>
  <c r="BP102" i="7"/>
  <c r="BN103" i="7"/>
  <c r="AA26" i="11"/>
  <c r="N1835" i="9"/>
  <c r="N1918" i="9"/>
  <c r="N1434" i="9"/>
  <c r="N1432" i="9"/>
  <c r="N1421" i="9"/>
  <c r="N1415" i="9"/>
  <c r="N1428" i="9"/>
  <c r="N1430" i="9"/>
  <c r="N1427" i="9"/>
  <c r="N1412" i="9"/>
  <c r="N1852" i="9"/>
  <c r="N1436" i="9"/>
  <c r="BP94" i="7"/>
  <c r="N1803" i="9"/>
  <c r="BN92" i="7"/>
  <c r="BN102" i="7"/>
  <c r="N1792" i="9"/>
  <c r="N1978" i="9"/>
  <c r="N1437" i="9"/>
  <c r="N1433" i="9"/>
  <c r="BN90" i="7"/>
  <c r="D146" i="8"/>
  <c r="N1406" i="9"/>
  <c r="N1411" i="9"/>
  <c r="N1419" i="9"/>
  <c r="N1422" i="9"/>
  <c r="N1424" i="9"/>
  <c r="N1407" i="9"/>
  <c r="N1409" i="9"/>
  <c r="N1414" i="9"/>
  <c r="N1420" i="9"/>
  <c r="N1413" i="9"/>
  <c r="N1425" i="9"/>
  <c r="N1408" i="9"/>
  <c r="N1405" i="9"/>
  <c r="N1410" i="9"/>
  <c r="N1416" i="9"/>
  <c r="N1423" i="9"/>
  <c r="N1417" i="9"/>
  <c r="N1418" i="9"/>
  <c r="N1426" i="9"/>
  <c r="N1431" i="9"/>
  <c r="N1429" i="9"/>
  <c r="N1435" i="9"/>
  <c r="BP91" i="7"/>
  <c r="D287" i="8" s="1"/>
  <c r="J287" i="8" s="1"/>
  <c r="J79" i="8"/>
  <c r="T1978" i="9" s="1"/>
  <c r="J69" i="8"/>
  <c r="T1655" i="9" s="1"/>
  <c r="J72" i="8"/>
  <c r="T1410" i="9" s="1"/>
  <c r="J73" i="8"/>
  <c r="T1572" i="9" s="1"/>
  <c r="J70" i="8"/>
  <c r="T1631" i="9" s="1"/>
  <c r="J71" i="8"/>
  <c r="T1493" i="9" s="1"/>
  <c r="J74" i="8"/>
  <c r="T1415" i="9" s="1"/>
  <c r="J75" i="8"/>
  <c r="T1434" i="9" s="1"/>
  <c r="J76" i="8"/>
  <c r="T1563" i="9" s="1"/>
  <c r="J77" i="8"/>
  <c r="J78" i="8"/>
  <c r="T1527" i="9" s="1"/>
  <c r="G87" i="8"/>
  <c r="G104" i="8"/>
  <c r="G96" i="8"/>
  <c r="G88" i="8"/>
  <c r="G99" i="8"/>
  <c r="G91" i="8"/>
  <c r="G102" i="8"/>
  <c r="G94" i="8"/>
  <c r="G105" i="8"/>
  <c r="G97" i="8"/>
  <c r="G89" i="8"/>
  <c r="D48" i="3" s="1"/>
  <c r="G86" i="8"/>
  <c r="B45" i="3" s="1"/>
  <c r="G100" i="8"/>
  <c r="G92" i="8"/>
  <c r="G103" i="8"/>
  <c r="G95" i="8"/>
  <c r="G98" i="8"/>
  <c r="G90" i="8"/>
  <c r="G101" i="8"/>
  <c r="G93" i="8"/>
  <c r="AF19" i="7"/>
  <c r="BH19" i="7" s="1"/>
  <c r="BL19" i="7" s="1"/>
  <c r="BF19" i="7"/>
  <c r="BJ19" i="7" s="1"/>
  <c r="BR17" i="7"/>
  <c r="BF17" i="7"/>
  <c r="BJ17" i="7" s="1"/>
  <c r="BR18" i="7"/>
  <c r="BF18" i="7"/>
  <c r="BJ18" i="7" s="1"/>
  <c r="N1954" i="9"/>
  <c r="N1946" i="9"/>
  <c r="N1966" i="9"/>
  <c r="N1986" i="9"/>
  <c r="N1776" i="9"/>
  <c r="N1783" i="9"/>
  <c r="N1816" i="9"/>
  <c r="N1938" i="9"/>
  <c r="N1950" i="9"/>
  <c r="N1970" i="9"/>
  <c r="N1796" i="9"/>
  <c r="N1934" i="9"/>
  <c r="N1962" i="9"/>
  <c r="N1982" i="9"/>
  <c r="N1767" i="9"/>
  <c r="N1811" i="9"/>
  <c r="N1857" i="9"/>
  <c r="N1881" i="9"/>
  <c r="N1887" i="9"/>
  <c r="N1853" i="9"/>
  <c r="N1914" i="9"/>
  <c r="N1906" i="9"/>
  <c r="N1924" i="9"/>
  <c r="N1928" i="9"/>
  <c r="N1941" i="9"/>
  <c r="N1942" i="9"/>
  <c r="N1958" i="9"/>
  <c r="N1974" i="9"/>
  <c r="N1990" i="9"/>
  <c r="N1749" i="9"/>
  <c r="N1752" i="9"/>
  <c r="N1760" i="9"/>
  <c r="N1823" i="9"/>
  <c r="N1851" i="9"/>
  <c r="N1872" i="9"/>
  <c r="N1873" i="9"/>
  <c r="N1869" i="9"/>
  <c r="N1854" i="9"/>
  <c r="N1843" i="9"/>
  <c r="N1838" i="9"/>
  <c r="N1909" i="9"/>
  <c r="N1892" i="9"/>
  <c r="N1859" i="9"/>
  <c r="N1839" i="9"/>
  <c r="N1837" i="9"/>
  <c r="N1825" i="9"/>
  <c r="N1819" i="9"/>
  <c r="N1813" i="9"/>
  <c r="N1804" i="9"/>
  <c r="N1784" i="9"/>
  <c r="N1769" i="9"/>
  <c r="N1763" i="9"/>
  <c r="N1754" i="9"/>
  <c r="N1991" i="9"/>
  <c r="N1987" i="9"/>
  <c r="N1983" i="9"/>
  <c r="N1979" i="9"/>
  <c r="N1975" i="9"/>
  <c r="N1971" i="9"/>
  <c r="N1967" i="9"/>
  <c r="N1963" i="9"/>
  <c r="N1959" i="9"/>
  <c r="N1955" i="9"/>
  <c r="N1951" i="9"/>
  <c r="N1947" i="9"/>
  <c r="N1943" i="9"/>
  <c r="N1937" i="9"/>
  <c r="N1933" i="9"/>
  <c r="N1930" i="9"/>
  <c r="N1929" i="9"/>
  <c r="N1926" i="9"/>
  <c r="N1925" i="9"/>
  <c r="N1922" i="9"/>
  <c r="N1919" i="9"/>
  <c r="N1916" i="9"/>
  <c r="N1915" i="9"/>
  <c r="N1912" i="9"/>
  <c r="N1898" i="9"/>
  <c r="N1882" i="9"/>
  <c r="N1875" i="9"/>
  <c r="N1864" i="9"/>
  <c r="N1861" i="9"/>
  <c r="N1908" i="9"/>
  <c r="N1842" i="9"/>
  <c r="N1900" i="9"/>
  <c r="N1893" i="9"/>
  <c r="N1871" i="9"/>
  <c r="N1899" i="9"/>
  <c r="N1884" i="9"/>
  <c r="N1878" i="9"/>
  <c r="N1905" i="9"/>
  <c r="N1885" i="9"/>
  <c r="N1879" i="9"/>
  <c r="N1877" i="9"/>
  <c r="N1868" i="9"/>
  <c r="N1862" i="9"/>
  <c r="N1849" i="9"/>
  <c r="N1822" i="9"/>
  <c r="N1807" i="9"/>
  <c r="N1801" i="9"/>
  <c r="N1787" i="9"/>
  <c r="N1781" i="9"/>
  <c r="N1775" i="9"/>
  <c r="N1766" i="9"/>
  <c r="N1758" i="9"/>
  <c r="N1757" i="9"/>
  <c r="N1750" i="9"/>
  <c r="N1989" i="9"/>
  <c r="N1985" i="9"/>
  <c r="N1981" i="9"/>
  <c r="N1977" i="9"/>
  <c r="N1973" i="9"/>
  <c r="N1969" i="9"/>
  <c r="N1965" i="9"/>
  <c r="N1961" i="9"/>
  <c r="N1957" i="9"/>
  <c r="N1953" i="9"/>
  <c r="N1949" i="9"/>
  <c r="N1945" i="9"/>
  <c r="N1939" i="9"/>
  <c r="N1935" i="9"/>
  <c r="N1927" i="9"/>
  <c r="N1921" i="9"/>
  <c r="N1917" i="9"/>
  <c r="N1911" i="9"/>
  <c r="N1907" i="9"/>
  <c r="N1891" i="9"/>
  <c r="N1867" i="9"/>
  <c r="N1848" i="9"/>
  <c r="AJ51" i="9"/>
  <c r="N62" i="9"/>
  <c r="N71" i="9"/>
  <c r="N88" i="9"/>
  <c r="N76" i="9"/>
  <c r="N74" i="9"/>
  <c r="N70" i="9"/>
  <c r="N80" i="9"/>
  <c r="N93" i="9"/>
  <c r="N97" i="9"/>
  <c r="N100" i="9"/>
  <c r="N107" i="9"/>
  <c r="N110" i="9"/>
  <c r="N113" i="9"/>
  <c r="N92" i="9"/>
  <c r="N75" i="9"/>
  <c r="N121" i="9"/>
  <c r="N127" i="9"/>
  <c r="N129" i="9"/>
  <c r="N130" i="9"/>
  <c r="N133" i="9"/>
  <c r="N136" i="9"/>
  <c r="N140" i="9"/>
  <c r="N120" i="9"/>
  <c r="N144" i="9"/>
  <c r="N149" i="9"/>
  <c r="N152" i="9"/>
  <c r="N155" i="9"/>
  <c r="N161" i="9"/>
  <c r="N167" i="9"/>
  <c r="N170" i="9"/>
  <c r="N173" i="9"/>
  <c r="N186" i="9"/>
  <c r="N188" i="9"/>
  <c r="N194" i="9"/>
  <c r="N196" i="9"/>
  <c r="N201" i="9"/>
  <c r="N204" i="9"/>
  <c r="N206" i="9"/>
  <c r="N212" i="9"/>
  <c r="N214" i="9"/>
  <c r="N215" i="9"/>
  <c r="N218" i="9"/>
  <c r="N221" i="9"/>
  <c r="N237" i="9"/>
  <c r="N239" i="9"/>
  <c r="N224" i="9"/>
  <c r="N64" i="9"/>
  <c r="N67" i="9"/>
  <c r="N72" i="9"/>
  <c r="N73" i="9"/>
  <c r="N89" i="9"/>
  <c r="N91" i="9"/>
  <c r="N79" i="9"/>
  <c r="N68" i="9"/>
  <c r="N102" i="9"/>
  <c r="N105" i="9"/>
  <c r="N108" i="9"/>
  <c r="N114" i="9"/>
  <c r="N95" i="9"/>
  <c r="N117" i="9"/>
  <c r="N118" i="9"/>
  <c r="N131" i="9"/>
  <c r="N135" i="9"/>
  <c r="N124" i="9"/>
  <c r="N139" i="9"/>
  <c r="N141" i="9"/>
  <c r="N145" i="9"/>
  <c r="N148" i="9"/>
  <c r="N150" i="9"/>
  <c r="N156" i="9"/>
  <c r="N158" i="9"/>
  <c r="N163" i="9"/>
  <c r="N166" i="9"/>
  <c r="N168" i="9"/>
  <c r="N174" i="9"/>
  <c r="N176" i="9"/>
  <c r="N177" i="9"/>
  <c r="N180" i="9"/>
  <c r="N183" i="9"/>
  <c r="N189" i="9"/>
  <c r="N191" i="9"/>
  <c r="N197" i="9"/>
  <c r="N200" i="9"/>
  <c r="N202" i="9"/>
  <c r="N207" i="9"/>
  <c r="N209" i="9"/>
  <c r="N216" i="9"/>
  <c r="N220" i="9"/>
  <c r="N223" i="9"/>
  <c r="N225" i="9"/>
  <c r="N245" i="9"/>
  <c r="N226" i="9"/>
  <c r="N60" i="9"/>
  <c r="N63" i="9"/>
  <c r="N65" i="9"/>
  <c r="N78" i="9"/>
  <c r="N86" i="9"/>
  <c r="N82" i="9"/>
  <c r="N98" i="9"/>
  <c r="N101" i="9"/>
  <c r="N103" i="9"/>
  <c r="N109" i="9"/>
  <c r="N111" i="9"/>
  <c r="N116" i="9"/>
  <c r="N122" i="9"/>
  <c r="N123" i="9"/>
  <c r="N119" i="9"/>
  <c r="N125" i="9"/>
  <c r="N128" i="9"/>
  <c r="N132" i="9"/>
  <c r="N134" i="9"/>
  <c r="N138" i="9"/>
  <c r="N142" i="9"/>
  <c r="N146" i="9"/>
  <c r="N151" i="9"/>
  <c r="N153" i="9"/>
  <c r="N159" i="9"/>
  <c r="N162" i="9"/>
  <c r="N164" i="9"/>
  <c r="N169" i="9"/>
  <c r="N171" i="9"/>
  <c r="N178" i="9"/>
  <c r="N182" i="9"/>
  <c r="N184" i="9"/>
  <c r="N185" i="9"/>
  <c r="N192" i="9"/>
  <c r="N195" i="9"/>
  <c r="N198" i="9"/>
  <c r="N203" i="9"/>
  <c r="N210" i="9"/>
  <c r="N213" i="9"/>
  <c r="N217" i="9"/>
  <c r="N219" i="9"/>
  <c r="N231" i="9"/>
  <c r="N61" i="9"/>
  <c r="N66" i="9"/>
  <c r="N69" i="9"/>
  <c r="N81" i="9"/>
  <c r="N83" i="9"/>
  <c r="N87" i="9"/>
  <c r="N90" i="9"/>
  <c r="N85" i="9"/>
  <c r="N77" i="9"/>
  <c r="N99" i="9"/>
  <c r="N104" i="9"/>
  <c r="N106" i="9"/>
  <c r="N112" i="9"/>
  <c r="N115" i="9"/>
  <c r="N84" i="9"/>
  <c r="N94" i="9"/>
  <c r="N126" i="9"/>
  <c r="N137" i="9"/>
  <c r="N96" i="9"/>
  <c r="N143" i="9"/>
  <c r="N147" i="9"/>
  <c r="N154" i="9"/>
  <c r="N157" i="9"/>
  <c r="N160" i="9"/>
  <c r="N165" i="9"/>
  <c r="N172" i="9"/>
  <c r="N175" i="9"/>
  <c r="N179" i="9"/>
  <c r="N181" i="9"/>
  <c r="N187" i="9"/>
  <c r="N190" i="9"/>
  <c r="N193" i="9"/>
  <c r="N199" i="9"/>
  <c r="N205" i="9"/>
  <c r="N208" i="9"/>
  <c r="N211" i="9"/>
  <c r="N235" i="9"/>
  <c r="N238" i="9"/>
  <c r="N243" i="9"/>
  <c r="N222" i="9"/>
  <c r="N227" i="9"/>
  <c r="N248" i="9"/>
  <c r="N261" i="9"/>
  <c r="N266" i="9"/>
  <c r="N268" i="9"/>
  <c r="N274" i="9"/>
  <c r="N277" i="9"/>
  <c r="N279" i="9"/>
  <c r="N284" i="9"/>
  <c r="N286" i="9"/>
  <c r="N293" i="9"/>
  <c r="N297" i="9"/>
  <c r="N299" i="9"/>
  <c r="N305" i="9"/>
  <c r="N312" i="9"/>
  <c r="N313" i="9"/>
  <c r="N320" i="9"/>
  <c r="N300" i="9"/>
  <c r="N304" i="9"/>
  <c r="N319" i="9"/>
  <c r="N323" i="9"/>
  <c r="N349" i="9"/>
  <c r="N356" i="9"/>
  <c r="N326" i="9"/>
  <c r="N348" i="9"/>
  <c r="N355" i="9"/>
  <c r="N332" i="9"/>
  <c r="N334" i="9"/>
  <c r="N340" i="9"/>
  <c r="N360" i="9"/>
  <c r="N367" i="9"/>
  <c r="N327" i="9"/>
  <c r="N328" i="9"/>
  <c r="N336" i="9"/>
  <c r="N345" i="9"/>
  <c r="N371" i="9"/>
  <c r="N374" i="9"/>
  <c r="N377" i="9"/>
  <c r="N383" i="9"/>
  <c r="N389" i="9"/>
  <c r="N392" i="9"/>
  <c r="N395" i="9"/>
  <c r="N412" i="9"/>
  <c r="N413" i="9"/>
  <c r="N418" i="9"/>
  <c r="N421" i="9"/>
  <c r="N424" i="9"/>
  <c r="N430" i="9"/>
  <c r="N436" i="9"/>
  <c r="N439" i="9"/>
  <c r="N442" i="9"/>
  <c r="N474" i="9"/>
  <c r="N480" i="9"/>
  <c r="N455" i="9"/>
  <c r="N457" i="9"/>
  <c r="N463" i="9"/>
  <c r="N482" i="9"/>
  <c r="N469" i="9"/>
  <c r="N485" i="9"/>
  <c r="N489" i="9"/>
  <c r="N456" i="9"/>
  <c r="N462" i="9"/>
  <c r="N473" i="9"/>
  <c r="N475" i="9"/>
  <c r="N481" i="9"/>
  <c r="N499" i="9"/>
  <c r="N502" i="9"/>
  <c r="N501" i="9"/>
  <c r="N500" i="9"/>
  <c r="N495" i="9"/>
  <c r="N512" i="9"/>
  <c r="N520" i="9"/>
  <c r="N524" i="9"/>
  <c r="N527" i="9"/>
  <c r="N528" i="9"/>
  <c r="N533" i="9"/>
  <c r="N536" i="9"/>
  <c r="N539" i="9"/>
  <c r="N545" i="9"/>
  <c r="N551" i="9"/>
  <c r="N554" i="9"/>
  <c r="N557" i="9"/>
  <c r="N572" i="9"/>
  <c r="N608" i="9"/>
  <c r="N614" i="9"/>
  <c r="N620" i="9"/>
  <c r="N623" i="9"/>
  <c r="N626" i="9"/>
  <c r="N602" i="9"/>
  <c r="N579" i="9"/>
  <c r="N583" i="9"/>
  <c r="N590" i="9"/>
  <c r="N600" i="9"/>
  <c r="N586" i="9"/>
  <c r="N591" i="9"/>
  <c r="N599" i="9"/>
  <c r="N658" i="9"/>
  <c r="N664" i="9"/>
  <c r="N674" i="9"/>
  <c r="N678" i="9"/>
  <c r="N681" i="9"/>
  <c r="N682" i="9"/>
  <c r="N687" i="9"/>
  <c r="N690" i="9"/>
  <c r="N693" i="9"/>
  <c r="N699" i="9"/>
  <c r="N705" i="9"/>
  <c r="N708" i="9"/>
  <c r="N711" i="9"/>
  <c r="N725" i="9"/>
  <c r="N728" i="9"/>
  <c r="N731" i="9"/>
  <c r="N737" i="9"/>
  <c r="N743" i="9"/>
  <c r="N746" i="9"/>
  <c r="N749" i="9"/>
  <c r="N642" i="9"/>
  <c r="N650" i="9"/>
  <c r="N636" i="9"/>
  <c r="N657" i="9"/>
  <c r="N659" i="9"/>
  <c r="N772" i="9"/>
  <c r="N779" i="9"/>
  <c r="N785" i="9"/>
  <c r="N788" i="9"/>
  <c r="N791" i="9"/>
  <c r="N229" i="9"/>
  <c r="N232" i="9"/>
  <c r="N242" i="9"/>
  <c r="N255" i="9"/>
  <c r="N262" i="9"/>
  <c r="N269" i="9"/>
  <c r="N272" i="9"/>
  <c r="N275" i="9"/>
  <c r="N280" i="9"/>
  <c r="N287" i="9"/>
  <c r="N290" i="9"/>
  <c r="N294" i="9"/>
  <c r="N296" i="9"/>
  <c r="N228" i="9"/>
  <c r="N252" i="9"/>
  <c r="N233" i="9"/>
  <c r="N306" i="9"/>
  <c r="N256" i="9"/>
  <c r="N302" i="9"/>
  <c r="N308" i="9"/>
  <c r="N303" i="9"/>
  <c r="N325" i="9"/>
  <c r="N310" i="9"/>
  <c r="N314" i="9"/>
  <c r="N331" i="9"/>
  <c r="N338" i="9"/>
  <c r="N359" i="9"/>
  <c r="N330" i="9"/>
  <c r="N337" i="9"/>
  <c r="N353" i="9"/>
  <c r="N342" i="9"/>
  <c r="N361" i="9"/>
  <c r="N370" i="9"/>
  <c r="N372" i="9"/>
  <c r="N378" i="9"/>
  <c r="N380" i="9"/>
  <c r="N385" i="9"/>
  <c r="N388" i="9"/>
  <c r="N390" i="9"/>
  <c r="N396" i="9"/>
  <c r="N398" i="9"/>
  <c r="N399" i="9"/>
  <c r="N402" i="9"/>
  <c r="N409" i="9"/>
  <c r="N414" i="9"/>
  <c r="N417" i="9"/>
  <c r="N419" i="9"/>
  <c r="N425" i="9"/>
  <c r="N427" i="9"/>
  <c r="N432" i="9"/>
  <c r="N435" i="9"/>
  <c r="N437" i="9"/>
  <c r="N443" i="9"/>
  <c r="N445" i="9"/>
  <c r="N446" i="9"/>
  <c r="N449" i="9"/>
  <c r="N477" i="9"/>
  <c r="N464" i="9"/>
  <c r="N467" i="9"/>
  <c r="N488" i="9"/>
  <c r="N471" i="9"/>
  <c r="N478" i="9"/>
  <c r="N451" i="9"/>
  <c r="N458" i="9"/>
  <c r="N483" i="9"/>
  <c r="N503" i="9"/>
  <c r="N504" i="9"/>
  <c r="N514" i="9"/>
  <c r="N515" i="9"/>
  <c r="N517" i="9"/>
  <c r="N523" i="9"/>
  <c r="N529" i="9"/>
  <c r="N532" i="9"/>
  <c r="N534" i="9"/>
  <c r="N540" i="9"/>
  <c r="N542" i="9"/>
  <c r="N547" i="9"/>
  <c r="N550" i="9"/>
  <c r="N552" i="9"/>
  <c r="N558" i="9"/>
  <c r="N560" i="9"/>
  <c r="N561" i="9"/>
  <c r="N564" i="9"/>
  <c r="N570" i="9"/>
  <c r="N571" i="9"/>
  <c r="N577" i="9"/>
  <c r="N584" i="9"/>
  <c r="N588" i="9"/>
  <c r="N609" i="9"/>
  <c r="N611" i="9"/>
  <c r="N616" i="9"/>
  <c r="N619" i="9"/>
  <c r="N621" i="9"/>
  <c r="N627" i="9"/>
  <c r="N629" i="9"/>
  <c r="N630" i="9"/>
  <c r="N633" i="9"/>
  <c r="N596" i="9"/>
  <c r="N597" i="9"/>
  <c r="N605" i="9"/>
  <c r="N568" i="9"/>
  <c r="N604" i="9"/>
  <c r="N640" i="9"/>
  <c r="N646" i="9"/>
  <c r="N661" i="9"/>
  <c r="N665" i="9"/>
  <c r="N667" i="9"/>
  <c r="N668" i="9"/>
  <c r="N671" i="9"/>
  <c r="N677" i="9"/>
  <c r="N683" i="9"/>
  <c r="N686" i="9"/>
  <c r="N688" i="9"/>
  <c r="N694" i="9"/>
  <c r="N696" i="9"/>
  <c r="N701" i="9"/>
  <c r="N704" i="9"/>
  <c r="N706" i="9"/>
  <c r="N712" i="9"/>
  <c r="N714" i="9"/>
  <c r="N715" i="9"/>
  <c r="N718" i="9"/>
  <c r="N721" i="9"/>
  <c r="N724" i="9"/>
  <c r="N726" i="9"/>
  <c r="N732" i="9"/>
  <c r="N734" i="9"/>
  <c r="N739" i="9"/>
  <c r="N742" i="9"/>
  <c r="N744" i="9"/>
  <c r="N750" i="9"/>
  <c r="N752" i="9"/>
  <c r="N753" i="9"/>
  <c r="N756" i="9"/>
  <c r="N656" i="9"/>
  <c r="N653" i="9"/>
  <c r="N639" i="9"/>
  <c r="N641" i="9"/>
  <c r="N647" i="9"/>
  <c r="N757" i="9"/>
  <c r="N774" i="9"/>
  <c r="N780" i="9"/>
  <c r="N782" i="9"/>
  <c r="N787" i="9"/>
  <c r="N790" i="9"/>
  <c r="N240" i="9"/>
  <c r="N234" i="9"/>
  <c r="N247" i="9"/>
  <c r="N246" i="9"/>
  <c r="N249" i="9"/>
  <c r="N251" i="9"/>
  <c r="N258" i="9"/>
  <c r="N259" i="9"/>
  <c r="N264" i="9"/>
  <c r="N267" i="9"/>
  <c r="N270" i="9"/>
  <c r="N276" i="9"/>
  <c r="N282" i="9"/>
  <c r="N285" i="9"/>
  <c r="N288" i="9"/>
  <c r="N244" i="9"/>
  <c r="N257" i="9"/>
  <c r="N298" i="9"/>
  <c r="N311" i="9"/>
  <c r="N307" i="9"/>
  <c r="N317" i="9"/>
  <c r="N315" i="9"/>
  <c r="N322" i="9"/>
  <c r="N341" i="9"/>
  <c r="N344" i="9"/>
  <c r="N365" i="9"/>
  <c r="N369" i="9"/>
  <c r="N335" i="9"/>
  <c r="N343" i="9"/>
  <c r="N368" i="9"/>
  <c r="N347" i="9"/>
  <c r="N364" i="9"/>
  <c r="N351" i="9"/>
  <c r="N357" i="9"/>
  <c r="N373" i="9"/>
  <c r="N375" i="9"/>
  <c r="N381" i="9"/>
  <c r="N384" i="9"/>
  <c r="N386" i="9"/>
  <c r="N391" i="9"/>
  <c r="N393" i="9"/>
  <c r="N400" i="9"/>
  <c r="N405" i="9"/>
  <c r="N403" i="9"/>
  <c r="N406" i="9"/>
  <c r="N408" i="9"/>
  <c r="N411" i="9"/>
  <c r="N415" i="9"/>
  <c r="N420" i="9"/>
  <c r="N422" i="9"/>
  <c r="N428" i="9"/>
  <c r="N431" i="9"/>
  <c r="N433" i="9"/>
  <c r="N438" i="9"/>
  <c r="N440" i="9"/>
  <c r="N447" i="9"/>
  <c r="N468" i="9"/>
  <c r="N452" i="9"/>
  <c r="N486" i="9"/>
  <c r="N476" i="9"/>
  <c r="N459" i="9"/>
  <c r="N465" i="9"/>
  <c r="N484" i="9"/>
  <c r="N505" i="9"/>
  <c r="N490" i="9"/>
  <c r="N506" i="9"/>
  <c r="N508" i="9"/>
  <c r="N507" i="9"/>
  <c r="N510" i="9"/>
  <c r="N516" i="9"/>
  <c r="N519" i="9"/>
  <c r="N522" i="9"/>
  <c r="N526" i="9"/>
  <c r="N530" i="9"/>
  <c r="N535" i="9"/>
  <c r="N537" i="9"/>
  <c r="N543" i="9"/>
  <c r="N546" i="9"/>
  <c r="N548" i="9"/>
  <c r="N553" i="9"/>
  <c r="N555" i="9"/>
  <c r="N562" i="9"/>
  <c r="N566" i="9"/>
  <c r="N576" i="9"/>
  <c r="N582" i="9"/>
  <c r="N585" i="9"/>
  <c r="N598" i="9"/>
  <c r="N606" i="9"/>
  <c r="N612" i="9"/>
  <c r="N615" i="9"/>
  <c r="N617" i="9"/>
  <c r="N622" i="9"/>
  <c r="N624" i="9"/>
  <c r="N631" i="9"/>
  <c r="N635" i="9"/>
  <c r="N593" i="9"/>
  <c r="N569" i="9"/>
  <c r="N573" i="9"/>
  <c r="N587" i="9"/>
  <c r="N643" i="9"/>
  <c r="N652" i="9"/>
  <c r="N669" i="9"/>
  <c r="N673" i="9"/>
  <c r="N676" i="9"/>
  <c r="N680" i="9"/>
  <c r="N684" i="9"/>
  <c r="N689" i="9"/>
  <c r="N691" i="9"/>
  <c r="N697" i="9"/>
  <c r="N700" i="9"/>
  <c r="N702" i="9"/>
  <c r="N707" i="9"/>
  <c r="N709" i="9"/>
  <c r="N716" i="9"/>
  <c r="N720" i="9"/>
  <c r="N722" i="9"/>
  <c r="N727" i="9"/>
  <c r="N729" i="9"/>
  <c r="N735" i="9"/>
  <c r="N738" i="9"/>
  <c r="N740" i="9"/>
  <c r="N745" i="9"/>
  <c r="N747" i="9"/>
  <c r="N754" i="9"/>
  <c r="N638" i="9"/>
  <c r="N645" i="9"/>
  <c r="N655" i="9"/>
  <c r="N662" i="9"/>
  <c r="N649" i="9"/>
  <c r="N760" i="9"/>
  <c r="N765" i="9"/>
  <c r="N781" i="9"/>
  <c r="N789" i="9"/>
  <c r="N793" i="9"/>
  <c r="N236" i="9"/>
  <c r="N241" i="9"/>
  <c r="N254" i="9"/>
  <c r="N260" i="9"/>
  <c r="N263" i="9"/>
  <c r="N265" i="9"/>
  <c r="N271" i="9"/>
  <c r="N273" i="9"/>
  <c r="N278" i="9"/>
  <c r="N281" i="9"/>
  <c r="N283" i="9"/>
  <c r="N289" i="9"/>
  <c r="N291" i="9"/>
  <c r="N292" i="9"/>
  <c r="N295" i="9"/>
  <c r="N250" i="9"/>
  <c r="N253" i="9"/>
  <c r="N230" i="9"/>
  <c r="N309" i="9"/>
  <c r="N301" i="9"/>
  <c r="N321" i="9"/>
  <c r="N316" i="9"/>
  <c r="N318" i="9"/>
  <c r="N324" i="9"/>
  <c r="N363" i="9"/>
  <c r="N346" i="9"/>
  <c r="N362" i="9"/>
  <c r="N366" i="9"/>
  <c r="N329" i="9"/>
  <c r="N350" i="9"/>
  <c r="N352" i="9"/>
  <c r="N358" i="9"/>
  <c r="N333" i="9"/>
  <c r="N339" i="9"/>
  <c r="N354" i="9"/>
  <c r="N376" i="9"/>
  <c r="N379" i="9"/>
  <c r="N382" i="9"/>
  <c r="N387" i="9"/>
  <c r="N394" i="9"/>
  <c r="N397" i="9"/>
  <c r="N401" i="9"/>
  <c r="N407" i="9"/>
  <c r="N404" i="9"/>
  <c r="N410" i="9"/>
  <c r="N416" i="9"/>
  <c r="N423" i="9"/>
  <c r="N426" i="9"/>
  <c r="N429" i="9"/>
  <c r="N434" i="9"/>
  <c r="N441" i="9"/>
  <c r="N444" i="9"/>
  <c r="N448" i="9"/>
  <c r="N450" i="9"/>
  <c r="N454" i="9"/>
  <c r="N461" i="9"/>
  <c r="N472" i="9"/>
  <c r="N479" i="9"/>
  <c r="N466" i="9"/>
  <c r="N453" i="9"/>
  <c r="N460" i="9"/>
  <c r="N470" i="9"/>
  <c r="N487" i="9"/>
  <c r="N497" i="9"/>
  <c r="N491" i="9"/>
  <c r="N496" i="9"/>
  <c r="N492" i="9"/>
  <c r="N494" i="9"/>
  <c r="N493" i="9"/>
  <c r="N498" i="9"/>
  <c r="N509" i="9"/>
  <c r="N511" i="9"/>
  <c r="N513" i="9"/>
  <c r="N518" i="9"/>
  <c r="N521" i="9"/>
  <c r="N525" i="9"/>
  <c r="N531" i="9"/>
  <c r="N538" i="9"/>
  <c r="N541" i="9"/>
  <c r="N544" i="9"/>
  <c r="N549" i="9"/>
  <c r="N556" i="9"/>
  <c r="N559" i="9"/>
  <c r="N563" i="9"/>
  <c r="N565" i="9"/>
  <c r="N567" i="9"/>
  <c r="N574" i="9"/>
  <c r="N580" i="9"/>
  <c r="N581" i="9"/>
  <c r="N592" i="9"/>
  <c r="N601" i="9"/>
  <c r="N603" i="9"/>
  <c r="N607" i="9"/>
  <c r="N610" i="9"/>
  <c r="N613" i="9"/>
  <c r="N618" i="9"/>
  <c r="N625" i="9"/>
  <c r="N628" i="9"/>
  <c r="N632" i="9"/>
  <c r="N634" i="9"/>
  <c r="N589" i="9"/>
  <c r="N575" i="9"/>
  <c r="N578" i="9"/>
  <c r="N594" i="9"/>
  <c r="N595" i="9"/>
  <c r="N663" i="9"/>
  <c r="N666" i="9"/>
  <c r="N670" i="9"/>
  <c r="N672" i="9"/>
  <c r="N675" i="9"/>
  <c r="N679" i="9"/>
  <c r="N685" i="9"/>
  <c r="N692" i="9"/>
  <c r="N695" i="9"/>
  <c r="N698" i="9"/>
  <c r="N703" i="9"/>
  <c r="N710" i="9"/>
  <c r="N713" i="9"/>
  <c r="N717" i="9"/>
  <c r="N719" i="9"/>
  <c r="N723" i="9"/>
  <c r="N730" i="9"/>
  <c r="N733" i="9"/>
  <c r="N736" i="9"/>
  <c r="N741" i="9"/>
  <c r="N748" i="9"/>
  <c r="N751" i="9"/>
  <c r="N755" i="9"/>
  <c r="N648" i="9"/>
  <c r="N651" i="9"/>
  <c r="N637" i="9"/>
  <c r="N644" i="9"/>
  <c r="N660" i="9"/>
  <c r="N654" i="9"/>
  <c r="N770" i="9"/>
  <c r="N783" i="9"/>
  <c r="N784" i="9"/>
  <c r="N786" i="9"/>
  <c r="N792" i="9"/>
  <c r="N796" i="9"/>
  <c r="N797" i="9"/>
  <c r="N802" i="9"/>
  <c r="N805" i="9"/>
  <c r="N808" i="9"/>
  <c r="N814" i="9"/>
  <c r="N820" i="9"/>
  <c r="N823" i="9"/>
  <c r="N826" i="9"/>
  <c r="N838" i="9"/>
  <c r="N842" i="9"/>
  <c r="N848" i="9"/>
  <c r="N852" i="9"/>
  <c r="N759" i="9"/>
  <c r="N775" i="9"/>
  <c r="N777" i="9"/>
  <c r="N859" i="9"/>
  <c r="N885" i="9"/>
  <c r="N902" i="9"/>
  <c r="N918" i="9"/>
  <c r="N937" i="9"/>
  <c r="N889" i="9"/>
  <c r="N895" i="9"/>
  <c r="N864" i="9"/>
  <c r="N869" i="9"/>
  <c r="N876" i="9"/>
  <c r="N897" i="9"/>
  <c r="N925" i="9"/>
  <c r="N932" i="9"/>
  <c r="N873" i="9"/>
  <c r="N881" i="9"/>
  <c r="N906" i="9"/>
  <c r="N913" i="9"/>
  <c r="N929" i="9"/>
  <c r="N949" i="9"/>
  <c r="N953" i="9"/>
  <c r="N958" i="9"/>
  <c r="N960" i="9"/>
  <c r="N966" i="9"/>
  <c r="N969" i="9"/>
  <c r="N971" i="9"/>
  <c r="N976" i="9"/>
  <c r="N978" i="9"/>
  <c r="N985" i="9"/>
  <c r="N989" i="9"/>
  <c r="N991" i="9"/>
  <c r="N996" i="9"/>
  <c r="N998" i="9"/>
  <c r="N1004" i="9"/>
  <c r="N1007" i="9"/>
  <c r="N1009" i="9"/>
  <c r="N1014" i="9"/>
  <c r="N1016" i="9"/>
  <c r="N1023" i="9"/>
  <c r="N1027" i="9"/>
  <c r="N1029" i="9"/>
  <c r="N1034" i="9"/>
  <c r="N1039" i="9"/>
  <c r="N1041" i="9"/>
  <c r="N1043" i="9"/>
  <c r="N1048" i="9"/>
  <c r="N1054" i="9"/>
  <c r="N1057" i="9"/>
  <c r="N1124" i="9"/>
  <c r="N1129" i="9"/>
  <c r="N1138" i="9"/>
  <c r="N1145" i="9"/>
  <c r="N1148" i="9"/>
  <c r="N1151" i="9"/>
  <c r="N1156" i="9"/>
  <c r="N1163" i="9"/>
  <c r="N1166" i="9"/>
  <c r="N1170" i="9"/>
  <c r="N1172" i="9"/>
  <c r="N1176" i="9"/>
  <c r="N1183" i="9"/>
  <c r="N1186" i="9"/>
  <c r="N1189" i="9"/>
  <c r="N1194" i="9"/>
  <c r="N1201" i="9"/>
  <c r="N1204" i="9"/>
  <c r="N1208" i="9"/>
  <c r="N1210" i="9"/>
  <c r="N1213" i="9"/>
  <c r="N1217" i="9"/>
  <c r="N1223" i="9"/>
  <c r="N1230" i="9"/>
  <c r="N1233" i="9"/>
  <c r="N1236" i="9"/>
  <c r="N1241" i="9"/>
  <c r="N1248" i="9"/>
  <c r="N1251" i="9"/>
  <c r="N1255" i="9"/>
  <c r="N1257" i="9"/>
  <c r="N1261" i="9"/>
  <c r="N1268" i="9"/>
  <c r="N1271" i="9"/>
  <c r="N1274" i="9"/>
  <c r="N1279" i="9"/>
  <c r="N1286" i="9"/>
  <c r="N1289" i="9"/>
  <c r="N1063" i="9"/>
  <c r="N1079" i="9"/>
  <c r="N1082" i="9"/>
  <c r="N1087" i="9"/>
  <c r="N1094" i="9"/>
  <c r="N1103" i="9"/>
  <c r="N1108" i="9"/>
  <c r="N1122" i="9"/>
  <c r="N1126" i="9"/>
  <c r="N1127" i="9"/>
  <c r="N1064" i="9"/>
  <c r="N1073" i="9"/>
  <c r="N1081" i="9"/>
  <c r="N1086" i="9"/>
  <c r="N1093" i="9"/>
  <c r="N1110" i="9"/>
  <c r="N1300" i="9"/>
  <c r="N1305" i="9"/>
  <c r="N1316" i="9"/>
  <c r="N1331" i="9"/>
  <c r="N1293" i="9"/>
  <c r="N798" i="9"/>
  <c r="N801" i="9"/>
  <c r="N803" i="9"/>
  <c r="N809" i="9"/>
  <c r="N811" i="9"/>
  <c r="N816" i="9"/>
  <c r="N819" i="9"/>
  <c r="N821" i="9"/>
  <c r="N827" i="9"/>
  <c r="N829" i="9"/>
  <c r="N830" i="9"/>
  <c r="N833" i="9"/>
  <c r="N836" i="9"/>
  <c r="N839" i="9"/>
  <c r="N840" i="9"/>
  <c r="N843" i="9"/>
  <c r="N846" i="9"/>
  <c r="N849" i="9"/>
  <c r="N850" i="9"/>
  <c r="N853" i="9"/>
  <c r="N854" i="9"/>
  <c r="N857" i="9"/>
  <c r="N761" i="9"/>
  <c r="N763" i="9"/>
  <c r="N776" i="9"/>
  <c r="N861" i="9"/>
  <c r="N867" i="9"/>
  <c r="N888" i="9"/>
  <c r="N890" i="9"/>
  <c r="N896" i="9"/>
  <c r="N923" i="9"/>
  <c r="N940" i="9"/>
  <c r="N946" i="9"/>
  <c r="N871" i="9"/>
  <c r="N877" i="9"/>
  <c r="N892" i="9"/>
  <c r="N927" i="9"/>
  <c r="N933" i="9"/>
  <c r="N858" i="9"/>
  <c r="N865" i="9"/>
  <c r="N879" i="9"/>
  <c r="N882" i="9"/>
  <c r="N903" i="9"/>
  <c r="N907" i="9"/>
  <c r="N914" i="9"/>
  <c r="N935" i="9"/>
  <c r="N884" i="9"/>
  <c r="N900" i="9"/>
  <c r="N904" i="9"/>
  <c r="N911" i="9"/>
  <c r="N919" i="9"/>
  <c r="N954" i="9"/>
  <c r="N961" i="9"/>
  <c r="N964" i="9"/>
  <c r="N967" i="9"/>
  <c r="N972" i="9"/>
  <c r="N979" i="9"/>
  <c r="N982" i="9"/>
  <c r="N986" i="9"/>
  <c r="N988" i="9"/>
  <c r="N992" i="9"/>
  <c r="N999" i="9"/>
  <c r="N1002" i="9"/>
  <c r="N1005" i="9"/>
  <c r="N1010" i="9"/>
  <c r="N1017" i="9"/>
  <c r="N1020" i="9"/>
  <c r="N1024" i="9"/>
  <c r="N1026" i="9"/>
  <c r="N1035" i="9"/>
  <c r="N1037" i="9"/>
  <c r="N1040" i="9"/>
  <c r="N1049" i="9"/>
  <c r="N1051" i="9"/>
  <c r="N1056" i="9"/>
  <c r="N1116" i="9"/>
  <c r="N1135" i="9"/>
  <c r="N1140" i="9"/>
  <c r="N1143" i="9"/>
  <c r="N1146" i="9"/>
  <c r="N1152" i="9"/>
  <c r="N1158" i="9"/>
  <c r="N1161" i="9"/>
  <c r="N1164" i="9"/>
  <c r="N1178" i="9"/>
  <c r="N1181" i="9"/>
  <c r="N1184" i="9"/>
  <c r="N1190" i="9"/>
  <c r="N1196" i="9"/>
  <c r="N1199" i="9"/>
  <c r="N1202" i="9"/>
  <c r="N1212" i="9"/>
  <c r="N1216" i="9"/>
  <c r="N1219" i="9"/>
  <c r="N1220" i="9"/>
  <c r="N1225" i="9"/>
  <c r="N1228" i="9"/>
  <c r="N1231" i="9"/>
  <c r="N1237" i="9"/>
  <c r="N1243" i="9"/>
  <c r="N1246" i="9"/>
  <c r="N1249" i="9"/>
  <c r="N1263" i="9"/>
  <c r="N1266" i="9"/>
  <c r="N1269" i="9"/>
  <c r="N1275" i="9"/>
  <c r="N1281" i="9"/>
  <c r="N1284" i="9"/>
  <c r="N1287" i="9"/>
  <c r="N1067" i="9"/>
  <c r="N1080" i="9"/>
  <c r="N1088" i="9"/>
  <c r="N1090" i="9"/>
  <c r="N1096" i="9"/>
  <c r="N1099" i="9"/>
  <c r="N794" i="9"/>
  <c r="N795" i="9"/>
  <c r="N799" i="9"/>
  <c r="N804" i="9"/>
  <c r="N806" i="9"/>
  <c r="N812" i="9"/>
  <c r="N815" i="9"/>
  <c r="N817" i="9"/>
  <c r="N822" i="9"/>
  <c r="N824" i="9"/>
  <c r="N831" i="9"/>
  <c r="N835" i="9"/>
  <c r="N837" i="9"/>
  <c r="N844" i="9"/>
  <c r="N847" i="9"/>
  <c r="N855" i="9"/>
  <c r="N856" i="9"/>
  <c r="N769" i="9"/>
  <c r="N758" i="9"/>
  <c r="N762" i="9"/>
  <c r="N767" i="9"/>
  <c r="N778" i="9"/>
  <c r="N766" i="9"/>
  <c r="N863" i="9"/>
  <c r="N870" i="9"/>
  <c r="N872" i="9"/>
  <c r="N878" i="9"/>
  <c r="N898" i="9"/>
  <c r="N905" i="9"/>
  <c r="N926" i="9"/>
  <c r="N928" i="9"/>
  <c r="N934" i="9"/>
  <c r="N866" i="9"/>
  <c r="N874" i="9"/>
  <c r="N883" i="9"/>
  <c r="N909" i="9"/>
  <c r="N915" i="9"/>
  <c r="N930" i="9"/>
  <c r="N947" i="9"/>
  <c r="N860" i="9"/>
  <c r="N901" i="9"/>
  <c r="N917" i="9"/>
  <c r="N920" i="9"/>
  <c r="N941" i="9"/>
  <c r="N948" i="9"/>
  <c r="N886" i="9"/>
  <c r="N893" i="9"/>
  <c r="N922" i="9"/>
  <c r="N938" i="9"/>
  <c r="N942" i="9"/>
  <c r="N945" i="9"/>
  <c r="N950" i="9"/>
  <c r="N951" i="9"/>
  <c r="N956" i="9"/>
  <c r="N959" i="9"/>
  <c r="N962" i="9"/>
  <c r="N968" i="9"/>
  <c r="N974" i="9"/>
  <c r="N977" i="9"/>
  <c r="N980" i="9"/>
  <c r="N994" i="9"/>
  <c r="N997" i="9"/>
  <c r="N1000" i="9"/>
  <c r="N1006" i="9"/>
  <c r="N1012" i="9"/>
  <c r="N1015" i="9"/>
  <c r="N1018" i="9"/>
  <c r="N1031" i="9"/>
  <c r="N1033" i="9"/>
  <c r="N1036" i="9"/>
  <c r="N1045" i="9"/>
  <c r="N1047" i="9"/>
  <c r="N1050" i="9"/>
  <c r="N1104" i="9"/>
  <c r="N1106" i="9"/>
  <c r="N1125" i="9"/>
  <c r="N1136" i="9"/>
  <c r="N1139" i="9"/>
  <c r="N1141" i="9"/>
  <c r="N1147" i="9"/>
  <c r="N1149" i="9"/>
  <c r="N1154" i="9"/>
  <c r="N1157" i="9"/>
  <c r="N1159" i="9"/>
  <c r="N1165" i="9"/>
  <c r="N1167" i="9"/>
  <c r="N1168" i="9"/>
  <c r="N1171" i="9"/>
  <c r="N1174" i="9"/>
  <c r="N1177" i="9"/>
  <c r="N1179" i="9"/>
  <c r="N1185" i="9"/>
  <c r="N1187" i="9"/>
  <c r="N1192" i="9"/>
  <c r="N1195" i="9"/>
  <c r="N1197" i="9"/>
  <c r="N1203" i="9"/>
  <c r="N1205" i="9"/>
  <c r="N1206" i="9"/>
  <c r="N1209" i="9"/>
  <c r="N1215" i="9"/>
  <c r="N1221" i="9"/>
  <c r="N1224" i="9"/>
  <c r="N1226" i="9"/>
  <c r="N1232" i="9"/>
  <c r="N1234" i="9"/>
  <c r="N1239" i="9"/>
  <c r="N1242" i="9"/>
  <c r="N1244" i="9"/>
  <c r="N1250" i="9"/>
  <c r="N1252" i="9"/>
  <c r="N1253" i="9"/>
  <c r="N1256" i="9"/>
  <c r="N1259" i="9"/>
  <c r="N1262" i="9"/>
  <c r="N1264" i="9"/>
  <c r="N1270" i="9"/>
  <c r="N1272" i="9"/>
  <c r="N1277" i="9"/>
  <c r="N1280" i="9"/>
  <c r="N1282" i="9"/>
  <c r="N1288" i="9"/>
  <c r="N1059" i="9"/>
  <c r="N1069" i="9"/>
  <c r="N1076" i="9"/>
  <c r="N1097" i="9"/>
  <c r="N1101" i="9"/>
  <c r="N1109" i="9"/>
  <c r="N1115" i="9"/>
  <c r="N1130" i="9"/>
  <c r="N1117" i="9"/>
  <c r="N1121" i="9"/>
  <c r="N1134" i="9"/>
  <c r="N1060" i="9"/>
  <c r="N1068" i="9"/>
  <c r="N1075" i="9"/>
  <c r="N1084" i="9"/>
  <c r="N1091" i="9"/>
  <c r="N1100" i="9"/>
  <c r="N1128" i="9"/>
  <c r="N1340" i="9"/>
  <c r="N1346" i="9"/>
  <c r="N1295" i="9"/>
  <c r="N1318" i="9"/>
  <c r="N800" i="9"/>
  <c r="N807" i="9"/>
  <c r="N810" i="9"/>
  <c r="N813" i="9"/>
  <c r="N818" i="9"/>
  <c r="N825" i="9"/>
  <c r="N828" i="9"/>
  <c r="N832" i="9"/>
  <c r="N834" i="9"/>
  <c r="N841" i="9"/>
  <c r="N845" i="9"/>
  <c r="N851" i="9"/>
  <c r="N773" i="9"/>
  <c r="N764" i="9"/>
  <c r="N768" i="9"/>
  <c r="N771" i="9"/>
  <c r="N880" i="9"/>
  <c r="N899" i="9"/>
  <c r="N908" i="9"/>
  <c r="N910" i="9"/>
  <c r="N916" i="9"/>
  <c r="N936" i="9"/>
  <c r="N912" i="9"/>
  <c r="N921" i="9"/>
  <c r="N943" i="9"/>
  <c r="N862" i="9"/>
  <c r="N887" i="9"/>
  <c r="N894" i="9"/>
  <c r="N939" i="9"/>
  <c r="N944" i="9"/>
  <c r="N868" i="9"/>
  <c r="N875" i="9"/>
  <c r="N891" i="9"/>
  <c r="N924" i="9"/>
  <c r="N931" i="9"/>
  <c r="N952" i="9"/>
  <c r="N955" i="9"/>
  <c r="N957" i="9"/>
  <c r="N963" i="9"/>
  <c r="N965" i="9"/>
  <c r="N970" i="9"/>
  <c r="N973" i="9"/>
  <c r="N975" i="9"/>
  <c r="N981" i="9"/>
  <c r="N983" i="9"/>
  <c r="N984" i="9"/>
  <c r="N987" i="9"/>
  <c r="N990" i="9"/>
  <c r="N993" i="9"/>
  <c r="N995" i="9"/>
  <c r="N1001" i="9"/>
  <c r="N1003" i="9"/>
  <c r="N1008" i="9"/>
  <c r="N1011" i="9"/>
  <c r="N1013" i="9"/>
  <c r="N1019" i="9"/>
  <c r="N1021" i="9"/>
  <c r="N1022" i="9"/>
  <c r="N1025" i="9"/>
  <c r="N1028" i="9"/>
  <c r="N1030" i="9"/>
  <c r="N1032" i="9"/>
  <c r="N1038" i="9"/>
  <c r="N1042" i="9"/>
  <c r="N1044" i="9"/>
  <c r="N1046" i="9"/>
  <c r="N1052" i="9"/>
  <c r="N1053" i="9"/>
  <c r="N1055" i="9"/>
  <c r="N1113" i="9"/>
  <c r="N1133" i="9"/>
  <c r="N1137" i="9"/>
  <c r="N1142" i="9"/>
  <c r="N1144" i="9"/>
  <c r="N1150" i="9"/>
  <c r="N1153" i="9"/>
  <c r="N1155" i="9"/>
  <c r="N1160" i="9"/>
  <c r="N1162" i="9"/>
  <c r="N1169" i="9"/>
  <c r="N1173" i="9"/>
  <c r="N1175" i="9"/>
  <c r="N1180" i="9"/>
  <c r="N1182" i="9"/>
  <c r="N1188" i="9"/>
  <c r="N1191" i="9"/>
  <c r="N1193" i="9"/>
  <c r="N1198" i="9"/>
  <c r="N1200" i="9"/>
  <c r="N1207" i="9"/>
  <c r="N1211" i="9"/>
  <c r="N1214" i="9"/>
  <c r="N1218" i="9"/>
  <c r="N1222" i="9"/>
  <c r="N1227" i="9"/>
  <c r="N1229" i="9"/>
  <c r="N1235" i="9"/>
  <c r="N1238" i="9"/>
  <c r="N1240" i="9"/>
  <c r="N1245" i="9"/>
  <c r="N1247" i="9"/>
  <c r="N1254" i="9"/>
  <c r="N1258" i="9"/>
  <c r="N1260" i="9"/>
  <c r="N1265" i="9"/>
  <c r="N1267" i="9"/>
  <c r="N1273" i="9"/>
  <c r="N1276" i="9"/>
  <c r="N1278" i="9"/>
  <c r="N1283" i="9"/>
  <c r="N1285" i="9"/>
  <c r="N1061" i="9"/>
  <c r="N1070" i="9"/>
  <c r="N1072" i="9"/>
  <c r="N1078" i="9"/>
  <c r="N1085" i="9"/>
  <c r="N1098" i="9"/>
  <c r="N1102" i="9"/>
  <c r="N1105" i="9"/>
  <c r="N1118" i="9"/>
  <c r="N1107" i="9"/>
  <c r="N1111" i="9"/>
  <c r="N1131" i="9"/>
  <c r="N1062" i="9"/>
  <c r="N1071" i="9"/>
  <c r="N1077" i="9"/>
  <c r="N1092" i="9"/>
  <c r="N1120" i="9"/>
  <c r="N1314" i="9"/>
  <c r="N1319" i="9"/>
  <c r="N1334" i="9"/>
  <c r="N1335" i="9"/>
  <c r="N1343" i="9"/>
  <c r="N1291" i="9"/>
  <c r="N1304" i="9"/>
  <c r="N1320" i="9"/>
  <c r="N1349" i="9"/>
  <c r="N1354" i="9"/>
  <c r="N1357" i="9"/>
  <c r="N1359" i="9"/>
  <c r="N1365" i="9"/>
  <c r="N1367" i="9"/>
  <c r="N1089" i="9"/>
  <c r="N1095" i="9"/>
  <c r="N1114" i="9"/>
  <c r="N1290" i="9"/>
  <c r="N1328" i="9"/>
  <c r="N1338" i="9"/>
  <c r="N1351" i="9"/>
  <c r="N1360" i="9"/>
  <c r="N1368" i="9"/>
  <c r="N1371" i="9"/>
  <c r="N1374" i="9"/>
  <c r="N1377" i="9"/>
  <c r="N1378" i="9"/>
  <c r="N1381" i="9"/>
  <c r="N1384" i="9"/>
  <c r="N1387" i="9"/>
  <c r="N1388" i="9"/>
  <c r="N1391" i="9"/>
  <c r="N1392" i="9"/>
  <c r="N1395" i="9"/>
  <c r="N1399" i="9"/>
  <c r="N1312" i="9"/>
  <c r="N1317" i="9"/>
  <c r="N1342" i="9"/>
  <c r="N1297" i="9"/>
  <c r="N1313" i="9"/>
  <c r="N1315" i="9"/>
  <c r="N1493" i="9"/>
  <c r="N1495" i="9"/>
  <c r="N1501" i="9"/>
  <c r="N1521" i="9"/>
  <c r="N1528" i="9"/>
  <c r="N1549" i="9"/>
  <c r="N1551" i="9"/>
  <c r="N1557" i="9"/>
  <c r="N1569" i="9"/>
  <c r="N1571" i="9"/>
  <c r="N1574" i="9"/>
  <c r="N1583" i="9"/>
  <c r="N1585" i="9"/>
  <c r="N1588" i="9"/>
  <c r="N1596" i="9"/>
  <c r="N1600" i="9"/>
  <c r="N1603" i="9"/>
  <c r="N1604" i="9"/>
  <c r="N1609" i="9"/>
  <c r="N1612" i="9"/>
  <c r="N1615" i="9"/>
  <c r="N1621" i="9"/>
  <c r="N1627" i="9"/>
  <c r="N1630" i="9"/>
  <c r="N1633" i="9"/>
  <c r="N1645" i="9"/>
  <c r="N1649" i="9"/>
  <c r="N1655" i="9"/>
  <c r="N1659" i="9"/>
  <c r="N1665" i="9"/>
  <c r="N1669" i="9"/>
  <c r="N1672" i="9"/>
  <c r="N1673" i="9"/>
  <c r="N1678" i="9"/>
  <c r="N1681" i="9"/>
  <c r="N1684" i="9"/>
  <c r="N1690" i="9"/>
  <c r="N1696" i="9"/>
  <c r="N1699" i="9"/>
  <c r="N1702" i="9"/>
  <c r="N1716" i="9"/>
  <c r="N1719" i="9"/>
  <c r="N1722" i="9"/>
  <c r="N1728" i="9"/>
  <c r="N1734" i="9"/>
  <c r="N1737" i="9"/>
  <c r="N1740" i="9"/>
  <c r="N1438" i="9"/>
  <c r="N1442" i="9"/>
  <c r="N1449" i="9"/>
  <c r="N1457" i="9"/>
  <c r="N1462" i="9"/>
  <c r="N1469" i="9"/>
  <c r="N1535" i="9"/>
  <c r="N1544" i="9"/>
  <c r="N1492" i="9"/>
  <c r="N1499" i="9"/>
  <c r="N1520" i="9"/>
  <c r="N1548" i="9"/>
  <c r="N1555" i="9"/>
  <c r="N1446" i="9"/>
  <c r="N1448" i="9"/>
  <c r="N1454" i="9"/>
  <c r="N1461" i="9"/>
  <c r="N1474" i="9"/>
  <c r="N1478" i="9"/>
  <c r="N1484" i="9"/>
  <c r="N1507" i="9"/>
  <c r="N1523" i="9"/>
  <c r="N1527" i="9"/>
  <c r="N1534" i="9"/>
  <c r="N1542" i="9"/>
  <c r="N1753" i="9"/>
  <c r="N1762" i="9"/>
  <c r="N1764" i="9"/>
  <c r="N1770" i="9"/>
  <c r="N1777" i="9"/>
  <c r="N1790" i="9"/>
  <c r="N1794" i="9"/>
  <c r="N1797" i="9"/>
  <c r="N1810" i="9"/>
  <c r="N1818" i="9"/>
  <c r="N1820" i="9"/>
  <c r="N1826" i="9"/>
  <c r="N1829" i="9"/>
  <c r="N1844" i="9"/>
  <c r="N1847" i="9"/>
  <c r="N1863" i="9"/>
  <c r="N1870" i="9"/>
  <c r="N1894" i="9"/>
  <c r="N1901" i="9"/>
  <c r="N1850" i="9"/>
  <c r="N1855" i="9"/>
  <c r="N1112" i="9"/>
  <c r="N1065" i="9"/>
  <c r="N1066" i="9"/>
  <c r="N1132" i="9"/>
  <c r="N1302" i="9"/>
  <c r="N1327" i="9"/>
  <c r="N1352" i="9"/>
  <c r="N1355" i="9"/>
  <c r="N1362" i="9"/>
  <c r="N1366" i="9"/>
  <c r="N1369" i="9"/>
  <c r="N1373" i="9"/>
  <c r="N1375" i="9"/>
  <c r="N1382" i="9"/>
  <c r="N1385" i="9"/>
  <c r="N1393" i="9"/>
  <c r="N1394" i="9"/>
  <c r="N1398" i="9"/>
  <c r="N1402" i="9"/>
  <c r="N1298" i="9"/>
  <c r="N1303" i="9"/>
  <c r="N1292" i="9"/>
  <c r="N1296" i="9"/>
  <c r="N1299" i="9"/>
  <c r="N1301" i="9"/>
  <c r="N1321" i="9"/>
  <c r="N1503" i="9"/>
  <c r="N1522" i="9"/>
  <c r="N1531" i="9"/>
  <c r="N1533" i="9"/>
  <c r="N1539" i="9"/>
  <c r="N1559" i="9"/>
  <c r="N1566" i="9"/>
  <c r="N1568" i="9"/>
  <c r="N1570" i="9"/>
  <c r="N1576" i="9"/>
  <c r="N1580" i="9"/>
  <c r="N1582" i="9"/>
  <c r="N1584" i="9"/>
  <c r="N1590" i="9"/>
  <c r="N1591" i="9"/>
  <c r="N1593" i="9"/>
  <c r="N1599" i="9"/>
  <c r="N1605" i="9"/>
  <c r="N1608" i="9"/>
  <c r="N1610" i="9"/>
  <c r="N1616" i="9"/>
  <c r="N1618" i="9"/>
  <c r="N1623" i="9"/>
  <c r="N1626" i="9"/>
  <c r="N1628" i="9"/>
  <c r="N1634" i="9"/>
  <c r="N1636" i="9"/>
  <c r="N1637" i="9"/>
  <c r="N1640" i="9"/>
  <c r="N1643" i="9"/>
  <c r="N1646" i="9"/>
  <c r="N1647" i="9"/>
  <c r="N1650" i="9"/>
  <c r="N1653" i="9"/>
  <c r="N1656" i="9"/>
  <c r="N1657" i="9"/>
  <c r="N1660" i="9"/>
  <c r="N1661" i="9"/>
  <c r="N1664" i="9"/>
  <c r="N1668" i="9"/>
  <c r="N1674" i="9"/>
  <c r="N1677" i="9"/>
  <c r="N1679" i="9"/>
  <c r="N1685" i="9"/>
  <c r="N1687" i="9"/>
  <c r="N1692" i="9"/>
  <c r="N1695" i="9"/>
  <c r="N1697" i="9"/>
  <c r="N1703" i="9"/>
  <c r="N1705" i="9"/>
  <c r="N1706" i="9"/>
  <c r="N1709" i="9"/>
  <c r="N1712" i="9"/>
  <c r="N1715" i="9"/>
  <c r="N1717" i="9"/>
  <c r="N1723" i="9"/>
  <c r="N1725" i="9"/>
  <c r="N1730" i="9"/>
  <c r="N1733" i="9"/>
  <c r="N1735" i="9"/>
  <c r="N1741" i="9"/>
  <c r="N1743" i="9"/>
  <c r="N1744" i="9"/>
  <c r="N1747" i="9"/>
  <c r="N1450" i="9"/>
  <c r="N1459" i="9"/>
  <c r="N1465" i="9"/>
  <c r="N1471" i="9"/>
  <c r="N1481" i="9"/>
  <c r="N1512" i="9"/>
  <c r="N1518" i="9"/>
  <c r="N1502" i="9"/>
  <c r="N1505" i="9"/>
  <c r="N1526" i="9"/>
  <c r="N1530" i="9"/>
  <c r="N1537" i="9"/>
  <c r="N1558" i="9"/>
  <c r="N1439" i="9"/>
  <c r="N1455" i="9"/>
  <c r="N1458" i="9"/>
  <c r="N1463" i="9"/>
  <c r="N1470" i="9"/>
  <c r="N1479" i="9"/>
  <c r="N1486" i="9"/>
  <c r="N1487" i="9"/>
  <c r="N1509" i="9"/>
  <c r="N1516" i="9"/>
  <c r="N1545" i="9"/>
  <c r="N1561" i="9"/>
  <c r="N1565" i="9"/>
  <c r="N1748" i="9"/>
  <c r="N1755" i="9"/>
  <c r="N1771" i="9"/>
  <c r="N1774" i="9"/>
  <c r="N1779" i="9"/>
  <c r="N1786" i="9"/>
  <c r="N1795" i="9"/>
  <c r="N1799" i="9"/>
  <c r="N1806" i="9"/>
  <c r="N1827" i="9"/>
  <c r="N1831" i="9"/>
  <c r="N1866" i="9"/>
  <c r="N1876" i="9"/>
  <c r="N1883" i="9"/>
  <c r="N1904" i="9"/>
  <c r="N1836" i="9"/>
  <c r="N1841" i="9"/>
  <c r="N1058" i="9"/>
  <c r="N1306" i="9"/>
  <c r="N1309" i="9"/>
  <c r="N1325" i="9"/>
  <c r="N1332" i="9"/>
  <c r="N1345" i="9"/>
  <c r="N1353" i="9"/>
  <c r="N1356" i="9"/>
  <c r="N1361" i="9"/>
  <c r="N1363" i="9"/>
  <c r="N1370" i="9"/>
  <c r="N1372" i="9"/>
  <c r="N1379" i="9"/>
  <c r="N1383" i="9"/>
  <c r="N1389" i="9"/>
  <c r="N1397" i="9"/>
  <c r="N1401" i="9"/>
  <c r="N1308" i="9"/>
  <c r="N1333" i="9"/>
  <c r="N1307" i="9"/>
  <c r="N1322" i="9"/>
  <c r="N1336" i="9"/>
  <c r="N1508" i="9"/>
  <c r="N1525" i="9"/>
  <c r="N1541" i="9"/>
  <c r="N1560" i="9"/>
  <c r="N1567" i="9"/>
  <c r="N1572" i="9"/>
  <c r="N1577" i="9"/>
  <c r="N1579" i="9"/>
  <c r="N1581" i="9"/>
  <c r="N1586" i="9"/>
  <c r="N1592" i="9"/>
  <c r="N1595" i="9"/>
  <c r="N1598" i="9"/>
  <c r="N1602" i="9"/>
  <c r="N1606" i="9"/>
  <c r="N1611" i="9"/>
  <c r="N1613" i="9"/>
  <c r="N1619" i="9"/>
  <c r="N1622" i="9"/>
  <c r="N1624" i="9"/>
  <c r="N1629" i="9"/>
  <c r="N1631" i="9"/>
  <c r="N1638" i="9"/>
  <c r="N1642" i="9"/>
  <c r="N1644" i="9"/>
  <c r="N1651" i="9"/>
  <c r="N1654" i="9"/>
  <c r="N1662" i="9"/>
  <c r="N1663" i="9"/>
  <c r="N1667" i="9"/>
  <c r="N1671" i="9"/>
  <c r="N1675" i="9"/>
  <c r="N1680" i="9"/>
  <c r="N1682" i="9"/>
  <c r="N1688" i="9"/>
  <c r="N1691" i="9"/>
  <c r="N1693" i="9"/>
  <c r="N1698" i="9"/>
  <c r="N1700" i="9"/>
  <c r="N1707" i="9"/>
  <c r="N1711" i="9"/>
  <c r="N1713" i="9"/>
  <c r="N1718" i="9"/>
  <c r="N1720" i="9"/>
  <c r="N1726" i="9"/>
  <c r="N1729" i="9"/>
  <c r="N1731" i="9"/>
  <c r="N1736" i="9"/>
  <c r="N1738" i="9"/>
  <c r="N1745" i="9"/>
  <c r="N1444" i="9"/>
  <c r="N1451" i="9"/>
  <c r="N1460" i="9"/>
  <c r="N1467" i="9"/>
  <c r="N1476" i="9"/>
  <c r="N1480" i="9"/>
  <c r="N1483" i="9"/>
  <c r="N1494" i="9"/>
  <c r="N1500" i="9"/>
  <c r="N1515" i="9"/>
  <c r="N1550" i="9"/>
  <c r="N1556" i="9"/>
  <c r="N1524" i="9"/>
  <c r="N1540" i="9"/>
  <c r="N1543" i="9"/>
  <c r="N1564" i="9"/>
  <c r="N1440" i="9"/>
  <c r="N1443" i="9"/>
  <c r="N1456" i="9"/>
  <c r="N1464" i="9"/>
  <c r="N1466" i="9"/>
  <c r="N1472" i="9"/>
  <c r="N1475" i="9"/>
  <c r="N1491" i="9"/>
  <c r="N1498" i="9"/>
  <c r="N1514" i="9"/>
  <c r="N1547" i="9"/>
  <c r="N1554" i="9"/>
  <c r="N1759" i="9"/>
  <c r="N1772" i="9"/>
  <c r="N1780" i="9"/>
  <c r="N1782" i="9"/>
  <c r="N1788" i="9"/>
  <c r="N1791" i="9"/>
  <c r="N1800" i="9"/>
  <c r="N1802" i="9"/>
  <c r="N1808" i="9"/>
  <c r="N1815" i="9"/>
  <c r="N1828" i="9"/>
  <c r="N1832" i="9"/>
  <c r="N1856" i="9"/>
  <c r="N1886" i="9"/>
  <c r="N1889" i="9"/>
  <c r="N1910" i="9"/>
  <c r="N1119" i="9"/>
  <c r="N1123" i="9"/>
  <c r="N1074" i="9"/>
  <c r="N1083" i="9"/>
  <c r="N1294" i="9"/>
  <c r="N1348" i="9"/>
  <c r="N1350" i="9"/>
  <c r="N1358" i="9"/>
  <c r="N1364" i="9"/>
  <c r="N1376" i="9"/>
  <c r="N1380" i="9"/>
  <c r="N1386" i="9"/>
  <c r="N1390" i="9"/>
  <c r="N1396" i="9"/>
  <c r="N1400" i="9"/>
  <c r="N1403" i="9"/>
  <c r="N1404" i="9"/>
  <c r="N1310" i="9"/>
  <c r="N1323" i="9"/>
  <c r="N1326" i="9"/>
  <c r="N1329" i="9"/>
  <c r="N1337" i="9"/>
  <c r="N1344" i="9"/>
  <c r="N1311" i="9"/>
  <c r="N1324" i="9"/>
  <c r="N1330" i="9"/>
  <c r="N1339" i="9"/>
  <c r="N1341" i="9"/>
  <c r="N1347" i="9"/>
  <c r="N1490" i="9"/>
  <c r="N1511" i="9"/>
  <c r="N1513" i="9"/>
  <c r="N1519" i="9"/>
  <c r="N1546" i="9"/>
  <c r="N1563" i="9"/>
  <c r="N1573" i="9"/>
  <c r="N1575" i="9"/>
  <c r="N1578" i="9"/>
  <c r="N1587" i="9"/>
  <c r="N1589" i="9"/>
  <c r="N1594" i="9"/>
  <c r="N1597" i="9"/>
  <c r="N1601" i="9"/>
  <c r="N1607" i="9"/>
  <c r="N1614" i="9"/>
  <c r="N1617" i="9"/>
  <c r="N1620" i="9"/>
  <c r="N1625" i="9"/>
  <c r="N1632" i="9"/>
  <c r="N1635" i="9"/>
  <c r="N1639" i="9"/>
  <c r="N1641" i="9"/>
  <c r="N1648" i="9"/>
  <c r="N1652" i="9"/>
  <c r="N1658" i="9"/>
  <c r="N1666" i="9"/>
  <c r="N1670" i="9"/>
  <c r="N1676" i="9"/>
  <c r="N1683" i="9"/>
  <c r="N1686" i="9"/>
  <c r="N1689" i="9"/>
  <c r="N1694" i="9"/>
  <c r="N1701" i="9"/>
  <c r="N1704" i="9"/>
  <c r="N1708" i="9"/>
  <c r="N1710" i="9"/>
  <c r="N1714" i="9"/>
  <c r="N1721" i="9"/>
  <c r="N1724" i="9"/>
  <c r="N1727" i="9"/>
  <c r="N1732" i="9"/>
  <c r="N1739" i="9"/>
  <c r="N1742" i="9"/>
  <c r="N1746" i="9"/>
  <c r="N1447" i="9"/>
  <c r="N1453" i="9"/>
  <c r="N1468" i="9"/>
  <c r="N1485" i="9"/>
  <c r="N1488" i="9"/>
  <c r="N1489" i="9"/>
  <c r="N1497" i="9"/>
  <c r="N1506" i="9"/>
  <c r="N1532" i="9"/>
  <c r="N1538" i="9"/>
  <c r="N1553" i="9"/>
  <c r="N1510" i="9"/>
  <c r="N1517" i="9"/>
  <c r="N1562" i="9"/>
  <c r="N1441" i="9"/>
  <c r="N1445" i="9"/>
  <c r="N1452" i="9"/>
  <c r="N1473" i="9"/>
  <c r="N1477" i="9"/>
  <c r="N1482" i="9"/>
  <c r="N1496" i="9"/>
  <c r="N1504" i="9"/>
  <c r="N1529" i="9"/>
  <c r="N1536" i="9"/>
  <c r="N1552" i="9"/>
  <c r="N1751" i="9"/>
  <c r="N1761" i="9"/>
  <c r="N1768" i="9"/>
  <c r="N1789" i="9"/>
  <c r="N1793" i="9"/>
  <c r="N1809" i="9"/>
  <c r="N1812" i="9"/>
  <c r="N1817" i="9"/>
  <c r="N1824" i="9"/>
  <c r="N1833" i="9"/>
  <c r="N1902" i="9"/>
  <c r="N1896" i="9"/>
  <c r="N1865" i="9"/>
  <c r="N1840" i="9"/>
  <c r="N1903" i="9"/>
  <c r="N1897" i="9"/>
  <c r="N1895" i="9"/>
  <c r="N1874" i="9"/>
  <c r="N1860" i="9"/>
  <c r="N1845" i="9"/>
  <c r="N1834" i="9"/>
  <c r="N1830" i="9"/>
  <c r="N1821" i="9"/>
  <c r="N1814" i="9"/>
  <c r="N1805" i="9"/>
  <c r="N1798" i="9"/>
  <c r="N1785" i="9"/>
  <c r="N1778" i="9"/>
  <c r="N1773" i="9"/>
  <c r="N1765" i="9"/>
  <c r="N1756" i="9"/>
  <c r="N1988" i="9"/>
  <c r="N1984" i="9"/>
  <c r="N1980" i="9"/>
  <c r="N1976" i="9"/>
  <c r="N1972" i="9"/>
  <c r="N1968" i="9"/>
  <c r="N1964" i="9"/>
  <c r="N1960" i="9"/>
  <c r="N1956" i="9"/>
  <c r="N1952" i="9"/>
  <c r="N1948" i="9"/>
  <c r="N1944" i="9"/>
  <c r="N1940" i="9"/>
  <c r="N1936" i="9"/>
  <c r="N1932" i="9"/>
  <c r="N1931" i="9"/>
  <c r="N1923" i="9"/>
  <c r="N1920" i="9"/>
  <c r="N1913" i="9"/>
  <c r="N1888" i="9"/>
  <c r="N1880" i="9"/>
  <c r="N1846" i="9"/>
  <c r="N1858" i="9"/>
  <c r="T1959" i="9"/>
  <c r="T1961" i="9"/>
  <c r="T1958" i="9"/>
  <c r="T1960" i="9"/>
  <c r="T1962" i="9"/>
  <c r="U1957" i="9"/>
  <c r="U1958" i="9"/>
  <c r="U1960" i="9"/>
  <c r="U1962" i="9"/>
  <c r="U1959" i="9"/>
  <c r="U1961" i="9"/>
  <c r="U1963" i="9"/>
  <c r="V1956" i="9"/>
  <c r="V1952" i="9"/>
  <c r="V1955" i="9"/>
  <c r="V1954" i="9"/>
  <c r="V1953" i="9"/>
  <c r="V1951" i="9"/>
  <c r="V1950" i="9"/>
  <c r="T1956" i="9"/>
  <c r="T1952" i="9"/>
  <c r="T1953" i="9"/>
  <c r="T1955" i="9"/>
  <c r="T1951" i="9"/>
  <c r="T1954" i="9"/>
  <c r="T1950" i="9"/>
  <c r="X863" i="9"/>
  <c r="X853" i="9"/>
  <c r="X844" i="9"/>
  <c r="X614" i="9"/>
  <c r="X295" i="9"/>
  <c r="X864" i="9"/>
  <c r="X861" i="9"/>
  <c r="X862" i="9"/>
  <c r="X848" i="9"/>
  <c r="X836" i="9"/>
  <c r="X800" i="9"/>
  <c r="X628" i="9"/>
  <c r="X604" i="9"/>
  <c r="X308" i="9"/>
  <c r="X303" i="9"/>
  <c r="X317" i="9"/>
  <c r="X609" i="9"/>
  <c r="X268" i="9"/>
  <c r="X61" i="9"/>
  <c r="X78" i="9"/>
  <c r="X62" i="9"/>
  <c r="X80" i="9"/>
  <c r="X65" i="9"/>
  <c r="X71" i="9"/>
  <c r="X84" i="9"/>
  <c r="X86" i="9"/>
  <c r="X266" i="9"/>
  <c r="X276" i="9"/>
  <c r="X294" i="9"/>
  <c r="X296" i="9"/>
  <c r="X87" i="9"/>
  <c r="X272" i="9"/>
  <c r="X280" i="9"/>
  <c r="X286" i="9"/>
  <c r="X291" i="9"/>
  <c r="X298" i="9"/>
  <c r="X89" i="9"/>
  <c r="X275" i="9"/>
  <c r="X297" i="9"/>
  <c r="X63" i="9"/>
  <c r="X64" i="9"/>
  <c r="X70" i="9"/>
  <c r="X83" i="9"/>
  <c r="X73" i="9"/>
  <c r="X74" i="9"/>
  <c r="X60" i="9"/>
  <c r="X67" i="9"/>
  <c r="X79" i="9"/>
  <c r="X94" i="9"/>
  <c r="X261" i="9"/>
  <c r="X92" i="9"/>
  <c r="X262" i="9"/>
  <c r="X265" i="9"/>
  <c r="X271" i="9"/>
  <c r="X277" i="9"/>
  <c r="X283" i="9"/>
  <c r="X288" i="9"/>
  <c r="X300" i="9"/>
  <c r="X305" i="9"/>
  <c r="X306" i="9"/>
  <c r="X72" i="9"/>
  <c r="X75" i="9"/>
  <c r="X85" i="9"/>
  <c r="X69" i="9"/>
  <c r="X68" i="9"/>
  <c r="X81" i="9"/>
  <c r="X88" i="9"/>
  <c r="X96" i="9"/>
  <c r="X263" i="9"/>
  <c r="X269" i="9"/>
  <c r="X273" i="9"/>
  <c r="X278" i="9"/>
  <c r="X264" i="9"/>
  <c r="X289" i="9"/>
  <c r="X293" i="9"/>
  <c r="X93" i="9"/>
  <c r="X260" i="9"/>
  <c r="X267" i="9"/>
  <c r="X279" i="9"/>
  <c r="X285" i="9"/>
  <c r="X290" i="9"/>
  <c r="X292" i="9"/>
  <c r="X299" i="9"/>
  <c r="X304" i="9"/>
  <c r="X274" i="9"/>
  <c r="X282" i="9"/>
  <c r="X327" i="9"/>
  <c r="X307" i="9"/>
  <c r="X315" i="9"/>
  <c r="X320" i="9"/>
  <c r="X321" i="9"/>
  <c r="X322" i="9"/>
  <c r="X324" i="9"/>
  <c r="X615" i="9"/>
  <c r="X619" i="9"/>
  <c r="X605" i="9"/>
  <c r="X631" i="9"/>
  <c r="X606" i="9"/>
  <c r="X610" i="9"/>
  <c r="X611" i="9"/>
  <c r="X629" i="9"/>
  <c r="X805" i="9"/>
  <c r="X808" i="9"/>
  <c r="X815" i="9"/>
  <c r="X825" i="9"/>
  <c r="X830" i="9"/>
  <c r="X806" i="9"/>
  <c r="X817" i="9"/>
  <c r="X829" i="9"/>
  <c r="X837" i="9"/>
  <c r="X843" i="9"/>
  <c r="X855" i="9"/>
  <c r="X856" i="9"/>
  <c r="X77" i="9"/>
  <c r="X82" i="9"/>
  <c r="X91" i="9"/>
  <c r="X270" i="9"/>
  <c r="X97" i="9"/>
  <c r="X281" i="9"/>
  <c r="X318" i="9"/>
  <c r="X311" i="9"/>
  <c r="X313" i="9"/>
  <c r="X621" i="9"/>
  <c r="X625" i="9"/>
  <c r="X630" i="9"/>
  <c r="X633" i="9"/>
  <c r="X635" i="9"/>
  <c r="X616" i="9"/>
  <c r="X620" i="9"/>
  <c r="X818" i="9"/>
  <c r="X821" i="9"/>
  <c r="X798" i="9"/>
  <c r="X803" i="9"/>
  <c r="X810" i="9"/>
  <c r="X816" i="9"/>
  <c r="X822" i="9"/>
  <c r="X827" i="9"/>
  <c r="X832" i="9"/>
  <c r="X835" i="9"/>
  <c r="X811" i="9"/>
  <c r="X824" i="9"/>
  <c r="X838" i="9"/>
  <c r="X839" i="9"/>
  <c r="X841" i="9"/>
  <c r="X849" i="9"/>
  <c r="X850" i="9"/>
  <c r="X852" i="9"/>
  <c r="X854" i="9"/>
  <c r="X858" i="9"/>
  <c r="X66" i="9"/>
  <c r="X76" i="9"/>
  <c r="X287" i="9"/>
  <c r="X310" i="9"/>
  <c r="X316" i="9"/>
  <c r="X325" i="9"/>
  <c r="X326" i="9"/>
  <c r="X600" i="9"/>
  <c r="X302" i="9"/>
  <c r="X309" i="9"/>
  <c r="X312" i="9"/>
  <c r="X598" i="9"/>
  <c r="X301" i="9"/>
  <c r="X314" i="9"/>
  <c r="X599" i="9"/>
  <c r="X603" i="9"/>
  <c r="X613" i="9"/>
  <c r="X617" i="9"/>
  <c r="X622" i="9"/>
  <c r="X602" i="9"/>
  <c r="X634" i="9"/>
  <c r="X607" i="9"/>
  <c r="X612" i="9"/>
  <c r="X618" i="9"/>
  <c r="X626" i="9"/>
  <c r="X799" i="9"/>
  <c r="X802" i="9"/>
  <c r="X809" i="9"/>
  <c r="X812" i="9"/>
  <c r="X823" i="9"/>
  <c r="X819" i="9"/>
  <c r="X828" i="9"/>
  <c r="X833" i="9"/>
  <c r="X807" i="9"/>
  <c r="X814" i="9"/>
  <c r="X826" i="9"/>
  <c r="X846" i="9"/>
  <c r="X851" i="9"/>
  <c r="X842" i="9"/>
  <c r="X866" i="9"/>
  <c r="X860" i="9"/>
  <c r="X859" i="9"/>
  <c r="X845" i="9"/>
  <c r="X834" i="9"/>
  <c r="X801" i="9"/>
  <c r="X632" i="9"/>
  <c r="X627" i="9"/>
  <c r="X624" i="9"/>
  <c r="X608" i="9"/>
  <c r="X319" i="9"/>
  <c r="X328" i="9"/>
  <c r="X284" i="9"/>
  <c r="X90" i="9"/>
  <c r="X857" i="9"/>
  <c r="X865" i="9"/>
  <c r="X847" i="9"/>
  <c r="X840" i="9"/>
  <c r="X831" i="9"/>
  <c r="X820" i="9"/>
  <c r="X813" i="9"/>
  <c r="X804" i="9"/>
  <c r="X623" i="9"/>
  <c r="X601" i="9"/>
  <c r="X323" i="9"/>
  <c r="X95" i="9"/>
  <c r="W100" i="9"/>
  <c r="W99" i="9"/>
  <c r="W105" i="9"/>
  <c r="W114" i="9"/>
  <c r="W122" i="9"/>
  <c r="W131" i="9"/>
  <c r="W135" i="9"/>
  <c r="W136" i="9"/>
  <c r="W148" i="9"/>
  <c r="W156" i="9"/>
  <c r="W179" i="9"/>
  <c r="W185" i="9"/>
  <c r="W190" i="9"/>
  <c r="W194" i="9"/>
  <c r="W205" i="9"/>
  <c r="W211" i="9"/>
  <c r="W154" i="9"/>
  <c r="W162" i="9"/>
  <c r="W173" i="9"/>
  <c r="W181" i="9"/>
  <c r="W187" i="9"/>
  <c r="W201" i="9"/>
  <c r="W215" i="9"/>
  <c r="W106" i="9"/>
  <c r="W121" i="9"/>
  <c r="W130" i="9"/>
  <c r="W137" i="9"/>
  <c r="W141" i="9"/>
  <c r="W147" i="9"/>
  <c r="W157" i="9"/>
  <c r="W161" i="9"/>
  <c r="W168" i="9"/>
  <c r="W177" i="9"/>
  <c r="W184" i="9"/>
  <c r="W193" i="9"/>
  <c r="W203" i="9"/>
  <c r="W210" i="9"/>
  <c r="W214" i="9"/>
  <c r="W217" i="9"/>
  <c r="W230" i="9"/>
  <c r="W224" i="9"/>
  <c r="W233" i="9"/>
  <c r="W221" i="9"/>
  <c r="W247" i="9"/>
  <c r="W636" i="9"/>
  <c r="W98" i="9"/>
  <c r="W108" i="9"/>
  <c r="W115" i="9"/>
  <c r="W123" i="9"/>
  <c r="W125" i="9"/>
  <c r="W169" i="9"/>
  <c r="W182" i="9"/>
  <c r="W202" i="9"/>
  <c r="W208" i="9"/>
  <c r="W213" i="9"/>
  <c r="W151" i="9"/>
  <c r="W163" i="9"/>
  <c r="W175" i="9"/>
  <c r="W178" i="9"/>
  <c r="W183" i="9"/>
  <c r="W204" i="9"/>
  <c r="W103" i="9"/>
  <c r="W107" i="9"/>
  <c r="W116" i="9"/>
  <c r="W126" i="9"/>
  <c r="W129" i="9"/>
  <c r="W132" i="9"/>
  <c r="W134" i="9"/>
  <c r="W139" i="9"/>
  <c r="W150" i="9"/>
  <c r="W170" i="9"/>
  <c r="W172" i="9"/>
  <c r="W176" i="9"/>
  <c r="W186" i="9"/>
  <c r="W189" i="9"/>
  <c r="W195" i="9"/>
  <c r="W198" i="9"/>
  <c r="W206" i="9"/>
  <c r="W226" i="9"/>
  <c r="W222" i="9"/>
  <c r="W234" i="9"/>
  <c r="W231" i="9"/>
  <c r="W232" i="9"/>
  <c r="W237" i="9"/>
  <c r="W248" i="9"/>
  <c r="W102" i="9"/>
  <c r="W110" i="9"/>
  <c r="W127" i="9"/>
  <c r="W140" i="9"/>
  <c r="W149" i="9"/>
  <c r="W153" i="9"/>
  <c r="W165" i="9"/>
  <c r="W174" i="9"/>
  <c r="W218" i="9"/>
  <c r="W145" i="9"/>
  <c r="W166" i="9"/>
  <c r="W171" i="9"/>
  <c r="W180" i="9"/>
  <c r="W191" i="9"/>
  <c r="W196" i="9"/>
  <c r="W197" i="9"/>
  <c r="W109" i="9"/>
  <c r="W111" i="9"/>
  <c r="W113" i="9"/>
  <c r="W118" i="9"/>
  <c r="W133" i="9"/>
  <c r="W143" i="9"/>
  <c r="W152" i="9"/>
  <c r="W164" i="9"/>
  <c r="W200" i="9"/>
  <c r="W209" i="9"/>
  <c r="W236" i="9"/>
  <c r="W223" i="9"/>
  <c r="W235" i="9"/>
  <c r="W228" i="9"/>
  <c r="W192" i="9"/>
  <c r="W119" i="9"/>
  <c r="W155" i="9"/>
  <c r="W250" i="9"/>
  <c r="W257" i="9"/>
  <c r="W644" i="9"/>
  <c r="W661" i="9"/>
  <c r="W251" i="9"/>
  <c r="W259" i="9"/>
  <c r="W639" i="9"/>
  <c r="W656" i="9"/>
  <c r="W665" i="9"/>
  <c r="W638" i="9"/>
  <c r="W648" i="9"/>
  <c r="W652" i="9"/>
  <c r="W664" i="9"/>
  <c r="W670" i="9"/>
  <c r="W674" i="9"/>
  <c r="W678" i="9"/>
  <c r="W692" i="9"/>
  <c r="W676" i="9"/>
  <c r="W683" i="9"/>
  <c r="W686" i="9"/>
  <c r="W694" i="9"/>
  <c r="W701" i="9"/>
  <c r="W708" i="9"/>
  <c r="W718" i="9"/>
  <c r="W667" i="9"/>
  <c r="W671" i="9"/>
  <c r="W717" i="9"/>
  <c r="W721" i="9"/>
  <c r="W727" i="9"/>
  <c r="W734" i="9"/>
  <c r="W753" i="9"/>
  <c r="W723" i="9"/>
  <c r="W728" i="9"/>
  <c r="W740" i="9"/>
  <c r="W746" i="9"/>
  <c r="W750" i="9"/>
  <c r="W159" i="9"/>
  <c r="W158" i="9"/>
  <c r="W167" i="9"/>
  <c r="W641" i="9"/>
  <c r="W651" i="9"/>
  <c r="W243" i="9"/>
  <c r="W649" i="9"/>
  <c r="W650" i="9"/>
  <c r="W242" i="9"/>
  <c r="W245" i="9"/>
  <c r="W258" i="9"/>
  <c r="W642" i="9"/>
  <c r="W666" i="9"/>
  <c r="W675" i="9"/>
  <c r="W702" i="9"/>
  <c r="W716" i="9"/>
  <c r="W668" i="9"/>
  <c r="W679" i="9"/>
  <c r="W684" i="9"/>
  <c r="W690" i="9"/>
  <c r="W714" i="9"/>
  <c r="W673" i="9"/>
  <c r="W699" i="9"/>
  <c r="W720" i="9"/>
  <c r="W731" i="9"/>
  <c r="W736" i="9"/>
  <c r="W747" i="9"/>
  <c r="W752" i="9"/>
  <c r="W756" i="9"/>
  <c r="W755" i="9"/>
  <c r="W112" i="9"/>
  <c r="W146" i="9"/>
  <c r="W160" i="9"/>
  <c r="W207" i="9"/>
  <c r="W124" i="9"/>
  <c r="W138" i="9"/>
  <c r="W220" i="9"/>
  <c r="W229" i="9"/>
  <c r="W227" i="9"/>
  <c r="W238" i="9"/>
  <c r="W643" i="9"/>
  <c r="W646" i="9"/>
  <c r="W653" i="9"/>
  <c r="W244" i="9"/>
  <c r="W246" i="9"/>
  <c r="W640" i="9"/>
  <c r="W645" i="9"/>
  <c r="W662" i="9"/>
  <c r="W239" i="9"/>
  <c r="W255" i="9"/>
  <c r="W655" i="9"/>
  <c r="W658" i="9"/>
  <c r="W698" i="9"/>
  <c r="W704" i="9"/>
  <c r="W705" i="9"/>
  <c r="W711" i="9"/>
  <c r="W680" i="9"/>
  <c r="W685" i="9"/>
  <c r="W691" i="9"/>
  <c r="W696" i="9"/>
  <c r="W697" i="9"/>
  <c r="W710" i="9"/>
  <c r="W672" i="9"/>
  <c r="W681" i="9"/>
  <c r="W687" i="9"/>
  <c r="W693" i="9"/>
  <c r="W707" i="9"/>
  <c r="W712" i="9"/>
  <c r="W733" i="9"/>
  <c r="W738" i="9"/>
  <c r="W748" i="9"/>
  <c r="W719" i="9"/>
  <c r="W737" i="9"/>
  <c r="W794" i="9"/>
  <c r="W793" i="9"/>
  <c r="W767" i="9"/>
  <c r="W764" i="9"/>
  <c r="W749" i="9"/>
  <c r="W240" i="9"/>
  <c r="W791" i="9"/>
  <c r="W790" i="9"/>
  <c r="W789" i="9"/>
  <c r="W782" i="9"/>
  <c r="W773" i="9"/>
  <c r="W777" i="9"/>
  <c r="W775" i="9"/>
  <c r="W769" i="9"/>
  <c r="W763" i="9"/>
  <c r="W765" i="9"/>
  <c r="W759" i="9"/>
  <c r="W754" i="9"/>
  <c r="W726" i="9"/>
  <c r="W695" i="9"/>
  <c r="W669" i="9"/>
  <c r="W677" i="9"/>
  <c r="W709" i="9"/>
  <c r="W700" i="9"/>
  <c r="W660" i="9"/>
  <c r="W252" i="9"/>
  <c r="W249" i="9"/>
  <c r="W796" i="9"/>
  <c r="W766" i="9"/>
  <c r="W762" i="9"/>
  <c r="W758" i="9"/>
  <c r="W729" i="9"/>
  <c r="W722" i="9"/>
  <c r="W732" i="9"/>
  <c r="W739" i="9"/>
  <c r="W659" i="9"/>
  <c r="W199" i="9"/>
  <c r="W797" i="9"/>
  <c r="W792" i="9"/>
  <c r="W786" i="9"/>
  <c r="W781" i="9"/>
  <c r="W772" i="9"/>
  <c r="W788" i="9"/>
  <c r="W780" i="9"/>
  <c r="W774" i="9"/>
  <c r="W761" i="9"/>
  <c r="W745" i="9"/>
  <c r="W742" i="9"/>
  <c r="W735" i="9"/>
  <c r="W730" i="9"/>
  <c r="W744" i="9"/>
  <c r="W703" i="9"/>
  <c r="W715" i="9"/>
  <c r="W706" i="9"/>
  <c r="W682" i="9"/>
  <c r="W256" i="9"/>
  <c r="W219" i="9"/>
  <c r="W212" i="9"/>
  <c r="W188" i="9"/>
  <c r="W120" i="9"/>
  <c r="W104" i="9"/>
  <c r="W779" i="9"/>
  <c r="W784" i="9"/>
  <c r="W725" i="9"/>
  <c r="W757" i="9"/>
  <c r="W689" i="9"/>
  <c r="W241" i="9"/>
  <c r="W253" i="9"/>
  <c r="W128" i="9"/>
  <c r="W795" i="9"/>
  <c r="W787" i="9"/>
  <c r="W785" i="9"/>
  <c r="W778" i="9"/>
  <c r="W771" i="9"/>
  <c r="W768" i="9"/>
  <c r="W783" i="9"/>
  <c r="W770" i="9"/>
  <c r="W776" i="9"/>
  <c r="W760" i="9"/>
  <c r="W751" i="9"/>
  <c r="W743" i="9"/>
  <c r="W741" i="9"/>
  <c r="W724" i="9"/>
  <c r="W688" i="9"/>
  <c r="W713" i="9"/>
  <c r="W657" i="9"/>
  <c r="W647" i="9"/>
  <c r="W637" i="9"/>
  <c r="W663" i="9"/>
  <c r="W654" i="9"/>
  <c r="W254" i="9"/>
  <c r="W225" i="9"/>
  <c r="W216" i="9"/>
  <c r="W142" i="9"/>
  <c r="W144" i="9"/>
  <c r="W117" i="9"/>
  <c r="W101" i="9"/>
  <c r="AN45" i="9"/>
  <c r="D242" i="8"/>
  <c r="J242" i="8" s="1"/>
  <c r="D240" i="8"/>
  <c r="J240" i="8" s="1"/>
  <c r="D171" i="8"/>
  <c r="J171" i="8" s="1"/>
  <c r="W1388" i="9" s="1"/>
  <c r="D122" i="8"/>
  <c r="J122" i="8" s="1"/>
  <c r="V1170" i="9" s="1"/>
  <c r="Y27" i="9"/>
  <c r="Y51" i="9" s="1"/>
  <c r="S27" i="9"/>
  <c r="S51" i="9" s="1"/>
  <c r="X27" i="9"/>
  <c r="X51" i="9" s="1"/>
  <c r="AD27" i="9"/>
  <c r="AD51" i="9" s="1"/>
  <c r="P27" i="9"/>
  <c r="T682" i="9"/>
  <c r="T797" i="9"/>
  <c r="T866" i="9"/>
  <c r="V682" i="9"/>
  <c r="V797" i="9"/>
  <c r="V866" i="9"/>
  <c r="T94" i="9"/>
  <c r="T93" i="9"/>
  <c r="T92" i="9"/>
  <c r="T95" i="9"/>
  <c r="T130" i="9"/>
  <c r="T133" i="9"/>
  <c r="T143" i="9"/>
  <c r="T131" i="9"/>
  <c r="T132" i="9"/>
  <c r="T179" i="9"/>
  <c r="T217" i="9"/>
  <c r="T177" i="9"/>
  <c r="T180" i="9"/>
  <c r="T215" i="9"/>
  <c r="T218" i="9"/>
  <c r="T178" i="9"/>
  <c r="T216" i="9"/>
  <c r="T247" i="9"/>
  <c r="T248" i="9"/>
  <c r="T292" i="9"/>
  <c r="T293" i="9"/>
  <c r="T294" i="9"/>
  <c r="T295" i="9"/>
  <c r="T246" i="9"/>
  <c r="T258" i="9"/>
  <c r="T316" i="9"/>
  <c r="T317" i="9"/>
  <c r="T327" i="9"/>
  <c r="W299" i="9"/>
  <c r="W306" i="9"/>
  <c r="W309" i="9"/>
  <c r="W317" i="9"/>
  <c r="W318" i="9"/>
  <c r="W308" i="9"/>
  <c r="W311" i="9"/>
  <c r="W312" i="9"/>
  <c r="W316" i="9"/>
  <c r="W298" i="9"/>
  <c r="W301" i="9"/>
  <c r="W302" i="9"/>
  <c r="W305" i="9"/>
  <c r="W315" i="9"/>
  <c r="W300" i="9"/>
  <c r="W304" i="9"/>
  <c r="W310" i="9"/>
  <c r="W314" i="9"/>
  <c r="W307" i="9"/>
  <c r="W313" i="9"/>
  <c r="W319" i="9"/>
  <c r="W303" i="9"/>
  <c r="W322" i="9"/>
  <c r="W326" i="9"/>
  <c r="W321" i="9"/>
  <c r="W324" i="9"/>
  <c r="W320" i="9"/>
  <c r="W323" i="9"/>
  <c r="W327" i="9"/>
  <c r="W328" i="9"/>
  <c r="W325" i="9"/>
  <c r="W261" i="9"/>
  <c r="W264" i="9"/>
  <c r="W266" i="9"/>
  <c r="W267" i="9"/>
  <c r="W268" i="9"/>
  <c r="W270" i="9"/>
  <c r="W274" i="9"/>
  <c r="W276" i="9"/>
  <c r="W277" i="9"/>
  <c r="W279" i="9"/>
  <c r="W282" i="9"/>
  <c r="W284" i="9"/>
  <c r="W285" i="9"/>
  <c r="W286" i="9"/>
  <c r="W288" i="9"/>
  <c r="W293" i="9"/>
  <c r="W297" i="9"/>
  <c r="W260" i="9"/>
  <c r="W262" i="9"/>
  <c r="W263" i="9"/>
  <c r="W265" i="9"/>
  <c r="W269" i="9"/>
  <c r="W271" i="9"/>
  <c r="W272" i="9"/>
  <c r="W273" i="9"/>
  <c r="W275" i="9"/>
  <c r="W278" i="9"/>
  <c r="W280" i="9"/>
  <c r="W281" i="9"/>
  <c r="W283" i="9"/>
  <c r="W287" i="9"/>
  <c r="W289" i="9"/>
  <c r="W290" i="9"/>
  <c r="W291" i="9"/>
  <c r="W292" i="9"/>
  <c r="W294" i="9"/>
  <c r="W295" i="9"/>
  <c r="W296" i="9"/>
  <c r="T97" i="9"/>
  <c r="T135" i="9"/>
  <c r="T182" i="9"/>
  <c r="T220" i="9"/>
  <c r="T250" i="9"/>
  <c r="T297" i="9"/>
  <c r="T319" i="9"/>
  <c r="X145" i="9"/>
  <c r="X146" i="9"/>
  <c r="X147" i="9"/>
  <c r="X148" i="9"/>
  <c r="X149" i="9"/>
  <c r="X150" i="9"/>
  <c r="X151" i="9"/>
  <c r="X152" i="9"/>
  <c r="X153" i="9"/>
  <c r="X154" i="9"/>
  <c r="X155" i="9"/>
  <c r="X156" i="9"/>
  <c r="X157" i="9"/>
  <c r="X159" i="9"/>
  <c r="X162" i="9"/>
  <c r="X164" i="9"/>
  <c r="X169" i="9"/>
  <c r="X171" i="9"/>
  <c r="X178" i="9"/>
  <c r="X182" i="9"/>
  <c r="X158" i="9"/>
  <c r="X163" i="9"/>
  <c r="X166" i="9"/>
  <c r="X168" i="9"/>
  <c r="X174" i="9"/>
  <c r="X176" i="9"/>
  <c r="X177" i="9"/>
  <c r="X180" i="9"/>
  <c r="X161" i="9"/>
  <c r="X167" i="9"/>
  <c r="X170" i="9"/>
  <c r="X173" i="9"/>
  <c r="X160" i="9"/>
  <c r="X165" i="9"/>
  <c r="X172" i="9"/>
  <c r="X181" i="9"/>
  <c r="X179" i="9"/>
  <c r="X175" i="9"/>
  <c r="T68" i="9"/>
  <c r="T106" i="9"/>
  <c r="T153" i="9"/>
  <c r="T227" i="9"/>
  <c r="T191" i="9"/>
  <c r="T268" i="9"/>
  <c r="T302" i="9"/>
  <c r="T87" i="9"/>
  <c r="T90" i="9"/>
  <c r="T89" i="9"/>
  <c r="T91" i="9"/>
  <c r="T88" i="9"/>
  <c r="T127" i="9"/>
  <c r="T129" i="9"/>
  <c r="T126" i="9"/>
  <c r="T142" i="9"/>
  <c r="T128" i="9"/>
  <c r="T173" i="9"/>
  <c r="T211" i="9"/>
  <c r="T172" i="9"/>
  <c r="T175" i="9"/>
  <c r="T210" i="9"/>
  <c r="T213" i="9"/>
  <c r="T174" i="9"/>
  <c r="T176" i="9"/>
  <c r="T212" i="9"/>
  <c r="T214" i="9"/>
  <c r="T125" i="9"/>
  <c r="T243" i="9"/>
  <c r="T242" i="9"/>
  <c r="T244" i="9"/>
  <c r="T245" i="9"/>
  <c r="T257" i="9"/>
  <c r="T287" i="9"/>
  <c r="T288" i="9"/>
  <c r="T289" i="9"/>
  <c r="T290" i="9"/>
  <c r="T291" i="9"/>
  <c r="T315" i="9"/>
  <c r="T314" i="9"/>
  <c r="T313" i="9"/>
  <c r="T326" i="9"/>
  <c r="W60" i="9"/>
  <c r="W61" i="9"/>
  <c r="W62" i="9"/>
  <c r="W63" i="9"/>
  <c r="W64" i="9"/>
  <c r="W65" i="9"/>
  <c r="W66" i="9"/>
  <c r="W67" i="9"/>
  <c r="W69" i="9"/>
  <c r="W72" i="9"/>
  <c r="W75" i="9"/>
  <c r="W80" i="9"/>
  <c r="W70" i="9"/>
  <c r="W76" i="9"/>
  <c r="W82" i="9"/>
  <c r="W83" i="9"/>
  <c r="W84" i="9"/>
  <c r="W85" i="9"/>
  <c r="W71" i="9"/>
  <c r="W73" i="9"/>
  <c r="W78" i="9"/>
  <c r="W74" i="9"/>
  <c r="W79" i="9"/>
  <c r="W88" i="9"/>
  <c r="W81" i="9"/>
  <c r="W87" i="9"/>
  <c r="W90" i="9"/>
  <c r="W94" i="9"/>
  <c r="W77" i="9"/>
  <c r="W97" i="9"/>
  <c r="W89" i="9"/>
  <c r="W91" i="9"/>
  <c r="W92" i="9"/>
  <c r="W95" i="9"/>
  <c r="W93" i="9"/>
  <c r="W96" i="9"/>
  <c r="W68" i="9"/>
  <c r="W86" i="9"/>
  <c r="T60" i="9"/>
  <c r="T61" i="9"/>
  <c r="T62" i="9"/>
  <c r="T63" i="9"/>
  <c r="T98" i="9"/>
  <c r="T101" i="9"/>
  <c r="T100" i="9"/>
  <c r="T136" i="9"/>
  <c r="T99" i="9"/>
  <c r="T146" i="9"/>
  <c r="T185" i="9"/>
  <c r="T147" i="9"/>
  <c r="T145" i="9"/>
  <c r="T183" i="9"/>
  <c r="T186" i="9"/>
  <c r="T148" i="9"/>
  <c r="T222" i="9"/>
  <c r="T184" i="9"/>
  <c r="T251" i="9"/>
  <c r="T221" i="9"/>
  <c r="T223" i="9"/>
  <c r="T260" i="9"/>
  <c r="T261" i="9"/>
  <c r="T262" i="9"/>
  <c r="T263" i="9"/>
  <c r="T298" i="9"/>
  <c r="T299" i="9"/>
  <c r="T320" i="9"/>
  <c r="T64" i="9"/>
  <c r="T65" i="9"/>
  <c r="T66" i="9"/>
  <c r="T67" i="9"/>
  <c r="T103" i="9"/>
  <c r="T102" i="9"/>
  <c r="T105" i="9"/>
  <c r="T104" i="9"/>
  <c r="T137" i="9"/>
  <c r="T187" i="9"/>
  <c r="T190" i="9"/>
  <c r="T149" i="9"/>
  <c r="T151" i="9"/>
  <c r="T152" i="9"/>
  <c r="T188" i="9"/>
  <c r="T150" i="9"/>
  <c r="T189" i="9"/>
  <c r="T224" i="9"/>
  <c r="T226" i="9"/>
  <c r="T252" i="9"/>
  <c r="T225" i="9"/>
  <c r="T264" i="9"/>
  <c r="T265" i="9"/>
  <c r="T266" i="9"/>
  <c r="T267" i="9"/>
  <c r="T301" i="9"/>
  <c r="T300" i="9"/>
  <c r="T321" i="9"/>
  <c r="T69" i="9"/>
  <c r="T72" i="9"/>
  <c r="T70" i="9"/>
  <c r="T73" i="9"/>
  <c r="T108" i="9"/>
  <c r="T71" i="9"/>
  <c r="T107" i="9"/>
  <c r="T110" i="9"/>
  <c r="T111" i="9"/>
  <c r="T109" i="9"/>
  <c r="T138" i="9"/>
  <c r="T193" i="9"/>
  <c r="T155" i="9"/>
  <c r="T192" i="9"/>
  <c r="T195" i="9"/>
  <c r="T154" i="9"/>
  <c r="T158" i="9"/>
  <c r="T194" i="9"/>
  <c r="T196" i="9"/>
  <c r="T156" i="9"/>
  <c r="T157" i="9"/>
  <c r="T228" i="9"/>
  <c r="T230" i="9"/>
  <c r="T229" i="9"/>
  <c r="T269" i="9"/>
  <c r="T270" i="9"/>
  <c r="T271" i="9"/>
  <c r="T272" i="9"/>
  <c r="T273" i="9"/>
  <c r="T231" i="9"/>
  <c r="T253" i="9"/>
  <c r="T305" i="9"/>
  <c r="T304" i="9"/>
  <c r="T303" i="9"/>
  <c r="T322" i="9"/>
  <c r="T96" i="9"/>
  <c r="T181" i="9"/>
  <c r="T219" i="9"/>
  <c r="T134" i="9"/>
  <c r="T249" i="9"/>
  <c r="T296" i="9"/>
  <c r="T318" i="9"/>
  <c r="T144" i="9"/>
  <c r="T259" i="9"/>
  <c r="T328" i="9"/>
  <c r="AH25" i="11"/>
  <c r="AG26" i="11"/>
  <c r="AG25" i="11"/>
  <c r="AD26" i="11"/>
  <c r="H26" i="11"/>
  <c r="J26" i="11" s="1"/>
  <c r="AF17" i="7"/>
  <c r="D200" i="8"/>
  <c r="J200" i="8" s="1"/>
  <c r="D88" i="8"/>
  <c r="J88" i="8" s="1"/>
  <c r="BR99" i="7"/>
  <c r="D227" i="8" s="1"/>
  <c r="J227" i="8" s="1"/>
  <c r="D123" i="8"/>
  <c r="J123" i="8" s="1"/>
  <c r="R28" i="9"/>
  <c r="R51" i="9" s="1"/>
  <c r="AF28" i="9"/>
  <c r="AF51" i="9" s="1"/>
  <c r="AG28" i="9"/>
  <c r="AG51" i="9" s="1"/>
  <c r="AI28" i="9"/>
  <c r="AI51" i="9" s="1"/>
  <c r="W28" i="9"/>
  <c r="W51" i="9" s="1"/>
  <c r="AH28" i="9"/>
  <c r="AH51" i="9" s="1"/>
  <c r="V28" i="9"/>
  <c r="V51" i="9" s="1"/>
  <c r="U28" i="9"/>
  <c r="U51" i="9" s="1"/>
  <c r="AE28" i="9"/>
  <c r="AE51" i="9" s="1"/>
  <c r="AA28" i="9"/>
  <c r="AA51" i="9" s="1"/>
  <c r="T28" i="9"/>
  <c r="T51" i="9" s="1"/>
  <c r="W1986" i="9"/>
  <c r="W1948" i="9"/>
  <c r="W1719" i="9"/>
  <c r="W1728" i="9"/>
  <c r="W1731" i="9"/>
  <c r="W1738" i="9"/>
  <c r="W1746" i="9"/>
  <c r="W1990" i="9"/>
  <c r="W1954" i="9"/>
  <c r="W1732" i="9"/>
  <c r="W1739" i="9"/>
  <c r="W1956" i="9"/>
  <c r="W1747" i="9"/>
  <c r="W1715" i="9"/>
  <c r="W1743" i="9"/>
  <c r="W1763" i="9"/>
  <c r="W1769" i="9"/>
  <c r="W1969" i="9"/>
  <c r="W1716" i="9"/>
  <c r="W1722" i="9"/>
  <c r="W1737" i="9"/>
  <c r="W1967" i="9"/>
  <c r="W1729" i="9"/>
  <c r="W1745" i="9"/>
  <c r="W1953" i="9"/>
  <c r="W1742" i="9"/>
  <c r="W1968" i="9"/>
  <c r="W1724" i="9"/>
  <c r="W1727" i="9"/>
  <c r="W1750" i="9"/>
  <c r="W1976" i="9"/>
  <c r="W1730" i="9"/>
  <c r="W1765" i="9"/>
  <c r="W1773" i="9"/>
  <c r="W1989" i="9"/>
  <c r="W1984" i="9"/>
  <c r="W1713" i="9"/>
  <c r="W1721" i="9"/>
  <c r="W1981" i="9"/>
  <c r="W1766" i="9"/>
  <c r="W1775" i="9"/>
  <c r="W1741" i="9"/>
  <c r="W1755" i="9"/>
  <c r="W1712" i="9"/>
  <c r="W1790" i="9"/>
  <c r="W1797" i="9"/>
  <c r="W1818" i="9"/>
  <c r="W1820" i="9"/>
  <c r="W1982" i="9"/>
  <c r="W1734" i="9"/>
  <c r="W1740" i="9"/>
  <c r="W1975" i="9"/>
  <c r="W1718" i="9"/>
  <c r="W1726" i="9"/>
  <c r="W1749" i="9"/>
  <c r="W1974" i="9"/>
  <c r="W1980" i="9"/>
  <c r="W1752" i="9"/>
  <c r="W1760" i="9"/>
  <c r="W1723" i="9"/>
  <c r="W1748" i="9"/>
  <c r="W1754" i="9"/>
  <c r="W1983" i="9"/>
  <c r="W1753" i="9"/>
  <c r="W1762" i="9"/>
  <c r="W1764" i="9"/>
  <c r="W1770" i="9"/>
  <c r="W1733" i="9"/>
  <c r="W1761" i="9"/>
  <c r="W1791" i="9"/>
  <c r="W1800" i="9"/>
  <c r="W1802" i="9"/>
  <c r="W1808" i="9"/>
  <c r="W1955" i="9"/>
  <c r="W1736" i="9"/>
  <c r="W1714" i="9"/>
  <c r="W1735" i="9"/>
  <c r="W1777" i="9"/>
  <c r="W1778" i="9"/>
  <c r="W1785" i="9"/>
  <c r="W1814" i="9"/>
  <c r="W1795" i="9"/>
  <c r="W1799" i="9"/>
  <c r="W1806" i="9"/>
  <c r="W1767" i="9"/>
  <c r="W1717" i="9"/>
  <c r="W1774" i="9"/>
  <c r="W1768" i="9"/>
  <c r="W1744" i="9"/>
  <c r="W1792" i="9"/>
  <c r="W1796" i="9"/>
  <c r="W1803" i="9"/>
  <c r="W1811" i="9"/>
  <c r="W1988" i="9"/>
  <c r="W1771" i="9"/>
  <c r="W1780" i="9"/>
  <c r="W1783" i="9"/>
  <c r="W1816" i="9"/>
  <c r="W1786" i="9"/>
  <c r="W1830" i="9"/>
  <c r="W1789" i="9"/>
  <c r="W1817" i="9"/>
  <c r="W1822" i="9"/>
  <c r="W1824" i="9"/>
  <c r="W1840" i="9"/>
  <c r="W1846" i="9"/>
  <c r="W1837" i="9"/>
  <c r="W1839" i="9"/>
  <c r="W1859" i="9"/>
  <c r="W1864" i="9"/>
  <c r="W1947" i="9"/>
  <c r="W1751" i="9"/>
  <c r="W1757" i="9"/>
  <c r="W1758" i="9"/>
  <c r="W1772" i="9"/>
  <c r="W1798" i="9"/>
  <c r="W1776" i="9"/>
  <c r="W1809" i="9"/>
  <c r="W1812" i="9"/>
  <c r="W1801" i="9"/>
  <c r="W1807" i="9"/>
  <c r="W1833" i="9"/>
  <c r="W1838" i="9"/>
  <c r="W1843" i="9"/>
  <c r="W1854" i="9"/>
  <c r="W1836" i="9"/>
  <c r="W1841" i="9"/>
  <c r="W1725" i="9"/>
  <c r="W1829" i="9"/>
  <c r="W1862" i="9"/>
  <c r="W1794" i="9"/>
  <c r="W1810" i="9"/>
  <c r="W1805" i="9"/>
  <c r="W1793" i="9"/>
  <c r="W1825" i="9"/>
  <c r="W1720" i="9"/>
  <c r="W1756" i="9"/>
  <c r="W1821" i="9"/>
  <c r="W1759" i="9"/>
  <c r="W1815" i="9"/>
  <c r="W1781" i="9"/>
  <c r="W1850" i="9"/>
  <c r="W1804" i="9"/>
  <c r="W1449" i="9"/>
  <c r="W1457" i="9"/>
  <c r="W1835" i="9"/>
  <c r="W1865" i="9"/>
  <c r="W1465" i="9"/>
  <c r="W1784" i="9"/>
  <c r="W1856" i="9"/>
  <c r="W1474" i="9"/>
  <c r="W1779" i="9"/>
  <c r="W1834" i="9"/>
  <c r="W1861" i="9"/>
  <c r="W1813" i="9"/>
  <c r="W1849" i="9"/>
  <c r="W1460" i="9"/>
  <c r="W1826" i="9"/>
  <c r="W1447" i="9"/>
  <c r="W1453" i="9"/>
  <c r="W1832" i="9"/>
  <c r="W1475" i="9"/>
  <c r="W1490" i="9"/>
  <c r="W1946" i="9"/>
  <c r="W1782" i="9"/>
  <c r="W1787" i="9"/>
  <c r="W1831" i="9"/>
  <c r="W1851" i="9"/>
  <c r="W1450" i="9"/>
  <c r="W1459" i="9"/>
  <c r="W1458" i="9"/>
  <c r="W1478" i="9"/>
  <c r="W1443" i="9"/>
  <c r="W1476" i="9"/>
  <c r="W1480" i="9"/>
  <c r="W1483" i="9"/>
  <c r="W1491" i="9"/>
  <c r="W1844" i="9"/>
  <c r="W1497" i="9"/>
  <c r="W1506" i="9"/>
  <c r="W1532" i="9"/>
  <c r="W1538" i="9"/>
  <c r="W1553" i="9"/>
  <c r="W1571" i="9"/>
  <c r="W1486" i="9"/>
  <c r="W1498" i="9"/>
  <c r="W1514" i="9"/>
  <c r="W1547" i="9"/>
  <c r="W1554" i="9"/>
  <c r="W1567" i="9"/>
  <c r="W1572" i="9"/>
  <c r="W1495" i="9"/>
  <c r="W1501" i="9"/>
  <c r="W1521" i="9"/>
  <c r="W1528" i="9"/>
  <c r="W1585" i="9"/>
  <c r="W1596" i="9"/>
  <c r="W1788" i="9"/>
  <c r="W1848" i="9"/>
  <c r="W1867" i="9"/>
  <c r="W1444" i="9"/>
  <c r="W1860" i="9"/>
  <c r="W1869" i="9"/>
  <c r="W1870" i="9"/>
  <c r="W1463" i="9"/>
  <c r="W1469" i="9"/>
  <c r="W1847" i="9"/>
  <c r="W1452" i="9"/>
  <c r="W1482" i="9"/>
  <c r="W1492" i="9"/>
  <c r="W1535" i="9"/>
  <c r="W1544" i="9"/>
  <c r="W1496" i="9"/>
  <c r="W1504" i="9"/>
  <c r="W1529" i="9"/>
  <c r="W1536" i="9"/>
  <c r="W1552" i="9"/>
  <c r="W1577" i="9"/>
  <c r="W1868" i="9"/>
  <c r="W1454" i="9"/>
  <c r="W1508" i="9"/>
  <c r="W1576" i="9"/>
  <c r="W1852" i="9"/>
  <c r="W1855" i="9"/>
  <c r="W1871" i="9"/>
  <c r="W1462" i="9"/>
  <c r="W1853" i="9"/>
  <c r="W1872" i="9"/>
  <c r="W1873" i="9"/>
  <c r="W1455" i="9"/>
  <c r="W1493" i="9"/>
  <c r="W1466" i="9"/>
  <c r="W1473" i="9"/>
  <c r="W1479" i="9"/>
  <c r="W1507" i="9"/>
  <c r="W1527" i="9"/>
  <c r="W1534" i="9"/>
  <c r="W1542" i="9"/>
  <c r="W1592" i="9"/>
  <c r="W1446" i="9"/>
  <c r="W1551" i="9"/>
  <c r="W1557" i="9"/>
  <c r="W1568" i="9"/>
  <c r="W1196" i="9"/>
  <c r="W1202" i="9"/>
  <c r="W1219" i="9"/>
  <c r="W1220" i="9"/>
  <c r="W1503" i="9"/>
  <c r="W1522" i="9"/>
  <c r="W1191" i="9"/>
  <c r="W1207" i="9"/>
  <c r="W1211" i="9"/>
  <c r="W1214" i="9"/>
  <c r="W1222" i="9"/>
  <c r="W1471" i="9"/>
  <c r="W1583" i="9"/>
  <c r="W1590" i="9"/>
  <c r="W1209" i="9"/>
  <c r="W1266" i="9"/>
  <c r="W1275" i="9"/>
  <c r="W924" i="9"/>
  <c r="W928" i="9"/>
  <c r="W932" i="9"/>
  <c r="W937" i="9"/>
  <c r="W950" i="9"/>
  <c r="W1558" i="9"/>
  <c r="W1187" i="9"/>
  <c r="W1206" i="9"/>
  <c r="W1238" i="9"/>
  <c r="W1254" i="9"/>
  <c r="W1258" i="9"/>
  <c r="W1265" i="9"/>
  <c r="W1273" i="9"/>
  <c r="W1310" i="9"/>
  <c r="W1323" i="9"/>
  <c r="W1326" i="9"/>
  <c r="W1329" i="9"/>
  <c r="W933" i="9"/>
  <c r="W1548" i="9"/>
  <c r="W1189" i="9"/>
  <c r="W1210" i="9"/>
  <c r="W1294" i="9"/>
  <c r="W1313" i="9"/>
  <c r="W1315" i="9"/>
  <c r="W909" i="9"/>
  <c r="W1451" i="9"/>
  <c r="W1828" i="9"/>
  <c r="W1456" i="9"/>
  <c r="W1487" i="9"/>
  <c r="W1494" i="9"/>
  <c r="W1500" i="9"/>
  <c r="W1509" i="9"/>
  <c r="W1545" i="9"/>
  <c r="W1565" i="9"/>
  <c r="W1586" i="9"/>
  <c r="W1448" i="9"/>
  <c r="W1525" i="9"/>
  <c r="W1541" i="9"/>
  <c r="W1178" i="9"/>
  <c r="W1184" i="9"/>
  <c r="W1199" i="9"/>
  <c r="W1216" i="9"/>
  <c r="W1468" i="9"/>
  <c r="W1485" i="9"/>
  <c r="W1563" i="9"/>
  <c r="W1578" i="9"/>
  <c r="W1584" i="9"/>
  <c r="W1594" i="9"/>
  <c r="W1602" i="9"/>
  <c r="W1193" i="9"/>
  <c r="W1200" i="9"/>
  <c r="W1517" i="9"/>
  <c r="W1599" i="9"/>
  <c r="W1177" i="9"/>
  <c r="W1179" i="9"/>
  <c r="W1185" i="9"/>
  <c r="W1205" i="9"/>
  <c r="W1243" i="9"/>
  <c r="W1249" i="9"/>
  <c r="W1314" i="9"/>
  <c r="W1319" i="9"/>
  <c r="W1334" i="9"/>
  <c r="W1335" i="9"/>
  <c r="W908" i="9"/>
  <c r="W911" i="9"/>
  <c r="W914" i="9"/>
  <c r="W926" i="9"/>
  <c r="W1502" i="9"/>
  <c r="W1530" i="9"/>
  <c r="W1174" i="9"/>
  <c r="W1240" i="9"/>
  <c r="W1247" i="9"/>
  <c r="W1276" i="9"/>
  <c r="W1292" i="9"/>
  <c r="W1296" i="9"/>
  <c r="W1312" i="9"/>
  <c r="W1317" i="9"/>
  <c r="W907" i="9"/>
  <c r="W916" i="9"/>
  <c r="W935" i="9"/>
  <c r="W938" i="9"/>
  <c r="W1217" i="9"/>
  <c r="W1262" i="9"/>
  <c r="W1264" i="9"/>
  <c r="W1270" i="9"/>
  <c r="W1290" i="9"/>
  <c r="W1307" i="9"/>
  <c r="W1322" i="9"/>
  <c r="W929" i="9"/>
  <c r="W942" i="9"/>
  <c r="W1857" i="9"/>
  <c r="W1842" i="9"/>
  <c r="W1464" i="9"/>
  <c r="W1512" i="9"/>
  <c r="W1518" i="9"/>
  <c r="W1523" i="9"/>
  <c r="W1579" i="9"/>
  <c r="W1181" i="9"/>
  <c r="W1190" i="9"/>
  <c r="W1212" i="9"/>
  <c r="W1531" i="9"/>
  <c r="W1559" i="9"/>
  <c r="W1598" i="9"/>
  <c r="W1175" i="9"/>
  <c r="W1562" i="9"/>
  <c r="W1588" i="9"/>
  <c r="W1192" i="9"/>
  <c r="W1225" i="9"/>
  <c r="W1231" i="9"/>
  <c r="W1316" i="9"/>
  <c r="W1331" i="9"/>
  <c r="W919" i="9"/>
  <c r="W943" i="9"/>
  <c r="W1575" i="9"/>
  <c r="W1229" i="9"/>
  <c r="W1245" i="9"/>
  <c r="W1278" i="9"/>
  <c r="W1298" i="9"/>
  <c r="W1520" i="9"/>
  <c r="W1573" i="9"/>
  <c r="W1827" i="9"/>
  <c r="W1845" i="9"/>
  <c r="W1472" i="9"/>
  <c r="W1866" i="9"/>
  <c r="W1477" i="9"/>
  <c r="W1515" i="9"/>
  <c r="W1569" i="9"/>
  <c r="W1574" i="9"/>
  <c r="W1470" i="9"/>
  <c r="W1516" i="9"/>
  <c r="W1581" i="9"/>
  <c r="W1591" i="9"/>
  <c r="W1600" i="9"/>
  <c r="W1513" i="9"/>
  <c r="W1519" i="9"/>
  <c r="W1546" i="9"/>
  <c r="W1582" i="9"/>
  <c r="W1180" i="9"/>
  <c r="W1188" i="9"/>
  <c r="W1228" i="9"/>
  <c r="W1237" i="9"/>
  <c r="W1263" i="9"/>
  <c r="W1269" i="9"/>
  <c r="W922" i="9"/>
  <c r="W1489" i="9"/>
  <c r="W1505" i="9"/>
  <c r="W1537" i="9"/>
  <c r="W1197" i="9"/>
  <c r="W1203" i="9"/>
  <c r="W1267" i="9"/>
  <c r="W1283" i="9"/>
  <c r="W1308" i="9"/>
  <c r="W931" i="9"/>
  <c r="W1253" i="9"/>
  <c r="W958" i="9"/>
  <c r="W966" i="9"/>
  <c r="W991" i="9"/>
  <c r="W998" i="9"/>
  <c r="W1014" i="9"/>
  <c r="W1035" i="9"/>
  <c r="W1040" i="9"/>
  <c r="W1208" i="9"/>
  <c r="W1271" i="9"/>
  <c r="W1274" i="9"/>
  <c r="W1295" i="9"/>
  <c r="W946" i="9"/>
  <c r="W1280" i="9"/>
  <c r="W1301" i="9"/>
  <c r="W913" i="9"/>
  <c r="W952" i="9"/>
  <c r="W978" i="9"/>
  <c r="W979" i="9"/>
  <c r="W1025" i="9"/>
  <c r="W1467" i="9"/>
  <c r="W1858" i="9"/>
  <c r="W1863" i="9"/>
  <c r="W1445" i="9"/>
  <c r="W1550" i="9"/>
  <c r="W1556" i="9"/>
  <c r="W1819" i="9"/>
  <c r="W1561" i="9"/>
  <c r="W1560" i="9"/>
  <c r="W1587" i="9"/>
  <c r="W1511" i="9"/>
  <c r="W1566" i="9"/>
  <c r="W1218" i="9"/>
  <c r="W1510" i="9"/>
  <c r="W1603" i="9"/>
  <c r="W1604" i="9"/>
  <c r="W1533" i="9"/>
  <c r="W1182" i="9"/>
  <c r="W1246" i="9"/>
  <c r="W1302" i="9"/>
  <c r="W1327" i="9"/>
  <c r="W1526" i="9"/>
  <c r="W1195" i="9"/>
  <c r="W1227" i="9"/>
  <c r="W1260" i="9"/>
  <c r="W1333" i="9"/>
  <c r="W912" i="9"/>
  <c r="W1555" i="9"/>
  <c r="W954" i="9"/>
  <c r="W974" i="9"/>
  <c r="W980" i="9"/>
  <c r="W987" i="9"/>
  <c r="W1003" i="9"/>
  <c r="W1041" i="9"/>
  <c r="W1059" i="9"/>
  <c r="W1223" i="9"/>
  <c r="W1279" i="9"/>
  <c r="W1320" i="9"/>
  <c r="W1328" i="9"/>
  <c r="W930" i="9"/>
  <c r="W1201" i="9"/>
  <c r="W1226" i="9"/>
  <c r="W920" i="9"/>
  <c r="W944" i="9"/>
  <c r="W955" i="9"/>
  <c r="W959" i="9"/>
  <c r="W965" i="9"/>
  <c r="W977" i="9"/>
  <c r="W983" i="9"/>
  <c r="W1026" i="9"/>
  <c r="W1037" i="9"/>
  <c r="W1039" i="9"/>
  <c r="W1499" i="9"/>
  <c r="W1324" i="9"/>
  <c r="W972" i="9"/>
  <c r="W1023" i="9"/>
  <c r="W1823" i="9"/>
  <c r="W1549" i="9"/>
  <c r="W1539" i="9"/>
  <c r="W1281" i="9"/>
  <c r="W1287" i="9"/>
  <c r="W948" i="9"/>
  <c r="W1461" i="9"/>
  <c r="W1221" i="9"/>
  <c r="W1285" i="9"/>
  <c r="W921" i="9"/>
  <c r="W1234" i="9"/>
  <c r="W1277" i="9"/>
  <c r="W970" i="9"/>
  <c r="W982" i="9"/>
  <c r="W1010" i="9"/>
  <c r="W1032" i="9"/>
  <c r="W1038" i="9"/>
  <c r="W1043" i="9"/>
  <c r="W1230" i="9"/>
  <c r="W1286" i="9"/>
  <c r="W949" i="9"/>
  <c r="W1589" i="9"/>
  <c r="W1601" i="9"/>
  <c r="W1288" i="9"/>
  <c r="W1299" i="9"/>
  <c r="W1321" i="9"/>
  <c r="W906" i="9"/>
  <c r="W936" i="9"/>
  <c r="W1005" i="9"/>
  <c r="W1484" i="9"/>
  <c r="W1595" i="9"/>
  <c r="W1198" i="9"/>
  <c r="W1300" i="9"/>
  <c r="W1305" i="9"/>
  <c r="W1303" i="9"/>
  <c r="W910" i="9"/>
  <c r="W1244" i="9"/>
  <c r="W915" i="9"/>
  <c r="W1017" i="9"/>
  <c r="W1055" i="9"/>
  <c r="W1058" i="9"/>
  <c r="W1060" i="9"/>
  <c r="W1481" i="9"/>
  <c r="W1232" i="9"/>
  <c r="W918" i="9"/>
  <c r="W1570" i="9"/>
  <c r="W1488" i="9"/>
  <c r="W1242" i="9"/>
  <c r="W1213" i="9"/>
  <c r="W1050" i="9"/>
  <c r="W1054" i="9"/>
  <c r="W1061" i="9"/>
  <c r="W1239" i="9"/>
  <c r="W925" i="9"/>
  <c r="W953" i="9"/>
  <c r="W984" i="9"/>
  <c r="W990" i="9"/>
  <c r="W994" i="9"/>
  <c r="W1012" i="9"/>
  <c r="W1045" i="9"/>
  <c r="W1051" i="9"/>
  <c r="W1053" i="9"/>
  <c r="W1306" i="9"/>
  <c r="W995" i="9"/>
  <c r="W1580" i="9"/>
  <c r="W1597" i="9"/>
  <c r="W962" i="9"/>
  <c r="W967" i="9"/>
  <c r="W976" i="9"/>
  <c r="W999" i="9"/>
  <c r="W1009" i="9"/>
  <c r="W1052" i="9"/>
  <c r="W1215" i="9"/>
  <c r="W1284" i="9"/>
  <c r="W1235" i="9"/>
  <c r="W945" i="9"/>
  <c r="W1250" i="9"/>
  <c r="W905" i="9"/>
  <c r="W1252" i="9"/>
  <c r="W1282" i="9"/>
  <c r="W1020" i="9"/>
  <c r="W934" i="9"/>
  <c r="W1000" i="9"/>
  <c r="W1018" i="9"/>
  <c r="W1031" i="9"/>
  <c r="W1036" i="9"/>
  <c r="W1047" i="9"/>
  <c r="W1289" i="9"/>
  <c r="W1309" i="9"/>
  <c r="W960" i="9"/>
  <c r="W992" i="9"/>
  <c r="W1049" i="9"/>
  <c r="W1056" i="9"/>
  <c r="W1293" i="9"/>
  <c r="W941" i="9"/>
  <c r="W989" i="9"/>
  <c r="W1024" i="9"/>
  <c r="W961" i="9"/>
  <c r="W1022" i="9"/>
  <c r="W1255" i="9"/>
  <c r="W1259" i="9"/>
  <c r="W1030" i="9"/>
  <c r="W1256" i="9"/>
  <c r="W1272" i="9"/>
  <c r="W1311" i="9"/>
  <c r="W939" i="9"/>
  <c r="W963" i="9"/>
  <c r="W968" i="9"/>
  <c r="W1540" i="9"/>
  <c r="W1204" i="9"/>
  <c r="W1325" i="9"/>
  <c r="W973" i="9"/>
  <c r="W1034" i="9"/>
  <c r="W1048" i="9"/>
  <c r="W1318" i="9"/>
  <c r="W951" i="9"/>
  <c r="W993" i="9"/>
  <c r="W1013" i="9"/>
  <c r="W1021" i="9"/>
  <c r="W1236" i="9"/>
  <c r="W940" i="9"/>
  <c r="W1186" i="9"/>
  <c r="W1304" i="9"/>
  <c r="W985" i="9"/>
  <c r="W1065" i="9"/>
  <c r="W1291" i="9"/>
  <c r="W927" i="9"/>
  <c r="W1002" i="9"/>
  <c r="W1016" i="9"/>
  <c r="W1006" i="9"/>
  <c r="W981" i="9"/>
  <c r="W1057" i="9"/>
  <c r="W1593" i="9"/>
  <c r="W1044" i="9"/>
  <c r="W1297" i="9"/>
  <c r="W1194" i="9"/>
  <c r="W1330" i="9"/>
  <c r="W1029" i="9"/>
  <c r="W969" i="9"/>
  <c r="W1064" i="9"/>
  <c r="W986" i="9"/>
  <c r="W971" i="9"/>
  <c r="W1251" i="9"/>
  <c r="W917" i="9"/>
  <c r="W1543" i="9"/>
  <c r="W1176" i="9"/>
  <c r="W1257" i="9"/>
  <c r="W1001" i="9"/>
  <c r="W957" i="9"/>
  <c r="W923" i="9"/>
  <c r="W988" i="9"/>
  <c r="W1008" i="9"/>
  <c r="W1332" i="9"/>
  <c r="W975" i="9"/>
  <c r="W1062" i="9"/>
  <c r="W956" i="9"/>
  <c r="W964" i="9"/>
  <c r="W1944" i="9"/>
  <c r="W1991" i="9"/>
  <c r="W1977" i="9"/>
  <c r="W1011" i="9"/>
  <c r="W1233" i="9"/>
  <c r="W1046" i="9"/>
  <c r="W1224" i="9"/>
  <c r="W1268" i="9"/>
  <c r="W1564" i="9"/>
  <c r="W997" i="9"/>
  <c r="W1004" i="9"/>
  <c r="W1066" i="9"/>
  <c r="W1027" i="9"/>
  <c r="W1248" i="9"/>
  <c r="W947" i="9"/>
  <c r="W1007" i="9"/>
  <c r="W1985" i="9"/>
  <c r="W1945" i="9"/>
  <c r="W1063" i="9"/>
  <c r="W1019" i="9"/>
  <c r="W1524" i="9"/>
  <c r="W996" i="9"/>
  <c r="W1183" i="9"/>
  <c r="W1241" i="9"/>
  <c r="W1015" i="9"/>
  <c r="W1261" i="9"/>
  <c r="W1033" i="9"/>
  <c r="W1987" i="9"/>
  <c r="W1978" i="9"/>
  <c r="W1949" i="9"/>
  <c r="W1979" i="9"/>
  <c r="W1028" i="9"/>
  <c r="W1042" i="9"/>
  <c r="W1973" i="9"/>
  <c r="W1972" i="9"/>
  <c r="W1970" i="9"/>
  <c r="W1971" i="9"/>
  <c r="X1125" i="9"/>
  <c r="X1126" i="9"/>
  <c r="X1127" i="9"/>
  <c r="X1129" i="9"/>
  <c r="X1130" i="9"/>
  <c r="X1128" i="9"/>
  <c r="X1131" i="9"/>
  <c r="X1132" i="9"/>
  <c r="X1133" i="9"/>
  <c r="X1134" i="9"/>
  <c r="X1135" i="9"/>
  <c r="X1986" i="9"/>
  <c r="X1693" i="9"/>
  <c r="X1700" i="9"/>
  <c r="X1694" i="9"/>
  <c r="X1701" i="9"/>
  <c r="X1677" i="9"/>
  <c r="X1679" i="9"/>
  <c r="X1685" i="9"/>
  <c r="X1705" i="9"/>
  <c r="X1881" i="9"/>
  <c r="X1877" i="9"/>
  <c r="X1879" i="9"/>
  <c r="X1887" i="9"/>
  <c r="X1697" i="9"/>
  <c r="X1888" i="9"/>
  <c r="X1691" i="9"/>
  <c r="X1707" i="9"/>
  <c r="X1708" i="9"/>
  <c r="X1709" i="9"/>
  <c r="X1878" i="9"/>
  <c r="X1944" i="9"/>
  <c r="X1874" i="9"/>
  <c r="X1965" i="9"/>
  <c r="X1885" i="9"/>
  <c r="X1943" i="9"/>
  <c r="X1687" i="9"/>
  <c r="X1890" i="9"/>
  <c r="X1695" i="9"/>
  <c r="X1972" i="9"/>
  <c r="X1682" i="9"/>
  <c r="X1698" i="9"/>
  <c r="X1676" i="9"/>
  <c r="X1683" i="9"/>
  <c r="X1690" i="9"/>
  <c r="X1892" i="9"/>
  <c r="X1706" i="9"/>
  <c r="X1875" i="9"/>
  <c r="X1907" i="9"/>
  <c r="X1904" i="9"/>
  <c r="X1914" i="9"/>
  <c r="X1918" i="9"/>
  <c r="X1921" i="9"/>
  <c r="X1929" i="9"/>
  <c r="X1933" i="9"/>
  <c r="X1423" i="9"/>
  <c r="X1440" i="9"/>
  <c r="X1928" i="9"/>
  <c r="X1680" i="9"/>
  <c r="X1688" i="9"/>
  <c r="X1971" i="9"/>
  <c r="X1978" i="9"/>
  <c r="X1696" i="9"/>
  <c r="X1702" i="9"/>
  <c r="X1876" i="9"/>
  <c r="X1899" i="9"/>
  <c r="X1952" i="9"/>
  <c r="X1911" i="9"/>
  <c r="X1901" i="9"/>
  <c r="X1906" i="9"/>
  <c r="X1924" i="9"/>
  <c r="X1674" i="9"/>
  <c r="X1917" i="9"/>
  <c r="X1883" i="9"/>
  <c r="X1418" i="9"/>
  <c r="X1437" i="9"/>
  <c r="X1916" i="9"/>
  <c r="X1922" i="9"/>
  <c r="X1950" i="9"/>
  <c r="X1686" i="9"/>
  <c r="X1979" i="9"/>
  <c r="X1710" i="9"/>
  <c r="X1897" i="9"/>
  <c r="X1884" i="9"/>
  <c r="X1703" i="9"/>
  <c r="X1889" i="9"/>
  <c r="X1678" i="9"/>
  <c r="X1920" i="9"/>
  <c r="X1930" i="9"/>
  <c r="X1426" i="9"/>
  <c r="X1428" i="9"/>
  <c r="X1434" i="9"/>
  <c r="X1711" i="9"/>
  <c r="X1427" i="9"/>
  <c r="X1433" i="9"/>
  <c r="X1882" i="9"/>
  <c r="X1925" i="9"/>
  <c r="X1411" i="9"/>
  <c r="X1419" i="9"/>
  <c r="X1606" i="9"/>
  <c r="X1613" i="9"/>
  <c r="X1629" i="9"/>
  <c r="X1681" i="9"/>
  <c r="X1891" i="9"/>
  <c r="X1937" i="9"/>
  <c r="X1408" i="9"/>
  <c r="X1410" i="9"/>
  <c r="X1416" i="9"/>
  <c r="X1436" i="9"/>
  <c r="X1938" i="9"/>
  <c r="X1935" i="9"/>
  <c r="X1407" i="9"/>
  <c r="X1414" i="9"/>
  <c r="X1431" i="9"/>
  <c r="X1909" i="9"/>
  <c r="X1420" i="9"/>
  <c r="X1441" i="9"/>
  <c r="X1624" i="9"/>
  <c r="X1631" i="9"/>
  <c r="X1675" i="9"/>
  <c r="X1896" i="9"/>
  <c r="X1893" i="9"/>
  <c r="X1894" i="9"/>
  <c r="X1903" i="9"/>
  <c r="X1895" i="9"/>
  <c r="X1910" i="9"/>
  <c r="X1985" i="9"/>
  <c r="X1704" i="9"/>
  <c r="X1908" i="9"/>
  <c r="X1941" i="9"/>
  <c r="X1942" i="9"/>
  <c r="X1622" i="9"/>
  <c r="X1638" i="9"/>
  <c r="X1642" i="9"/>
  <c r="X1644" i="9"/>
  <c r="X1919" i="9"/>
  <c r="X1617" i="9"/>
  <c r="X1620" i="9"/>
  <c r="X1641" i="9"/>
  <c r="X1609" i="9"/>
  <c r="X1615" i="9"/>
  <c r="X1669" i="9"/>
  <c r="X1647" i="9"/>
  <c r="X1653" i="9"/>
  <c r="X1668" i="9"/>
  <c r="X1139" i="9"/>
  <c r="X1170" i="9"/>
  <c r="X1348" i="9"/>
  <c r="X1351" i="9"/>
  <c r="X1372" i="9"/>
  <c r="X1389" i="9"/>
  <c r="X1626" i="9"/>
  <c r="X1144" i="9"/>
  <c r="X1160" i="9"/>
  <c r="X1355" i="9"/>
  <c r="X1689" i="9"/>
  <c r="X1902" i="9"/>
  <c r="X1905" i="9"/>
  <c r="X1405" i="9"/>
  <c r="X1934" i="9"/>
  <c r="X1430" i="9"/>
  <c r="X1435" i="9"/>
  <c r="X1912" i="9"/>
  <c r="X1417" i="9"/>
  <c r="X1611" i="9"/>
  <c r="X1619" i="9"/>
  <c r="X1654" i="9"/>
  <c r="X1926" i="9"/>
  <c r="X1438" i="9"/>
  <c r="X1607" i="9"/>
  <c r="X1614" i="9"/>
  <c r="X1635" i="9"/>
  <c r="X1655" i="9"/>
  <c r="X1659" i="9"/>
  <c r="X1672" i="9"/>
  <c r="X1673" i="9"/>
  <c r="X1406" i="9"/>
  <c r="X1623" i="9"/>
  <c r="X1646" i="9"/>
  <c r="X1657" i="9"/>
  <c r="X1661" i="9"/>
  <c r="X1136" i="9"/>
  <c r="X1612" i="9"/>
  <c r="X1148" i="9"/>
  <c r="X1151" i="9"/>
  <c r="X1172" i="9"/>
  <c r="X1338" i="9"/>
  <c r="X1345" i="9"/>
  <c r="X1366" i="9"/>
  <c r="X1397" i="9"/>
  <c r="X1931" i="9"/>
  <c r="X1605" i="9"/>
  <c r="X1650" i="9"/>
  <c r="X1155" i="9"/>
  <c r="X1162" i="9"/>
  <c r="X1353" i="9"/>
  <c r="X1886" i="9"/>
  <c r="X1409" i="9"/>
  <c r="X1415" i="9"/>
  <c r="X1684" i="9"/>
  <c r="X1940" i="9"/>
  <c r="X1927" i="9"/>
  <c r="X1932" i="9"/>
  <c r="X1648" i="9"/>
  <c r="X1640" i="9"/>
  <c r="X1432" i="9"/>
  <c r="X1671" i="9"/>
  <c r="X1156" i="9"/>
  <c r="X1163" i="9"/>
  <c r="X1379" i="9"/>
  <c r="X1413" i="9"/>
  <c r="X1142" i="9"/>
  <c r="X1150" i="9"/>
  <c r="X1337" i="9"/>
  <c r="X1362" i="9"/>
  <c r="X1382" i="9"/>
  <c r="X1402" i="9"/>
  <c r="X1939" i="9"/>
  <c r="X1662" i="9"/>
  <c r="X1157" i="9"/>
  <c r="X1159" i="9"/>
  <c r="X1165" i="9"/>
  <c r="X1354" i="9"/>
  <c r="X1377" i="9"/>
  <c r="X1391" i="9"/>
  <c r="X1395" i="9"/>
  <c r="X1637" i="9"/>
  <c r="X1140" i="9"/>
  <c r="X1146" i="9"/>
  <c r="X1951" i="9"/>
  <c r="X1699" i="9"/>
  <c r="X1923" i="9"/>
  <c r="X1915" i="9"/>
  <c r="X1421" i="9"/>
  <c r="X1439" i="9"/>
  <c r="X1630" i="9"/>
  <c r="X1608" i="9"/>
  <c r="X1636" i="9"/>
  <c r="X1145" i="9"/>
  <c r="X1401" i="9"/>
  <c r="X1634" i="9"/>
  <c r="X1169" i="9"/>
  <c r="X1369" i="9"/>
  <c r="X1373" i="9"/>
  <c r="X1375" i="9"/>
  <c r="X1394" i="9"/>
  <c r="X1425" i="9"/>
  <c r="X1627" i="9"/>
  <c r="X1667" i="9"/>
  <c r="X1137" i="9"/>
  <c r="X1339" i="9"/>
  <c r="X1341" i="9"/>
  <c r="X1347" i="9"/>
  <c r="X1367" i="9"/>
  <c r="X1618" i="9"/>
  <c r="X1658" i="9"/>
  <c r="X1386" i="9"/>
  <c r="X1390" i="9"/>
  <c r="X1900" i="9"/>
  <c r="X1625" i="9"/>
  <c r="X1652" i="9"/>
  <c r="X1880" i="9"/>
  <c r="X1610" i="9"/>
  <c r="X1660" i="9"/>
  <c r="X1363" i="9"/>
  <c r="X1628" i="9"/>
  <c r="X1173" i="9"/>
  <c r="X1350" i="9"/>
  <c r="X1360" i="9"/>
  <c r="X1398" i="9"/>
  <c r="X1633" i="9"/>
  <c r="X1149" i="9"/>
  <c r="X1378" i="9"/>
  <c r="X1384" i="9"/>
  <c r="X1429" i="9"/>
  <c r="X1352" i="9"/>
  <c r="X1403" i="9"/>
  <c r="X1404" i="9"/>
  <c r="X1154" i="9"/>
  <c r="X867" i="9"/>
  <c r="X870" i="9"/>
  <c r="X872" i="9"/>
  <c r="X878" i="9"/>
  <c r="X880" i="9"/>
  <c r="X885" i="9"/>
  <c r="X888" i="9"/>
  <c r="X890" i="9"/>
  <c r="X896" i="9"/>
  <c r="X898" i="9"/>
  <c r="X899" i="9"/>
  <c r="X902" i="9"/>
  <c r="X1359" i="9"/>
  <c r="X1442" i="9"/>
  <c r="X1424" i="9"/>
  <c r="X1651" i="9"/>
  <c r="X1649" i="9"/>
  <c r="X1656" i="9"/>
  <c r="X1370" i="9"/>
  <c r="X1358" i="9"/>
  <c r="X1364" i="9"/>
  <c r="X1396" i="9"/>
  <c r="X1368" i="9"/>
  <c r="X871" i="9"/>
  <c r="X874" i="9"/>
  <c r="X877" i="9"/>
  <c r="X883" i="9"/>
  <c r="X889" i="9"/>
  <c r="X892" i="9"/>
  <c r="X895" i="9"/>
  <c r="X1158" i="9"/>
  <c r="X1164" i="9"/>
  <c r="X1357" i="9"/>
  <c r="X1639" i="9"/>
  <c r="X1665" i="9"/>
  <c r="X1936" i="9"/>
  <c r="X1621" i="9"/>
  <c r="X1385" i="9"/>
  <c r="X1371" i="9"/>
  <c r="X1171" i="9"/>
  <c r="X1349" i="9"/>
  <c r="X1387" i="9"/>
  <c r="X873" i="9"/>
  <c r="X881" i="9"/>
  <c r="X886" i="9"/>
  <c r="X893" i="9"/>
  <c r="X1643" i="9"/>
  <c r="X1670" i="9"/>
  <c r="X1376" i="9"/>
  <c r="X1361" i="9"/>
  <c r="X1336" i="9"/>
  <c r="X1692" i="9"/>
  <c r="X1412" i="9"/>
  <c r="X1422" i="9"/>
  <c r="X1616" i="9"/>
  <c r="X1664" i="9"/>
  <c r="X1913" i="9"/>
  <c r="X1166" i="9"/>
  <c r="X1383" i="9"/>
  <c r="X1666" i="9"/>
  <c r="X1342" i="9"/>
  <c r="X1393" i="9"/>
  <c r="X1632" i="9"/>
  <c r="X1356" i="9"/>
  <c r="X1138" i="9"/>
  <c r="X1153" i="9"/>
  <c r="X1168" i="9"/>
  <c r="X1399" i="9"/>
  <c r="X1343" i="9"/>
  <c r="X1374" i="9"/>
  <c r="X869" i="9"/>
  <c r="X876" i="9"/>
  <c r="X897" i="9"/>
  <c r="X901" i="9"/>
  <c r="X1663" i="9"/>
  <c r="X1167" i="9"/>
  <c r="X1392" i="9"/>
  <c r="X1147" i="9"/>
  <c r="X1381" i="9"/>
  <c r="X1152" i="9"/>
  <c r="X1344" i="9"/>
  <c r="X887" i="9"/>
  <c r="X894" i="9"/>
  <c r="X1400" i="9"/>
  <c r="X1645" i="9"/>
  <c r="X1161" i="9"/>
  <c r="X868" i="9"/>
  <c r="X875" i="9"/>
  <c r="X891" i="9"/>
  <c r="X1380" i="9"/>
  <c r="X1388" i="9"/>
  <c r="X884" i="9"/>
  <c r="X900" i="9"/>
  <c r="X904" i="9"/>
  <c r="X1346" i="9"/>
  <c r="X882" i="9"/>
  <c r="X903" i="9"/>
  <c r="X1141" i="9"/>
  <c r="X1143" i="9"/>
  <c r="X1340" i="9"/>
  <c r="X1898" i="9"/>
  <c r="X879" i="9"/>
  <c r="X1365" i="9"/>
  <c r="X1067" i="9"/>
  <c r="X1070" i="9"/>
  <c r="X1072" i="9"/>
  <c r="X1078" i="9"/>
  <c r="X1080" i="9"/>
  <c r="X1085" i="9"/>
  <c r="X1088" i="9"/>
  <c r="X1090" i="9"/>
  <c r="X1096" i="9"/>
  <c r="X1098" i="9"/>
  <c r="X1099" i="9"/>
  <c r="X1102" i="9"/>
  <c r="X1105" i="9"/>
  <c r="X1108" i="9"/>
  <c r="X1975" i="9"/>
  <c r="X1981" i="9"/>
  <c r="X1121" i="9"/>
  <c r="X1117" i="9"/>
  <c r="X1111" i="9"/>
  <c r="X1945" i="9"/>
  <c r="X1991" i="9"/>
  <c r="X1966" i="9"/>
  <c r="X1068" i="9"/>
  <c r="X1073" i="9"/>
  <c r="X1075" i="9"/>
  <c r="X1081" i="9"/>
  <c r="X1084" i="9"/>
  <c r="X1086" i="9"/>
  <c r="X1091" i="9"/>
  <c r="X1093" i="9"/>
  <c r="X1100" i="9"/>
  <c r="X1104" i="9"/>
  <c r="X1106" i="9"/>
  <c r="X1976" i="9"/>
  <c r="X1120" i="9"/>
  <c r="X1114" i="9"/>
  <c r="X1110" i="9"/>
  <c r="X1990" i="9"/>
  <c r="X1989" i="9"/>
  <c r="X1984" i="9"/>
  <c r="X1071" i="9"/>
  <c r="X1074" i="9"/>
  <c r="X1077" i="9"/>
  <c r="X1083" i="9"/>
  <c r="X1089" i="9"/>
  <c r="X1092" i="9"/>
  <c r="X1095" i="9"/>
  <c r="X1107" i="9"/>
  <c r="X1974" i="9"/>
  <c r="X1988" i="9"/>
  <c r="X1123" i="9"/>
  <c r="X1122" i="9"/>
  <c r="X1119" i="9"/>
  <c r="X1118" i="9"/>
  <c r="X1115" i="9"/>
  <c r="X1112" i="9"/>
  <c r="X1109" i="9"/>
  <c r="X1983" i="9"/>
  <c r="X1987" i="9"/>
  <c r="X1069" i="9"/>
  <c r="X1076" i="9"/>
  <c r="X1097" i="9"/>
  <c r="X1113" i="9"/>
  <c r="X1101" i="9"/>
  <c r="X1079" i="9"/>
  <c r="X1082" i="9"/>
  <c r="X1103" i="9"/>
  <c r="X1973" i="9"/>
  <c r="X1982" i="9"/>
  <c r="X1977" i="9"/>
  <c r="X1087" i="9"/>
  <c r="X1094" i="9"/>
  <c r="X1124" i="9"/>
  <c r="X1116" i="9"/>
  <c r="X1980" i="9"/>
  <c r="V1987" i="9"/>
  <c r="V1989" i="9"/>
  <c r="V1991" i="9"/>
  <c r="V1986" i="9"/>
  <c r="V1990" i="9"/>
  <c r="V1988" i="9"/>
  <c r="T1986" i="9"/>
  <c r="T1988" i="9"/>
  <c r="T1990" i="9"/>
  <c r="T1987" i="9"/>
  <c r="T1989" i="9"/>
  <c r="T1991" i="9"/>
  <c r="U1987" i="9"/>
  <c r="U1986" i="9"/>
  <c r="U1988" i="9"/>
  <c r="U1990" i="9"/>
  <c r="U1989" i="9"/>
  <c r="U1991" i="9"/>
  <c r="U1979" i="9"/>
  <c r="U1981" i="9"/>
  <c r="U1980" i="9"/>
  <c r="U1982" i="9"/>
  <c r="U1984" i="9"/>
  <c r="U1983" i="9"/>
  <c r="V1980" i="9"/>
  <c r="V1982" i="9"/>
  <c r="V1984" i="9"/>
  <c r="V1979" i="9"/>
  <c r="V1983" i="9"/>
  <c r="V1981" i="9"/>
  <c r="U1972" i="9"/>
  <c r="U1974" i="9"/>
  <c r="U1976" i="9"/>
  <c r="U1973" i="9"/>
  <c r="U1975" i="9"/>
  <c r="U1977" i="9"/>
  <c r="T1972" i="9"/>
  <c r="T1974" i="9"/>
  <c r="T1976" i="9"/>
  <c r="T1973" i="9"/>
  <c r="T1975" i="9"/>
  <c r="T1977" i="9"/>
  <c r="V1973" i="9"/>
  <c r="V1975" i="9"/>
  <c r="V1977" i="9"/>
  <c r="V1972" i="9"/>
  <c r="V1974" i="9"/>
  <c r="V1976" i="9"/>
  <c r="T1943" i="9"/>
  <c r="T1944" i="9"/>
  <c r="T1945" i="9"/>
  <c r="T1946" i="9"/>
  <c r="T1947" i="9"/>
  <c r="T1948" i="9"/>
  <c r="T1949" i="9"/>
  <c r="U1687" i="9"/>
  <c r="U1725" i="9"/>
  <c r="U1705" i="9"/>
  <c r="U1743" i="9"/>
  <c r="U1790" i="9"/>
  <c r="U1810" i="9"/>
  <c r="U1828" i="9"/>
  <c r="U1772" i="9"/>
  <c r="U1845" i="9"/>
  <c r="U1859" i="9"/>
  <c r="U1887" i="9"/>
  <c r="U1905" i="9"/>
  <c r="U1919" i="9"/>
  <c r="U1929" i="9"/>
  <c r="V1916" i="9"/>
  <c r="V1926" i="9"/>
  <c r="V1933" i="9"/>
  <c r="V1932" i="9"/>
  <c r="W1675" i="9"/>
  <c r="W1678" i="9"/>
  <c r="W1680" i="9"/>
  <c r="W1681" i="9"/>
  <c r="W1677" i="9"/>
  <c r="W1679" i="9"/>
  <c r="W1683" i="9"/>
  <c r="W1685" i="9"/>
  <c r="W1686" i="9"/>
  <c r="W1687" i="9"/>
  <c r="W1674" i="9"/>
  <c r="W1676" i="9"/>
  <c r="W1684" i="9"/>
  <c r="W1690" i="9"/>
  <c r="W1691" i="9"/>
  <c r="W1693" i="9"/>
  <c r="W1696" i="9"/>
  <c r="W1698" i="9"/>
  <c r="W1699" i="9"/>
  <c r="W1688" i="9"/>
  <c r="W1689" i="9"/>
  <c r="W1694" i="9"/>
  <c r="W1695" i="9"/>
  <c r="W1701" i="9"/>
  <c r="W1703" i="9"/>
  <c r="W1704" i="9"/>
  <c r="W1705" i="9"/>
  <c r="W1706" i="9"/>
  <c r="W1708" i="9"/>
  <c r="W1709" i="9"/>
  <c r="W1710" i="9"/>
  <c r="W1692" i="9"/>
  <c r="W1707" i="9"/>
  <c r="W1711" i="9"/>
  <c r="W1682" i="9"/>
  <c r="W1700" i="9"/>
  <c r="W1702" i="9"/>
  <c r="W1697" i="9"/>
  <c r="W1935" i="9"/>
  <c r="W1937" i="9"/>
  <c r="W1939" i="9"/>
  <c r="W1934" i="9"/>
  <c r="W1936" i="9"/>
  <c r="W1938" i="9"/>
  <c r="W1940" i="9"/>
  <c r="W1941" i="9"/>
  <c r="W1942" i="9"/>
  <c r="W1875" i="9"/>
  <c r="W1878" i="9"/>
  <c r="W1880" i="9"/>
  <c r="W1881" i="9"/>
  <c r="W1882" i="9"/>
  <c r="W1884" i="9"/>
  <c r="W1888" i="9"/>
  <c r="W1890" i="9"/>
  <c r="W1891" i="9"/>
  <c r="W1893" i="9"/>
  <c r="W1896" i="9"/>
  <c r="W1898" i="9"/>
  <c r="W1899" i="9"/>
  <c r="W1900" i="9"/>
  <c r="W1902" i="9"/>
  <c r="W1907" i="9"/>
  <c r="W1911" i="9"/>
  <c r="W1874" i="9"/>
  <c r="W1887" i="9"/>
  <c r="W1895" i="9"/>
  <c r="W1897" i="9"/>
  <c r="W1903" i="9"/>
  <c r="W1906" i="9"/>
  <c r="W1886" i="9"/>
  <c r="W1889" i="9"/>
  <c r="W1894" i="9"/>
  <c r="W1901" i="9"/>
  <c r="W1910" i="9"/>
  <c r="W1876" i="9"/>
  <c r="W1883" i="9"/>
  <c r="W1904" i="9"/>
  <c r="W1908" i="9"/>
  <c r="W1892" i="9"/>
  <c r="W1879" i="9"/>
  <c r="W1909" i="9"/>
  <c r="W1885" i="9"/>
  <c r="W1905" i="9"/>
  <c r="W1877" i="9"/>
  <c r="T1711" i="9"/>
  <c r="T1749" i="9"/>
  <c r="T1796" i="9"/>
  <c r="T1834" i="9"/>
  <c r="T1864" i="9"/>
  <c r="T1911" i="9"/>
  <c r="T1933" i="9"/>
  <c r="U1682" i="9"/>
  <c r="U1700" i="9"/>
  <c r="U1711" i="9"/>
  <c r="U1710" i="9"/>
  <c r="U1738" i="9"/>
  <c r="U1749" i="9"/>
  <c r="U1720" i="9"/>
  <c r="U1748" i="9"/>
  <c r="U1767" i="9"/>
  <c r="U1795" i="9"/>
  <c r="U1833" i="9"/>
  <c r="U1796" i="9"/>
  <c r="U1805" i="9"/>
  <c r="U1823" i="9"/>
  <c r="U1834" i="9"/>
  <c r="U1785" i="9"/>
  <c r="U1863" i="9"/>
  <c r="U1910" i="9"/>
  <c r="U1841" i="9"/>
  <c r="U1855" i="9"/>
  <c r="U1864" i="9"/>
  <c r="U1900" i="9"/>
  <c r="U1911" i="9"/>
  <c r="U1932" i="9"/>
  <c r="U1882" i="9"/>
  <c r="U1916" i="9"/>
  <c r="U1926" i="9"/>
  <c r="U1933" i="9"/>
  <c r="U1758" i="9"/>
  <c r="U1942" i="9"/>
  <c r="U1873" i="9"/>
  <c r="T1675" i="9"/>
  <c r="T1676" i="9"/>
  <c r="T1677" i="9"/>
  <c r="T1674" i="9"/>
  <c r="T1713" i="9"/>
  <c r="T1712" i="9"/>
  <c r="T1714" i="9"/>
  <c r="T1715" i="9"/>
  <c r="T1759" i="9"/>
  <c r="T1761" i="9"/>
  <c r="T1762" i="9"/>
  <c r="T1750" i="9"/>
  <c r="T1760" i="9"/>
  <c r="T1799" i="9"/>
  <c r="T1797" i="9"/>
  <c r="T1798" i="9"/>
  <c r="T1800" i="9"/>
  <c r="T1836" i="9"/>
  <c r="T1865" i="9"/>
  <c r="T1835" i="9"/>
  <c r="T1837" i="9"/>
  <c r="T1874" i="9"/>
  <c r="T1876" i="9"/>
  <c r="T1877" i="9"/>
  <c r="T1913" i="9"/>
  <c r="T1934" i="9"/>
  <c r="T1875" i="9"/>
  <c r="T1912" i="9"/>
  <c r="U1684" i="9"/>
  <c r="U1683" i="9"/>
  <c r="U1688" i="9"/>
  <c r="U1689" i="9"/>
  <c r="U1686" i="9"/>
  <c r="U1685" i="9"/>
  <c r="U1702" i="9"/>
  <c r="U1701" i="9"/>
  <c r="U1703" i="9"/>
  <c r="U1721" i="9"/>
  <c r="U1723" i="9"/>
  <c r="U1724" i="9"/>
  <c r="U1727" i="9"/>
  <c r="U1691" i="9"/>
  <c r="U1690" i="9"/>
  <c r="U1726" i="9"/>
  <c r="U1729" i="9"/>
  <c r="U1740" i="9"/>
  <c r="U1752" i="9"/>
  <c r="U1722" i="9"/>
  <c r="U1739" i="9"/>
  <c r="U1756" i="9"/>
  <c r="U1704" i="9"/>
  <c r="U1728" i="9"/>
  <c r="U1742" i="9"/>
  <c r="U1741" i="9"/>
  <c r="U1769" i="9"/>
  <c r="U1773" i="9"/>
  <c r="U1775" i="9"/>
  <c r="U1776" i="9"/>
  <c r="U1768" i="9"/>
  <c r="U1771" i="9"/>
  <c r="U1774" i="9"/>
  <c r="U1786" i="9"/>
  <c r="U1788" i="9"/>
  <c r="U1789" i="9"/>
  <c r="U1806" i="9"/>
  <c r="U1808" i="9"/>
  <c r="U1809" i="9"/>
  <c r="U1812" i="9"/>
  <c r="U1824" i="9"/>
  <c r="U1826" i="9"/>
  <c r="U1827" i="9"/>
  <c r="U1753" i="9"/>
  <c r="U1770" i="9"/>
  <c r="U1811" i="9"/>
  <c r="U1814" i="9"/>
  <c r="U1787" i="9"/>
  <c r="U1825" i="9"/>
  <c r="U1807" i="9"/>
  <c r="U1813" i="9"/>
  <c r="U1842" i="9"/>
  <c r="U1844" i="9"/>
  <c r="U1847" i="9"/>
  <c r="U1856" i="9"/>
  <c r="U1858" i="9"/>
  <c r="U1868" i="9"/>
  <c r="U1883" i="9"/>
  <c r="U1885" i="9"/>
  <c r="U1886" i="9"/>
  <c r="U1889" i="9"/>
  <c r="U1901" i="9"/>
  <c r="U1903" i="9"/>
  <c r="U1904" i="9"/>
  <c r="U1843" i="9"/>
  <c r="U1846" i="9"/>
  <c r="U1848" i="9"/>
  <c r="U1857" i="9"/>
  <c r="U1867" i="9"/>
  <c r="U1871" i="9"/>
  <c r="U1890" i="9"/>
  <c r="U1902" i="9"/>
  <c r="U1888" i="9"/>
  <c r="U1918" i="9"/>
  <c r="U1920" i="9"/>
  <c r="U1928" i="9"/>
  <c r="U1936" i="9"/>
  <c r="U1940" i="9"/>
  <c r="U1891" i="9"/>
  <c r="U1917" i="9"/>
  <c r="U1921" i="9"/>
  <c r="U1927" i="9"/>
  <c r="U1937" i="9"/>
  <c r="U1884" i="9"/>
  <c r="V1674" i="9"/>
  <c r="V1678" i="9"/>
  <c r="V1688" i="9"/>
  <c r="V1683" i="9"/>
  <c r="V1692" i="9"/>
  <c r="V1706" i="9"/>
  <c r="V1712" i="9"/>
  <c r="V1696" i="9"/>
  <c r="V1701" i="9"/>
  <c r="V1730" i="9"/>
  <c r="V1726" i="9"/>
  <c r="V1716" i="9"/>
  <c r="V1744" i="9"/>
  <c r="V1739" i="9"/>
  <c r="V1734" i="9"/>
  <c r="V1759" i="9"/>
  <c r="V1773" i="9"/>
  <c r="V1768" i="9"/>
  <c r="V1786" i="9"/>
  <c r="V1791" i="9"/>
  <c r="V1797" i="9"/>
  <c r="V1815" i="9"/>
  <c r="V1829" i="9"/>
  <c r="V1811" i="9"/>
  <c r="V1721" i="9"/>
  <c r="V1801" i="9"/>
  <c r="V1819" i="9"/>
  <c r="V1777" i="9"/>
  <c r="V1806" i="9"/>
  <c r="V1763" i="9"/>
  <c r="V1781" i="9"/>
  <c r="V1824" i="9"/>
  <c r="V1835" i="9"/>
  <c r="V1842" i="9"/>
  <c r="V1849" i="9"/>
  <c r="V1856" i="9"/>
  <c r="V1860" i="9"/>
  <c r="V1838" i="9"/>
  <c r="V1846" i="9"/>
  <c r="V1852" i="9"/>
  <c r="V1878" i="9"/>
  <c r="V1888" i="9"/>
  <c r="V1896" i="9"/>
  <c r="V1901" i="9"/>
  <c r="V1912" i="9"/>
  <c r="V1917" i="9"/>
  <c r="V1922" i="9"/>
  <c r="V1927" i="9"/>
  <c r="V1930" i="9"/>
  <c r="V1892" i="9"/>
  <c r="V1874" i="9"/>
  <c r="V1906" i="9"/>
  <c r="V1914" i="9"/>
  <c r="V1920" i="9"/>
  <c r="V1924" i="9"/>
  <c r="V1883" i="9"/>
  <c r="V1750" i="9"/>
  <c r="V1751" i="9"/>
  <c r="V1752" i="9"/>
  <c r="V1755" i="9"/>
  <c r="V1756" i="9"/>
  <c r="V1754" i="9"/>
  <c r="V1757" i="9"/>
  <c r="V1753" i="9"/>
  <c r="V1866" i="9"/>
  <c r="V1868" i="9"/>
  <c r="V1870" i="9"/>
  <c r="V1865" i="9"/>
  <c r="V1867" i="9"/>
  <c r="V1869" i="9"/>
  <c r="V1871" i="9"/>
  <c r="V1872" i="9"/>
  <c r="V1935" i="9"/>
  <c r="V1937" i="9"/>
  <c r="V1939" i="9"/>
  <c r="V1934" i="9"/>
  <c r="V1936" i="9"/>
  <c r="V1938" i="9"/>
  <c r="V1940" i="9"/>
  <c r="V1941" i="9"/>
  <c r="V1758" i="9"/>
  <c r="V1873" i="9"/>
  <c r="V1942" i="9"/>
  <c r="T1706" i="9"/>
  <c r="T1709" i="9"/>
  <c r="T1707" i="9"/>
  <c r="T1708" i="9"/>
  <c r="T1744" i="9"/>
  <c r="T1746" i="9"/>
  <c r="T1747" i="9"/>
  <c r="T1745" i="9"/>
  <c r="T1757" i="9"/>
  <c r="T1792" i="9"/>
  <c r="T1793" i="9"/>
  <c r="T1791" i="9"/>
  <c r="T1794" i="9"/>
  <c r="T1830" i="9"/>
  <c r="T1831" i="9"/>
  <c r="T1829" i="9"/>
  <c r="T1832" i="9"/>
  <c r="T1861" i="9"/>
  <c r="T1860" i="9"/>
  <c r="T1862" i="9"/>
  <c r="T1906" i="9"/>
  <c r="T1908" i="9"/>
  <c r="T1909" i="9"/>
  <c r="T1931" i="9"/>
  <c r="T1941" i="9"/>
  <c r="T1872" i="9"/>
  <c r="T1907" i="9"/>
  <c r="T1930" i="9"/>
  <c r="W1912" i="9"/>
  <c r="W1915" i="9"/>
  <c r="W1916" i="9"/>
  <c r="W1917" i="9"/>
  <c r="W1919" i="9"/>
  <c r="W1921" i="9"/>
  <c r="W1922" i="9"/>
  <c r="W1925" i="9"/>
  <c r="W1926" i="9"/>
  <c r="W1927" i="9"/>
  <c r="W1929" i="9"/>
  <c r="W1930" i="9"/>
  <c r="W1933" i="9"/>
  <c r="W1913" i="9"/>
  <c r="W1914" i="9"/>
  <c r="W1918" i="9"/>
  <c r="W1920" i="9"/>
  <c r="W1923" i="9"/>
  <c r="W1924" i="9"/>
  <c r="W1928" i="9"/>
  <c r="W1931" i="9"/>
  <c r="W1932" i="9"/>
  <c r="X1752" i="9"/>
  <c r="X1751" i="9"/>
  <c r="X1753" i="9"/>
  <c r="X1754" i="9"/>
  <c r="X1757" i="9"/>
  <c r="X1750" i="9"/>
  <c r="X1756" i="9"/>
  <c r="X1755" i="9"/>
  <c r="X1758" i="9"/>
  <c r="T1697" i="9"/>
  <c r="T1698" i="9"/>
  <c r="T1696" i="9"/>
  <c r="T1699" i="9"/>
  <c r="T1734" i="9"/>
  <c r="T1737" i="9"/>
  <c r="T1736" i="9"/>
  <c r="T1735" i="9"/>
  <c r="T1755" i="9"/>
  <c r="T1781" i="9"/>
  <c r="T1783" i="9"/>
  <c r="T1784" i="9"/>
  <c r="T1782" i="9"/>
  <c r="T1819" i="9"/>
  <c r="T1822" i="9"/>
  <c r="T1820" i="9"/>
  <c r="T1821" i="9"/>
  <c r="T1852" i="9"/>
  <c r="T1854" i="9"/>
  <c r="T1853" i="9"/>
  <c r="T1870" i="9"/>
  <c r="T1897" i="9"/>
  <c r="T1924" i="9"/>
  <c r="T1899" i="9"/>
  <c r="T1896" i="9"/>
  <c r="T1898" i="9"/>
  <c r="T1925" i="9"/>
  <c r="T1939" i="9"/>
  <c r="T1678" i="9"/>
  <c r="T1681" i="9"/>
  <c r="T1680" i="9"/>
  <c r="T1716" i="9"/>
  <c r="T1718" i="9"/>
  <c r="T1719" i="9"/>
  <c r="T1679" i="9"/>
  <c r="T1717" i="9"/>
  <c r="T1751" i="9"/>
  <c r="T1763" i="9"/>
  <c r="T1764" i="9"/>
  <c r="T1766" i="9"/>
  <c r="T1765" i="9"/>
  <c r="T1801" i="9"/>
  <c r="T1804" i="9"/>
  <c r="T1802" i="9"/>
  <c r="T1803" i="9"/>
  <c r="T1838" i="9"/>
  <c r="T1840" i="9"/>
  <c r="T1839" i="9"/>
  <c r="T1866" i="9"/>
  <c r="T1879" i="9"/>
  <c r="T1880" i="9"/>
  <c r="T1914" i="9"/>
  <c r="T1878" i="9"/>
  <c r="T1881" i="9"/>
  <c r="T1915" i="9"/>
  <c r="T1935" i="9"/>
  <c r="T1710" i="9"/>
  <c r="T1748" i="9"/>
  <c r="T1795" i="9"/>
  <c r="T1833" i="9"/>
  <c r="T1863" i="9"/>
  <c r="T1910" i="9"/>
  <c r="T1932" i="9"/>
  <c r="T1700" i="9"/>
  <c r="T1738" i="9"/>
  <c r="T1785" i="9"/>
  <c r="T1823" i="9"/>
  <c r="T1855" i="9"/>
  <c r="T1900" i="9"/>
  <c r="T1926" i="9"/>
  <c r="T1682" i="9"/>
  <c r="T1720" i="9"/>
  <c r="T1767" i="9"/>
  <c r="T1805" i="9"/>
  <c r="T1841" i="9"/>
  <c r="T1916" i="9"/>
  <c r="T1882" i="9"/>
  <c r="T1684" i="9"/>
  <c r="T1685" i="9"/>
  <c r="T1683" i="9"/>
  <c r="T1686" i="9"/>
  <c r="T1687" i="9"/>
  <c r="T1723" i="9"/>
  <c r="T1722" i="9"/>
  <c r="T1721" i="9"/>
  <c r="T1724" i="9"/>
  <c r="T1725" i="9"/>
  <c r="T1752" i="9"/>
  <c r="T1769" i="9"/>
  <c r="T1770" i="9"/>
  <c r="T1772" i="9"/>
  <c r="T1768" i="9"/>
  <c r="T1771" i="9"/>
  <c r="T1806" i="9"/>
  <c r="T1807" i="9"/>
  <c r="T1809" i="9"/>
  <c r="T1808" i="9"/>
  <c r="T1810" i="9"/>
  <c r="T1843" i="9"/>
  <c r="T1867" i="9"/>
  <c r="T1842" i="9"/>
  <c r="T1844" i="9"/>
  <c r="T1845" i="9"/>
  <c r="T1883" i="9"/>
  <c r="T1885" i="9"/>
  <c r="T1886" i="9"/>
  <c r="T1887" i="9"/>
  <c r="T1918" i="9"/>
  <c r="T1936" i="9"/>
  <c r="T1884" i="9"/>
  <c r="T1917" i="9"/>
  <c r="T1919" i="9"/>
  <c r="T1758" i="9"/>
  <c r="T1942" i="9"/>
  <c r="T1873" i="9"/>
  <c r="U1674" i="9"/>
  <c r="U1676" i="9"/>
  <c r="U1677" i="9"/>
  <c r="U1679" i="9"/>
  <c r="U1675" i="9"/>
  <c r="U1681" i="9"/>
  <c r="U1678" i="9"/>
  <c r="U1692" i="9"/>
  <c r="U1694" i="9"/>
  <c r="U1695" i="9"/>
  <c r="U1697" i="9"/>
  <c r="U1680" i="9"/>
  <c r="U1696" i="9"/>
  <c r="U1693" i="9"/>
  <c r="U1707" i="9"/>
  <c r="U1698" i="9"/>
  <c r="U1708" i="9"/>
  <c r="U1699" i="9"/>
  <c r="U1706" i="9"/>
  <c r="U1712" i="9"/>
  <c r="U1714" i="9"/>
  <c r="U1715" i="9"/>
  <c r="U1717" i="9"/>
  <c r="U1730" i="9"/>
  <c r="U1732" i="9"/>
  <c r="U1733" i="9"/>
  <c r="U1735" i="9"/>
  <c r="U1719" i="9"/>
  <c r="U1718" i="9"/>
  <c r="U1731" i="9"/>
  <c r="U1736" i="9"/>
  <c r="U1745" i="9"/>
  <c r="U1750" i="9"/>
  <c r="U1709" i="9"/>
  <c r="U1713" i="9"/>
  <c r="U1754" i="9"/>
  <c r="U1757" i="9"/>
  <c r="U1747" i="9"/>
  <c r="U1716" i="9"/>
  <c r="U1734" i="9"/>
  <c r="U1737" i="9"/>
  <c r="U1751" i="9"/>
  <c r="U1755" i="9"/>
  <c r="U1760" i="9"/>
  <c r="U1763" i="9"/>
  <c r="U1765" i="9"/>
  <c r="U1766" i="9"/>
  <c r="U1778" i="9"/>
  <c r="U1746" i="9"/>
  <c r="U1779" i="9"/>
  <c r="U1782" i="9"/>
  <c r="U1791" i="9"/>
  <c r="U1793" i="9"/>
  <c r="U1794" i="9"/>
  <c r="U1797" i="9"/>
  <c r="U1799" i="9"/>
  <c r="U1800" i="9"/>
  <c r="U1802" i="9"/>
  <c r="U1815" i="9"/>
  <c r="U1817" i="9"/>
  <c r="U1818" i="9"/>
  <c r="U1820" i="9"/>
  <c r="U1829" i="9"/>
  <c r="U1831" i="9"/>
  <c r="U1832" i="9"/>
  <c r="U1744" i="9"/>
  <c r="U1762" i="9"/>
  <c r="U1759" i="9"/>
  <c r="U1764" i="9"/>
  <c r="U1783" i="9"/>
  <c r="U1792" i="9"/>
  <c r="U1798" i="9"/>
  <c r="U1803" i="9"/>
  <c r="U1816" i="9"/>
  <c r="U1821" i="9"/>
  <c r="U1830" i="9"/>
  <c r="U1777" i="9"/>
  <c r="U1780" i="9"/>
  <c r="U1781" i="9"/>
  <c r="U1784" i="9"/>
  <c r="U1761" i="9"/>
  <c r="U1801" i="9"/>
  <c r="U1804" i="9"/>
  <c r="U1819" i="9"/>
  <c r="U1822" i="9"/>
  <c r="U1835" i="9"/>
  <c r="U1837" i="9"/>
  <c r="U1839" i="9"/>
  <c r="U1849" i="9"/>
  <c r="U1851" i="9"/>
  <c r="U1853" i="9"/>
  <c r="U1860" i="9"/>
  <c r="U1862" i="9"/>
  <c r="U1866" i="9"/>
  <c r="U1870" i="9"/>
  <c r="U1874" i="9"/>
  <c r="U1876" i="9"/>
  <c r="U1877" i="9"/>
  <c r="U1879" i="9"/>
  <c r="U1892" i="9"/>
  <c r="U1894" i="9"/>
  <c r="U1895" i="9"/>
  <c r="U1897" i="9"/>
  <c r="U1906" i="9"/>
  <c r="U1908" i="9"/>
  <c r="U1909" i="9"/>
  <c r="U1836" i="9"/>
  <c r="U1838" i="9"/>
  <c r="U1840" i="9"/>
  <c r="U1850" i="9"/>
  <c r="U1852" i="9"/>
  <c r="U1854" i="9"/>
  <c r="U1861" i="9"/>
  <c r="U1865" i="9"/>
  <c r="U1869" i="9"/>
  <c r="U1881" i="9"/>
  <c r="U1896" i="9"/>
  <c r="U1880" i="9"/>
  <c r="U1893" i="9"/>
  <c r="U1913" i="9"/>
  <c r="U1914" i="9"/>
  <c r="U1923" i="9"/>
  <c r="U1924" i="9"/>
  <c r="U1931" i="9"/>
  <c r="U1934" i="9"/>
  <c r="U1938" i="9"/>
  <c r="U1941" i="9"/>
  <c r="U1872" i="9"/>
  <c r="U1875" i="9"/>
  <c r="U1898" i="9"/>
  <c r="U1907" i="9"/>
  <c r="U1912" i="9"/>
  <c r="U1915" i="9"/>
  <c r="U1922" i="9"/>
  <c r="U1925" i="9"/>
  <c r="U1930" i="9"/>
  <c r="U1935" i="9"/>
  <c r="U1939" i="9"/>
  <c r="U1878" i="9"/>
  <c r="U1899" i="9"/>
  <c r="V1687" i="9"/>
  <c r="V1679" i="9"/>
  <c r="V1675" i="9"/>
  <c r="V1689" i="9"/>
  <c r="V1693" i="9"/>
  <c r="V1702" i="9"/>
  <c r="V1707" i="9"/>
  <c r="V1717" i="9"/>
  <c r="V1684" i="9"/>
  <c r="V1705" i="9"/>
  <c r="V1713" i="9"/>
  <c r="V1722" i="9"/>
  <c r="V1697" i="9"/>
  <c r="V1725" i="9"/>
  <c r="V1735" i="9"/>
  <c r="V1731" i="9"/>
  <c r="V1740" i="9"/>
  <c r="V1745" i="9"/>
  <c r="V1727" i="9"/>
  <c r="V1760" i="9"/>
  <c r="V1778" i="9"/>
  <c r="V1743" i="9"/>
  <c r="V1774" i="9"/>
  <c r="V1782" i="9"/>
  <c r="V1790" i="9"/>
  <c r="V1764" i="9"/>
  <c r="V1772" i="9"/>
  <c r="V1802" i="9"/>
  <c r="V1810" i="9"/>
  <c r="V1820" i="9"/>
  <c r="V1828" i="9"/>
  <c r="V1792" i="9"/>
  <c r="V1798" i="9"/>
  <c r="V1816" i="9"/>
  <c r="V1807" i="9"/>
  <c r="V1812" i="9"/>
  <c r="V1769" i="9"/>
  <c r="V1787" i="9"/>
  <c r="V1830" i="9"/>
  <c r="V1825" i="9"/>
  <c r="V1839" i="9"/>
  <c r="V1845" i="9"/>
  <c r="V1847" i="9"/>
  <c r="V1853" i="9"/>
  <c r="V1859" i="9"/>
  <c r="V1836" i="9"/>
  <c r="V1843" i="9"/>
  <c r="V1850" i="9"/>
  <c r="V1857" i="9"/>
  <c r="V1861" i="9"/>
  <c r="V1875" i="9"/>
  <c r="V1884" i="9"/>
  <c r="V1893" i="9"/>
  <c r="V1902" i="9"/>
  <c r="V1907" i="9"/>
  <c r="V1889" i="9"/>
  <c r="V1915" i="9"/>
  <c r="V1919" i="9"/>
  <c r="V1921" i="9"/>
  <c r="V1925" i="9"/>
  <c r="V1929" i="9"/>
  <c r="V1879" i="9"/>
  <c r="V1905" i="9"/>
  <c r="V1887" i="9"/>
  <c r="V1897" i="9"/>
  <c r="V1913" i="9"/>
  <c r="V1923" i="9"/>
  <c r="V1928" i="9"/>
  <c r="V1931" i="9"/>
  <c r="V1918" i="9"/>
  <c r="V1676" i="9"/>
  <c r="V1680" i="9"/>
  <c r="V1694" i="9"/>
  <c r="V1690" i="9"/>
  <c r="V1703" i="9"/>
  <c r="V1714" i="9"/>
  <c r="V1698" i="9"/>
  <c r="V1723" i="9"/>
  <c r="V1685" i="9"/>
  <c r="V1736" i="9"/>
  <c r="V1732" i="9"/>
  <c r="V1741" i="9"/>
  <c r="V1708" i="9"/>
  <c r="V1718" i="9"/>
  <c r="V1746" i="9"/>
  <c r="V1728" i="9"/>
  <c r="V1765" i="9"/>
  <c r="V1779" i="9"/>
  <c r="V1788" i="9"/>
  <c r="V1793" i="9"/>
  <c r="V1761" i="9"/>
  <c r="V1770" i="9"/>
  <c r="V1808" i="9"/>
  <c r="V1826" i="9"/>
  <c r="V1783" i="9"/>
  <c r="V1803" i="9"/>
  <c r="V1821" i="9"/>
  <c r="V1775" i="9"/>
  <c r="V1813" i="9"/>
  <c r="V1799" i="9"/>
  <c r="V1817" i="9"/>
  <c r="V1831" i="9"/>
  <c r="V1880" i="9"/>
  <c r="V1890" i="9"/>
  <c r="V1898" i="9"/>
  <c r="V1894" i="9"/>
  <c r="V1885" i="9"/>
  <c r="V1903" i="9"/>
  <c r="V1876" i="9"/>
  <c r="V1908" i="9"/>
  <c r="T1701" i="9"/>
  <c r="T1703" i="9"/>
  <c r="T1704" i="9"/>
  <c r="T1705" i="9"/>
  <c r="T1702" i="9"/>
  <c r="T1739" i="9"/>
  <c r="T1741" i="9"/>
  <c r="T1742" i="9"/>
  <c r="T1743" i="9"/>
  <c r="T1740" i="9"/>
  <c r="T1756" i="9"/>
  <c r="T1787" i="9"/>
  <c r="T1789" i="9"/>
  <c r="T1788" i="9"/>
  <c r="T1790" i="9"/>
  <c r="T1825" i="9"/>
  <c r="T1786" i="9"/>
  <c r="T1824" i="9"/>
  <c r="T1827" i="9"/>
  <c r="T1826" i="9"/>
  <c r="T1828" i="9"/>
  <c r="T1857" i="9"/>
  <c r="T1856" i="9"/>
  <c r="T1858" i="9"/>
  <c r="T1859" i="9"/>
  <c r="T1901" i="9"/>
  <c r="T1903" i="9"/>
  <c r="T1904" i="9"/>
  <c r="T1905" i="9"/>
  <c r="T1928" i="9"/>
  <c r="T1940" i="9"/>
  <c r="T1871" i="9"/>
  <c r="T1902" i="9"/>
  <c r="T1929" i="9"/>
  <c r="T1927" i="9"/>
  <c r="V1677" i="9"/>
  <c r="V1681" i="9"/>
  <c r="V1682" i="9"/>
  <c r="V1686" i="9"/>
  <c r="V1695" i="9"/>
  <c r="V1700" i="9"/>
  <c r="V1699" i="9"/>
  <c r="V1711" i="9"/>
  <c r="V1715" i="9"/>
  <c r="V1691" i="9"/>
  <c r="V1704" i="9"/>
  <c r="V1710" i="9"/>
  <c r="V1709" i="9"/>
  <c r="V1720" i="9"/>
  <c r="V1719" i="9"/>
  <c r="V1733" i="9"/>
  <c r="V1729" i="9"/>
  <c r="V1738" i="9"/>
  <c r="V1724" i="9"/>
  <c r="V1748" i="9"/>
  <c r="V1747" i="9"/>
  <c r="V1742" i="9"/>
  <c r="V1767" i="9"/>
  <c r="V1776" i="9"/>
  <c r="V1771" i="9"/>
  <c r="V1789" i="9"/>
  <c r="V1794" i="9"/>
  <c r="V1795" i="9"/>
  <c r="V1749" i="9"/>
  <c r="V1784" i="9"/>
  <c r="V1800" i="9"/>
  <c r="V1818" i="9"/>
  <c r="V1832" i="9"/>
  <c r="V1796" i="9"/>
  <c r="V1805" i="9"/>
  <c r="V1814" i="9"/>
  <c r="V1737" i="9"/>
  <c r="V1785" i="9"/>
  <c r="V1804" i="9"/>
  <c r="V1822" i="9"/>
  <c r="V1766" i="9"/>
  <c r="V1809" i="9"/>
  <c r="V1780" i="9"/>
  <c r="V1762" i="9"/>
  <c r="V1827" i="9"/>
  <c r="V1833" i="9"/>
  <c r="V1837" i="9"/>
  <c r="V1844" i="9"/>
  <c r="V1851" i="9"/>
  <c r="V1858" i="9"/>
  <c r="V1862" i="9"/>
  <c r="V1863" i="9"/>
  <c r="V1840" i="9"/>
  <c r="V1841" i="9"/>
  <c r="V1848" i="9"/>
  <c r="V1854" i="9"/>
  <c r="V1855" i="9"/>
  <c r="V1864" i="9"/>
  <c r="V1881" i="9"/>
  <c r="V1882" i="9"/>
  <c r="V1891" i="9"/>
  <c r="V1899" i="9"/>
  <c r="V1900" i="9"/>
  <c r="V1886" i="9"/>
  <c r="V1910" i="9"/>
  <c r="V1877" i="9"/>
  <c r="V1909" i="9"/>
  <c r="V1823" i="9"/>
  <c r="V1834" i="9"/>
  <c r="V1895" i="9"/>
  <c r="V1911" i="9"/>
  <c r="V1904" i="9"/>
  <c r="T1689" i="9"/>
  <c r="T1690" i="9"/>
  <c r="T1691" i="9"/>
  <c r="T1693" i="9"/>
  <c r="T1692" i="9"/>
  <c r="T1694" i="9"/>
  <c r="T1688" i="9"/>
  <c r="T1695" i="9"/>
  <c r="T1727" i="9"/>
  <c r="T1728" i="9"/>
  <c r="T1732" i="9"/>
  <c r="T1726" i="9"/>
  <c r="T1729" i="9"/>
  <c r="T1731" i="9"/>
  <c r="T1753" i="9"/>
  <c r="T1754" i="9"/>
  <c r="T1730" i="9"/>
  <c r="T1733" i="9"/>
  <c r="T1775" i="9"/>
  <c r="T1777" i="9"/>
  <c r="T1780" i="9"/>
  <c r="T1774" i="9"/>
  <c r="T1779" i="9"/>
  <c r="T1773" i="9"/>
  <c r="T1776" i="9"/>
  <c r="T1778" i="9"/>
  <c r="T1812" i="9"/>
  <c r="T1813" i="9"/>
  <c r="T1817" i="9"/>
  <c r="T1811" i="9"/>
  <c r="T1814" i="9"/>
  <c r="T1815" i="9"/>
  <c r="T1816" i="9"/>
  <c r="T1818" i="9"/>
  <c r="T1846" i="9"/>
  <c r="T1848" i="9"/>
  <c r="T1850" i="9"/>
  <c r="T1869" i="9"/>
  <c r="T1847" i="9"/>
  <c r="T1849" i="9"/>
  <c r="T1851" i="9"/>
  <c r="T1868" i="9"/>
  <c r="T1889" i="9"/>
  <c r="T1892" i="9"/>
  <c r="T1894" i="9"/>
  <c r="T1895" i="9"/>
  <c r="T1888" i="9"/>
  <c r="T1893" i="9"/>
  <c r="T1920" i="9"/>
  <c r="T1923" i="9"/>
  <c r="T1938" i="9"/>
  <c r="T1890" i="9"/>
  <c r="T1891" i="9"/>
  <c r="T1921" i="9"/>
  <c r="T1922" i="9"/>
  <c r="T1937" i="9"/>
  <c r="V1406" i="9"/>
  <c r="V1410" i="9"/>
  <c r="V1415" i="9"/>
  <c r="V1418" i="9"/>
  <c r="V1420" i="9"/>
  <c r="V1424" i="9"/>
  <c r="V1428" i="9"/>
  <c r="V1433" i="9"/>
  <c r="V1438" i="9"/>
  <c r="V1436" i="9"/>
  <c r="V1448" i="9"/>
  <c r="V1456" i="9"/>
  <c r="V1444" i="9"/>
  <c r="V1462" i="9"/>
  <c r="V1458" i="9"/>
  <c r="V1453" i="9"/>
  <c r="V1466" i="9"/>
  <c r="V1474" i="9"/>
  <c r="V1476" i="9"/>
  <c r="V1471" i="9"/>
  <c r="V1495" i="9"/>
  <c r="V1503" i="9"/>
  <c r="V1505" i="9"/>
  <c r="V1513" i="9"/>
  <c r="V1521" i="9"/>
  <c r="V1491" i="9"/>
  <c r="V1500" i="9"/>
  <c r="V1509" i="9"/>
  <c r="V1523" i="9"/>
  <c r="V1543" i="9"/>
  <c r="V1538" i="9"/>
  <c r="V1556" i="9"/>
  <c r="V1529" i="9"/>
  <c r="V1547" i="9"/>
  <c r="V1561" i="9"/>
  <c r="V1533" i="9"/>
  <c r="V1541" i="9"/>
  <c r="V1551" i="9"/>
  <c r="V1559" i="9"/>
  <c r="V1518" i="9"/>
  <c r="V1567" i="9"/>
  <c r="V1581" i="9"/>
  <c r="V1592" i="9"/>
  <c r="V1578" i="9"/>
  <c r="V1570" i="9"/>
  <c r="V1576" i="9"/>
  <c r="V1584" i="9"/>
  <c r="V1590" i="9"/>
  <c r="V1606" i="9"/>
  <c r="V1610" i="9"/>
  <c r="V1615" i="9"/>
  <c r="V1618" i="9"/>
  <c r="V1574" i="9"/>
  <c r="V1620" i="9"/>
  <c r="V1638" i="9"/>
  <c r="V1588" i="9"/>
  <c r="V1624" i="9"/>
  <c r="V1628" i="9"/>
  <c r="V1636" i="9"/>
  <c r="V1633" i="9"/>
  <c r="V1649" i="9"/>
  <c r="V1644" i="9"/>
  <c r="V1646" i="9"/>
  <c r="V1654" i="9"/>
  <c r="V1660" i="9"/>
  <c r="V1652" i="9"/>
  <c r="V1659" i="9"/>
  <c r="V1650" i="9"/>
  <c r="V1656" i="9"/>
  <c r="V1662" i="9"/>
  <c r="V1407" i="9"/>
  <c r="V1421" i="9"/>
  <c r="V1411" i="9"/>
  <c r="V1416" i="9"/>
  <c r="V1425" i="9"/>
  <c r="V1429" i="9"/>
  <c r="V1434" i="9"/>
  <c r="V1445" i="9"/>
  <c r="V1454" i="9"/>
  <c r="V1449" i="9"/>
  <c r="V1439" i="9"/>
  <c r="V1467" i="9"/>
  <c r="V1463" i="9"/>
  <c r="V1477" i="9"/>
  <c r="V1472" i="9"/>
  <c r="V1459" i="9"/>
  <c r="V1492" i="9"/>
  <c r="V1501" i="9"/>
  <c r="V1510" i="9"/>
  <c r="V1519" i="9"/>
  <c r="V1524" i="9"/>
  <c r="V1496" i="9"/>
  <c r="V1530" i="9"/>
  <c r="V1548" i="9"/>
  <c r="V1562" i="9"/>
  <c r="V1544" i="9"/>
  <c r="V1506" i="9"/>
  <c r="V1534" i="9"/>
  <c r="V1552" i="9"/>
  <c r="V1514" i="9"/>
  <c r="V1539" i="9"/>
  <c r="V1557" i="9"/>
  <c r="V1607" i="9"/>
  <c r="V1616" i="9"/>
  <c r="V1621" i="9"/>
  <c r="V1625" i="9"/>
  <c r="V1639" i="9"/>
  <c r="V1629" i="9"/>
  <c r="V1634" i="9"/>
  <c r="V1611" i="9"/>
  <c r="U1406" i="9"/>
  <c r="U1409" i="9"/>
  <c r="U1411" i="9"/>
  <c r="U1412" i="9"/>
  <c r="U1405" i="9"/>
  <c r="U1410" i="9"/>
  <c r="U1408" i="9"/>
  <c r="U1407" i="9"/>
  <c r="U1423" i="9"/>
  <c r="U1425" i="9"/>
  <c r="U1426" i="9"/>
  <c r="U1428" i="9"/>
  <c r="U1424" i="9"/>
  <c r="U1429" i="9"/>
  <c r="U1430" i="9"/>
  <c r="U1437" i="9"/>
  <c r="U1439" i="9"/>
  <c r="U1440" i="9"/>
  <c r="U1427" i="9"/>
  <c r="U1444" i="9"/>
  <c r="U1447" i="9"/>
  <c r="U1449" i="9"/>
  <c r="U1450" i="9"/>
  <c r="U1438" i="9"/>
  <c r="U1446" i="9"/>
  <c r="U1448" i="9"/>
  <c r="U1443" i="9"/>
  <c r="U1461" i="9"/>
  <c r="U1463" i="9"/>
  <c r="U1464" i="9"/>
  <c r="U1466" i="9"/>
  <c r="U1475" i="9"/>
  <c r="U1477" i="9"/>
  <c r="U1478" i="9"/>
  <c r="U1465" i="9"/>
  <c r="U1468" i="9"/>
  <c r="U1445" i="9"/>
  <c r="U1462" i="9"/>
  <c r="U1467" i="9"/>
  <c r="U1476" i="9"/>
  <c r="U1482" i="9"/>
  <c r="U1485" i="9"/>
  <c r="U1481" i="9"/>
  <c r="U1488" i="9"/>
  <c r="U1491" i="9"/>
  <c r="U1494" i="9"/>
  <c r="U1496" i="9"/>
  <c r="U1497" i="9"/>
  <c r="U1493" i="9"/>
  <c r="U1495" i="9"/>
  <c r="U1509" i="9"/>
  <c r="U1512" i="9"/>
  <c r="U1514" i="9"/>
  <c r="U1515" i="9"/>
  <c r="U1490" i="9"/>
  <c r="U1508" i="9"/>
  <c r="U1510" i="9"/>
  <c r="U1511" i="9"/>
  <c r="U1513" i="9"/>
  <c r="U1522" i="9"/>
  <c r="U1524" i="9"/>
  <c r="U1525" i="9"/>
  <c r="U1528" i="9"/>
  <c r="U1530" i="9"/>
  <c r="U1531" i="9"/>
  <c r="U1533" i="9"/>
  <c r="U1546" i="9"/>
  <c r="U1548" i="9"/>
  <c r="U1549" i="9"/>
  <c r="U1551" i="9"/>
  <c r="U1560" i="9"/>
  <c r="U1562" i="9"/>
  <c r="U1563" i="9"/>
  <c r="U1532" i="9"/>
  <c r="U1535" i="9"/>
  <c r="U1550" i="9"/>
  <c r="U1553" i="9"/>
  <c r="U1486" i="9"/>
  <c r="U1523" i="9"/>
  <c r="U1492" i="9"/>
  <c r="U1529" i="9"/>
  <c r="U1534" i="9"/>
  <c r="U1547" i="9"/>
  <c r="U1552" i="9"/>
  <c r="U1561" i="9"/>
  <c r="U1567" i="9"/>
  <c r="U1569" i="9"/>
  <c r="U1571" i="9"/>
  <c r="U1581" i="9"/>
  <c r="U1583" i="9"/>
  <c r="U1585" i="9"/>
  <c r="U1592" i="9"/>
  <c r="U1596" i="9"/>
  <c r="U1597" i="9"/>
  <c r="U1601" i="9"/>
  <c r="U1605" i="9"/>
  <c r="U1607" i="9"/>
  <c r="U1608" i="9"/>
  <c r="U1610" i="9"/>
  <c r="U1623" i="9"/>
  <c r="U1625" i="9"/>
  <c r="U1626" i="9"/>
  <c r="U1566" i="9"/>
  <c r="U1568" i="9"/>
  <c r="U1570" i="9"/>
  <c r="U1580" i="9"/>
  <c r="U1582" i="9"/>
  <c r="U1584" i="9"/>
  <c r="U1591" i="9"/>
  <c r="U1593" i="9"/>
  <c r="U1609" i="9"/>
  <c r="U1603" i="9"/>
  <c r="U1611" i="9"/>
  <c r="U1624" i="9"/>
  <c r="U1628" i="9"/>
  <c r="U1637" i="9"/>
  <c r="U1639" i="9"/>
  <c r="U1640" i="9"/>
  <c r="U1600" i="9"/>
  <c r="U1606" i="9"/>
  <c r="U1627" i="9"/>
  <c r="U1629" i="9"/>
  <c r="U1630" i="9"/>
  <c r="U1638" i="9"/>
  <c r="U1644" i="9"/>
  <c r="U1645" i="9"/>
  <c r="U1654" i="9"/>
  <c r="U1655" i="9"/>
  <c r="U1662" i="9"/>
  <c r="U1665" i="9"/>
  <c r="U1669" i="9"/>
  <c r="U1672" i="9"/>
  <c r="U1612" i="9"/>
  <c r="U1643" i="9"/>
  <c r="U1646" i="9"/>
  <c r="U1653" i="9"/>
  <c r="U1670" i="9"/>
  <c r="U1656" i="9"/>
  <c r="U1661" i="9"/>
  <c r="U1666" i="9"/>
  <c r="T1419" i="9"/>
  <c r="T1423" i="9"/>
  <c r="T1424" i="9"/>
  <c r="T1422" i="9"/>
  <c r="T1426" i="9"/>
  <c r="T1421" i="9"/>
  <c r="T1420" i="9"/>
  <c r="T1425" i="9"/>
  <c r="T1458" i="9"/>
  <c r="T1459" i="9"/>
  <c r="T1463" i="9"/>
  <c r="T1461" i="9"/>
  <c r="T1464" i="9"/>
  <c r="T1484" i="9"/>
  <c r="T1457" i="9"/>
  <c r="T1462" i="9"/>
  <c r="T1485" i="9"/>
  <c r="T1460" i="9"/>
  <c r="T1504" i="9"/>
  <c r="T1506" i="9"/>
  <c r="T1507" i="9"/>
  <c r="T1509" i="9"/>
  <c r="T1511" i="9"/>
  <c r="T1508" i="9"/>
  <c r="T1505" i="9"/>
  <c r="T1542" i="9"/>
  <c r="T1545" i="9"/>
  <c r="T1546" i="9"/>
  <c r="T1547" i="9"/>
  <c r="T1549" i="9"/>
  <c r="T1510" i="9"/>
  <c r="T1543" i="9"/>
  <c r="T1544" i="9"/>
  <c r="T1548" i="9"/>
  <c r="T1580" i="9"/>
  <c r="T1582" i="9"/>
  <c r="T1577" i="9"/>
  <c r="T1578" i="9"/>
  <c r="T1579" i="9"/>
  <c r="T1581" i="9"/>
  <c r="T1599" i="9"/>
  <c r="T1619" i="9"/>
  <c r="T1623" i="9"/>
  <c r="T1624" i="9"/>
  <c r="T1620" i="9"/>
  <c r="T1621" i="9"/>
  <c r="T1625" i="9"/>
  <c r="T1600" i="9"/>
  <c r="T1626" i="9"/>
  <c r="T1622" i="9"/>
  <c r="T1651" i="9"/>
  <c r="T1652" i="9"/>
  <c r="T1654" i="9"/>
  <c r="T1653" i="9"/>
  <c r="T1668" i="9"/>
  <c r="T1669" i="9"/>
  <c r="U1413" i="9"/>
  <c r="U1442" i="9"/>
  <c r="U1451" i="9"/>
  <c r="U1431" i="9"/>
  <c r="U1441" i="9"/>
  <c r="U1469" i="9"/>
  <c r="U1480" i="9"/>
  <c r="U1498" i="9"/>
  <c r="U1479" i="9"/>
  <c r="U1516" i="9"/>
  <c r="U1526" i="9"/>
  <c r="U1564" i="9"/>
  <c r="U1527" i="9"/>
  <c r="U1536" i="9"/>
  <c r="U1554" i="9"/>
  <c r="U1565" i="9"/>
  <c r="U1572" i="9"/>
  <c r="U1586" i="9"/>
  <c r="U1595" i="9"/>
  <c r="U1594" i="9"/>
  <c r="U1641" i="9"/>
  <c r="U1613" i="9"/>
  <c r="U1631" i="9"/>
  <c r="U1642" i="9"/>
  <c r="U1663" i="9"/>
  <c r="U1664" i="9"/>
  <c r="U1647" i="9"/>
  <c r="U1657" i="9"/>
  <c r="U1418" i="9"/>
  <c r="U1436" i="9"/>
  <c r="U1456" i="9"/>
  <c r="U1474" i="9"/>
  <c r="U1503" i="9"/>
  <c r="U1521" i="9"/>
  <c r="U1541" i="9"/>
  <c r="U1559" i="9"/>
  <c r="U1618" i="9"/>
  <c r="U1576" i="9"/>
  <c r="U1590" i="9"/>
  <c r="U1636" i="9"/>
  <c r="U1660" i="9"/>
  <c r="U1650" i="9"/>
  <c r="U1489" i="9"/>
  <c r="U1604" i="9"/>
  <c r="U1673" i="9"/>
  <c r="V1664" i="9"/>
  <c r="V1647" i="9"/>
  <c r="V1657" i="9"/>
  <c r="V1663" i="9"/>
  <c r="W1405" i="9"/>
  <c r="W1407" i="9"/>
  <c r="W1408" i="9"/>
  <c r="W1410" i="9"/>
  <c r="W1406" i="9"/>
  <c r="W1412" i="9"/>
  <c r="W1411" i="9"/>
  <c r="W1413" i="9"/>
  <c r="W1414" i="9"/>
  <c r="W1416" i="9"/>
  <c r="W1417" i="9"/>
  <c r="W1415" i="9"/>
  <c r="W1419" i="9"/>
  <c r="W1421" i="9"/>
  <c r="W1422" i="9"/>
  <c r="W1424" i="9"/>
  <c r="W1420" i="9"/>
  <c r="W1425" i="9"/>
  <c r="W1427" i="9"/>
  <c r="W1429" i="9"/>
  <c r="W1418" i="9"/>
  <c r="W1426" i="9"/>
  <c r="W1423" i="9"/>
  <c r="W1409" i="9"/>
  <c r="W1431" i="9"/>
  <c r="W1433" i="9"/>
  <c r="W1438" i="9"/>
  <c r="W1428" i="9"/>
  <c r="W1430" i="9"/>
  <c r="W1434" i="9"/>
  <c r="W1437" i="9"/>
  <c r="W1441" i="9"/>
  <c r="W1432" i="9"/>
  <c r="W1435" i="9"/>
  <c r="W1439" i="9"/>
  <c r="W1436" i="9"/>
  <c r="W1442" i="9"/>
  <c r="W1440" i="9"/>
  <c r="W1643" i="9"/>
  <c r="W1646" i="9"/>
  <c r="W1647" i="9"/>
  <c r="W1648" i="9"/>
  <c r="W1650" i="9"/>
  <c r="W1652" i="9"/>
  <c r="W1653" i="9"/>
  <c r="W1656" i="9"/>
  <c r="W1657" i="9"/>
  <c r="W1658" i="9"/>
  <c r="W1660" i="9"/>
  <c r="W1661" i="9"/>
  <c r="W1664" i="9"/>
  <c r="W1662" i="9"/>
  <c r="W1663" i="9"/>
  <c r="W1645" i="9"/>
  <c r="W1649" i="9"/>
  <c r="W1644" i="9"/>
  <c r="W1651" i="9"/>
  <c r="W1654" i="9"/>
  <c r="W1655" i="9"/>
  <c r="W1659" i="9"/>
  <c r="W1666" i="9"/>
  <c r="W1668" i="9"/>
  <c r="W1670" i="9"/>
  <c r="W1667" i="9"/>
  <c r="W1669" i="9"/>
  <c r="W1665" i="9"/>
  <c r="W1672" i="9"/>
  <c r="W1673" i="9"/>
  <c r="W1671" i="9"/>
  <c r="W1606" i="9"/>
  <c r="W1609" i="9"/>
  <c r="W1611" i="9"/>
  <c r="W1612" i="9"/>
  <c r="W1613" i="9"/>
  <c r="W1615" i="9"/>
  <c r="W1619" i="9"/>
  <c r="W1621" i="9"/>
  <c r="W1622" i="9"/>
  <c r="W1624" i="9"/>
  <c r="W1605" i="9"/>
  <c r="W1618" i="9"/>
  <c r="W1626" i="9"/>
  <c r="W1607" i="9"/>
  <c r="W1614" i="9"/>
  <c r="W1627" i="9"/>
  <c r="W1629" i="9"/>
  <c r="W1630" i="9"/>
  <c r="W1631" i="9"/>
  <c r="W1633" i="9"/>
  <c r="W1638" i="9"/>
  <c r="W1642" i="9"/>
  <c r="W1617" i="9"/>
  <c r="W1620" i="9"/>
  <c r="W1625" i="9"/>
  <c r="W1628" i="9"/>
  <c r="W1632" i="9"/>
  <c r="W1634" i="9"/>
  <c r="W1635" i="9"/>
  <c r="W1636" i="9"/>
  <c r="W1637" i="9"/>
  <c r="W1639" i="9"/>
  <c r="W1640" i="9"/>
  <c r="W1641" i="9"/>
  <c r="W1623" i="9"/>
  <c r="W1608" i="9"/>
  <c r="W1610" i="9"/>
  <c r="W1616" i="9"/>
  <c r="U1415" i="9"/>
  <c r="U1414" i="9"/>
  <c r="U1416" i="9"/>
  <c r="U1417" i="9"/>
  <c r="U1420" i="9"/>
  <c r="U1422" i="9"/>
  <c r="U1421" i="9"/>
  <c r="U1432" i="9"/>
  <c r="U1434" i="9"/>
  <c r="U1435" i="9"/>
  <c r="U1419" i="9"/>
  <c r="U1433" i="9"/>
  <c r="U1453" i="9"/>
  <c r="U1452" i="9"/>
  <c r="U1454" i="9"/>
  <c r="U1455" i="9"/>
  <c r="U1458" i="9"/>
  <c r="U1470" i="9"/>
  <c r="U1472" i="9"/>
  <c r="U1473" i="9"/>
  <c r="U1459" i="9"/>
  <c r="U1471" i="9"/>
  <c r="U1457" i="9"/>
  <c r="U1460" i="9"/>
  <c r="U1483" i="9"/>
  <c r="U1487" i="9"/>
  <c r="U1484" i="9"/>
  <c r="U1500" i="9"/>
  <c r="U1504" i="9"/>
  <c r="U1506" i="9"/>
  <c r="U1507" i="9"/>
  <c r="U1518" i="9"/>
  <c r="U1499" i="9"/>
  <c r="U1501" i="9"/>
  <c r="U1502" i="9"/>
  <c r="U1505" i="9"/>
  <c r="U1517" i="9"/>
  <c r="U1519" i="9"/>
  <c r="U1520" i="9"/>
  <c r="U1537" i="9"/>
  <c r="U1539" i="9"/>
  <c r="U1540" i="9"/>
  <c r="U1543" i="9"/>
  <c r="U1555" i="9"/>
  <c r="U1557" i="9"/>
  <c r="U1558" i="9"/>
  <c r="U1538" i="9"/>
  <c r="U1544" i="9"/>
  <c r="U1556" i="9"/>
  <c r="U1542" i="9"/>
  <c r="U1545" i="9"/>
  <c r="U1574" i="9"/>
  <c r="U1577" i="9"/>
  <c r="U1579" i="9"/>
  <c r="U1588" i="9"/>
  <c r="U1573" i="9"/>
  <c r="U1575" i="9"/>
  <c r="U1578" i="9"/>
  <c r="U1587" i="9"/>
  <c r="U1589" i="9"/>
  <c r="U1599" i="9"/>
  <c r="U1614" i="9"/>
  <c r="U1616" i="9"/>
  <c r="U1617" i="9"/>
  <c r="U1620" i="9"/>
  <c r="U1598" i="9"/>
  <c r="U1615" i="9"/>
  <c r="U1619" i="9"/>
  <c r="U1632" i="9"/>
  <c r="U1634" i="9"/>
  <c r="U1635" i="9"/>
  <c r="U1622" i="9"/>
  <c r="U1633" i="9"/>
  <c r="U1649" i="9"/>
  <c r="U1651" i="9"/>
  <c r="U1659" i="9"/>
  <c r="U1667" i="9"/>
  <c r="U1671" i="9"/>
  <c r="U1602" i="9"/>
  <c r="U1621" i="9"/>
  <c r="U1668" i="9"/>
  <c r="U1652" i="9"/>
  <c r="U1658" i="9"/>
  <c r="U1648" i="9"/>
  <c r="V1405" i="9"/>
  <c r="V1409" i="9"/>
  <c r="V1414" i="9"/>
  <c r="V1419" i="9"/>
  <c r="V1427" i="9"/>
  <c r="V1423" i="9"/>
  <c r="V1432" i="9"/>
  <c r="V1437" i="9"/>
  <c r="V1443" i="9"/>
  <c r="V1452" i="9"/>
  <c r="V1457" i="9"/>
  <c r="V1447" i="9"/>
  <c r="V1470" i="9"/>
  <c r="V1461" i="9"/>
  <c r="V1475" i="9"/>
  <c r="V1465" i="9"/>
  <c r="V1490" i="9"/>
  <c r="V1499" i="9"/>
  <c r="V1508" i="9"/>
  <c r="V1517" i="9"/>
  <c r="V1522" i="9"/>
  <c r="V1494" i="9"/>
  <c r="V1504" i="9"/>
  <c r="V1537" i="9"/>
  <c r="V1555" i="9"/>
  <c r="V1532" i="9"/>
  <c r="V1550" i="9"/>
  <c r="V1542" i="9"/>
  <c r="V1512" i="9"/>
  <c r="V1528" i="9"/>
  <c r="V1546" i="9"/>
  <c r="V1560" i="9"/>
  <c r="V1577" i="9"/>
  <c r="V1573" i="9"/>
  <c r="V1587" i="9"/>
  <c r="V1566" i="9"/>
  <c r="V1580" i="9"/>
  <c r="V1591" i="9"/>
  <c r="V1614" i="9"/>
  <c r="V1609" i="9"/>
  <c r="V1623" i="9"/>
  <c r="V1605" i="9"/>
  <c r="V1569" i="9"/>
  <c r="V1632" i="9"/>
  <c r="V1583" i="9"/>
  <c r="V1637" i="9"/>
  <c r="V1619" i="9"/>
  <c r="V1627" i="9"/>
  <c r="V1645" i="9"/>
  <c r="V1648" i="9"/>
  <c r="V1651" i="9"/>
  <c r="V1653" i="9"/>
  <c r="V1643" i="9"/>
  <c r="V1655" i="9"/>
  <c r="V1658" i="9"/>
  <c r="V1661" i="9"/>
  <c r="V1482" i="9"/>
  <c r="V1483" i="9"/>
  <c r="V1481" i="9"/>
  <c r="V1487" i="9"/>
  <c r="V1488" i="9"/>
  <c r="V1486" i="9"/>
  <c r="V1484" i="9"/>
  <c r="V1485" i="9"/>
  <c r="V1598" i="9"/>
  <c r="V1600" i="9"/>
  <c r="V1602" i="9"/>
  <c r="V1603" i="9"/>
  <c r="V1597" i="9"/>
  <c r="V1596" i="9"/>
  <c r="V1599" i="9"/>
  <c r="V1601" i="9"/>
  <c r="V1666" i="9"/>
  <c r="V1669" i="9"/>
  <c r="V1668" i="9"/>
  <c r="V1671" i="9"/>
  <c r="V1665" i="9"/>
  <c r="V1670" i="9"/>
  <c r="V1667" i="9"/>
  <c r="V1672" i="9"/>
  <c r="V1408" i="9"/>
  <c r="V1412" i="9"/>
  <c r="V1413" i="9"/>
  <c r="V1426" i="9"/>
  <c r="V1417" i="9"/>
  <c r="V1422" i="9"/>
  <c r="V1430" i="9"/>
  <c r="V1431" i="9"/>
  <c r="V1440" i="9"/>
  <c r="V1442" i="9"/>
  <c r="V1441" i="9"/>
  <c r="V1446" i="9"/>
  <c r="V1450" i="9"/>
  <c r="V1451" i="9"/>
  <c r="V1455" i="9"/>
  <c r="V1435" i="9"/>
  <c r="V1460" i="9"/>
  <c r="V1469" i="9"/>
  <c r="V1473" i="9"/>
  <c r="V1480" i="9"/>
  <c r="V1464" i="9"/>
  <c r="V1478" i="9"/>
  <c r="V1479" i="9"/>
  <c r="V1493" i="9"/>
  <c r="V1497" i="9"/>
  <c r="V1502" i="9"/>
  <c r="V1511" i="9"/>
  <c r="V1520" i="9"/>
  <c r="V1525" i="9"/>
  <c r="V1526" i="9"/>
  <c r="V1468" i="9"/>
  <c r="V1515" i="9"/>
  <c r="V1498" i="9"/>
  <c r="V1527" i="9"/>
  <c r="V1540" i="9"/>
  <c r="V1558" i="9"/>
  <c r="V1564" i="9"/>
  <c r="V1535" i="9"/>
  <c r="V1553" i="9"/>
  <c r="V1507" i="9"/>
  <c r="V1516" i="9"/>
  <c r="V1536" i="9"/>
  <c r="V1545" i="9"/>
  <c r="V1554" i="9"/>
  <c r="V1565" i="9"/>
  <c r="V1531" i="9"/>
  <c r="V1549" i="9"/>
  <c r="V1563" i="9"/>
  <c r="V1572" i="9"/>
  <c r="V1579" i="9"/>
  <c r="V1586" i="9"/>
  <c r="V1595" i="9"/>
  <c r="V1575" i="9"/>
  <c r="V1589" i="9"/>
  <c r="V1594" i="9"/>
  <c r="V1568" i="9"/>
  <c r="V1582" i="9"/>
  <c r="V1593" i="9"/>
  <c r="V1613" i="9"/>
  <c r="V1622" i="9"/>
  <c r="V1608" i="9"/>
  <c r="V1612" i="9"/>
  <c r="V1626" i="9"/>
  <c r="V1585" i="9"/>
  <c r="V1635" i="9"/>
  <c r="V1641" i="9"/>
  <c r="V1617" i="9"/>
  <c r="V1631" i="9"/>
  <c r="V1642" i="9"/>
  <c r="V1571" i="9"/>
  <c r="V1640" i="9"/>
  <c r="V1630" i="9"/>
  <c r="V1489" i="9"/>
  <c r="V1604" i="9"/>
  <c r="V1673" i="9"/>
  <c r="W1397" i="9"/>
  <c r="W1398" i="9"/>
  <c r="W1399" i="9"/>
  <c r="W1396" i="9"/>
  <c r="W1400" i="9"/>
  <c r="W1402" i="9"/>
  <c r="W1403" i="9"/>
  <c r="W1404" i="9"/>
  <c r="W1401" i="9"/>
  <c r="W1336" i="9"/>
  <c r="W1338" i="9"/>
  <c r="W1339" i="9"/>
  <c r="W1341" i="9"/>
  <c r="W1345" i="9"/>
  <c r="W1347" i="9"/>
  <c r="W1348" i="9"/>
  <c r="W1349" i="9"/>
  <c r="W1351" i="9"/>
  <c r="W1354" i="9"/>
  <c r="W1356" i="9"/>
  <c r="W1357" i="9"/>
  <c r="W1359" i="9"/>
  <c r="W1363" i="9"/>
  <c r="W1365" i="9"/>
  <c r="W1366" i="9"/>
  <c r="W1367" i="9"/>
  <c r="W1368" i="9"/>
  <c r="W1370" i="9"/>
  <c r="W1371" i="9"/>
  <c r="W1372" i="9"/>
  <c r="W1342" i="9"/>
  <c r="W1352" i="9"/>
  <c r="W1358" i="9"/>
  <c r="W1364" i="9"/>
  <c r="W1337" i="9"/>
  <c r="W1353" i="9"/>
  <c r="W1360" i="9"/>
  <c r="W1369" i="9"/>
  <c r="W1373" i="9"/>
  <c r="W1344" i="9"/>
  <c r="W1346" i="9"/>
  <c r="W1350" i="9"/>
  <c r="W1355" i="9"/>
  <c r="W1362" i="9"/>
  <c r="W1343" i="9"/>
  <c r="W1340" i="9"/>
  <c r="W1361" i="9"/>
  <c r="W1137" i="9"/>
  <c r="W1140" i="9"/>
  <c r="W1142" i="9"/>
  <c r="W1143" i="9"/>
  <c r="W1139" i="9"/>
  <c r="W1138" i="9"/>
  <c r="W1136" i="9"/>
  <c r="W1141" i="9"/>
  <c r="W1145" i="9"/>
  <c r="W1147" i="9"/>
  <c r="W1148" i="9"/>
  <c r="W1149" i="9"/>
  <c r="W1151" i="9"/>
  <c r="W1154" i="9"/>
  <c r="W1156" i="9"/>
  <c r="W1157" i="9"/>
  <c r="W1144" i="9"/>
  <c r="W1152" i="9"/>
  <c r="W1153" i="9"/>
  <c r="W1159" i="9"/>
  <c r="W1161" i="9"/>
  <c r="W1162" i="9"/>
  <c r="W1164" i="9"/>
  <c r="W1155" i="9"/>
  <c r="W1150" i="9"/>
  <c r="W1160" i="9"/>
  <c r="W1166" i="9"/>
  <c r="W1169" i="9"/>
  <c r="W1170" i="9"/>
  <c r="W1172" i="9"/>
  <c r="W1146" i="9"/>
  <c r="W1158" i="9"/>
  <c r="W1167" i="9"/>
  <c r="W1171" i="9"/>
  <c r="W1173" i="9"/>
  <c r="W1163" i="9"/>
  <c r="W1165" i="9"/>
  <c r="W1168" i="9"/>
  <c r="T1137" i="9"/>
  <c r="T1138" i="9"/>
  <c r="T1136" i="9"/>
  <c r="T1139" i="9"/>
  <c r="T1174" i="9"/>
  <c r="T1177" i="9"/>
  <c r="T1175" i="9"/>
  <c r="T1176" i="9"/>
  <c r="T1212" i="9"/>
  <c r="T1221" i="9"/>
  <c r="T1223" i="9"/>
  <c r="T1224" i="9"/>
  <c r="T1222" i="9"/>
  <c r="T1260" i="9"/>
  <c r="T1262" i="9"/>
  <c r="T1259" i="9"/>
  <c r="T1261" i="9"/>
  <c r="T1297" i="9"/>
  <c r="T1299" i="9"/>
  <c r="T1336" i="9"/>
  <c r="T1338" i="9"/>
  <c r="T1339" i="9"/>
  <c r="T1298" i="9"/>
  <c r="T1327" i="9"/>
  <c r="T1337" i="9"/>
  <c r="T1396" i="9"/>
  <c r="T1374" i="9"/>
  <c r="T1375" i="9"/>
  <c r="T1145" i="9"/>
  <c r="T1147" i="9"/>
  <c r="T1148" i="9"/>
  <c r="T1146" i="9"/>
  <c r="T1149" i="9"/>
  <c r="T1184" i="9"/>
  <c r="T1185" i="9"/>
  <c r="T1186" i="9"/>
  <c r="T1183" i="9"/>
  <c r="T1187" i="9"/>
  <c r="T1214" i="9"/>
  <c r="T1231" i="9"/>
  <c r="T1232" i="9"/>
  <c r="T1234" i="9"/>
  <c r="T1230" i="9"/>
  <c r="T1233" i="9"/>
  <c r="T1269" i="9"/>
  <c r="T1271" i="9"/>
  <c r="T1270" i="9"/>
  <c r="T1268" i="9"/>
  <c r="T1304" i="9"/>
  <c r="T1306" i="9"/>
  <c r="T1307" i="9"/>
  <c r="T1345" i="9"/>
  <c r="T1347" i="9"/>
  <c r="T1348" i="9"/>
  <c r="T1349" i="9"/>
  <c r="T1305" i="9"/>
  <c r="T1272" i="9"/>
  <c r="T1346" i="9"/>
  <c r="T1398" i="9"/>
  <c r="T1381" i="9"/>
  <c r="T1329" i="9"/>
  <c r="T1379" i="9"/>
  <c r="T1380" i="9"/>
  <c r="U1144" i="9"/>
  <c r="U1162" i="9"/>
  <c r="U1173" i="9"/>
  <c r="U1182" i="9"/>
  <c r="U1172" i="9"/>
  <c r="U1200" i="9"/>
  <c r="U1211" i="9"/>
  <c r="U1229" i="9"/>
  <c r="U1210" i="9"/>
  <c r="U1257" i="9"/>
  <c r="U1247" i="9"/>
  <c r="U1258" i="9"/>
  <c r="U1285" i="9"/>
  <c r="U1295" i="9"/>
  <c r="U1296" i="9"/>
  <c r="U1303" i="9"/>
  <c r="U1317" i="9"/>
  <c r="U1326" i="9"/>
  <c r="U1344" i="9"/>
  <c r="U1362" i="9"/>
  <c r="U1373" i="9"/>
  <c r="U1267" i="9"/>
  <c r="U1325" i="9"/>
  <c r="U1378" i="9"/>
  <c r="U1372" i="9"/>
  <c r="U1394" i="9"/>
  <c r="U1388" i="9"/>
  <c r="U1395" i="9"/>
  <c r="U1149" i="9"/>
  <c r="U1167" i="9"/>
  <c r="U1187" i="9"/>
  <c r="U1205" i="9"/>
  <c r="U1252" i="9"/>
  <c r="U1272" i="9"/>
  <c r="U1290" i="9"/>
  <c r="U1234" i="9"/>
  <c r="U1307" i="9"/>
  <c r="U1321" i="9"/>
  <c r="U1367" i="9"/>
  <c r="U1349" i="9"/>
  <c r="U1381" i="9"/>
  <c r="U1391" i="9"/>
  <c r="U1220" i="9"/>
  <c r="U1335" i="9"/>
  <c r="U1404" i="9"/>
  <c r="T1168" i="9"/>
  <c r="T1169" i="9"/>
  <c r="T1206" i="9"/>
  <c r="T1208" i="9"/>
  <c r="T1209" i="9"/>
  <c r="T1170" i="9"/>
  <c r="T1207" i="9"/>
  <c r="T1219" i="9"/>
  <c r="T1292" i="9"/>
  <c r="T1253" i="9"/>
  <c r="T1254" i="9"/>
  <c r="T1256" i="9"/>
  <c r="T1255" i="9"/>
  <c r="T1294" i="9"/>
  <c r="T1322" i="9"/>
  <c r="T1324" i="9"/>
  <c r="T1293" i="9"/>
  <c r="T1171" i="9"/>
  <c r="T1291" i="9"/>
  <c r="T1323" i="9"/>
  <c r="T1334" i="9"/>
  <c r="T1371" i="9"/>
  <c r="T1369" i="9"/>
  <c r="T1370" i="9"/>
  <c r="T1393" i="9"/>
  <c r="T1368" i="9"/>
  <c r="T1392" i="9"/>
  <c r="T1403" i="9"/>
  <c r="T1140" i="9"/>
  <c r="T1141" i="9"/>
  <c r="T1142" i="9"/>
  <c r="T1143" i="9"/>
  <c r="T1178" i="9"/>
  <c r="T1179" i="9"/>
  <c r="T1181" i="9"/>
  <c r="T1180" i="9"/>
  <c r="T1213" i="9"/>
  <c r="T1225" i="9"/>
  <c r="T1226" i="9"/>
  <c r="T1228" i="9"/>
  <c r="T1263" i="9"/>
  <c r="T1265" i="9"/>
  <c r="T1266" i="9"/>
  <c r="T1227" i="9"/>
  <c r="T1264" i="9"/>
  <c r="T1301" i="9"/>
  <c r="T1328" i="9"/>
  <c r="T1341" i="9"/>
  <c r="T1300" i="9"/>
  <c r="T1302" i="9"/>
  <c r="T1340" i="9"/>
  <c r="T1343" i="9"/>
  <c r="T1342" i="9"/>
  <c r="T1377" i="9"/>
  <c r="T1376" i="9"/>
  <c r="T1397" i="9"/>
  <c r="V1137" i="9"/>
  <c r="V1146" i="9"/>
  <c r="V1141" i="9"/>
  <c r="V1149" i="9"/>
  <c r="V1155" i="9"/>
  <c r="V1159" i="9"/>
  <c r="V1164" i="9"/>
  <c r="V1167" i="9"/>
  <c r="V1151" i="9"/>
  <c r="V1169" i="9"/>
  <c r="V1175" i="9"/>
  <c r="V1187" i="9"/>
  <c r="V1189" i="9"/>
  <c r="V1197" i="9"/>
  <c r="V1202" i="9"/>
  <c r="V1207" i="9"/>
  <c r="V1179" i="9"/>
  <c r="V1184" i="9"/>
  <c r="V1205" i="9"/>
  <c r="V1193" i="9"/>
  <c r="V1222" i="9"/>
  <c r="V1240" i="9"/>
  <c r="V1236" i="9"/>
  <c r="V1252" i="9"/>
  <c r="V1264" i="9"/>
  <c r="V1272" i="9"/>
  <c r="V1274" i="9"/>
  <c r="V1282" i="9"/>
  <c r="V1290" i="9"/>
  <c r="V1231" i="9"/>
  <c r="V1249" i="9"/>
  <c r="V1287" i="9"/>
  <c r="V1278" i="9"/>
  <c r="V1226" i="9"/>
  <c r="V1292" i="9"/>
  <c r="V1298" i="9"/>
  <c r="V1305" i="9"/>
  <c r="V1312" i="9"/>
  <c r="V1319" i="9"/>
  <c r="V1323" i="9"/>
  <c r="V1337" i="9"/>
  <c r="V1346" i="9"/>
  <c r="V1234" i="9"/>
  <c r="V1244" i="9"/>
  <c r="V1260" i="9"/>
  <c r="V1269" i="9"/>
  <c r="V1301" i="9"/>
  <c r="V1254" i="9"/>
  <c r="V1309" i="9"/>
  <c r="V1321" i="9"/>
  <c r="V1341" i="9"/>
  <c r="V1315" i="9"/>
  <c r="V1307" i="9"/>
  <c r="V1349" i="9"/>
  <c r="V1359" i="9"/>
  <c r="V1369" i="9"/>
  <c r="V1351" i="9"/>
  <c r="V1364" i="9"/>
  <c r="V1380" i="9"/>
  <c r="V1383" i="9"/>
  <c r="V1387" i="9"/>
  <c r="V1391" i="9"/>
  <c r="V1367" i="9"/>
  <c r="V1377" i="9"/>
  <c r="V1355" i="9"/>
  <c r="V1385" i="9"/>
  <c r="V1381" i="9"/>
  <c r="V1375" i="9"/>
  <c r="V1393" i="9"/>
  <c r="V1390" i="9"/>
  <c r="T1158" i="9"/>
  <c r="T1159" i="9"/>
  <c r="T1160" i="9"/>
  <c r="T1161" i="9"/>
  <c r="T1196" i="9"/>
  <c r="T1198" i="9"/>
  <c r="T1197" i="9"/>
  <c r="T1199" i="9"/>
  <c r="T1217" i="9"/>
  <c r="T1243" i="9"/>
  <c r="T1244" i="9"/>
  <c r="T1246" i="9"/>
  <c r="T1281" i="9"/>
  <c r="T1283" i="9"/>
  <c r="T1284" i="9"/>
  <c r="T1245" i="9"/>
  <c r="T1282" i="9"/>
  <c r="T1315" i="9"/>
  <c r="T1332" i="9"/>
  <c r="T1314" i="9"/>
  <c r="T1316" i="9"/>
  <c r="T1361" i="9"/>
  <c r="T1360" i="9"/>
  <c r="T1359" i="9"/>
  <c r="T1386" i="9"/>
  <c r="T1358" i="9"/>
  <c r="T1387" i="9"/>
  <c r="T1401" i="9"/>
  <c r="T1144" i="9"/>
  <c r="T1182" i="9"/>
  <c r="T1267" i="9"/>
  <c r="T1229" i="9"/>
  <c r="T1303" i="9"/>
  <c r="T1344" i="9"/>
  <c r="T1378" i="9"/>
  <c r="T1220" i="9"/>
  <c r="T1335" i="9"/>
  <c r="T1404" i="9"/>
  <c r="V1388" i="9"/>
  <c r="V1395" i="9"/>
  <c r="V1378" i="9"/>
  <c r="V1394" i="9"/>
  <c r="T1163" i="9"/>
  <c r="T1164" i="9"/>
  <c r="T1167" i="9"/>
  <c r="T1165" i="9"/>
  <c r="T1166" i="9"/>
  <c r="T1201" i="9"/>
  <c r="T1203" i="9"/>
  <c r="T1204" i="9"/>
  <c r="T1205" i="9"/>
  <c r="T1218" i="9"/>
  <c r="T1287" i="9"/>
  <c r="T1202" i="9"/>
  <c r="T1250" i="9"/>
  <c r="T1252" i="9"/>
  <c r="T1248" i="9"/>
  <c r="T1251" i="9"/>
  <c r="T1286" i="9"/>
  <c r="T1290" i="9"/>
  <c r="T1288" i="9"/>
  <c r="T1249" i="9"/>
  <c r="T1289" i="9"/>
  <c r="T1318" i="9"/>
  <c r="T1320" i="9"/>
  <c r="T1321" i="9"/>
  <c r="T1319" i="9"/>
  <c r="T1367" i="9"/>
  <c r="T1363" i="9"/>
  <c r="T1366" i="9"/>
  <c r="T1365" i="9"/>
  <c r="T1390" i="9"/>
  <c r="T1364" i="9"/>
  <c r="T1391" i="9"/>
  <c r="T1389" i="9"/>
  <c r="T1402" i="9"/>
  <c r="T1333" i="9"/>
  <c r="T1162" i="9"/>
  <c r="T1200" i="9"/>
  <c r="T1247" i="9"/>
  <c r="T1285" i="9"/>
  <c r="T1362" i="9"/>
  <c r="T1317" i="9"/>
  <c r="T1388" i="9"/>
  <c r="T1172" i="9"/>
  <c r="T1210" i="9"/>
  <c r="T1257" i="9"/>
  <c r="T1295" i="9"/>
  <c r="T1325" i="9"/>
  <c r="T1372" i="9"/>
  <c r="T1394" i="9"/>
  <c r="U1136" i="9"/>
  <c r="U1138" i="9"/>
  <c r="U1139" i="9"/>
  <c r="U1141" i="9"/>
  <c r="U1137" i="9"/>
  <c r="U1140" i="9"/>
  <c r="U1155" i="9"/>
  <c r="U1154" i="9"/>
  <c r="U1158" i="9"/>
  <c r="U1160" i="9"/>
  <c r="U1161" i="9"/>
  <c r="U1143" i="9"/>
  <c r="U1142" i="9"/>
  <c r="U1159" i="9"/>
  <c r="U1156" i="9"/>
  <c r="U1157" i="9"/>
  <c r="U1168" i="9"/>
  <c r="U1170" i="9"/>
  <c r="U1171" i="9"/>
  <c r="U1175" i="9"/>
  <c r="U1178" i="9"/>
  <c r="U1180" i="9"/>
  <c r="U1181" i="9"/>
  <c r="U1193" i="9"/>
  <c r="U1169" i="9"/>
  <c r="U1176" i="9"/>
  <c r="U1174" i="9"/>
  <c r="U1177" i="9"/>
  <c r="U1179" i="9"/>
  <c r="U1194" i="9"/>
  <c r="U1196" i="9"/>
  <c r="U1199" i="9"/>
  <c r="U1207" i="9"/>
  <c r="U1212" i="9"/>
  <c r="U1216" i="9"/>
  <c r="U1192" i="9"/>
  <c r="U1195" i="9"/>
  <c r="U1197" i="9"/>
  <c r="U1209" i="9"/>
  <c r="U1208" i="9"/>
  <c r="U1213" i="9"/>
  <c r="U1219" i="9"/>
  <c r="U1222" i="9"/>
  <c r="U1225" i="9"/>
  <c r="U1227" i="9"/>
  <c r="U1228" i="9"/>
  <c r="U1240" i="9"/>
  <c r="U1243" i="9"/>
  <c r="U1245" i="9"/>
  <c r="U1246" i="9"/>
  <c r="U1206" i="9"/>
  <c r="U1221" i="9"/>
  <c r="U1241" i="9"/>
  <c r="U1253" i="9"/>
  <c r="U1255" i="9"/>
  <c r="U1256" i="9"/>
  <c r="U1198" i="9"/>
  <c r="U1217" i="9"/>
  <c r="U1254" i="9"/>
  <c r="U1224" i="9"/>
  <c r="U1259" i="9"/>
  <c r="U1261" i="9"/>
  <c r="U1262" i="9"/>
  <c r="U1264" i="9"/>
  <c r="U1277" i="9"/>
  <c r="U1279" i="9"/>
  <c r="U1280" i="9"/>
  <c r="U1282" i="9"/>
  <c r="U1291" i="9"/>
  <c r="U1293" i="9"/>
  <c r="U1294" i="9"/>
  <c r="U1223" i="9"/>
  <c r="U1265" i="9"/>
  <c r="U1278" i="9"/>
  <c r="U1226" i="9"/>
  <c r="U1239" i="9"/>
  <c r="U1242" i="9"/>
  <c r="U1244" i="9"/>
  <c r="U1263" i="9"/>
  <c r="U1284" i="9"/>
  <c r="U1292" i="9"/>
  <c r="U1298" i="9"/>
  <c r="U1300" i="9"/>
  <c r="U1302" i="9"/>
  <c r="U1312" i="9"/>
  <c r="U1314" i="9"/>
  <c r="U1316" i="9"/>
  <c r="U1323" i="9"/>
  <c r="U1327" i="9"/>
  <c r="U1331" i="9"/>
  <c r="U1334" i="9"/>
  <c r="U1337" i="9"/>
  <c r="U1340" i="9"/>
  <c r="U1342" i="9"/>
  <c r="U1343" i="9"/>
  <c r="U1355" i="9"/>
  <c r="U1358" i="9"/>
  <c r="U1360" i="9"/>
  <c r="U1361" i="9"/>
  <c r="U1369" i="9"/>
  <c r="U1281" i="9"/>
  <c r="U1266" i="9"/>
  <c r="U1283" i="9"/>
  <c r="U1260" i="9"/>
  <c r="U1311" i="9"/>
  <c r="U1328" i="9"/>
  <c r="U1338" i="9"/>
  <c r="U1297" i="9"/>
  <c r="U1299" i="9"/>
  <c r="U1301" i="9"/>
  <c r="U1313" i="9"/>
  <c r="U1315" i="9"/>
  <c r="U1322" i="9"/>
  <c r="U1324" i="9"/>
  <c r="U1339" i="9"/>
  <c r="U1341" i="9"/>
  <c r="U1370" i="9"/>
  <c r="U1332" i="9"/>
  <c r="U1336" i="9"/>
  <c r="U1354" i="9"/>
  <c r="U1371" i="9"/>
  <c r="U1357" i="9"/>
  <c r="U1359" i="9"/>
  <c r="U1368" i="9"/>
  <c r="U1375" i="9"/>
  <c r="U1376" i="9"/>
  <c r="U1356" i="9"/>
  <c r="U1377" i="9"/>
  <c r="U1385" i="9"/>
  <c r="U1386" i="9"/>
  <c r="U1393" i="9"/>
  <c r="U1374" i="9"/>
  <c r="U1387" i="9"/>
  <c r="U1396" i="9"/>
  <c r="U1400" i="9"/>
  <c r="U1403" i="9"/>
  <c r="U1401" i="9"/>
  <c r="U1392" i="9"/>
  <c r="U1397" i="9"/>
  <c r="U1384" i="9"/>
  <c r="T1173" i="9"/>
  <c r="T1211" i="9"/>
  <c r="T1296" i="9"/>
  <c r="T1258" i="9"/>
  <c r="T1326" i="9"/>
  <c r="T1373" i="9"/>
  <c r="T1395" i="9"/>
  <c r="U1146" i="9"/>
  <c r="U1150" i="9"/>
  <c r="U1152" i="9"/>
  <c r="U1153" i="9"/>
  <c r="U1148" i="9"/>
  <c r="U1147" i="9"/>
  <c r="U1163" i="9"/>
  <c r="U1165" i="9"/>
  <c r="U1166" i="9"/>
  <c r="U1151" i="9"/>
  <c r="U1164" i="9"/>
  <c r="U1184" i="9"/>
  <c r="U1188" i="9"/>
  <c r="U1190" i="9"/>
  <c r="U1191" i="9"/>
  <c r="U1145" i="9"/>
  <c r="U1186" i="9"/>
  <c r="U1189" i="9"/>
  <c r="U1202" i="9"/>
  <c r="U1214" i="9"/>
  <c r="U1218" i="9"/>
  <c r="U1183" i="9"/>
  <c r="U1204" i="9"/>
  <c r="U1203" i="9"/>
  <c r="U1215" i="9"/>
  <c r="U1231" i="9"/>
  <c r="U1235" i="9"/>
  <c r="U1237" i="9"/>
  <c r="U1238" i="9"/>
  <c r="U1185" i="9"/>
  <c r="U1230" i="9"/>
  <c r="U1233" i="9"/>
  <c r="U1236" i="9"/>
  <c r="U1248" i="9"/>
  <c r="U1250" i="9"/>
  <c r="U1251" i="9"/>
  <c r="U1201" i="9"/>
  <c r="U1268" i="9"/>
  <c r="U1270" i="9"/>
  <c r="U1271" i="9"/>
  <c r="U1274" i="9"/>
  <c r="U1286" i="9"/>
  <c r="U1288" i="9"/>
  <c r="U1289" i="9"/>
  <c r="U1249" i="9"/>
  <c r="U1273" i="9"/>
  <c r="U1232" i="9"/>
  <c r="U1269" i="9"/>
  <c r="U1276" i="9"/>
  <c r="U1305" i="9"/>
  <c r="U1308" i="9"/>
  <c r="U1310" i="9"/>
  <c r="U1319" i="9"/>
  <c r="U1329" i="9"/>
  <c r="U1333" i="9"/>
  <c r="U1346" i="9"/>
  <c r="U1350" i="9"/>
  <c r="U1352" i="9"/>
  <c r="U1353" i="9"/>
  <c r="U1364" i="9"/>
  <c r="U1287" i="9"/>
  <c r="U1275" i="9"/>
  <c r="U1309" i="9"/>
  <c r="U1320" i="9"/>
  <c r="U1304" i="9"/>
  <c r="U1306" i="9"/>
  <c r="U1318" i="9"/>
  <c r="U1330" i="9"/>
  <c r="U1348" i="9"/>
  <c r="U1366" i="9"/>
  <c r="U1347" i="9"/>
  <c r="U1365" i="9"/>
  <c r="U1380" i="9"/>
  <c r="U1363" i="9"/>
  <c r="U1351" i="9"/>
  <c r="U1382" i="9"/>
  <c r="U1390" i="9"/>
  <c r="U1345" i="9"/>
  <c r="U1379" i="9"/>
  <c r="U1389" i="9"/>
  <c r="U1383" i="9"/>
  <c r="U1398" i="9"/>
  <c r="U1399" i="9"/>
  <c r="U1402" i="9"/>
  <c r="V1136" i="9"/>
  <c r="V1145" i="9"/>
  <c r="V1158" i="9"/>
  <c r="V1154" i="9"/>
  <c r="V1163" i="9"/>
  <c r="V1140" i="9"/>
  <c r="V1150" i="9"/>
  <c r="V1168" i="9"/>
  <c r="V1183" i="9"/>
  <c r="V1192" i="9"/>
  <c r="V1174" i="9"/>
  <c r="V1188" i="9"/>
  <c r="V1201" i="9"/>
  <c r="V1235" i="9"/>
  <c r="V1206" i="9"/>
  <c r="V1221" i="9"/>
  <c r="V1230" i="9"/>
  <c r="V1253" i="9"/>
  <c r="V1259" i="9"/>
  <c r="V1268" i="9"/>
  <c r="V1277" i="9"/>
  <c r="V1286" i="9"/>
  <c r="V1291" i="9"/>
  <c r="V1196" i="9"/>
  <c r="V1225" i="9"/>
  <c r="V1243" i="9"/>
  <c r="V1281" i="9"/>
  <c r="V1178" i="9"/>
  <c r="V1248" i="9"/>
  <c r="V1273" i="9"/>
  <c r="V1239" i="9"/>
  <c r="V1300" i="9"/>
  <c r="V1308" i="9"/>
  <c r="V1314" i="9"/>
  <c r="V1340" i="9"/>
  <c r="V1263" i="9"/>
  <c r="V1297" i="9"/>
  <c r="V1304" i="9"/>
  <c r="V1311" i="9"/>
  <c r="V1322" i="9"/>
  <c r="V1368" i="9"/>
  <c r="V1345" i="9"/>
  <c r="V1358" i="9"/>
  <c r="V1363" i="9"/>
  <c r="V1318" i="9"/>
  <c r="V1354" i="9"/>
  <c r="V1376" i="9"/>
  <c r="V1379" i="9"/>
  <c r="V1384" i="9"/>
  <c r="V1389" i="9"/>
  <c r="V1392" i="9"/>
  <c r="V1336" i="9"/>
  <c r="V1382" i="9"/>
  <c r="V1386" i="9"/>
  <c r="V1374" i="9"/>
  <c r="V1350" i="9"/>
  <c r="V1139" i="9"/>
  <c r="V1143" i="9"/>
  <c r="V1144" i="9"/>
  <c r="V1153" i="9"/>
  <c r="V1157" i="9"/>
  <c r="V1148" i="9"/>
  <c r="V1162" i="9"/>
  <c r="V1171" i="9"/>
  <c r="V1161" i="9"/>
  <c r="V1166" i="9"/>
  <c r="V1173" i="9"/>
  <c r="V1182" i="9"/>
  <c r="V1186" i="9"/>
  <c r="V1195" i="9"/>
  <c r="V1172" i="9"/>
  <c r="V1199" i="9"/>
  <c r="V1200" i="9"/>
  <c r="V1211" i="9"/>
  <c r="V1191" i="9"/>
  <c r="V1177" i="9"/>
  <c r="V1210" i="9"/>
  <c r="V1209" i="9"/>
  <c r="V1181" i="9"/>
  <c r="V1204" i="9"/>
  <c r="V1229" i="9"/>
  <c r="V1238" i="9"/>
  <c r="V1233" i="9"/>
  <c r="V1224" i="9"/>
  <c r="V1256" i="9"/>
  <c r="V1262" i="9"/>
  <c r="V1271" i="9"/>
  <c r="V1280" i="9"/>
  <c r="V1289" i="9"/>
  <c r="V1294" i="9"/>
  <c r="V1295" i="9"/>
  <c r="V1228" i="9"/>
  <c r="V1246" i="9"/>
  <c r="V1266" i="9"/>
  <c r="V1251" i="9"/>
  <c r="V1257" i="9"/>
  <c r="V1285" i="9"/>
  <c r="V1247" i="9"/>
  <c r="V1296" i="9"/>
  <c r="V1276" i="9"/>
  <c r="V1302" i="9"/>
  <c r="V1303" i="9"/>
  <c r="V1310" i="9"/>
  <c r="V1316" i="9"/>
  <c r="V1317" i="9"/>
  <c r="V1326" i="9"/>
  <c r="V1343" i="9"/>
  <c r="V1344" i="9"/>
  <c r="V1242" i="9"/>
  <c r="V1267" i="9"/>
  <c r="V1284" i="9"/>
  <c r="V1299" i="9"/>
  <c r="V1258" i="9"/>
  <c r="V1306" i="9"/>
  <c r="V1324" i="9"/>
  <c r="V1339" i="9"/>
  <c r="V1320" i="9"/>
  <c r="V1313" i="9"/>
  <c r="V1353" i="9"/>
  <c r="V1357" i="9"/>
  <c r="V1373" i="9"/>
  <c r="V1325" i="9"/>
  <c r="V1348" i="9"/>
  <c r="V1361" i="9"/>
  <c r="V1366" i="9"/>
  <c r="V1372" i="9"/>
  <c r="V1362" i="9"/>
  <c r="V1371" i="9"/>
  <c r="V1220" i="9"/>
  <c r="V1335" i="9"/>
  <c r="V1404" i="9"/>
  <c r="T1154" i="9"/>
  <c r="T1150" i="9"/>
  <c r="T1151" i="9"/>
  <c r="T1155" i="9"/>
  <c r="T1156" i="9"/>
  <c r="T1152" i="9"/>
  <c r="T1157" i="9"/>
  <c r="T1153" i="9"/>
  <c r="T1188" i="9"/>
  <c r="T1190" i="9"/>
  <c r="T1191" i="9"/>
  <c r="T1193" i="9"/>
  <c r="T1192" i="9"/>
  <c r="T1195" i="9"/>
  <c r="T1189" i="9"/>
  <c r="T1194" i="9"/>
  <c r="T1215" i="9"/>
  <c r="T1216" i="9"/>
  <c r="T1237" i="9"/>
  <c r="T1239" i="9"/>
  <c r="T1242" i="9"/>
  <c r="T1236" i="9"/>
  <c r="T1241" i="9"/>
  <c r="T1273" i="9"/>
  <c r="T1275" i="9"/>
  <c r="T1276" i="9"/>
  <c r="T1278" i="9"/>
  <c r="T1235" i="9"/>
  <c r="T1238" i="9"/>
  <c r="T1240" i="9"/>
  <c r="T1274" i="9"/>
  <c r="T1279" i="9"/>
  <c r="T1277" i="9"/>
  <c r="T1280" i="9"/>
  <c r="T1309" i="9"/>
  <c r="T1311" i="9"/>
  <c r="T1313" i="9"/>
  <c r="T1330" i="9"/>
  <c r="T1308" i="9"/>
  <c r="T1312" i="9"/>
  <c r="T1331" i="9"/>
  <c r="T1310" i="9"/>
  <c r="T1354" i="9"/>
  <c r="T1350" i="9"/>
  <c r="T1351" i="9"/>
  <c r="T1355" i="9"/>
  <c r="T1356" i="9"/>
  <c r="T1353" i="9"/>
  <c r="T1357" i="9"/>
  <c r="T1382" i="9"/>
  <c r="T1385" i="9"/>
  <c r="T1383" i="9"/>
  <c r="T1384" i="9"/>
  <c r="T1352" i="9"/>
  <c r="T1399" i="9"/>
  <c r="T1400" i="9"/>
  <c r="X1297" i="9"/>
  <c r="X1299" i="9"/>
  <c r="X1301" i="9"/>
  <c r="X1304" i="9"/>
  <c r="X1306" i="9"/>
  <c r="X1307" i="9"/>
  <c r="X1309" i="9"/>
  <c r="X1311" i="9"/>
  <c r="X1313" i="9"/>
  <c r="X1315" i="9"/>
  <c r="X1318" i="9"/>
  <c r="X1320" i="9"/>
  <c r="X1321" i="9"/>
  <c r="X1322" i="9"/>
  <c r="X1324" i="9"/>
  <c r="X1325" i="9"/>
  <c r="X1298" i="9"/>
  <c r="X1300" i="9"/>
  <c r="X1302" i="9"/>
  <c r="X1303" i="9"/>
  <c r="X1310" i="9"/>
  <c r="X1314" i="9"/>
  <c r="X1316" i="9"/>
  <c r="X1319" i="9"/>
  <c r="X1305" i="9"/>
  <c r="X1317" i="9"/>
  <c r="X1312" i="9"/>
  <c r="X1323" i="9"/>
  <c r="X1308" i="9"/>
  <c r="X1326" i="9"/>
  <c r="T1957" i="9"/>
  <c r="V1971" i="9"/>
  <c r="T1971" i="9"/>
  <c r="U1971" i="9"/>
  <c r="V1978" i="9"/>
  <c r="U1978" i="9"/>
  <c r="U1985" i="9"/>
  <c r="V1985" i="9"/>
  <c r="T1985" i="9"/>
  <c r="J116" i="8"/>
  <c r="J115" i="8"/>
  <c r="J117" i="8"/>
  <c r="J89" i="8"/>
  <c r="AP26" i="11"/>
  <c r="T571" i="9"/>
  <c r="T537" i="9"/>
  <c r="T496" i="9"/>
  <c r="T460" i="9"/>
  <c r="T422" i="9"/>
  <c r="T375" i="9"/>
  <c r="T337" i="9"/>
  <c r="T574" i="9"/>
  <c r="T572" i="9"/>
  <c r="T542" i="9"/>
  <c r="T541" i="9"/>
  <c r="T540" i="9"/>
  <c r="T538" i="9"/>
  <c r="T500" i="9"/>
  <c r="T499" i="9"/>
  <c r="T497" i="9"/>
  <c r="T465" i="9"/>
  <c r="T464" i="9"/>
  <c r="T463" i="9"/>
  <c r="T461" i="9"/>
  <c r="T427" i="9"/>
  <c r="T426" i="9"/>
  <c r="T425" i="9"/>
  <c r="T423" i="9"/>
  <c r="T591" i="9"/>
  <c r="T573" i="9"/>
  <c r="T539" i="9"/>
  <c r="T522" i="9"/>
  <c r="T498" i="9"/>
  <c r="T462" i="9"/>
  <c r="T424" i="9"/>
  <c r="T380" i="9"/>
  <c r="T378" i="9"/>
  <c r="T342" i="9"/>
  <c r="T340" i="9"/>
  <c r="T407" i="9"/>
  <c r="T377" i="9"/>
  <c r="T339" i="9"/>
  <c r="T379" i="9"/>
  <c r="T376" i="9"/>
  <c r="T341" i="9"/>
  <c r="T338" i="9"/>
  <c r="T585" i="9"/>
  <c r="T564" i="9"/>
  <c r="T563" i="9"/>
  <c r="T561" i="9"/>
  <c r="T517" i="9"/>
  <c r="T515" i="9"/>
  <c r="T487" i="9"/>
  <c r="T486" i="9"/>
  <c r="T484" i="9"/>
  <c r="T449" i="9"/>
  <c r="T448" i="9"/>
  <c r="T446" i="9"/>
  <c r="T596" i="9"/>
  <c r="T586" i="9"/>
  <c r="T562" i="9"/>
  <c r="T527" i="9"/>
  <c r="T516" i="9"/>
  <c r="T485" i="9"/>
  <c r="T447" i="9"/>
  <c r="T412" i="9"/>
  <c r="T402" i="9"/>
  <c r="T399" i="9"/>
  <c r="T364" i="9"/>
  <c r="T361" i="9"/>
  <c r="T401" i="9"/>
  <c r="T363" i="9"/>
  <c r="T400" i="9"/>
  <c r="T362" i="9"/>
  <c r="T597" i="9"/>
  <c r="T528" i="9"/>
  <c r="T413" i="9"/>
  <c r="T567" i="9"/>
  <c r="T532" i="9"/>
  <c r="T531" i="9"/>
  <c r="T529" i="9"/>
  <c r="T492" i="9"/>
  <c r="T490" i="9"/>
  <c r="T455" i="9"/>
  <c r="T454" i="9"/>
  <c r="T452" i="9"/>
  <c r="T417" i="9"/>
  <c r="T416" i="9"/>
  <c r="T414" i="9"/>
  <c r="T589" i="9"/>
  <c r="T568" i="9"/>
  <c r="T530" i="9"/>
  <c r="T520" i="9"/>
  <c r="T491" i="9"/>
  <c r="T453" i="9"/>
  <c r="T415" i="9"/>
  <c r="T370" i="9"/>
  <c r="T367" i="9"/>
  <c r="T332" i="9"/>
  <c r="T329" i="9"/>
  <c r="T405" i="9"/>
  <c r="T369" i="9"/>
  <c r="T331" i="9"/>
  <c r="T368" i="9"/>
  <c r="T330" i="9"/>
  <c r="T584" i="9"/>
  <c r="T582" i="9"/>
  <c r="T560" i="9"/>
  <c r="T559" i="9"/>
  <c r="T558" i="9"/>
  <c r="T556" i="9"/>
  <c r="T514" i="9"/>
  <c r="T513" i="9"/>
  <c r="T511" i="9"/>
  <c r="T483" i="9"/>
  <c r="T482" i="9"/>
  <c r="T481" i="9"/>
  <c r="T479" i="9"/>
  <c r="T445" i="9"/>
  <c r="T444" i="9"/>
  <c r="T443" i="9"/>
  <c r="T441" i="9"/>
  <c r="T595" i="9"/>
  <c r="T583" i="9"/>
  <c r="T557" i="9"/>
  <c r="T526" i="9"/>
  <c r="T512" i="9"/>
  <c r="T480" i="9"/>
  <c r="T442" i="9"/>
  <c r="T411" i="9"/>
  <c r="T398" i="9"/>
  <c r="T396" i="9"/>
  <c r="T360" i="9"/>
  <c r="T358" i="9"/>
  <c r="T395" i="9"/>
  <c r="T357" i="9"/>
  <c r="T397" i="9"/>
  <c r="T394" i="9"/>
  <c r="T359" i="9"/>
  <c r="T356" i="9"/>
  <c r="T588" i="9"/>
  <c r="T566" i="9"/>
  <c r="T519" i="9"/>
  <c r="T489" i="9"/>
  <c r="T451" i="9"/>
  <c r="T404" i="9"/>
  <c r="T366" i="9"/>
  <c r="T590" i="9"/>
  <c r="T570" i="9"/>
  <c r="T534" i="9"/>
  <c r="T521" i="9"/>
  <c r="T494" i="9"/>
  <c r="T457" i="9"/>
  <c r="T419" i="9"/>
  <c r="T569" i="9"/>
  <c r="T536" i="9"/>
  <c r="T535" i="9"/>
  <c r="T533" i="9"/>
  <c r="T495" i="9"/>
  <c r="T493" i="9"/>
  <c r="T459" i="9"/>
  <c r="T458" i="9"/>
  <c r="T456" i="9"/>
  <c r="T421" i="9"/>
  <c r="T420" i="9"/>
  <c r="T418" i="9"/>
  <c r="T372" i="9"/>
  <c r="T334" i="9"/>
  <c r="T374" i="9"/>
  <c r="T371" i="9"/>
  <c r="T336" i="9"/>
  <c r="T333" i="9"/>
  <c r="T406" i="9"/>
  <c r="T373" i="9"/>
  <c r="T335" i="9"/>
  <c r="T565" i="9"/>
  <c r="T518" i="9"/>
  <c r="T488" i="9"/>
  <c r="T450" i="9"/>
  <c r="T587" i="9"/>
  <c r="T403" i="9"/>
  <c r="T365" i="9"/>
  <c r="AN14" i="9"/>
  <c r="AP25" i="11"/>
  <c r="AN26" i="11"/>
  <c r="AM25" i="11"/>
  <c r="AO26" i="11"/>
  <c r="AN21" i="9"/>
  <c r="AN26" i="9"/>
  <c r="AQ25" i="11"/>
  <c r="AM26" i="11"/>
  <c r="AN25" i="9"/>
  <c r="AN9" i="9"/>
  <c r="AN19" i="9"/>
  <c r="AN20" i="9"/>
  <c r="AH26" i="11"/>
  <c r="AQ26" i="11" s="1"/>
  <c r="AW26" i="11"/>
  <c r="AX25" i="11"/>
  <c r="AT25" i="11"/>
  <c r="AX26" i="11"/>
  <c r="AT26" i="11"/>
  <c r="AV26" i="11"/>
  <c r="AW25" i="11"/>
  <c r="AU26" i="11"/>
  <c r="AV25" i="11"/>
  <c r="AU25" i="11"/>
  <c r="AE25" i="11"/>
  <c r="AN25" i="11" s="1"/>
  <c r="D152" i="8"/>
  <c r="D153" i="8"/>
  <c r="AF25" i="11"/>
  <c r="AO25" i="11" s="1"/>
  <c r="D17" i="8"/>
  <c r="D30" i="3" s="1"/>
  <c r="D18" i="8"/>
  <c r="D31" i="3" s="1"/>
  <c r="AA25" i="11"/>
  <c r="D12" i="8"/>
  <c r="D25" i="3" s="1"/>
  <c r="AF18" i="7"/>
  <c r="BT26" i="7"/>
  <c r="D86" i="8"/>
  <c r="D87" i="8"/>
  <c r="J266" i="8"/>
  <c r="J260" i="8"/>
  <c r="J236" i="8"/>
  <c r="J250" i="8"/>
  <c r="J224" i="8"/>
  <c r="J230" i="8"/>
  <c r="J248" i="8"/>
  <c r="J237" i="8"/>
  <c r="J249" i="8"/>
  <c r="J261" i="8"/>
  <c r="J263" i="8"/>
  <c r="J254" i="8"/>
  <c r="J231" i="8"/>
  <c r="J267" i="8"/>
  <c r="J226" i="8"/>
  <c r="J262" i="8"/>
  <c r="J239" i="8"/>
  <c r="J251" i="8"/>
  <c r="J243" i="8"/>
  <c r="D13" i="8"/>
  <c r="D26" i="3" s="1"/>
  <c r="D114" i="8"/>
  <c r="D149" i="8"/>
  <c r="D10" i="8"/>
  <c r="D11" i="8"/>
  <c r="D24" i="3" s="1"/>
  <c r="D147" i="8"/>
  <c r="D16" i="8"/>
  <c r="D29" i="3" s="1"/>
  <c r="D211" i="8"/>
  <c r="BT19" i="7"/>
  <c r="BR19" i="7"/>
  <c r="D22" i="8" s="1"/>
  <c r="J22" i="8" s="1"/>
  <c r="D14" i="8"/>
  <c r="D27" i="3" s="1"/>
  <c r="D151" i="8"/>
  <c r="J151" i="8" s="1"/>
  <c r="BT21" i="7"/>
  <c r="D74" i="3"/>
  <c r="T1443" i="9" l="1"/>
  <c r="T1534" i="9"/>
  <c r="T1667" i="9"/>
  <c r="Y1667" i="9" s="1"/>
  <c r="T1541" i="9"/>
  <c r="T1417" i="9"/>
  <c r="Y1417" i="9" s="1"/>
  <c r="T1609" i="9"/>
  <c r="Y1609" i="9" s="1"/>
  <c r="T1616" i="9"/>
  <c r="Y1616" i="9" s="1"/>
  <c r="T1455" i="9"/>
  <c r="T1611" i="9"/>
  <c r="Y1611" i="9" s="1"/>
  <c r="T1450" i="9"/>
  <c r="E128" i="3" a="1"/>
  <c r="E128" i="3" s="1"/>
  <c r="T1598" i="9"/>
  <c r="T1500" i="9"/>
  <c r="T1482" i="9"/>
  <c r="T1538" i="9"/>
  <c r="T1416" i="9"/>
  <c r="Y1416" i="9" s="1"/>
  <c r="T1535" i="9"/>
  <c r="T1409" i="9"/>
  <c r="Y1409" i="9" s="1"/>
  <c r="E98" i="3" a="1"/>
  <c r="E98" i="3" s="1"/>
  <c r="T1644" i="9"/>
  <c r="Y1644" i="9" s="1"/>
  <c r="T1490" i="9"/>
  <c r="T1530" i="9"/>
  <c r="T1643" i="9"/>
  <c r="Y1643" i="9" s="1"/>
  <c r="T1491" i="9"/>
  <c r="T1650" i="9"/>
  <c r="Y1650" i="9" s="1"/>
  <c r="T1502" i="9"/>
  <c r="T1495" i="9"/>
  <c r="T1573" i="9"/>
  <c r="T1454" i="9"/>
  <c r="T1597" i="9"/>
  <c r="T1447" i="9"/>
  <c r="T1595" i="9"/>
  <c r="T1615" i="9"/>
  <c r="Y1615" i="9" s="1"/>
  <c r="T1574" i="9"/>
  <c r="T1499" i="9"/>
  <c r="T1453" i="9"/>
  <c r="T1645" i="9"/>
  <c r="Y1645" i="9" s="1"/>
  <c r="T1570" i="9"/>
  <c r="T1496" i="9"/>
  <c r="T1411" i="9"/>
  <c r="Y1411" i="9" s="1"/>
  <c r="T1480" i="9"/>
  <c r="T1649" i="9"/>
  <c r="Y1649" i="9" s="1"/>
  <c r="T1618" i="9"/>
  <c r="Y1618" i="9" s="1"/>
  <c r="T1617" i="9"/>
  <c r="Y1617" i="9" s="1"/>
  <c r="T1576" i="9"/>
  <c r="T1537" i="9"/>
  <c r="T1501" i="9"/>
  <c r="T1483" i="9"/>
  <c r="T1452" i="9"/>
  <c r="T1418" i="9"/>
  <c r="Y1418" i="9" s="1"/>
  <c r="T1646" i="9"/>
  <c r="Y1646" i="9" s="1"/>
  <c r="T1612" i="9"/>
  <c r="Y1612" i="9" s="1"/>
  <c r="T1571" i="9"/>
  <c r="T1532" i="9"/>
  <c r="T1497" i="9"/>
  <c r="T1448" i="9"/>
  <c r="T1412" i="9"/>
  <c r="Y1412" i="9" s="1"/>
  <c r="W1090" i="9"/>
  <c r="Y1090" i="9" s="1"/>
  <c r="AC1090" i="9" s="1"/>
  <c r="T1648" i="9"/>
  <c r="Y1648" i="9" s="1"/>
  <c r="T1614" i="9"/>
  <c r="Y1614" i="9" s="1"/>
  <c r="T1575" i="9"/>
  <c r="T1540" i="9"/>
  <c r="T1539" i="9"/>
  <c r="T1503" i="9"/>
  <c r="T1456" i="9"/>
  <c r="T1414" i="9"/>
  <c r="Y1414" i="9" s="1"/>
  <c r="T1666" i="9"/>
  <c r="Y1666" i="9" s="1"/>
  <c r="T1610" i="9"/>
  <c r="Y1610" i="9" s="1"/>
  <c r="T1569" i="9"/>
  <c r="T1533" i="9"/>
  <c r="T1494" i="9"/>
  <c r="T1449" i="9"/>
  <c r="T1606" i="9"/>
  <c r="Y1606" i="9" s="1"/>
  <c r="T1407" i="9"/>
  <c r="Y1407" i="9" s="1"/>
  <c r="T1529" i="9"/>
  <c r="T1665" i="9"/>
  <c r="Y1665" i="9" s="1"/>
  <c r="T1607" i="9"/>
  <c r="Y1607" i="9" s="1"/>
  <c r="T1519" i="9"/>
  <c r="W1075" i="9"/>
  <c r="Y1075" i="9" s="1"/>
  <c r="AC1075" i="9" s="1"/>
  <c r="V1261" i="9"/>
  <c r="T1638" i="9"/>
  <c r="Y1638" i="9" s="1"/>
  <c r="W1089" i="9"/>
  <c r="Y1089" i="9" s="1"/>
  <c r="AC1089" i="9" s="1"/>
  <c r="T1633" i="9"/>
  <c r="Y1633" i="9" s="1"/>
  <c r="T1637" i="9"/>
  <c r="Y1637" i="9" s="1"/>
  <c r="T1469" i="9"/>
  <c r="T1673" i="9"/>
  <c r="Y1673" i="9" s="1"/>
  <c r="T1561" i="9"/>
  <c r="T1604" i="9"/>
  <c r="T1437" i="9"/>
  <c r="Y1437" i="9" s="1"/>
  <c r="W1067" i="9"/>
  <c r="Y1067" i="9" s="1"/>
  <c r="AC1067" i="9" s="1"/>
  <c r="W1084" i="9"/>
  <c r="Y1084" i="9" s="1"/>
  <c r="AC1084" i="9" s="1"/>
  <c r="T1588" i="9"/>
  <c r="T1432" i="9"/>
  <c r="Y1432" i="9" s="1"/>
  <c r="T1521" i="9"/>
  <c r="T1632" i="9"/>
  <c r="Y1632" i="9" s="1"/>
  <c r="T1520" i="9"/>
  <c r="W1096" i="9"/>
  <c r="Y1096" i="9" s="1"/>
  <c r="AC1096" i="9" s="1"/>
  <c r="W1083" i="9"/>
  <c r="Y1083" i="9" s="1"/>
  <c r="AC1083" i="9" s="1"/>
  <c r="T1672" i="9"/>
  <c r="Y1672" i="9" s="1"/>
  <c r="T1593" i="9"/>
  <c r="T1660" i="9"/>
  <c r="Y1660" i="9" s="1"/>
  <c r="T1602" i="9"/>
  <c r="T1555" i="9"/>
  <c r="T1473" i="9"/>
  <c r="W1072" i="9"/>
  <c r="Y1072" i="9" s="1"/>
  <c r="AC1072" i="9" s="1"/>
  <c r="W1099" i="9"/>
  <c r="Y1099" i="9" s="1"/>
  <c r="AC1099" i="9" s="1"/>
  <c r="T1661" i="9"/>
  <c r="Y1661" i="9" s="1"/>
  <c r="T1591" i="9"/>
  <c r="T1659" i="9"/>
  <c r="Y1659" i="9" s="1"/>
  <c r="T1589" i="9"/>
  <c r="T1517" i="9"/>
  <c r="T1471" i="9"/>
  <c r="W1101" i="9"/>
  <c r="Y1101" i="9" s="1"/>
  <c r="AC1101" i="9" s="1"/>
  <c r="T1636" i="9"/>
  <c r="Y1636" i="9" s="1"/>
  <c r="T1559" i="9"/>
  <c r="T1436" i="9"/>
  <c r="Y1436" i="9" s="1"/>
  <c r="T1658" i="9"/>
  <c r="Y1658" i="9" s="1"/>
  <c r="T1587" i="9"/>
  <c r="T1558" i="9"/>
  <c r="T1487" i="9"/>
  <c r="T1671" i="9"/>
  <c r="Y1671" i="9" s="1"/>
  <c r="T1635" i="9"/>
  <c r="Y1635" i="9" s="1"/>
  <c r="T1634" i="9"/>
  <c r="Y1634" i="9" s="1"/>
  <c r="T1590" i="9"/>
  <c r="T1556" i="9"/>
  <c r="T1557" i="9"/>
  <c r="T1472" i="9"/>
  <c r="T1489" i="9"/>
  <c r="V1245" i="9"/>
  <c r="T1639" i="9"/>
  <c r="Y1639" i="9" s="1"/>
  <c r="T1603" i="9"/>
  <c r="T1562" i="9"/>
  <c r="V1176" i="9"/>
  <c r="T1662" i="9"/>
  <c r="Y1662" i="9" s="1"/>
  <c r="T1640" i="9"/>
  <c r="Y1640" i="9" s="1"/>
  <c r="T1592" i="9"/>
  <c r="V1338" i="9"/>
  <c r="Y1338" i="9" s="1"/>
  <c r="W1086" i="9"/>
  <c r="Y1086" i="9" s="1"/>
  <c r="AC1086" i="9" s="1"/>
  <c r="W1071" i="9"/>
  <c r="Y1071" i="9" s="1"/>
  <c r="AC1071" i="9" s="1"/>
  <c r="W1098" i="9"/>
  <c r="Y1098" i="9" s="1"/>
  <c r="AC1098" i="9" s="1"/>
  <c r="W1078" i="9"/>
  <c r="Y1078" i="9" s="1"/>
  <c r="AC1078" i="9" s="1"/>
  <c r="V1198" i="9"/>
  <c r="V1160" i="9"/>
  <c r="Y1160" i="9" s="1"/>
  <c r="W1077" i="9"/>
  <c r="Y1077" i="9" s="1"/>
  <c r="AC1077" i="9" s="1"/>
  <c r="W1103" i="9"/>
  <c r="Y1103" i="9" s="1"/>
  <c r="AC1103" i="9" s="1"/>
  <c r="W1097" i="9"/>
  <c r="Y1097" i="9" s="1"/>
  <c r="AC1097" i="9" s="1"/>
  <c r="W1100" i="9"/>
  <c r="Y1100" i="9" s="1"/>
  <c r="AC1100" i="9" s="1"/>
  <c r="W1081" i="9"/>
  <c r="Y1081" i="9" s="1"/>
  <c r="AC1081" i="9" s="1"/>
  <c r="W1068" i="9"/>
  <c r="Y1068" i="9" s="1"/>
  <c r="AC1068" i="9" s="1"/>
  <c r="W1069" i="9"/>
  <c r="Y1069" i="9" s="1"/>
  <c r="AC1069" i="9" s="1"/>
  <c r="W1074" i="9"/>
  <c r="Y1074" i="9" s="1"/>
  <c r="AC1074" i="9" s="1"/>
  <c r="W1088" i="9"/>
  <c r="Y1088" i="9" s="1"/>
  <c r="AC1088" i="9" s="1"/>
  <c r="W1093" i="9"/>
  <c r="Y1093" i="9" s="1"/>
  <c r="AC1093" i="9" s="1"/>
  <c r="W1094" i="9"/>
  <c r="Y1094" i="9" s="1"/>
  <c r="AC1094" i="9" s="1"/>
  <c r="W1085" i="9"/>
  <c r="Y1085" i="9" s="1"/>
  <c r="AC1085" i="9" s="1"/>
  <c r="W1079" i="9"/>
  <c r="Y1079" i="9" s="1"/>
  <c r="AC1079" i="9" s="1"/>
  <c r="W1379" i="9"/>
  <c r="Y1379" i="9" s="1"/>
  <c r="V1347" i="9"/>
  <c r="Y1347" i="9" s="1"/>
  <c r="V1279" i="9"/>
  <c r="V1208" i="9"/>
  <c r="V1156" i="9"/>
  <c r="Y1156" i="9" s="1"/>
  <c r="V1356" i="9"/>
  <c r="Y1356" i="9" s="1"/>
  <c r="V1270" i="9"/>
  <c r="V1203" i="9"/>
  <c r="V1360" i="9"/>
  <c r="Y1360" i="9" s="1"/>
  <c r="V1237" i="9"/>
  <c r="V1241" i="9"/>
  <c r="W1385" i="9"/>
  <c r="Y1385" i="9" s="1"/>
  <c r="W1386" i="9"/>
  <c r="Y1386" i="9" s="1"/>
  <c r="Y153" i="9"/>
  <c r="W1374" i="9"/>
  <c r="Y1374" i="9" s="1"/>
  <c r="AN27" i="9"/>
  <c r="AN28" i="9"/>
  <c r="W1391" i="9"/>
  <c r="Y1391" i="9" s="1"/>
  <c r="V1370" i="9"/>
  <c r="Y1370" i="9" s="1"/>
  <c r="V1283" i="9"/>
  <c r="V1255" i="9"/>
  <c r="V1275" i="9"/>
  <c r="V1293" i="9"/>
  <c r="V1223" i="9"/>
  <c r="V1190" i="9"/>
  <c r="V1147" i="9"/>
  <c r="Y1147" i="9" s="1"/>
  <c r="V1138" i="9"/>
  <c r="Y1138" i="9" s="1"/>
  <c r="V1152" i="9"/>
  <c r="Y1152" i="9" s="1"/>
  <c r="V1165" i="9"/>
  <c r="Y1165" i="9" s="1"/>
  <c r="V1185" i="9"/>
  <c r="V1227" i="9"/>
  <c r="V1288" i="9"/>
  <c r="V1142" i="9"/>
  <c r="Y1142" i="9" s="1"/>
  <c r="V1180" i="9"/>
  <c r="V1194" i="9"/>
  <c r="V1250" i="9"/>
  <c r="V1265" i="9"/>
  <c r="V1232" i="9"/>
  <c r="V1342" i="9"/>
  <c r="Y1342" i="9" s="1"/>
  <c r="V1365" i="9"/>
  <c r="Y1365" i="9" s="1"/>
  <c r="V1352" i="9"/>
  <c r="Y1352" i="9" s="1"/>
  <c r="W1395" i="9"/>
  <c r="Y1395" i="9" s="1"/>
  <c r="W1394" i="9"/>
  <c r="Y1394" i="9" s="1"/>
  <c r="Y89" i="9"/>
  <c r="Y91" i="9"/>
  <c r="Y88" i="9"/>
  <c r="Y293" i="9"/>
  <c r="Y317" i="9"/>
  <c r="Y97" i="9"/>
  <c r="W1095" i="9"/>
  <c r="Y1095" i="9" s="1"/>
  <c r="AC1095" i="9" s="1"/>
  <c r="W1076" i="9"/>
  <c r="Y1076" i="9" s="1"/>
  <c r="AC1076" i="9" s="1"/>
  <c r="W1091" i="9"/>
  <c r="Y1091" i="9" s="1"/>
  <c r="AC1091" i="9" s="1"/>
  <c r="W1070" i="9"/>
  <c r="Y1070" i="9" s="1"/>
  <c r="AC1070" i="9" s="1"/>
  <c r="W1080" i="9"/>
  <c r="Y1080" i="9" s="1"/>
  <c r="AC1080" i="9" s="1"/>
  <c r="W1092" i="9"/>
  <c r="Y1092" i="9" s="1"/>
  <c r="AC1092" i="9" s="1"/>
  <c r="W1104" i="9"/>
  <c r="Y1104" i="9" s="1"/>
  <c r="AC1104" i="9" s="1"/>
  <c r="W1082" i="9"/>
  <c r="Y1082" i="9" s="1"/>
  <c r="AC1082" i="9" s="1"/>
  <c r="W1073" i="9"/>
  <c r="Y1073" i="9" s="1"/>
  <c r="AC1073" i="9" s="1"/>
  <c r="W1087" i="9"/>
  <c r="Y1087" i="9" s="1"/>
  <c r="AC1087" i="9" s="1"/>
  <c r="E127" i="3" a="1"/>
  <c r="E127" i="3" s="1"/>
  <c r="D95" i="3" a="1"/>
  <c r="D95" i="3" s="1"/>
  <c r="D155" i="8"/>
  <c r="J155" i="8" s="1"/>
  <c r="J279" i="8"/>
  <c r="D94" i="3" a="1"/>
  <c r="D94" i="3" s="1"/>
  <c r="J281" i="8"/>
  <c r="D96" i="3" a="1"/>
  <c r="D96" i="3" s="1"/>
  <c r="J348" i="8"/>
  <c r="D121" i="3" a="1"/>
  <c r="D121" i="3" s="1"/>
  <c r="D219" i="8"/>
  <c r="J219" i="8" s="1"/>
  <c r="X947" i="9" s="1"/>
  <c r="Y947" i="9" s="1"/>
  <c r="AC947" i="9" s="1"/>
  <c r="D351" i="8"/>
  <c r="D218" i="8"/>
  <c r="J218" i="8" s="1"/>
  <c r="D350" i="8"/>
  <c r="D217" i="8"/>
  <c r="J217" i="8" s="1"/>
  <c r="D349" i="8"/>
  <c r="D215" i="8"/>
  <c r="J215" i="8" s="1"/>
  <c r="D347" i="8"/>
  <c r="D214" i="8"/>
  <c r="J214" i="8" s="1"/>
  <c r="D346" i="8"/>
  <c r="D213" i="8"/>
  <c r="J213" i="8" s="1"/>
  <c r="D345" i="8"/>
  <c r="D212" i="8"/>
  <c r="J212" i="8" s="1"/>
  <c r="X1007" i="9" s="1"/>
  <c r="Y1007" i="9" s="1"/>
  <c r="AC1007" i="9" s="1"/>
  <c r="D344" i="8"/>
  <c r="D158" i="8"/>
  <c r="J158" i="8" s="1"/>
  <c r="D290" i="8"/>
  <c r="J290" i="8" s="1"/>
  <c r="D156" i="8"/>
  <c r="J156" i="8" s="1"/>
  <c r="D288" i="8"/>
  <c r="J288" i="8" s="1"/>
  <c r="D154" i="8"/>
  <c r="J154" i="8" s="1"/>
  <c r="W886" i="9" s="1"/>
  <c r="Y886" i="9" s="1"/>
  <c r="AC886" i="9" s="1"/>
  <c r="D286" i="8"/>
  <c r="T1435" i="9"/>
  <c r="Y1435" i="9" s="1"/>
  <c r="T1433" i="9"/>
  <c r="Y1433" i="9" s="1"/>
  <c r="T1470" i="9"/>
  <c r="T1474" i="9"/>
  <c r="T1518" i="9"/>
  <c r="J149" i="8"/>
  <c r="J146" i="8"/>
  <c r="J147" i="8"/>
  <c r="T1647" i="9"/>
  <c r="Y1647" i="9" s="1"/>
  <c r="T1498" i="9"/>
  <c r="T1451" i="9"/>
  <c r="BD26" i="11"/>
  <c r="Y1102" i="9"/>
  <c r="AC1102" i="9" s="1"/>
  <c r="T1613" i="9"/>
  <c r="Y1613" i="9" s="1"/>
  <c r="T1413" i="9"/>
  <c r="Y1413" i="9" s="1"/>
  <c r="T1536" i="9"/>
  <c r="Y1933" i="9"/>
  <c r="Y1753" i="9"/>
  <c r="Y1989" i="9"/>
  <c r="AC1989" i="9" s="1"/>
  <c r="Y1987" i="9"/>
  <c r="AC1987" i="9" s="1"/>
  <c r="Y1990" i="9"/>
  <c r="AC1990" i="9" s="1"/>
  <c r="Y1991" i="9"/>
  <c r="AC1991" i="9" s="1"/>
  <c r="Y1988" i="9"/>
  <c r="AC1988" i="9" s="1"/>
  <c r="Y1986" i="9"/>
  <c r="AC1986" i="9" s="1"/>
  <c r="Y1985" i="9"/>
  <c r="AC1985" i="9" s="1"/>
  <c r="Y1756" i="9"/>
  <c r="Y1752" i="9"/>
  <c r="Y1754" i="9"/>
  <c r="Y1758" i="9"/>
  <c r="Y1755" i="9"/>
  <c r="Y1932" i="9"/>
  <c r="Y1931" i="9"/>
  <c r="Y1913" i="9"/>
  <c r="Y1929" i="9"/>
  <c r="Y1922" i="9"/>
  <c r="Y1916" i="9"/>
  <c r="Y1915" i="9"/>
  <c r="Y1928" i="9"/>
  <c r="Y1924" i="9"/>
  <c r="Y1917" i="9"/>
  <c r="Y1751" i="9"/>
  <c r="Y1923" i="9"/>
  <c r="Y1920" i="9"/>
  <c r="Y1930" i="9"/>
  <c r="Y1926" i="9"/>
  <c r="Y1925" i="9"/>
  <c r="Y1919" i="9"/>
  <c r="Y1912" i="9"/>
  <c r="Y1918" i="9"/>
  <c r="Y1914" i="9"/>
  <c r="Y1927" i="9"/>
  <c r="Y1921" i="9"/>
  <c r="Y1908" i="9"/>
  <c r="Y1901" i="9"/>
  <c r="Y1894" i="9"/>
  <c r="Y1750" i="9"/>
  <c r="Y1892" i="9"/>
  <c r="Y1904" i="9"/>
  <c r="Y1910" i="9"/>
  <c r="Y1889" i="9"/>
  <c r="Y1886" i="9"/>
  <c r="Y1757" i="9"/>
  <c r="Y1877" i="9"/>
  <c r="Y1905" i="9"/>
  <c r="Y1885" i="9"/>
  <c r="Y1906" i="9"/>
  <c r="Y1887" i="9"/>
  <c r="Y1909" i="9"/>
  <c r="Y1879" i="9"/>
  <c r="Y1883" i="9"/>
  <c r="Y1876" i="9"/>
  <c r="Y1903" i="9"/>
  <c r="Y1897" i="9"/>
  <c r="Y1895" i="9"/>
  <c r="Y1899" i="9"/>
  <c r="Y1884" i="9"/>
  <c r="Y1878" i="9"/>
  <c r="Y1938" i="9"/>
  <c r="Y1939" i="9"/>
  <c r="Y1711" i="9"/>
  <c r="Y1874" i="9"/>
  <c r="Y1911" i="9"/>
  <c r="Y1907" i="9"/>
  <c r="Y1898" i="9"/>
  <c r="Y1891" i="9"/>
  <c r="Y1882" i="9"/>
  <c r="Y1875" i="9"/>
  <c r="Y1936" i="9"/>
  <c r="Y1937" i="9"/>
  <c r="Y1697" i="9"/>
  <c r="Y1682" i="9"/>
  <c r="Y1902" i="9"/>
  <c r="Y1896" i="9"/>
  <c r="Y1890" i="9"/>
  <c r="Y1881" i="9"/>
  <c r="Y1942" i="9"/>
  <c r="Y1941" i="9"/>
  <c r="Y1934" i="9"/>
  <c r="Y1935" i="9"/>
  <c r="Y1702" i="9"/>
  <c r="Y1700" i="9"/>
  <c r="Y1900" i="9"/>
  <c r="Y1893" i="9"/>
  <c r="Y1888" i="9"/>
  <c r="Y1880" i="9"/>
  <c r="Y1940" i="9"/>
  <c r="Y1709" i="9"/>
  <c r="Y1705" i="9"/>
  <c r="Y1695" i="9"/>
  <c r="Y1689" i="9"/>
  <c r="Y1698" i="9"/>
  <c r="Y1691" i="9"/>
  <c r="Y1684" i="9"/>
  <c r="Y1685" i="9"/>
  <c r="Y1675" i="9"/>
  <c r="Y1707" i="9"/>
  <c r="Y1708" i="9"/>
  <c r="Y1704" i="9"/>
  <c r="Y1696" i="9"/>
  <c r="Y1690" i="9"/>
  <c r="Y1683" i="9"/>
  <c r="Y1681" i="9"/>
  <c r="Y1692" i="9"/>
  <c r="Y1706" i="9"/>
  <c r="Y1703" i="9"/>
  <c r="Y1693" i="9"/>
  <c r="Y1676" i="9"/>
  <c r="Y1687" i="9"/>
  <c r="Y1677" i="9"/>
  <c r="Y1680" i="9"/>
  <c r="Y1710" i="9"/>
  <c r="Y1701" i="9"/>
  <c r="Y1694" i="9"/>
  <c r="Y1688" i="9"/>
  <c r="Y1699" i="9"/>
  <c r="Y1674" i="9"/>
  <c r="Y1686" i="9"/>
  <c r="Y1679" i="9"/>
  <c r="Y1678" i="9"/>
  <c r="T1440" i="9"/>
  <c r="Y1440" i="9" s="1"/>
  <c r="T1438" i="9"/>
  <c r="Y1438" i="9" s="1"/>
  <c r="T1478" i="9"/>
  <c r="T1524" i="9"/>
  <c r="T1554" i="9"/>
  <c r="T1477" i="9"/>
  <c r="T1522" i="9"/>
  <c r="T1560" i="9"/>
  <c r="T1525" i="9"/>
  <c r="T1492" i="9"/>
  <c r="T1596" i="9"/>
  <c r="T1608" i="9"/>
  <c r="Y1608" i="9" s="1"/>
  <c r="T1567" i="9"/>
  <c r="T1566" i="9"/>
  <c r="T1531" i="9"/>
  <c r="T1439" i="9"/>
  <c r="Y1439" i="9" s="1"/>
  <c r="T1475" i="9"/>
  <c r="T1476" i="9"/>
  <c r="T1488" i="9"/>
  <c r="T1523" i="9"/>
  <c r="T1516" i="9"/>
  <c r="T1657" i="9"/>
  <c r="Y1657" i="9" s="1"/>
  <c r="T1431" i="9"/>
  <c r="Y1431" i="9" s="1"/>
  <c r="T1586" i="9"/>
  <c r="T1981" i="9"/>
  <c r="Y1981" i="9" s="1"/>
  <c r="AC1981" i="9" s="1"/>
  <c r="T1979" i="9"/>
  <c r="Y1979" i="9" s="1"/>
  <c r="AC1979" i="9" s="1"/>
  <c r="T1982" i="9"/>
  <c r="Y1982" i="9" s="1"/>
  <c r="AC1982" i="9" s="1"/>
  <c r="T1441" i="9"/>
  <c r="Y1441" i="9" s="1"/>
  <c r="T1479" i="9"/>
  <c r="T1641" i="9"/>
  <c r="Y1641" i="9" s="1"/>
  <c r="T1526" i="9"/>
  <c r="T1594" i="9"/>
  <c r="T1406" i="9"/>
  <c r="Y1406" i="9" s="1"/>
  <c r="T1405" i="9"/>
  <c r="Y1405" i="9" s="1"/>
  <c r="T1446" i="9"/>
  <c r="T1445" i="9"/>
  <c r="T1481" i="9"/>
  <c r="T1430" i="9"/>
  <c r="Y1430" i="9" s="1"/>
  <c r="T1468" i="9"/>
  <c r="T1512" i="9"/>
  <c r="T1553" i="9"/>
  <c r="T1585" i="9"/>
  <c r="T1630" i="9"/>
  <c r="Y1630" i="9" s="1"/>
  <c r="T1656" i="9"/>
  <c r="Y1656" i="9" s="1"/>
  <c r="T1466" i="9"/>
  <c r="T1486" i="9"/>
  <c r="T1514" i="9"/>
  <c r="T1551" i="9"/>
  <c r="T1629" i="9"/>
  <c r="Y1629" i="9" s="1"/>
  <c r="T1465" i="9"/>
  <c r="T1467" i="9"/>
  <c r="T1515" i="9"/>
  <c r="T1552" i="9"/>
  <c r="T1550" i="9"/>
  <c r="T1583" i="9"/>
  <c r="T1427" i="9"/>
  <c r="Y1427" i="9" s="1"/>
  <c r="T1601" i="9"/>
  <c r="T1428" i="9"/>
  <c r="Y1428" i="9" s="1"/>
  <c r="T1670" i="9"/>
  <c r="Y1670" i="9" s="1"/>
  <c r="T1429" i="9"/>
  <c r="Y1429" i="9" s="1"/>
  <c r="T1513" i="9"/>
  <c r="T1628" i="9"/>
  <c r="Y1628" i="9" s="1"/>
  <c r="T1605" i="9"/>
  <c r="Y1605" i="9" s="1"/>
  <c r="T1568" i="9"/>
  <c r="T1528" i="9"/>
  <c r="T1444" i="9"/>
  <c r="T1408" i="9"/>
  <c r="Y1408" i="9" s="1"/>
  <c r="T1564" i="9"/>
  <c r="T1663" i="9"/>
  <c r="Y1663" i="9" s="1"/>
  <c r="T1627" i="9"/>
  <c r="Y1627" i="9" s="1"/>
  <c r="T1584" i="9"/>
  <c r="T1664" i="9"/>
  <c r="Y1664" i="9" s="1"/>
  <c r="T1442" i="9"/>
  <c r="Y1442" i="9" s="1"/>
  <c r="T1565" i="9"/>
  <c r="T1642" i="9"/>
  <c r="Y1642" i="9" s="1"/>
  <c r="T1980" i="9"/>
  <c r="Y1980" i="9" s="1"/>
  <c r="AC1980" i="9" s="1"/>
  <c r="T1983" i="9"/>
  <c r="Y1983" i="9" s="1"/>
  <c r="AC1983" i="9" s="1"/>
  <c r="T1984" i="9"/>
  <c r="Y1984" i="9" s="1"/>
  <c r="AC1984" i="9" s="1"/>
  <c r="BE26" i="11"/>
  <c r="M1415" i="9"/>
  <c r="O1415" i="9" s="1"/>
  <c r="AE1415" i="9" s="1"/>
  <c r="M1420" i="9"/>
  <c r="O1420" i="9" s="1"/>
  <c r="AE1420" i="9" s="1"/>
  <c r="M1426" i="9"/>
  <c r="O1426" i="9" s="1"/>
  <c r="AE1426" i="9" s="1"/>
  <c r="M1419" i="9"/>
  <c r="O1419" i="9" s="1"/>
  <c r="AE1419" i="9" s="1"/>
  <c r="M1412" i="9"/>
  <c r="O1412" i="9" s="1"/>
  <c r="AE1412" i="9" s="1"/>
  <c r="M1418" i="9"/>
  <c r="O1418" i="9" s="1"/>
  <c r="AE1418" i="9" s="1"/>
  <c r="M1417" i="9"/>
  <c r="O1417" i="9" s="1"/>
  <c r="M1405" i="9"/>
  <c r="O1405" i="9" s="1"/>
  <c r="M1410" i="9"/>
  <c r="O1410" i="9" s="1"/>
  <c r="AE1410" i="9" s="1"/>
  <c r="M1408" i="9"/>
  <c r="O1408" i="9" s="1"/>
  <c r="AE1408" i="9" s="1"/>
  <c r="M1414" i="9"/>
  <c r="O1414" i="9" s="1"/>
  <c r="AE1414" i="9" s="1"/>
  <c r="M1425" i="9"/>
  <c r="O1425" i="9" s="1"/>
  <c r="AE1425" i="9" s="1"/>
  <c r="M1422" i="9"/>
  <c r="O1422" i="9" s="1"/>
  <c r="AE1422" i="9" s="1"/>
  <c r="M1427" i="9"/>
  <c r="O1427" i="9" s="1"/>
  <c r="AE1427" i="9" s="1"/>
  <c r="M1433" i="9"/>
  <c r="O1433" i="9" s="1"/>
  <c r="AE1433" i="9" s="1"/>
  <c r="M1429" i="9"/>
  <c r="O1429" i="9" s="1"/>
  <c r="M1437" i="9"/>
  <c r="O1437" i="9" s="1"/>
  <c r="AE1437" i="9" s="1"/>
  <c r="M1423" i="9"/>
  <c r="O1423" i="9" s="1"/>
  <c r="AE1423" i="9" s="1"/>
  <c r="M1436" i="9"/>
  <c r="O1436" i="9" s="1"/>
  <c r="AE1436" i="9" s="1"/>
  <c r="M1406" i="9"/>
  <c r="O1406" i="9" s="1"/>
  <c r="AE1406" i="9" s="1"/>
  <c r="M1411" i="9"/>
  <c r="O1411" i="9" s="1"/>
  <c r="M1413" i="9"/>
  <c r="O1413" i="9" s="1"/>
  <c r="AE1413" i="9" s="1"/>
  <c r="M1416" i="9"/>
  <c r="O1416" i="9" s="1"/>
  <c r="M1428" i="9"/>
  <c r="O1428" i="9" s="1"/>
  <c r="AE1428" i="9" s="1"/>
  <c r="M1434" i="9"/>
  <c r="O1434" i="9" s="1"/>
  <c r="AE1434" i="9" s="1"/>
  <c r="M1430" i="9"/>
  <c r="O1430" i="9" s="1"/>
  <c r="AE1430" i="9" s="1"/>
  <c r="M1431" i="9"/>
  <c r="O1431" i="9" s="1"/>
  <c r="AE1431" i="9" s="1"/>
  <c r="M1409" i="9"/>
  <c r="O1409" i="9" s="1"/>
  <c r="AE1409" i="9" s="1"/>
  <c r="M1407" i="9"/>
  <c r="O1407" i="9" s="1"/>
  <c r="AE1407" i="9" s="1"/>
  <c r="M1424" i="9"/>
  <c r="O1424" i="9" s="1"/>
  <c r="AE1424" i="9" s="1"/>
  <c r="M1421" i="9"/>
  <c r="O1421" i="9" s="1"/>
  <c r="AE1421" i="9" s="1"/>
  <c r="M1432" i="9"/>
  <c r="O1432" i="9" s="1"/>
  <c r="M1435" i="9"/>
  <c r="O1435" i="9" s="1"/>
  <c r="AE1435" i="9" s="1"/>
  <c r="Y1625" i="9"/>
  <c r="Y1425" i="9"/>
  <c r="Y1424" i="9"/>
  <c r="Y1410" i="9"/>
  <c r="Y1654" i="9"/>
  <c r="Y1624" i="9"/>
  <c r="Y1978" i="9"/>
  <c r="AC1978" i="9" s="1"/>
  <c r="Y1623" i="9"/>
  <c r="Y1631" i="9"/>
  <c r="Y1423" i="9"/>
  <c r="Y1426" i="9"/>
  <c r="Y1419" i="9"/>
  <c r="Y1622" i="9"/>
  <c r="Y1668" i="9"/>
  <c r="Y1651" i="9"/>
  <c r="Y1420" i="9"/>
  <c r="Y1415" i="9"/>
  <c r="Y1626" i="9"/>
  <c r="Y1621" i="9"/>
  <c r="Y1669" i="9"/>
  <c r="Y1652" i="9"/>
  <c r="Y1434" i="9"/>
  <c r="Y1422" i="9"/>
  <c r="Y1620" i="9"/>
  <c r="Y1619" i="9"/>
  <c r="Y1655" i="9"/>
  <c r="Y1653" i="9"/>
  <c r="Y1421" i="9"/>
  <c r="Y1949" i="9"/>
  <c r="AC1949" i="9" s="1"/>
  <c r="BT17" i="7"/>
  <c r="D20" i="8" s="1"/>
  <c r="J20" i="8" s="1"/>
  <c r="T76" i="9" s="1"/>
  <c r="Y76" i="9" s="1"/>
  <c r="BH17" i="7"/>
  <c r="BL17" i="7" s="1"/>
  <c r="D8" i="8" s="1"/>
  <c r="J8" i="8" s="1"/>
  <c r="T845" i="9" s="1"/>
  <c r="BT18" i="7"/>
  <c r="D21" i="8" s="1"/>
  <c r="J21" i="8" s="1"/>
  <c r="BH18" i="7"/>
  <c r="BL18" i="7" s="1"/>
  <c r="D9" i="8" s="1"/>
  <c r="J9" i="8" s="1"/>
  <c r="M60" i="9"/>
  <c r="M85" i="9"/>
  <c r="O85" i="9" s="1"/>
  <c r="AE85" i="9" s="1"/>
  <c r="M61" i="9"/>
  <c r="M70" i="9"/>
  <c r="M69" i="9"/>
  <c r="M81" i="9"/>
  <c r="O81" i="9" s="1"/>
  <c r="AE81" i="9" s="1"/>
  <c r="M83" i="9"/>
  <c r="M71" i="9"/>
  <c r="M77" i="9"/>
  <c r="M62" i="9"/>
  <c r="O62" i="9" s="1"/>
  <c r="AE62" i="9" s="1"/>
  <c r="M76" i="9"/>
  <c r="M66" i="9"/>
  <c r="O66" i="9" s="1"/>
  <c r="AE66" i="9" s="1"/>
  <c r="M75" i="9"/>
  <c r="M72" i="9"/>
  <c r="O72" i="9" s="1"/>
  <c r="AE72" i="9" s="1"/>
  <c r="M73" i="9"/>
  <c r="M74" i="9"/>
  <c r="M82" i="9"/>
  <c r="M68" i="9"/>
  <c r="O68" i="9" s="1"/>
  <c r="AE68" i="9" s="1"/>
  <c r="M80" i="9"/>
  <c r="M67" i="9"/>
  <c r="O67" i="9" s="1"/>
  <c r="AE67" i="9" s="1"/>
  <c r="M64" i="9"/>
  <c r="M86" i="9"/>
  <c r="O86" i="9" s="1"/>
  <c r="AE86" i="9" s="1"/>
  <c r="M91" i="9"/>
  <c r="M90" i="9"/>
  <c r="M97" i="9"/>
  <c r="M96" i="9"/>
  <c r="O96" i="9" s="1"/>
  <c r="AE96" i="9" s="1"/>
  <c r="M101" i="9"/>
  <c r="M103" i="9"/>
  <c r="M109" i="9"/>
  <c r="M126" i="9"/>
  <c r="O126" i="9" s="1"/>
  <c r="AE126" i="9" s="1"/>
  <c r="M63" i="9"/>
  <c r="M65" i="9"/>
  <c r="M119" i="9"/>
  <c r="M121" i="9"/>
  <c r="O121" i="9" s="1"/>
  <c r="AE121" i="9" s="1"/>
  <c r="M115" i="9"/>
  <c r="M127" i="9"/>
  <c r="O127" i="9" s="1"/>
  <c r="AE127" i="9" s="1"/>
  <c r="M129" i="9"/>
  <c r="M130" i="9"/>
  <c r="O130" i="9" s="1"/>
  <c r="AE130" i="9" s="1"/>
  <c r="M133" i="9"/>
  <c r="O133" i="9" s="1"/>
  <c r="AE133" i="9" s="1"/>
  <c r="M79" i="9"/>
  <c r="M87" i="9"/>
  <c r="M94" i="9"/>
  <c r="O94" i="9" s="1"/>
  <c r="AE94" i="9" s="1"/>
  <c r="M92" i="9"/>
  <c r="M99" i="9"/>
  <c r="O99" i="9" s="1"/>
  <c r="AE99" i="9" s="1"/>
  <c r="M106" i="9"/>
  <c r="M118" i="9"/>
  <c r="O118" i="9" s="1"/>
  <c r="AE118" i="9" s="1"/>
  <c r="M125" i="9"/>
  <c r="M128" i="9"/>
  <c r="M132" i="9"/>
  <c r="M134" i="9"/>
  <c r="O134" i="9" s="1"/>
  <c r="AE134" i="9" s="1"/>
  <c r="M100" i="9"/>
  <c r="M107" i="9"/>
  <c r="M98" i="9"/>
  <c r="M88" i="9"/>
  <c r="O88" i="9" s="1"/>
  <c r="AE88" i="9" s="1"/>
  <c r="M116" i="9"/>
  <c r="M114" i="9"/>
  <c r="M111" i="9"/>
  <c r="M135" i="9"/>
  <c r="O135" i="9" s="1"/>
  <c r="AE135" i="9" s="1"/>
  <c r="M102" i="9"/>
  <c r="M122" i="9"/>
  <c r="M104" i="9"/>
  <c r="M120" i="9"/>
  <c r="O120" i="9" s="1"/>
  <c r="AE120" i="9" s="1"/>
  <c r="M95" i="9"/>
  <c r="M136" i="9"/>
  <c r="M78" i="9"/>
  <c r="M131" i="9"/>
  <c r="O131" i="9" s="1"/>
  <c r="AE131" i="9" s="1"/>
  <c r="M108" i="9"/>
  <c r="M117" i="9"/>
  <c r="M124" i="9"/>
  <c r="M123" i="9"/>
  <c r="O123" i="9" s="1"/>
  <c r="AE123" i="9" s="1"/>
  <c r="M89" i="9"/>
  <c r="M113" i="9"/>
  <c r="M141" i="9"/>
  <c r="M167" i="9"/>
  <c r="O167" i="9" s="1"/>
  <c r="AE167" i="9" s="1"/>
  <c r="M174" i="9"/>
  <c r="O174" i="9" s="1"/>
  <c r="AE174" i="9" s="1"/>
  <c r="M177" i="9"/>
  <c r="O177" i="9" s="1"/>
  <c r="AE177" i="9" s="1"/>
  <c r="M148" i="9"/>
  <c r="M150" i="9"/>
  <c r="O150" i="9" s="1"/>
  <c r="AE150" i="9" s="1"/>
  <c r="M156" i="9"/>
  <c r="M147" i="9"/>
  <c r="M154" i="9"/>
  <c r="M182" i="9"/>
  <c r="O182" i="9" s="1"/>
  <c r="AE182" i="9" s="1"/>
  <c r="M93" i="9"/>
  <c r="O93" i="9" s="1"/>
  <c r="AE93" i="9" s="1"/>
  <c r="M149" i="9"/>
  <c r="M155" i="9"/>
  <c r="O155" i="9" s="1"/>
  <c r="AE155" i="9" s="1"/>
  <c r="M175" i="9"/>
  <c r="M179" i="9"/>
  <c r="M140" i="9"/>
  <c r="O140" i="9" s="1"/>
  <c r="AE140" i="9" s="1"/>
  <c r="M144" i="9"/>
  <c r="M176" i="9"/>
  <c r="O176" i="9" s="1"/>
  <c r="AE176" i="9" s="1"/>
  <c r="M168" i="9"/>
  <c r="M157" i="9"/>
  <c r="O157" i="9" s="1"/>
  <c r="AE157" i="9" s="1"/>
  <c r="M165" i="9"/>
  <c r="O165" i="9" s="1"/>
  <c r="AE165" i="9" s="1"/>
  <c r="M184" i="9"/>
  <c r="O184" i="9" s="1"/>
  <c r="AE184" i="9" s="1"/>
  <c r="M203" i="9"/>
  <c r="M210" i="9"/>
  <c r="M173" i="9"/>
  <c r="O173" i="9" s="1"/>
  <c r="AE173" i="9" s="1"/>
  <c r="M205" i="9"/>
  <c r="O205" i="9" s="1"/>
  <c r="AE205" i="9" s="1"/>
  <c r="M211" i="9"/>
  <c r="M139" i="9"/>
  <c r="M172" i="9"/>
  <c r="O172" i="9" s="1"/>
  <c r="AE172" i="9" s="1"/>
  <c r="M183" i="9"/>
  <c r="O183" i="9" s="1"/>
  <c r="AE183" i="9" s="1"/>
  <c r="M143" i="9"/>
  <c r="O143" i="9" s="1"/>
  <c r="AE143" i="9" s="1"/>
  <c r="M162" i="9"/>
  <c r="O162" i="9" s="1"/>
  <c r="AE162" i="9" s="1"/>
  <c r="M171" i="9"/>
  <c r="O171" i="9" s="1"/>
  <c r="AE171" i="9" s="1"/>
  <c r="M181" i="9"/>
  <c r="O181" i="9" s="1"/>
  <c r="AE181" i="9" s="1"/>
  <c r="M137" i="9"/>
  <c r="M158" i="9"/>
  <c r="M138" i="9"/>
  <c r="O138" i="9" s="1"/>
  <c r="AE138" i="9" s="1"/>
  <c r="M142" i="9"/>
  <c r="O142" i="9" s="1"/>
  <c r="AE142" i="9" s="1"/>
  <c r="M185" i="9"/>
  <c r="O185" i="9" s="1"/>
  <c r="AE185" i="9" s="1"/>
  <c r="M192" i="9"/>
  <c r="O192" i="9" s="1"/>
  <c r="AE192" i="9" s="1"/>
  <c r="M190" i="9"/>
  <c r="O190" i="9" s="1"/>
  <c r="AE190" i="9" s="1"/>
  <c r="M105" i="9"/>
  <c r="O105" i="9" s="1"/>
  <c r="AE105" i="9" s="1"/>
  <c r="M161" i="9"/>
  <c r="O161" i="9" s="1"/>
  <c r="AE161" i="9" s="1"/>
  <c r="M180" i="9"/>
  <c r="M195" i="9"/>
  <c r="M198" i="9"/>
  <c r="O198" i="9" s="1"/>
  <c r="AE198" i="9" s="1"/>
  <c r="M164" i="9"/>
  <c r="M216" i="9"/>
  <c r="M110" i="9"/>
  <c r="O110" i="9" s="1"/>
  <c r="AE110" i="9" s="1"/>
  <c r="M170" i="9"/>
  <c r="O170" i="9" s="1"/>
  <c r="AE170" i="9" s="1"/>
  <c r="M189" i="9"/>
  <c r="M197" i="9"/>
  <c r="O197" i="9" s="1"/>
  <c r="AE197" i="9" s="1"/>
  <c r="M213" i="9"/>
  <c r="O213" i="9" s="1"/>
  <c r="AE213" i="9" s="1"/>
  <c r="M217" i="9"/>
  <c r="O217" i="9" s="1"/>
  <c r="AE217" i="9" s="1"/>
  <c r="M152" i="9"/>
  <c r="O152" i="9" s="1"/>
  <c r="AE152" i="9" s="1"/>
  <c r="M166" i="9"/>
  <c r="M160" i="9"/>
  <c r="O160" i="9" s="1"/>
  <c r="AE160" i="9" s="1"/>
  <c r="M187" i="9"/>
  <c r="O187" i="9" s="1"/>
  <c r="AE187" i="9" s="1"/>
  <c r="M193" i="9"/>
  <c r="M220" i="9"/>
  <c r="M202" i="9"/>
  <c r="O202" i="9" s="1"/>
  <c r="AE202" i="9" s="1"/>
  <c r="M209" i="9"/>
  <c r="O209" i="9" s="1"/>
  <c r="AE209" i="9" s="1"/>
  <c r="M219" i="9"/>
  <c r="M201" i="9"/>
  <c r="M178" i="9"/>
  <c r="O178" i="9" s="1"/>
  <c r="AE178" i="9" s="1"/>
  <c r="M84" i="9"/>
  <c r="O84" i="9" s="1"/>
  <c r="AE84" i="9" s="1"/>
  <c r="M199" i="9"/>
  <c r="M159" i="9"/>
  <c r="M214" i="9"/>
  <c r="O214" i="9" s="1"/>
  <c r="AE214" i="9" s="1"/>
  <c r="M240" i="9"/>
  <c r="O240" i="9" s="1"/>
  <c r="AE240" i="9" s="1"/>
  <c r="M206" i="9"/>
  <c r="M221" i="9"/>
  <c r="M237" i="9"/>
  <c r="O237" i="9" s="1"/>
  <c r="AE237" i="9" s="1"/>
  <c r="M239" i="9"/>
  <c r="O239" i="9" s="1"/>
  <c r="AE239" i="9" s="1"/>
  <c r="M252" i="9"/>
  <c r="M256" i="9"/>
  <c r="M234" i="9"/>
  <c r="O234" i="9" s="1"/>
  <c r="AE234" i="9" s="1"/>
  <c r="M163" i="9"/>
  <c r="O163" i="9" s="1"/>
  <c r="AE163" i="9" s="1"/>
  <c r="M151" i="9"/>
  <c r="M215" i="9"/>
  <c r="M224" i="9"/>
  <c r="O224" i="9" s="1"/>
  <c r="AE224" i="9" s="1"/>
  <c r="M229" i="9"/>
  <c r="O229" i="9" s="1"/>
  <c r="AE229" i="9" s="1"/>
  <c r="M242" i="9"/>
  <c r="O242" i="9" s="1"/>
  <c r="AE242" i="9" s="1"/>
  <c r="M223" i="9"/>
  <c r="M225" i="9"/>
  <c r="O225" i="9" s="1"/>
  <c r="AE225" i="9" s="1"/>
  <c r="M245" i="9"/>
  <c r="O245" i="9" s="1"/>
  <c r="AE245" i="9" s="1"/>
  <c r="M251" i="9"/>
  <c r="M255" i="9"/>
  <c r="O255" i="9" s="1"/>
  <c r="AE255" i="9" s="1"/>
  <c r="M208" i="9"/>
  <c r="O208" i="9" s="1"/>
  <c r="AE208" i="9" s="1"/>
  <c r="M226" i="9"/>
  <c r="O226" i="9" s="1"/>
  <c r="AE226" i="9" s="1"/>
  <c r="M244" i="9"/>
  <c r="O244" i="9" s="1"/>
  <c r="AE244" i="9" s="1"/>
  <c r="M254" i="9"/>
  <c r="M259" i="9"/>
  <c r="O259" i="9" s="1"/>
  <c r="AE259" i="9" s="1"/>
  <c r="M264" i="9"/>
  <c r="O264" i="9" s="1"/>
  <c r="AE264" i="9" s="1"/>
  <c r="M267" i="9"/>
  <c r="M270" i="9"/>
  <c r="M276" i="9"/>
  <c r="O276" i="9" s="1"/>
  <c r="AE276" i="9" s="1"/>
  <c r="M282" i="9"/>
  <c r="O282" i="9" s="1"/>
  <c r="AE282" i="9" s="1"/>
  <c r="M285" i="9"/>
  <c r="M288" i="9"/>
  <c r="M232" i="9"/>
  <c r="O232" i="9" s="1"/>
  <c r="AE232" i="9" s="1"/>
  <c r="M188" i="9"/>
  <c r="O188" i="9" s="1"/>
  <c r="AE188" i="9" s="1"/>
  <c r="M236" i="9"/>
  <c r="M293" i="9"/>
  <c r="O293" i="9" s="1"/>
  <c r="AE293" i="9" s="1"/>
  <c r="M297" i="9"/>
  <c r="M112" i="9"/>
  <c r="O112" i="9" s="1"/>
  <c r="AE112" i="9" s="1"/>
  <c r="M207" i="9"/>
  <c r="M212" i="9"/>
  <c r="M238" i="9"/>
  <c r="O238" i="9" s="1"/>
  <c r="AE238" i="9" s="1"/>
  <c r="M204" i="9"/>
  <c r="O204" i="9" s="1"/>
  <c r="AE204" i="9" s="1"/>
  <c r="M196" i="9"/>
  <c r="M235" i="9"/>
  <c r="M257" i="9"/>
  <c r="O257" i="9" s="1"/>
  <c r="AE257" i="9" s="1"/>
  <c r="M260" i="9"/>
  <c r="O260" i="9" s="1"/>
  <c r="AE260" i="9" s="1"/>
  <c r="M263" i="9"/>
  <c r="M265" i="9"/>
  <c r="O265" i="9" s="1"/>
  <c r="AE265" i="9" s="1"/>
  <c r="M271" i="9"/>
  <c r="O271" i="9" s="1"/>
  <c r="AE271" i="9" s="1"/>
  <c r="M273" i="9"/>
  <c r="O273" i="9" s="1"/>
  <c r="AE273" i="9" s="1"/>
  <c r="M278" i="9"/>
  <c r="O278" i="9" s="1"/>
  <c r="AE278" i="9" s="1"/>
  <c r="M281" i="9"/>
  <c r="M283" i="9"/>
  <c r="O283" i="9" s="1"/>
  <c r="AE283" i="9" s="1"/>
  <c r="M289" i="9"/>
  <c r="O289" i="9" s="1"/>
  <c r="AE289" i="9" s="1"/>
  <c r="M186" i="9"/>
  <c r="M194" i="9"/>
  <c r="M241" i="9"/>
  <c r="O241" i="9" s="1"/>
  <c r="AE241" i="9" s="1"/>
  <c r="M145" i="9"/>
  <c r="O145" i="9" s="1"/>
  <c r="AE145" i="9" s="1"/>
  <c r="M200" i="9"/>
  <c r="M218" i="9"/>
  <c r="O218" i="9" s="1"/>
  <c r="AE218" i="9" s="1"/>
  <c r="M146" i="9"/>
  <c r="O146" i="9" s="1"/>
  <c r="AE146" i="9" s="1"/>
  <c r="M228" i="9"/>
  <c r="O228" i="9" s="1"/>
  <c r="AE228" i="9" s="1"/>
  <c r="M191" i="9"/>
  <c r="O191" i="9" s="1"/>
  <c r="AE191" i="9" s="1"/>
  <c r="M169" i="9"/>
  <c r="M243" i="9"/>
  <c r="O243" i="9" s="1"/>
  <c r="AE243" i="9" s="1"/>
  <c r="M230" i="9"/>
  <c r="O230" i="9" s="1"/>
  <c r="AE230" i="9" s="1"/>
  <c r="M233" i="9"/>
  <c r="M248" i="9"/>
  <c r="O248" i="9" s="1"/>
  <c r="AE248" i="9" s="1"/>
  <c r="M250" i="9"/>
  <c r="O250" i="9" s="1"/>
  <c r="AE250" i="9" s="1"/>
  <c r="M253" i="9"/>
  <c r="O253" i="9" s="1"/>
  <c r="AE253" i="9" s="1"/>
  <c r="M246" i="9"/>
  <c r="M258" i="9"/>
  <c r="M262" i="9"/>
  <c r="O262" i="9" s="1"/>
  <c r="AE262" i="9" s="1"/>
  <c r="M269" i="9"/>
  <c r="O269" i="9" s="1"/>
  <c r="AE269" i="9" s="1"/>
  <c r="M290" i="9"/>
  <c r="M249" i="9"/>
  <c r="M305" i="9"/>
  <c r="O305" i="9" s="1"/>
  <c r="AE305" i="9" s="1"/>
  <c r="M312" i="9"/>
  <c r="O312" i="9" s="1"/>
  <c r="AE312" i="9" s="1"/>
  <c r="M295" i="9"/>
  <c r="M266" i="9"/>
  <c r="M274" i="9"/>
  <c r="O274" i="9" s="1"/>
  <c r="AE274" i="9" s="1"/>
  <c r="M279" i="9"/>
  <c r="O279" i="9" s="1"/>
  <c r="AE279" i="9" s="1"/>
  <c r="M286" i="9"/>
  <c r="M302" i="9"/>
  <c r="M308" i="9"/>
  <c r="O308" i="9" s="1"/>
  <c r="AE308" i="9" s="1"/>
  <c r="M294" i="9"/>
  <c r="O294" i="9" s="1"/>
  <c r="AE294" i="9" s="1"/>
  <c r="M310" i="9"/>
  <c r="M314" i="9"/>
  <c r="O314" i="9" s="1"/>
  <c r="AE314" i="9" s="1"/>
  <c r="M291" i="9"/>
  <c r="O291" i="9" s="1"/>
  <c r="AE291" i="9" s="1"/>
  <c r="M272" i="9"/>
  <c r="O272" i="9" s="1"/>
  <c r="AE272" i="9" s="1"/>
  <c r="M275" i="9"/>
  <c r="O275" i="9" s="1"/>
  <c r="AE275" i="9" s="1"/>
  <c r="M280" i="9"/>
  <c r="O280" i="9" s="1"/>
  <c r="AE280" i="9" s="1"/>
  <c r="M287" i="9"/>
  <c r="O287" i="9" s="1"/>
  <c r="AE287" i="9" s="1"/>
  <c r="M292" i="9"/>
  <c r="O292" i="9" s="1"/>
  <c r="AE292" i="9" s="1"/>
  <c r="M298" i="9"/>
  <c r="M311" i="9"/>
  <c r="M231" i="9"/>
  <c r="O231" i="9" s="1"/>
  <c r="AE231" i="9" s="1"/>
  <c r="M261" i="9"/>
  <c r="O261" i="9" s="1"/>
  <c r="AE261" i="9" s="1"/>
  <c r="M268" i="9"/>
  <c r="O268" i="9" s="1"/>
  <c r="AE268" i="9" s="1"/>
  <c r="M277" i="9"/>
  <c r="M284" i="9"/>
  <c r="M247" i="9"/>
  <c r="O247" i="9" s="1"/>
  <c r="AE247" i="9" s="1"/>
  <c r="M227" i="9"/>
  <c r="M153" i="9"/>
  <c r="M222" i="9"/>
  <c r="O222" i="9" s="1"/>
  <c r="AE222" i="9" s="1"/>
  <c r="M301" i="9"/>
  <c r="O301" i="9" s="1"/>
  <c r="AE301" i="9" s="1"/>
  <c r="M300" i="9"/>
  <c r="M304" i="9"/>
  <c r="O304" i="9" s="1"/>
  <c r="AE304" i="9" s="1"/>
  <c r="M296" i="9"/>
  <c r="O296" i="9" s="1"/>
  <c r="AE296" i="9" s="1"/>
  <c r="M306" i="9"/>
  <c r="O306" i="9" s="1"/>
  <c r="AE306" i="9" s="1"/>
  <c r="M315" i="9"/>
  <c r="O315" i="9" s="1"/>
  <c r="AE315" i="9" s="1"/>
  <c r="M322" i="9"/>
  <c r="M321" i="9"/>
  <c r="O321" i="9" s="1"/>
  <c r="AE321" i="9" s="1"/>
  <c r="M307" i="9"/>
  <c r="O307" i="9" s="1"/>
  <c r="AE307" i="9" s="1"/>
  <c r="M320" i="9"/>
  <c r="M346" i="9"/>
  <c r="M362" i="9"/>
  <c r="O362" i="9" s="1"/>
  <c r="AE362" i="9" s="1"/>
  <c r="M366" i="9"/>
  <c r="O366" i="9" s="1"/>
  <c r="AE366" i="9" s="1"/>
  <c r="M329" i="9"/>
  <c r="O329" i="9" s="1"/>
  <c r="AE329" i="9" s="1"/>
  <c r="M350" i="9"/>
  <c r="O350" i="9" s="1"/>
  <c r="AE350" i="9" s="1"/>
  <c r="M352" i="9"/>
  <c r="O352" i="9" s="1"/>
  <c r="AE352" i="9" s="1"/>
  <c r="M358" i="9"/>
  <c r="O358" i="9" s="1"/>
  <c r="AE358" i="9" s="1"/>
  <c r="M327" i="9"/>
  <c r="M328" i="9"/>
  <c r="M336" i="9"/>
  <c r="O336" i="9" s="1"/>
  <c r="AE336" i="9" s="1"/>
  <c r="M345" i="9"/>
  <c r="O345" i="9" s="1"/>
  <c r="AE345" i="9" s="1"/>
  <c r="M317" i="9"/>
  <c r="O317" i="9" s="1"/>
  <c r="AE317" i="9" s="1"/>
  <c r="M303" i="9"/>
  <c r="M316" i="9"/>
  <c r="O316" i="9" s="1"/>
  <c r="AE316" i="9" s="1"/>
  <c r="M324" i="9"/>
  <c r="O324" i="9" s="1"/>
  <c r="AE324" i="9" s="1"/>
  <c r="M325" i="9"/>
  <c r="O325" i="9" s="1"/>
  <c r="AE325" i="9" s="1"/>
  <c r="M326" i="9"/>
  <c r="M348" i="9"/>
  <c r="O348" i="9" s="1"/>
  <c r="AE348" i="9" s="1"/>
  <c r="M355" i="9"/>
  <c r="O355" i="9" s="1"/>
  <c r="AE355" i="9" s="1"/>
  <c r="M332" i="9"/>
  <c r="M334" i="9"/>
  <c r="O334" i="9" s="1"/>
  <c r="AE334" i="9" s="1"/>
  <c r="M340" i="9"/>
  <c r="O340" i="9" s="1"/>
  <c r="AE340" i="9" s="1"/>
  <c r="M360" i="9"/>
  <c r="O360" i="9" s="1"/>
  <c r="AE360" i="9" s="1"/>
  <c r="M367" i="9"/>
  <c r="M370" i="9"/>
  <c r="M372" i="9"/>
  <c r="O372" i="9" s="1"/>
  <c r="AE372" i="9" s="1"/>
  <c r="M309" i="9"/>
  <c r="O309" i="9" s="1"/>
  <c r="AE309" i="9" s="1"/>
  <c r="M319" i="9"/>
  <c r="M323" i="9"/>
  <c r="M299" i="9"/>
  <c r="O299" i="9" s="1"/>
  <c r="AE299" i="9" s="1"/>
  <c r="M318" i="9"/>
  <c r="O318" i="9" s="1"/>
  <c r="AE318" i="9" s="1"/>
  <c r="M313" i="9"/>
  <c r="M335" i="9"/>
  <c r="O335" i="9" s="1"/>
  <c r="AE335" i="9" s="1"/>
  <c r="M343" i="9"/>
  <c r="O343" i="9" s="1"/>
  <c r="AE343" i="9" s="1"/>
  <c r="M368" i="9"/>
  <c r="O368" i="9" s="1"/>
  <c r="AE368" i="9" s="1"/>
  <c r="M347" i="9"/>
  <c r="M364" i="9"/>
  <c r="O364" i="9" s="1"/>
  <c r="AE364" i="9" s="1"/>
  <c r="M333" i="9"/>
  <c r="O333" i="9" s="1"/>
  <c r="AE333" i="9" s="1"/>
  <c r="M339" i="9"/>
  <c r="O339" i="9" s="1"/>
  <c r="AE339" i="9" s="1"/>
  <c r="M354" i="9"/>
  <c r="M376" i="9"/>
  <c r="O376" i="9" s="1"/>
  <c r="AE376" i="9" s="1"/>
  <c r="M379" i="9"/>
  <c r="O379" i="9" s="1"/>
  <c r="AE379" i="9" s="1"/>
  <c r="M382" i="9"/>
  <c r="O382" i="9" s="1"/>
  <c r="AE382" i="9" s="1"/>
  <c r="M387" i="9"/>
  <c r="O387" i="9" s="1"/>
  <c r="AE387" i="9" s="1"/>
  <c r="M351" i="9"/>
  <c r="M357" i="9"/>
  <c r="O357" i="9" s="1"/>
  <c r="AE357" i="9" s="1"/>
  <c r="M374" i="9"/>
  <c r="O374" i="9" s="1"/>
  <c r="AE374" i="9" s="1"/>
  <c r="M378" i="9"/>
  <c r="M384" i="9"/>
  <c r="M389" i="9"/>
  <c r="O389" i="9" s="1"/>
  <c r="AE389" i="9" s="1"/>
  <c r="M392" i="9"/>
  <c r="O392" i="9" s="1"/>
  <c r="AE392" i="9" s="1"/>
  <c r="M341" i="9"/>
  <c r="O341" i="9" s="1"/>
  <c r="AE341" i="9" s="1"/>
  <c r="M344" i="9"/>
  <c r="O344" i="9" s="1"/>
  <c r="AE344" i="9" s="1"/>
  <c r="M365" i="9"/>
  <c r="O365" i="9" s="1"/>
  <c r="AE365" i="9" s="1"/>
  <c r="M369" i="9"/>
  <c r="O369" i="9" s="1"/>
  <c r="AE369" i="9" s="1"/>
  <c r="M399" i="9"/>
  <c r="O399" i="9" s="1"/>
  <c r="AE399" i="9" s="1"/>
  <c r="M407" i="9"/>
  <c r="O407" i="9" s="1"/>
  <c r="AE407" i="9" s="1"/>
  <c r="M401" i="9"/>
  <c r="O401" i="9" s="1"/>
  <c r="AE401" i="9" s="1"/>
  <c r="M414" i="9"/>
  <c r="O414" i="9" s="1"/>
  <c r="AE414" i="9" s="1"/>
  <c r="M417" i="9"/>
  <c r="O417" i="9" s="1"/>
  <c r="AE417" i="9" s="1"/>
  <c r="M419" i="9"/>
  <c r="O419" i="9" s="1"/>
  <c r="AE419" i="9" s="1"/>
  <c r="M425" i="9"/>
  <c r="O425" i="9" s="1"/>
  <c r="AE425" i="9" s="1"/>
  <c r="M427" i="9"/>
  <c r="O427" i="9" s="1"/>
  <c r="AE427" i="9" s="1"/>
  <c r="M432" i="9"/>
  <c r="M435" i="9"/>
  <c r="O435" i="9" s="1"/>
  <c r="AE435" i="9" s="1"/>
  <c r="M437" i="9"/>
  <c r="O437" i="9" s="1"/>
  <c r="AE437" i="9" s="1"/>
  <c r="M454" i="9"/>
  <c r="O454" i="9" s="1"/>
  <c r="AE454" i="9" s="1"/>
  <c r="M353" i="9"/>
  <c r="O353" i="9" s="1"/>
  <c r="AE353" i="9" s="1"/>
  <c r="M361" i="9"/>
  <c r="O361" i="9" s="1"/>
  <c r="AE361" i="9" s="1"/>
  <c r="M381" i="9"/>
  <c r="M388" i="9"/>
  <c r="O388" i="9" s="1"/>
  <c r="AE388" i="9" s="1"/>
  <c r="M390" i="9"/>
  <c r="M363" i="9"/>
  <c r="O363" i="9" s="1"/>
  <c r="AE363" i="9" s="1"/>
  <c r="M402" i="9"/>
  <c r="O402" i="9" s="1"/>
  <c r="AE402" i="9" s="1"/>
  <c r="M403" i="9"/>
  <c r="O403" i="9" s="1"/>
  <c r="AE403" i="9" s="1"/>
  <c r="M406" i="9"/>
  <c r="M400" i="9"/>
  <c r="O400" i="9" s="1"/>
  <c r="AE400" i="9" s="1"/>
  <c r="M394" i="9"/>
  <c r="O394" i="9" s="1"/>
  <c r="AE394" i="9" s="1"/>
  <c r="M408" i="9"/>
  <c r="O408" i="9" s="1"/>
  <c r="AE408" i="9" s="1"/>
  <c r="M411" i="9"/>
  <c r="O411" i="9" s="1"/>
  <c r="AE411" i="9" s="1"/>
  <c r="M415" i="9"/>
  <c r="O415" i="9" s="1"/>
  <c r="AE415" i="9" s="1"/>
  <c r="M420" i="9"/>
  <c r="O420" i="9" s="1"/>
  <c r="AE420" i="9" s="1"/>
  <c r="M422" i="9"/>
  <c r="O422" i="9" s="1"/>
  <c r="AE422" i="9" s="1"/>
  <c r="M428" i="9"/>
  <c r="O428" i="9" s="1"/>
  <c r="AE428" i="9" s="1"/>
  <c r="M431" i="9"/>
  <c r="O431" i="9" s="1"/>
  <c r="AE431" i="9" s="1"/>
  <c r="M433" i="9"/>
  <c r="O433" i="9" s="1"/>
  <c r="AE433" i="9" s="1"/>
  <c r="M438" i="9"/>
  <c r="O438" i="9" s="1"/>
  <c r="AE438" i="9" s="1"/>
  <c r="M395" i="9"/>
  <c r="M455" i="9"/>
  <c r="O455" i="9" s="1"/>
  <c r="AE455" i="9" s="1"/>
  <c r="M457" i="9"/>
  <c r="O457" i="9" s="1"/>
  <c r="AE457" i="9" s="1"/>
  <c r="M330" i="9"/>
  <c r="O330" i="9" s="1"/>
  <c r="AE330" i="9" s="1"/>
  <c r="M371" i="9"/>
  <c r="O371" i="9" s="1"/>
  <c r="AE371" i="9" s="1"/>
  <c r="M375" i="9"/>
  <c r="O375" i="9" s="1"/>
  <c r="AE375" i="9" s="1"/>
  <c r="M383" i="9"/>
  <c r="M385" i="9"/>
  <c r="O385" i="9" s="1"/>
  <c r="AE385" i="9" s="1"/>
  <c r="M391" i="9"/>
  <c r="M393" i="9"/>
  <c r="O393" i="9" s="1"/>
  <c r="AE393" i="9" s="1"/>
  <c r="M349" i="9"/>
  <c r="M356" i="9"/>
  <c r="O356" i="9" s="1"/>
  <c r="AE356" i="9" s="1"/>
  <c r="M396" i="9"/>
  <c r="M397" i="9"/>
  <c r="O397" i="9" s="1"/>
  <c r="AE397" i="9" s="1"/>
  <c r="M404" i="9"/>
  <c r="M410" i="9"/>
  <c r="O410" i="9" s="1"/>
  <c r="AE410" i="9" s="1"/>
  <c r="M416" i="9"/>
  <c r="M423" i="9"/>
  <c r="O423" i="9" s="1"/>
  <c r="AE423" i="9" s="1"/>
  <c r="M426" i="9"/>
  <c r="O426" i="9" s="1"/>
  <c r="AE426" i="9" s="1"/>
  <c r="M429" i="9"/>
  <c r="O429" i="9" s="1"/>
  <c r="AE429" i="9" s="1"/>
  <c r="M434" i="9"/>
  <c r="O434" i="9" s="1"/>
  <c r="AE434" i="9" s="1"/>
  <c r="M409" i="9"/>
  <c r="O409" i="9" s="1"/>
  <c r="AE409" i="9" s="1"/>
  <c r="M337" i="9"/>
  <c r="M342" i="9"/>
  <c r="O342" i="9" s="1"/>
  <c r="AE342" i="9" s="1"/>
  <c r="M373" i="9"/>
  <c r="M377" i="9"/>
  <c r="M380" i="9"/>
  <c r="O380" i="9" s="1"/>
  <c r="AE380" i="9" s="1"/>
  <c r="M386" i="9"/>
  <c r="O386" i="9" s="1"/>
  <c r="AE386" i="9" s="1"/>
  <c r="M331" i="9"/>
  <c r="M338" i="9"/>
  <c r="O338" i="9" s="1"/>
  <c r="AE338" i="9" s="1"/>
  <c r="M359" i="9"/>
  <c r="O359" i="9" s="1"/>
  <c r="AE359" i="9" s="1"/>
  <c r="M398" i="9"/>
  <c r="O398" i="9" s="1"/>
  <c r="AE398" i="9" s="1"/>
  <c r="M412" i="9"/>
  <c r="O412" i="9" s="1"/>
  <c r="AE412" i="9" s="1"/>
  <c r="M413" i="9"/>
  <c r="O413" i="9" s="1"/>
  <c r="AE413" i="9" s="1"/>
  <c r="M418" i="9"/>
  <c r="O418" i="9" s="1"/>
  <c r="AE418" i="9" s="1"/>
  <c r="M421" i="9"/>
  <c r="O421" i="9" s="1"/>
  <c r="AE421" i="9" s="1"/>
  <c r="M424" i="9"/>
  <c r="O424" i="9" s="1"/>
  <c r="AE424" i="9" s="1"/>
  <c r="M430" i="9"/>
  <c r="O430" i="9" s="1"/>
  <c r="AE430" i="9" s="1"/>
  <c r="M436" i="9"/>
  <c r="M439" i="9"/>
  <c r="O439" i="9" s="1"/>
  <c r="AE439" i="9" s="1"/>
  <c r="M405" i="9"/>
  <c r="O405" i="9" s="1"/>
  <c r="AE405" i="9" s="1"/>
  <c r="M442" i="9"/>
  <c r="O442" i="9" s="1"/>
  <c r="AE442" i="9" s="1"/>
  <c r="M452" i="9"/>
  <c r="M463" i="9"/>
  <c r="O463" i="9" s="1"/>
  <c r="AE463" i="9" s="1"/>
  <c r="M482" i="9"/>
  <c r="O482" i="9" s="1"/>
  <c r="AE482" i="9" s="1"/>
  <c r="M443" i="9"/>
  <c r="O443" i="9" s="1"/>
  <c r="AE443" i="9" s="1"/>
  <c r="M471" i="9"/>
  <c r="O471" i="9" s="1"/>
  <c r="AE471" i="9" s="1"/>
  <c r="M478" i="9"/>
  <c r="O478" i="9" s="1"/>
  <c r="AE478" i="9" s="1"/>
  <c r="M447" i="9"/>
  <c r="O447" i="9" s="1"/>
  <c r="AE447" i="9" s="1"/>
  <c r="M451" i="9"/>
  <c r="M458" i="9"/>
  <c r="O458" i="9" s="1"/>
  <c r="AE458" i="9" s="1"/>
  <c r="M483" i="9"/>
  <c r="O483" i="9" s="1"/>
  <c r="AE483" i="9" s="1"/>
  <c r="M444" i="9"/>
  <c r="O444" i="9" s="1"/>
  <c r="AE444" i="9" s="1"/>
  <c r="M474" i="9"/>
  <c r="O474" i="9" s="1"/>
  <c r="AE474" i="9" s="1"/>
  <c r="M480" i="9"/>
  <c r="O480" i="9" s="1"/>
  <c r="AE480" i="9" s="1"/>
  <c r="M501" i="9"/>
  <c r="O501" i="9" s="1"/>
  <c r="AE501" i="9" s="1"/>
  <c r="M492" i="9"/>
  <c r="O492" i="9" s="1"/>
  <c r="AE492" i="9" s="1"/>
  <c r="M494" i="9"/>
  <c r="O494" i="9" s="1"/>
  <c r="AE494" i="9" s="1"/>
  <c r="M464" i="9"/>
  <c r="O464" i="9" s="1"/>
  <c r="AE464" i="9" s="1"/>
  <c r="M467" i="9"/>
  <c r="O467" i="9" s="1"/>
  <c r="AE467" i="9" s="1"/>
  <c r="M488" i="9"/>
  <c r="O488" i="9" s="1"/>
  <c r="AE488" i="9" s="1"/>
  <c r="M445" i="9"/>
  <c r="O445" i="9" s="1"/>
  <c r="AE445" i="9" s="1"/>
  <c r="M476" i="9"/>
  <c r="O476" i="9" s="1"/>
  <c r="AE476" i="9" s="1"/>
  <c r="M440" i="9"/>
  <c r="O440" i="9" s="1"/>
  <c r="AE440" i="9" s="1"/>
  <c r="M459" i="9"/>
  <c r="O459" i="9" s="1"/>
  <c r="AE459" i="9" s="1"/>
  <c r="M465" i="9"/>
  <c r="M484" i="9"/>
  <c r="M450" i="9"/>
  <c r="O450" i="9" s="1"/>
  <c r="AE450" i="9" s="1"/>
  <c r="M477" i="9"/>
  <c r="M503" i="9"/>
  <c r="O503" i="9" s="1"/>
  <c r="AE503" i="9" s="1"/>
  <c r="M500" i="9"/>
  <c r="O500" i="9" s="1"/>
  <c r="AE500" i="9" s="1"/>
  <c r="M493" i="9"/>
  <c r="O493" i="9" s="1"/>
  <c r="AE493" i="9" s="1"/>
  <c r="M486" i="9"/>
  <c r="O486" i="9" s="1"/>
  <c r="AE486" i="9" s="1"/>
  <c r="M446" i="9"/>
  <c r="O446" i="9" s="1"/>
  <c r="AE446" i="9" s="1"/>
  <c r="M466" i="9"/>
  <c r="O466" i="9" s="1"/>
  <c r="AE466" i="9" s="1"/>
  <c r="M453" i="9"/>
  <c r="O453" i="9" s="1"/>
  <c r="AE453" i="9" s="1"/>
  <c r="M460" i="9"/>
  <c r="O460" i="9" s="1"/>
  <c r="AE460" i="9" s="1"/>
  <c r="M470" i="9"/>
  <c r="O470" i="9" s="1"/>
  <c r="AE470" i="9" s="1"/>
  <c r="M487" i="9"/>
  <c r="O487" i="9" s="1"/>
  <c r="AE487" i="9" s="1"/>
  <c r="M448" i="9"/>
  <c r="O448" i="9" s="1"/>
  <c r="AE448" i="9" s="1"/>
  <c r="M468" i="9"/>
  <c r="O468" i="9" s="1"/>
  <c r="AE468" i="9" s="1"/>
  <c r="M505" i="9"/>
  <c r="O505" i="9" s="1"/>
  <c r="AE505" i="9" s="1"/>
  <c r="M504" i="9"/>
  <c r="O504" i="9" s="1"/>
  <c r="AE504" i="9" s="1"/>
  <c r="M495" i="9"/>
  <c r="O495" i="9" s="1"/>
  <c r="AE495" i="9" s="1"/>
  <c r="M461" i="9"/>
  <c r="M472" i="9"/>
  <c r="O472" i="9" s="1"/>
  <c r="AE472" i="9" s="1"/>
  <c r="M479" i="9"/>
  <c r="O479" i="9" s="1"/>
  <c r="AE479" i="9" s="1"/>
  <c r="M449" i="9"/>
  <c r="O449" i="9" s="1"/>
  <c r="AE449" i="9" s="1"/>
  <c r="M469" i="9"/>
  <c r="O469" i="9" s="1"/>
  <c r="AE469" i="9" s="1"/>
  <c r="M485" i="9"/>
  <c r="O485" i="9" s="1"/>
  <c r="AE485" i="9" s="1"/>
  <c r="M489" i="9"/>
  <c r="O489" i="9" s="1"/>
  <c r="AE489" i="9" s="1"/>
  <c r="M456" i="9"/>
  <c r="O456" i="9" s="1"/>
  <c r="AE456" i="9" s="1"/>
  <c r="M462" i="9"/>
  <c r="O462" i="9" s="1"/>
  <c r="AE462" i="9" s="1"/>
  <c r="M473" i="9"/>
  <c r="O473" i="9" s="1"/>
  <c r="AE473" i="9" s="1"/>
  <c r="M475" i="9"/>
  <c r="O475" i="9" s="1"/>
  <c r="AE475" i="9" s="1"/>
  <c r="M481" i="9"/>
  <c r="O481" i="9" s="1"/>
  <c r="AE481" i="9" s="1"/>
  <c r="M441" i="9"/>
  <c r="O441" i="9" s="1"/>
  <c r="AE441" i="9" s="1"/>
  <c r="M491" i="9"/>
  <c r="O491" i="9" s="1"/>
  <c r="AE491" i="9" s="1"/>
  <c r="M496" i="9"/>
  <c r="M490" i="9"/>
  <c r="O490" i="9" s="1"/>
  <c r="AE490" i="9" s="1"/>
  <c r="M506" i="9"/>
  <c r="O506" i="9" s="1"/>
  <c r="AE506" i="9" s="1"/>
  <c r="M508" i="9"/>
  <c r="O508" i="9" s="1"/>
  <c r="AE508" i="9" s="1"/>
  <c r="M512" i="9"/>
  <c r="O512" i="9" s="1"/>
  <c r="AE512" i="9" s="1"/>
  <c r="M520" i="9"/>
  <c r="O520" i="9" s="1"/>
  <c r="AE520" i="9" s="1"/>
  <c r="M524" i="9"/>
  <c r="O524" i="9" s="1"/>
  <c r="AE524" i="9" s="1"/>
  <c r="M527" i="9"/>
  <c r="O527" i="9" s="1"/>
  <c r="AE527" i="9" s="1"/>
  <c r="M528" i="9"/>
  <c r="O528" i="9" s="1"/>
  <c r="AE528" i="9" s="1"/>
  <c r="M533" i="9"/>
  <c r="O533" i="9" s="1"/>
  <c r="AE533" i="9" s="1"/>
  <c r="M536" i="9"/>
  <c r="O536" i="9" s="1"/>
  <c r="AE536" i="9" s="1"/>
  <c r="M539" i="9"/>
  <c r="M545" i="9"/>
  <c r="O545" i="9" s="1"/>
  <c r="AE545" i="9" s="1"/>
  <c r="M551" i="9"/>
  <c r="O551" i="9" s="1"/>
  <c r="AE551" i="9" s="1"/>
  <c r="M554" i="9"/>
  <c r="M557" i="9"/>
  <c r="O557" i="9" s="1"/>
  <c r="AE557" i="9" s="1"/>
  <c r="M589" i="9"/>
  <c r="O589" i="9" s="1"/>
  <c r="AE589" i="9" s="1"/>
  <c r="M568" i="9"/>
  <c r="O568" i="9" s="1"/>
  <c r="AE568" i="9" s="1"/>
  <c r="M595" i="9"/>
  <c r="O595" i="9" s="1"/>
  <c r="AE595" i="9" s="1"/>
  <c r="M572" i="9"/>
  <c r="O572" i="9" s="1"/>
  <c r="AE572" i="9" s="1"/>
  <c r="M608" i="9"/>
  <c r="O608" i="9" s="1"/>
  <c r="AE608" i="9" s="1"/>
  <c r="M614" i="9"/>
  <c r="O614" i="9" s="1"/>
  <c r="AE614" i="9" s="1"/>
  <c r="M620" i="9"/>
  <c r="O620" i="9" s="1"/>
  <c r="AE620" i="9" s="1"/>
  <c r="M514" i="9"/>
  <c r="O514" i="9" s="1"/>
  <c r="AE514" i="9" s="1"/>
  <c r="M515" i="9"/>
  <c r="O515" i="9" s="1"/>
  <c r="AE515" i="9" s="1"/>
  <c r="M517" i="9"/>
  <c r="O517" i="9" s="1"/>
  <c r="AE517" i="9" s="1"/>
  <c r="M523" i="9"/>
  <c r="O523" i="9" s="1"/>
  <c r="AE523" i="9" s="1"/>
  <c r="M529" i="9"/>
  <c r="O529" i="9" s="1"/>
  <c r="AE529" i="9" s="1"/>
  <c r="M532" i="9"/>
  <c r="O532" i="9" s="1"/>
  <c r="AE532" i="9" s="1"/>
  <c r="M534" i="9"/>
  <c r="O534" i="9" s="1"/>
  <c r="AE534" i="9" s="1"/>
  <c r="M540" i="9"/>
  <c r="M542" i="9"/>
  <c r="O542" i="9" s="1"/>
  <c r="AE542" i="9" s="1"/>
  <c r="M547" i="9"/>
  <c r="O547" i="9" s="1"/>
  <c r="AE547" i="9" s="1"/>
  <c r="M550" i="9"/>
  <c r="O550" i="9" s="1"/>
  <c r="AE550" i="9" s="1"/>
  <c r="M552" i="9"/>
  <c r="M558" i="9"/>
  <c r="M560" i="9"/>
  <c r="O560" i="9" s="1"/>
  <c r="AE560" i="9" s="1"/>
  <c r="M561" i="9"/>
  <c r="O561" i="9" s="1"/>
  <c r="AE561" i="9" s="1"/>
  <c r="M564" i="9"/>
  <c r="O564" i="9" s="1"/>
  <c r="AE564" i="9" s="1"/>
  <c r="M497" i="9"/>
  <c r="O497" i="9" s="1"/>
  <c r="AE497" i="9" s="1"/>
  <c r="M566" i="9"/>
  <c r="O566" i="9" s="1"/>
  <c r="AE566" i="9" s="1"/>
  <c r="M602" i="9"/>
  <c r="O602" i="9" s="1"/>
  <c r="AE602" i="9" s="1"/>
  <c r="M569" i="9"/>
  <c r="O569" i="9" s="1"/>
  <c r="AE569" i="9" s="1"/>
  <c r="M573" i="9"/>
  <c r="M586" i="9"/>
  <c r="M591" i="9"/>
  <c r="O591" i="9" s="1"/>
  <c r="AE591" i="9" s="1"/>
  <c r="M599" i="9"/>
  <c r="O599" i="9" s="1"/>
  <c r="AE599" i="9" s="1"/>
  <c r="M570" i="9"/>
  <c r="O570" i="9" s="1"/>
  <c r="AE570" i="9" s="1"/>
  <c r="M571" i="9"/>
  <c r="M577" i="9"/>
  <c r="O577" i="9" s="1"/>
  <c r="AE577" i="9" s="1"/>
  <c r="M584" i="9"/>
  <c r="O584" i="9" s="1"/>
  <c r="AE584" i="9" s="1"/>
  <c r="M588" i="9"/>
  <c r="O588" i="9" s="1"/>
  <c r="AE588" i="9" s="1"/>
  <c r="M609" i="9"/>
  <c r="O609" i="9" s="1"/>
  <c r="AE609" i="9" s="1"/>
  <c r="M611" i="9"/>
  <c r="O611" i="9" s="1"/>
  <c r="AE611" i="9" s="1"/>
  <c r="M616" i="9"/>
  <c r="O616" i="9" s="1"/>
  <c r="AE616" i="9" s="1"/>
  <c r="M619" i="9"/>
  <c r="O619" i="9" s="1"/>
  <c r="AE619" i="9" s="1"/>
  <c r="M507" i="9"/>
  <c r="O507" i="9" s="1"/>
  <c r="AE507" i="9" s="1"/>
  <c r="M510" i="9"/>
  <c r="O510" i="9" s="1"/>
  <c r="AE510" i="9" s="1"/>
  <c r="M516" i="9"/>
  <c r="M519" i="9"/>
  <c r="O519" i="9" s="1"/>
  <c r="AE519" i="9" s="1"/>
  <c r="M522" i="9"/>
  <c r="O522" i="9" s="1"/>
  <c r="AE522" i="9" s="1"/>
  <c r="M526" i="9"/>
  <c r="O526" i="9" s="1"/>
  <c r="AE526" i="9" s="1"/>
  <c r="M530" i="9"/>
  <c r="O530" i="9" s="1"/>
  <c r="AE530" i="9" s="1"/>
  <c r="M535" i="9"/>
  <c r="O535" i="9" s="1"/>
  <c r="AE535" i="9" s="1"/>
  <c r="M537" i="9"/>
  <c r="M543" i="9"/>
  <c r="O543" i="9" s="1"/>
  <c r="AE543" i="9" s="1"/>
  <c r="M546" i="9"/>
  <c r="O546" i="9" s="1"/>
  <c r="AE546" i="9" s="1"/>
  <c r="M548" i="9"/>
  <c r="M553" i="9"/>
  <c r="O553" i="9" s="1"/>
  <c r="AE553" i="9" s="1"/>
  <c r="M555" i="9"/>
  <c r="O555" i="9" s="1"/>
  <c r="AE555" i="9" s="1"/>
  <c r="M562" i="9"/>
  <c r="O562" i="9" s="1"/>
  <c r="AE562" i="9" s="1"/>
  <c r="M499" i="9"/>
  <c r="O499" i="9" s="1"/>
  <c r="AE499" i="9" s="1"/>
  <c r="M502" i="9"/>
  <c r="O502" i="9" s="1"/>
  <c r="AE502" i="9" s="1"/>
  <c r="M596" i="9"/>
  <c r="O596" i="9" s="1"/>
  <c r="AE596" i="9" s="1"/>
  <c r="M597" i="9"/>
  <c r="O597" i="9" s="1"/>
  <c r="AE597" i="9" s="1"/>
  <c r="M605" i="9"/>
  <c r="O605" i="9" s="1"/>
  <c r="AE605" i="9" s="1"/>
  <c r="M575" i="9"/>
  <c r="O575" i="9" s="1"/>
  <c r="AE575" i="9" s="1"/>
  <c r="M578" i="9"/>
  <c r="O578" i="9" s="1"/>
  <c r="AE578" i="9" s="1"/>
  <c r="M594" i="9"/>
  <c r="O594" i="9" s="1"/>
  <c r="AE594" i="9" s="1"/>
  <c r="M604" i="9"/>
  <c r="O604" i="9" s="1"/>
  <c r="AE604" i="9" s="1"/>
  <c r="M576" i="9"/>
  <c r="O576" i="9" s="1"/>
  <c r="AE576" i="9" s="1"/>
  <c r="M582" i="9"/>
  <c r="O582" i="9" s="1"/>
  <c r="AE582" i="9" s="1"/>
  <c r="M585" i="9"/>
  <c r="O585" i="9" s="1"/>
  <c r="AE585" i="9" s="1"/>
  <c r="M598" i="9"/>
  <c r="O598" i="9" s="1"/>
  <c r="AE598" i="9" s="1"/>
  <c r="M606" i="9"/>
  <c r="O606" i="9" s="1"/>
  <c r="AE606" i="9" s="1"/>
  <c r="M612" i="9"/>
  <c r="O612" i="9" s="1"/>
  <c r="AE612" i="9" s="1"/>
  <c r="M615" i="9"/>
  <c r="O615" i="9" s="1"/>
  <c r="AE615" i="9" s="1"/>
  <c r="M617" i="9"/>
  <c r="M498" i="9"/>
  <c r="O498" i="9" s="1"/>
  <c r="AE498" i="9" s="1"/>
  <c r="M509" i="9"/>
  <c r="O509" i="9" s="1"/>
  <c r="AE509" i="9" s="1"/>
  <c r="M511" i="9"/>
  <c r="O511" i="9" s="1"/>
  <c r="AE511" i="9" s="1"/>
  <c r="M513" i="9"/>
  <c r="O513" i="9" s="1"/>
  <c r="AE513" i="9" s="1"/>
  <c r="M518" i="9"/>
  <c r="M521" i="9"/>
  <c r="O521" i="9" s="1"/>
  <c r="AE521" i="9" s="1"/>
  <c r="M525" i="9"/>
  <c r="O525" i="9" s="1"/>
  <c r="AE525" i="9" s="1"/>
  <c r="M531" i="9"/>
  <c r="M538" i="9"/>
  <c r="O538" i="9" s="1"/>
  <c r="AE538" i="9" s="1"/>
  <c r="M541" i="9"/>
  <c r="O541" i="9" s="1"/>
  <c r="AE541" i="9" s="1"/>
  <c r="M544" i="9"/>
  <c r="O544" i="9" s="1"/>
  <c r="AE544" i="9" s="1"/>
  <c r="M549" i="9"/>
  <c r="O549" i="9" s="1"/>
  <c r="AE549" i="9" s="1"/>
  <c r="M556" i="9"/>
  <c r="O556" i="9" s="1"/>
  <c r="AE556" i="9" s="1"/>
  <c r="M559" i="9"/>
  <c r="O559" i="9" s="1"/>
  <c r="AE559" i="9" s="1"/>
  <c r="M563" i="9"/>
  <c r="O563" i="9" s="1"/>
  <c r="AE563" i="9" s="1"/>
  <c r="M565" i="9"/>
  <c r="O565" i="9" s="1"/>
  <c r="AE565" i="9" s="1"/>
  <c r="M593" i="9"/>
  <c r="O593" i="9" s="1"/>
  <c r="AE593" i="9" s="1"/>
  <c r="M579" i="9"/>
  <c r="O579" i="9" s="1"/>
  <c r="AE579" i="9" s="1"/>
  <c r="M583" i="9"/>
  <c r="O583" i="9" s="1"/>
  <c r="AE583" i="9" s="1"/>
  <c r="M590" i="9"/>
  <c r="M600" i="9"/>
  <c r="O600" i="9" s="1"/>
  <c r="AE600" i="9" s="1"/>
  <c r="M587" i="9"/>
  <c r="O587" i="9" s="1"/>
  <c r="AE587" i="9" s="1"/>
  <c r="M567" i="9"/>
  <c r="O567" i="9" s="1"/>
  <c r="AE567" i="9" s="1"/>
  <c r="M574" i="9"/>
  <c r="O574" i="9" s="1"/>
  <c r="AE574" i="9" s="1"/>
  <c r="M580" i="9"/>
  <c r="O580" i="9" s="1"/>
  <c r="AE580" i="9" s="1"/>
  <c r="M581" i="9"/>
  <c r="O581" i="9" s="1"/>
  <c r="AE581" i="9" s="1"/>
  <c r="M592" i="9"/>
  <c r="O592" i="9" s="1"/>
  <c r="AE592" i="9" s="1"/>
  <c r="M601" i="9"/>
  <c r="M603" i="9"/>
  <c r="M607" i="9"/>
  <c r="O607" i="9" s="1"/>
  <c r="AE607" i="9" s="1"/>
  <c r="M610" i="9"/>
  <c r="O610" i="9" s="1"/>
  <c r="AE610" i="9" s="1"/>
  <c r="M613" i="9"/>
  <c r="O613" i="9" s="1"/>
  <c r="AE613" i="9" s="1"/>
  <c r="M618" i="9"/>
  <c r="M623" i="9"/>
  <c r="O623" i="9" s="1"/>
  <c r="AE623" i="9" s="1"/>
  <c r="M626" i="9"/>
  <c r="M629" i="9"/>
  <c r="O629" i="9" s="1"/>
  <c r="AE629" i="9" s="1"/>
  <c r="M655" i="9"/>
  <c r="O655" i="9" s="1"/>
  <c r="AE655" i="9" s="1"/>
  <c r="M662" i="9"/>
  <c r="O662" i="9" s="1"/>
  <c r="AE662" i="9" s="1"/>
  <c r="M631" i="9"/>
  <c r="O631" i="9" s="1"/>
  <c r="AE631" i="9" s="1"/>
  <c r="M635" i="9"/>
  <c r="O635" i="9" s="1"/>
  <c r="AE635" i="9" s="1"/>
  <c r="M649" i="9"/>
  <c r="O649" i="9" s="1"/>
  <c r="AE649" i="9" s="1"/>
  <c r="M634" i="9"/>
  <c r="O634" i="9" s="1"/>
  <c r="AE634" i="9" s="1"/>
  <c r="M658" i="9"/>
  <c r="O658" i="9" s="1"/>
  <c r="AE658" i="9" s="1"/>
  <c r="M664" i="9"/>
  <c r="O664" i="9" s="1"/>
  <c r="AE664" i="9" s="1"/>
  <c r="M674" i="9"/>
  <c r="O674" i="9" s="1"/>
  <c r="AE674" i="9" s="1"/>
  <c r="M678" i="9"/>
  <c r="O678" i="9" s="1"/>
  <c r="AE678" i="9" s="1"/>
  <c r="M681" i="9"/>
  <c r="O681" i="9" s="1"/>
  <c r="AE681" i="9" s="1"/>
  <c r="M682" i="9"/>
  <c r="O682" i="9" s="1"/>
  <c r="AE682" i="9" s="1"/>
  <c r="M687" i="9"/>
  <c r="O687" i="9" s="1"/>
  <c r="AE687" i="9" s="1"/>
  <c r="M690" i="9"/>
  <c r="O690" i="9" s="1"/>
  <c r="AE690" i="9" s="1"/>
  <c r="M693" i="9"/>
  <c r="O693" i="9" s="1"/>
  <c r="AE693" i="9" s="1"/>
  <c r="M699" i="9"/>
  <c r="O699" i="9" s="1"/>
  <c r="AE699" i="9" s="1"/>
  <c r="M705" i="9"/>
  <c r="M708" i="9"/>
  <c r="O708" i="9" s="1"/>
  <c r="AE708" i="9" s="1"/>
  <c r="M711" i="9"/>
  <c r="O711" i="9" s="1"/>
  <c r="AE711" i="9" s="1"/>
  <c r="M755" i="9"/>
  <c r="O755" i="9" s="1"/>
  <c r="AE755" i="9" s="1"/>
  <c r="M761" i="9"/>
  <c r="O761" i="9" s="1"/>
  <c r="AE761" i="9" s="1"/>
  <c r="M763" i="9"/>
  <c r="O763" i="9" s="1"/>
  <c r="AE763" i="9" s="1"/>
  <c r="M743" i="9"/>
  <c r="O743" i="9" s="1"/>
  <c r="AE743" i="9" s="1"/>
  <c r="M749" i="9"/>
  <c r="O749" i="9" s="1"/>
  <c r="AE749" i="9" s="1"/>
  <c r="M734" i="9"/>
  <c r="M753" i="9"/>
  <c r="O753" i="9" s="1"/>
  <c r="AE753" i="9" s="1"/>
  <c r="M768" i="9"/>
  <c r="O768" i="9" s="1"/>
  <c r="AE768" i="9" s="1"/>
  <c r="M771" i="9"/>
  <c r="O771" i="9" s="1"/>
  <c r="AE771" i="9" s="1"/>
  <c r="M720" i="9"/>
  <c r="O720" i="9" s="1"/>
  <c r="AE720" i="9" s="1"/>
  <c r="M727" i="9"/>
  <c r="O727" i="9" s="1"/>
  <c r="AE727" i="9" s="1"/>
  <c r="M735" i="9"/>
  <c r="O735" i="9" s="1"/>
  <c r="AE735" i="9" s="1"/>
  <c r="M621" i="9"/>
  <c r="O621" i="9" s="1"/>
  <c r="AE621" i="9" s="1"/>
  <c r="M627" i="9"/>
  <c r="O627" i="9" s="1"/>
  <c r="AE627" i="9" s="1"/>
  <c r="M656" i="9"/>
  <c r="O656" i="9" s="1"/>
  <c r="AE656" i="9" s="1"/>
  <c r="M630" i="9"/>
  <c r="O630" i="9" s="1"/>
  <c r="AE630" i="9" s="1"/>
  <c r="M637" i="9"/>
  <c r="O637" i="9" s="1"/>
  <c r="AE637" i="9" s="1"/>
  <c r="M644" i="9"/>
  <c r="O644" i="9" s="1"/>
  <c r="AE644" i="9" s="1"/>
  <c r="M660" i="9"/>
  <c r="O660" i="9" s="1"/>
  <c r="AE660" i="9" s="1"/>
  <c r="M654" i="9"/>
  <c r="O654" i="9" s="1"/>
  <c r="AE654" i="9" s="1"/>
  <c r="M632" i="9"/>
  <c r="M640" i="9"/>
  <c r="M646" i="9"/>
  <c r="O646" i="9" s="1"/>
  <c r="AE646" i="9" s="1"/>
  <c r="M661" i="9"/>
  <c r="O661" i="9" s="1"/>
  <c r="AE661" i="9" s="1"/>
  <c r="M665" i="9"/>
  <c r="O665" i="9" s="1"/>
  <c r="AE665" i="9" s="1"/>
  <c r="M667" i="9"/>
  <c r="O667" i="9" s="1"/>
  <c r="AE667" i="9" s="1"/>
  <c r="M668" i="9"/>
  <c r="O668" i="9" s="1"/>
  <c r="AE668" i="9" s="1"/>
  <c r="M671" i="9"/>
  <c r="O671" i="9" s="1"/>
  <c r="AE671" i="9" s="1"/>
  <c r="M677" i="9"/>
  <c r="O677" i="9" s="1"/>
  <c r="AE677" i="9" s="1"/>
  <c r="M683" i="9"/>
  <c r="O683" i="9" s="1"/>
  <c r="AE683" i="9" s="1"/>
  <c r="M686" i="9"/>
  <c r="O686" i="9" s="1"/>
  <c r="AE686" i="9" s="1"/>
  <c r="M688" i="9"/>
  <c r="O688" i="9" s="1"/>
  <c r="AE688" i="9" s="1"/>
  <c r="M694" i="9"/>
  <c r="O694" i="9" s="1"/>
  <c r="AE694" i="9" s="1"/>
  <c r="M696" i="9"/>
  <c r="O696" i="9" s="1"/>
  <c r="AE696" i="9" s="1"/>
  <c r="M701" i="9"/>
  <c r="O701" i="9" s="1"/>
  <c r="AE701" i="9" s="1"/>
  <c r="M704" i="9"/>
  <c r="O704" i="9" s="1"/>
  <c r="AE704" i="9" s="1"/>
  <c r="M706" i="9"/>
  <c r="O706" i="9" s="1"/>
  <c r="AE706" i="9" s="1"/>
  <c r="M712" i="9"/>
  <c r="M714" i="9"/>
  <c r="O714" i="9" s="1"/>
  <c r="AE714" i="9" s="1"/>
  <c r="M715" i="9"/>
  <c r="O715" i="9" s="1"/>
  <c r="AE715" i="9" s="1"/>
  <c r="M718" i="9"/>
  <c r="O718" i="9" s="1"/>
  <c r="AE718" i="9" s="1"/>
  <c r="M741" i="9"/>
  <c r="O741" i="9" s="1"/>
  <c r="AE741" i="9" s="1"/>
  <c r="M748" i="9"/>
  <c r="O748" i="9" s="1"/>
  <c r="AE748" i="9" s="1"/>
  <c r="M769" i="9"/>
  <c r="O769" i="9" s="1"/>
  <c r="AE769" i="9" s="1"/>
  <c r="M725" i="9"/>
  <c r="M731" i="9"/>
  <c r="O731" i="9" s="1"/>
  <c r="AE731" i="9" s="1"/>
  <c r="M746" i="9"/>
  <c r="O746" i="9" s="1"/>
  <c r="AE746" i="9" s="1"/>
  <c r="M776" i="9"/>
  <c r="O776" i="9" s="1"/>
  <c r="AE776" i="9" s="1"/>
  <c r="M739" i="9"/>
  <c r="M756" i="9"/>
  <c r="O756" i="9" s="1"/>
  <c r="AE756" i="9" s="1"/>
  <c r="M738" i="9"/>
  <c r="O738" i="9" s="1"/>
  <c r="AE738" i="9" s="1"/>
  <c r="M754" i="9"/>
  <c r="O754" i="9" s="1"/>
  <c r="AE754" i="9" s="1"/>
  <c r="M622" i="9"/>
  <c r="O622" i="9" s="1"/>
  <c r="AE622" i="9" s="1"/>
  <c r="M624" i="9"/>
  <c r="O624" i="9" s="1"/>
  <c r="AE624" i="9" s="1"/>
  <c r="M638" i="9"/>
  <c r="O638" i="9" s="1"/>
  <c r="AE638" i="9" s="1"/>
  <c r="M645" i="9"/>
  <c r="O645" i="9" s="1"/>
  <c r="AE645" i="9" s="1"/>
  <c r="M633" i="9"/>
  <c r="M642" i="9"/>
  <c r="M650" i="9"/>
  <c r="O650" i="9" s="1"/>
  <c r="AE650" i="9" s="1"/>
  <c r="M636" i="9"/>
  <c r="O636" i="9" s="1"/>
  <c r="AE636" i="9" s="1"/>
  <c r="M657" i="9"/>
  <c r="O657" i="9" s="1"/>
  <c r="AE657" i="9" s="1"/>
  <c r="M659" i="9"/>
  <c r="M643" i="9"/>
  <c r="O643" i="9" s="1"/>
  <c r="AE643" i="9" s="1"/>
  <c r="M652" i="9"/>
  <c r="O652" i="9" s="1"/>
  <c r="AE652" i="9" s="1"/>
  <c r="M669" i="9"/>
  <c r="O669" i="9" s="1"/>
  <c r="AE669" i="9" s="1"/>
  <c r="M673" i="9"/>
  <c r="O673" i="9" s="1"/>
  <c r="AE673" i="9" s="1"/>
  <c r="M676" i="9"/>
  <c r="O676" i="9" s="1"/>
  <c r="AE676" i="9" s="1"/>
  <c r="M680" i="9"/>
  <c r="M684" i="9"/>
  <c r="M689" i="9"/>
  <c r="O689" i="9" s="1"/>
  <c r="AE689" i="9" s="1"/>
  <c r="M691" i="9"/>
  <c r="O691" i="9" s="1"/>
  <c r="AE691" i="9" s="1"/>
  <c r="M697" i="9"/>
  <c r="O697" i="9" s="1"/>
  <c r="AE697" i="9" s="1"/>
  <c r="M700" i="9"/>
  <c r="O700" i="9" s="1"/>
  <c r="AE700" i="9" s="1"/>
  <c r="M702" i="9"/>
  <c r="O702" i="9" s="1"/>
  <c r="AE702" i="9" s="1"/>
  <c r="M707" i="9"/>
  <c r="O707" i="9" s="1"/>
  <c r="AE707" i="9" s="1"/>
  <c r="M709" i="9"/>
  <c r="M716" i="9"/>
  <c r="O716" i="9" s="1"/>
  <c r="AE716" i="9" s="1"/>
  <c r="M723" i="9"/>
  <c r="O723" i="9" s="1"/>
  <c r="AE723" i="9" s="1"/>
  <c r="M730" i="9"/>
  <c r="O730" i="9" s="1"/>
  <c r="AE730" i="9" s="1"/>
  <c r="M751" i="9"/>
  <c r="O751" i="9" s="1"/>
  <c r="AE751" i="9" s="1"/>
  <c r="M773" i="9"/>
  <c r="O773" i="9" s="1"/>
  <c r="AE773" i="9" s="1"/>
  <c r="M728" i="9"/>
  <c r="O728" i="9" s="1"/>
  <c r="AE728" i="9" s="1"/>
  <c r="M737" i="9"/>
  <c r="O737" i="9" s="1"/>
  <c r="AE737" i="9" s="1"/>
  <c r="M758" i="9"/>
  <c r="O758" i="9" s="1"/>
  <c r="AE758" i="9" s="1"/>
  <c r="M762" i="9"/>
  <c r="O762" i="9" s="1"/>
  <c r="AE762" i="9" s="1"/>
  <c r="M767" i="9"/>
  <c r="O767" i="9" s="1"/>
  <c r="AE767" i="9" s="1"/>
  <c r="M778" i="9"/>
  <c r="O778" i="9" s="1"/>
  <c r="AE778" i="9" s="1"/>
  <c r="M721" i="9"/>
  <c r="O721" i="9" s="1"/>
  <c r="AE721" i="9" s="1"/>
  <c r="M742" i="9"/>
  <c r="O742" i="9" s="1"/>
  <c r="AE742" i="9" s="1"/>
  <c r="M744" i="9"/>
  <c r="M750" i="9"/>
  <c r="O750" i="9" s="1"/>
  <c r="AE750" i="9" s="1"/>
  <c r="M740" i="9"/>
  <c r="O740" i="9" s="1"/>
  <c r="AE740" i="9" s="1"/>
  <c r="M747" i="9"/>
  <c r="O747" i="9" s="1"/>
  <c r="AE747" i="9" s="1"/>
  <c r="M625" i="9"/>
  <c r="O625" i="9" s="1"/>
  <c r="AE625" i="9" s="1"/>
  <c r="M628" i="9"/>
  <c r="O628" i="9" s="1"/>
  <c r="AE628" i="9" s="1"/>
  <c r="M648" i="9"/>
  <c r="M651" i="9"/>
  <c r="O651" i="9" s="1"/>
  <c r="AE651" i="9" s="1"/>
  <c r="M653" i="9"/>
  <c r="O653" i="9" s="1"/>
  <c r="AE653" i="9" s="1"/>
  <c r="M639" i="9"/>
  <c r="O639" i="9" s="1"/>
  <c r="AE639" i="9" s="1"/>
  <c r="M641" i="9"/>
  <c r="O641" i="9" s="1"/>
  <c r="AE641" i="9" s="1"/>
  <c r="M647" i="9"/>
  <c r="M663" i="9"/>
  <c r="O663" i="9" s="1"/>
  <c r="AE663" i="9" s="1"/>
  <c r="M666" i="9"/>
  <c r="O666" i="9" s="1"/>
  <c r="AE666" i="9" s="1"/>
  <c r="M670" i="9"/>
  <c r="O670" i="9" s="1"/>
  <c r="AE670" i="9" s="1"/>
  <c r="M672" i="9"/>
  <c r="O672" i="9" s="1"/>
  <c r="AE672" i="9" s="1"/>
  <c r="M675" i="9"/>
  <c r="O675" i="9" s="1"/>
  <c r="AE675" i="9" s="1"/>
  <c r="M679" i="9"/>
  <c r="O679" i="9" s="1"/>
  <c r="AE679" i="9" s="1"/>
  <c r="M685" i="9"/>
  <c r="O685" i="9" s="1"/>
  <c r="AE685" i="9" s="1"/>
  <c r="M692" i="9"/>
  <c r="O692" i="9" s="1"/>
  <c r="AE692" i="9" s="1"/>
  <c r="M695" i="9"/>
  <c r="O695" i="9" s="1"/>
  <c r="AE695" i="9" s="1"/>
  <c r="M698" i="9"/>
  <c r="O698" i="9" s="1"/>
  <c r="AE698" i="9" s="1"/>
  <c r="M703" i="9"/>
  <c r="O703" i="9" s="1"/>
  <c r="AE703" i="9" s="1"/>
  <c r="M710" i="9"/>
  <c r="O710" i="9" s="1"/>
  <c r="AE710" i="9" s="1"/>
  <c r="M713" i="9"/>
  <c r="O713" i="9" s="1"/>
  <c r="AE713" i="9" s="1"/>
  <c r="M717" i="9"/>
  <c r="O717" i="9" s="1"/>
  <c r="AE717" i="9" s="1"/>
  <c r="M719" i="9"/>
  <c r="M733" i="9"/>
  <c r="O733" i="9" s="1"/>
  <c r="AE733" i="9" s="1"/>
  <c r="M736" i="9"/>
  <c r="O736" i="9" s="1"/>
  <c r="AE736" i="9" s="1"/>
  <c r="M759" i="9"/>
  <c r="O759" i="9" s="1"/>
  <c r="AE759" i="9" s="1"/>
  <c r="M775" i="9"/>
  <c r="O775" i="9" s="1"/>
  <c r="AE775" i="9" s="1"/>
  <c r="M777" i="9"/>
  <c r="O777" i="9" s="1"/>
  <c r="AE777" i="9" s="1"/>
  <c r="M764" i="9"/>
  <c r="O764" i="9" s="1"/>
  <c r="AE764" i="9" s="1"/>
  <c r="M724" i="9"/>
  <c r="O724" i="9" s="1"/>
  <c r="AE724" i="9" s="1"/>
  <c r="M726" i="9"/>
  <c r="O726" i="9" s="1"/>
  <c r="AE726" i="9" s="1"/>
  <c r="M732" i="9"/>
  <c r="O732" i="9" s="1"/>
  <c r="AE732" i="9" s="1"/>
  <c r="M752" i="9"/>
  <c r="O752" i="9" s="1"/>
  <c r="AE752" i="9" s="1"/>
  <c r="M766" i="9"/>
  <c r="O766" i="9" s="1"/>
  <c r="AE766" i="9" s="1"/>
  <c r="M722" i="9"/>
  <c r="O722" i="9" s="1"/>
  <c r="AE722" i="9" s="1"/>
  <c r="M729" i="9"/>
  <c r="O729" i="9" s="1"/>
  <c r="AE729" i="9" s="1"/>
  <c r="M745" i="9"/>
  <c r="O745" i="9" s="1"/>
  <c r="AE745" i="9" s="1"/>
  <c r="M757" i="9"/>
  <c r="O757" i="9" s="1"/>
  <c r="AE757" i="9" s="1"/>
  <c r="M774" i="9"/>
  <c r="O774" i="9" s="1"/>
  <c r="AE774" i="9" s="1"/>
  <c r="M780" i="9"/>
  <c r="O780" i="9" s="1"/>
  <c r="AE780" i="9" s="1"/>
  <c r="M782" i="9"/>
  <c r="O782" i="9" s="1"/>
  <c r="AE782" i="9" s="1"/>
  <c r="M787" i="9"/>
  <c r="O787" i="9" s="1"/>
  <c r="AE787" i="9" s="1"/>
  <c r="M790" i="9"/>
  <c r="O790" i="9" s="1"/>
  <c r="AE790" i="9" s="1"/>
  <c r="M794" i="9"/>
  <c r="M800" i="9"/>
  <c r="O800" i="9" s="1"/>
  <c r="AE800" i="9" s="1"/>
  <c r="M807" i="9"/>
  <c r="O807" i="9" s="1"/>
  <c r="AE807" i="9" s="1"/>
  <c r="M810" i="9"/>
  <c r="O810" i="9" s="1"/>
  <c r="AE810" i="9" s="1"/>
  <c r="M813" i="9"/>
  <c r="M818" i="9"/>
  <c r="O818" i="9" s="1"/>
  <c r="AE818" i="9" s="1"/>
  <c r="M825" i="9"/>
  <c r="O825" i="9" s="1"/>
  <c r="AE825" i="9" s="1"/>
  <c r="M828" i="9"/>
  <c r="O828" i="9" s="1"/>
  <c r="AE828" i="9" s="1"/>
  <c r="M832" i="9"/>
  <c r="O832" i="9" s="1"/>
  <c r="AE832" i="9" s="1"/>
  <c r="M834" i="9"/>
  <c r="O834" i="9" s="1"/>
  <c r="AE834" i="9" s="1"/>
  <c r="M839" i="9"/>
  <c r="O839" i="9" s="1"/>
  <c r="AE839" i="9" s="1"/>
  <c r="M853" i="9"/>
  <c r="O853" i="9" s="1"/>
  <c r="AE853" i="9" s="1"/>
  <c r="M857" i="9"/>
  <c r="O857" i="9" s="1"/>
  <c r="AE857" i="9" s="1"/>
  <c r="M871" i="9"/>
  <c r="O871" i="9" s="1"/>
  <c r="AE871" i="9" s="1"/>
  <c r="M877" i="9"/>
  <c r="O877" i="9" s="1"/>
  <c r="AE877" i="9" s="1"/>
  <c r="M892" i="9"/>
  <c r="M927" i="9"/>
  <c r="M933" i="9"/>
  <c r="O933" i="9" s="1"/>
  <c r="AE933" i="9" s="1"/>
  <c r="M855" i="9"/>
  <c r="O855" i="9" s="1"/>
  <c r="AE855" i="9" s="1"/>
  <c r="M860" i="9"/>
  <c r="O860" i="9" s="1"/>
  <c r="AE860" i="9" s="1"/>
  <c r="M901" i="9"/>
  <c r="M917" i="9"/>
  <c r="O917" i="9" s="1"/>
  <c r="AE917" i="9" s="1"/>
  <c r="M920" i="9"/>
  <c r="O920" i="9" s="1"/>
  <c r="AE920" i="9" s="1"/>
  <c r="M941" i="9"/>
  <c r="O941" i="9" s="1"/>
  <c r="AE941" i="9" s="1"/>
  <c r="M948" i="9"/>
  <c r="O948" i="9" s="1"/>
  <c r="AE948" i="9" s="1"/>
  <c r="M841" i="9"/>
  <c r="O841" i="9" s="1"/>
  <c r="AE841" i="9" s="1"/>
  <c r="M760" i="9"/>
  <c r="O760" i="9" s="1"/>
  <c r="AE760" i="9" s="1"/>
  <c r="M765" i="9"/>
  <c r="M781" i="9"/>
  <c r="O781" i="9" s="1"/>
  <c r="AE781" i="9" s="1"/>
  <c r="M789" i="9"/>
  <c r="O789" i="9" s="1"/>
  <c r="AE789" i="9" s="1"/>
  <c r="M793" i="9"/>
  <c r="O793" i="9" s="1"/>
  <c r="AE793" i="9" s="1"/>
  <c r="M796" i="9"/>
  <c r="O796" i="9" s="1"/>
  <c r="AE796" i="9" s="1"/>
  <c r="M797" i="9"/>
  <c r="O797" i="9" s="1"/>
  <c r="AE797" i="9" s="1"/>
  <c r="M802" i="9"/>
  <c r="O802" i="9" s="1"/>
  <c r="AE802" i="9" s="1"/>
  <c r="M805" i="9"/>
  <c r="O805" i="9" s="1"/>
  <c r="AE805" i="9" s="1"/>
  <c r="M808" i="9"/>
  <c r="O808" i="9" s="1"/>
  <c r="AE808" i="9" s="1"/>
  <c r="M814" i="9"/>
  <c r="O814" i="9" s="1"/>
  <c r="AE814" i="9" s="1"/>
  <c r="M820" i="9"/>
  <c r="O820" i="9" s="1"/>
  <c r="AE820" i="9" s="1"/>
  <c r="M823" i="9"/>
  <c r="O823" i="9" s="1"/>
  <c r="AE823" i="9" s="1"/>
  <c r="M826" i="9"/>
  <c r="M843" i="9"/>
  <c r="O843" i="9" s="1"/>
  <c r="AE843" i="9" s="1"/>
  <c r="M850" i="9"/>
  <c r="O850" i="9" s="1"/>
  <c r="AE850" i="9" s="1"/>
  <c r="M854" i="9"/>
  <c r="O854" i="9" s="1"/>
  <c r="AE854" i="9" s="1"/>
  <c r="M866" i="9"/>
  <c r="O866" i="9" s="1"/>
  <c r="AE866" i="9" s="1"/>
  <c r="M874" i="9"/>
  <c r="O874" i="9" s="1"/>
  <c r="AE874" i="9" s="1"/>
  <c r="M883" i="9"/>
  <c r="O883" i="9" s="1"/>
  <c r="AE883" i="9" s="1"/>
  <c r="M909" i="9"/>
  <c r="O909" i="9" s="1"/>
  <c r="AE909" i="9" s="1"/>
  <c r="M915" i="9"/>
  <c r="M930" i="9"/>
  <c r="O930" i="9" s="1"/>
  <c r="AE930" i="9" s="1"/>
  <c r="M947" i="9"/>
  <c r="M847" i="9"/>
  <c r="O847" i="9" s="1"/>
  <c r="AE847" i="9" s="1"/>
  <c r="M862" i="9"/>
  <c r="O862" i="9" s="1"/>
  <c r="AE862" i="9" s="1"/>
  <c r="M887" i="9"/>
  <c r="M894" i="9"/>
  <c r="M939" i="9"/>
  <c r="O939" i="9" s="1"/>
  <c r="AE939" i="9" s="1"/>
  <c r="M944" i="9"/>
  <c r="M845" i="9"/>
  <c r="O845" i="9" s="1"/>
  <c r="AE845" i="9" s="1"/>
  <c r="M770" i="9"/>
  <c r="O770" i="9" s="1"/>
  <c r="AE770" i="9" s="1"/>
  <c r="M783" i="9"/>
  <c r="O783" i="9" s="1"/>
  <c r="AE783" i="9" s="1"/>
  <c r="M784" i="9"/>
  <c r="O784" i="9" s="1"/>
  <c r="AE784" i="9" s="1"/>
  <c r="M786" i="9"/>
  <c r="M792" i="9"/>
  <c r="O792" i="9" s="1"/>
  <c r="AE792" i="9" s="1"/>
  <c r="M798" i="9"/>
  <c r="O798" i="9" s="1"/>
  <c r="AE798" i="9" s="1"/>
  <c r="M801" i="9"/>
  <c r="O801" i="9" s="1"/>
  <c r="AE801" i="9" s="1"/>
  <c r="M803" i="9"/>
  <c r="M809" i="9"/>
  <c r="O809" i="9" s="1"/>
  <c r="AE809" i="9" s="1"/>
  <c r="M811" i="9"/>
  <c r="O811" i="9" s="1"/>
  <c r="AE811" i="9" s="1"/>
  <c r="M816" i="9"/>
  <c r="O816" i="9" s="1"/>
  <c r="AE816" i="9" s="1"/>
  <c r="M819" i="9"/>
  <c r="O819" i="9" s="1"/>
  <c r="AE819" i="9" s="1"/>
  <c r="M821" i="9"/>
  <c r="O821" i="9" s="1"/>
  <c r="AE821" i="9" s="1"/>
  <c r="M827" i="9"/>
  <c r="O827" i="9" s="1"/>
  <c r="AE827" i="9" s="1"/>
  <c r="M829" i="9"/>
  <c r="O829" i="9" s="1"/>
  <c r="AE829" i="9" s="1"/>
  <c r="M830" i="9"/>
  <c r="O830" i="9" s="1"/>
  <c r="AE830" i="9" s="1"/>
  <c r="M833" i="9"/>
  <c r="O833" i="9" s="1"/>
  <c r="AE833" i="9" s="1"/>
  <c r="M840" i="9"/>
  <c r="O840" i="9" s="1"/>
  <c r="AE840" i="9" s="1"/>
  <c r="M846" i="9"/>
  <c r="O846" i="9" s="1"/>
  <c r="AE846" i="9" s="1"/>
  <c r="M912" i="9"/>
  <c r="O912" i="9" s="1"/>
  <c r="AE912" i="9" s="1"/>
  <c r="M921" i="9"/>
  <c r="O921" i="9" s="1"/>
  <c r="AE921" i="9" s="1"/>
  <c r="M943" i="9"/>
  <c r="O943" i="9" s="1"/>
  <c r="AE943" i="9" s="1"/>
  <c r="M837" i="9"/>
  <c r="M856" i="9"/>
  <c r="M864" i="9"/>
  <c r="O864" i="9" s="1"/>
  <c r="AE864" i="9" s="1"/>
  <c r="M869" i="9"/>
  <c r="O869" i="9" s="1"/>
  <c r="AE869" i="9" s="1"/>
  <c r="M876" i="9"/>
  <c r="O876" i="9" s="1"/>
  <c r="AE876" i="9" s="1"/>
  <c r="M897" i="9"/>
  <c r="O897" i="9" s="1"/>
  <c r="AE897" i="9" s="1"/>
  <c r="M925" i="9"/>
  <c r="O925" i="9" s="1"/>
  <c r="AE925" i="9" s="1"/>
  <c r="M932" i="9"/>
  <c r="O932" i="9" s="1"/>
  <c r="AE932" i="9" s="1"/>
  <c r="M772" i="9"/>
  <c r="O772" i="9" s="1"/>
  <c r="AE772" i="9" s="1"/>
  <c r="M779" i="9"/>
  <c r="O779" i="9" s="1"/>
  <c r="AE779" i="9" s="1"/>
  <c r="M785" i="9"/>
  <c r="O785" i="9" s="1"/>
  <c r="AE785" i="9" s="1"/>
  <c r="M788" i="9"/>
  <c r="O788" i="9" s="1"/>
  <c r="AE788" i="9" s="1"/>
  <c r="M791" i="9"/>
  <c r="O791" i="9" s="1"/>
  <c r="AE791" i="9" s="1"/>
  <c r="M795" i="9"/>
  <c r="O795" i="9" s="1"/>
  <c r="AE795" i="9" s="1"/>
  <c r="M799" i="9"/>
  <c r="M804" i="9"/>
  <c r="O804" i="9" s="1"/>
  <c r="AE804" i="9" s="1"/>
  <c r="M806" i="9"/>
  <c r="O806" i="9" s="1"/>
  <c r="AE806" i="9" s="1"/>
  <c r="M812" i="9"/>
  <c r="O812" i="9" s="1"/>
  <c r="AE812" i="9" s="1"/>
  <c r="M815" i="9"/>
  <c r="O815" i="9" s="1"/>
  <c r="AE815" i="9" s="1"/>
  <c r="M817" i="9"/>
  <c r="O817" i="9" s="1"/>
  <c r="AE817" i="9" s="1"/>
  <c r="M822" i="9"/>
  <c r="O822" i="9" s="1"/>
  <c r="AE822" i="9" s="1"/>
  <c r="M824" i="9"/>
  <c r="O824" i="9" s="1"/>
  <c r="AE824" i="9" s="1"/>
  <c r="M831" i="9"/>
  <c r="O831" i="9" s="1"/>
  <c r="AE831" i="9" s="1"/>
  <c r="M835" i="9"/>
  <c r="O835" i="9" s="1"/>
  <c r="AE835" i="9" s="1"/>
  <c r="M836" i="9"/>
  <c r="O836" i="9" s="1"/>
  <c r="AE836" i="9" s="1"/>
  <c r="M849" i="9"/>
  <c r="O849" i="9" s="1"/>
  <c r="AE849" i="9" s="1"/>
  <c r="M889" i="9"/>
  <c r="O889" i="9" s="1"/>
  <c r="AE889" i="9" s="1"/>
  <c r="M895" i="9"/>
  <c r="O895" i="9" s="1"/>
  <c r="AE895" i="9" s="1"/>
  <c r="M844" i="9"/>
  <c r="O844" i="9" s="1"/>
  <c r="AE844" i="9" s="1"/>
  <c r="M858" i="9"/>
  <c r="O858" i="9" s="1"/>
  <c r="AE858" i="9" s="1"/>
  <c r="M865" i="9"/>
  <c r="M879" i="9"/>
  <c r="O879" i="9" s="1"/>
  <c r="AE879" i="9" s="1"/>
  <c r="M882" i="9"/>
  <c r="O882" i="9" s="1"/>
  <c r="AE882" i="9" s="1"/>
  <c r="M903" i="9"/>
  <c r="O903" i="9" s="1"/>
  <c r="AE903" i="9" s="1"/>
  <c r="M907" i="9"/>
  <c r="O907" i="9" s="1"/>
  <c r="AE907" i="9" s="1"/>
  <c r="M914" i="9"/>
  <c r="O914" i="9" s="1"/>
  <c r="AE914" i="9" s="1"/>
  <c r="M935" i="9"/>
  <c r="O935" i="9" s="1"/>
  <c r="AE935" i="9" s="1"/>
  <c r="M851" i="9"/>
  <c r="O851" i="9" s="1"/>
  <c r="AE851" i="9" s="1"/>
  <c r="M873" i="9"/>
  <c r="O873" i="9" s="1"/>
  <c r="AE873" i="9" s="1"/>
  <c r="M881" i="9"/>
  <c r="O881" i="9" s="1"/>
  <c r="AE881" i="9" s="1"/>
  <c r="M906" i="9"/>
  <c r="O906" i="9" s="1"/>
  <c r="AE906" i="9" s="1"/>
  <c r="M913" i="9"/>
  <c r="O913" i="9" s="1"/>
  <c r="AE913" i="9" s="1"/>
  <c r="M929" i="9"/>
  <c r="O929" i="9" s="1"/>
  <c r="AE929" i="9" s="1"/>
  <c r="M949" i="9"/>
  <c r="O949" i="9" s="1"/>
  <c r="AE949" i="9" s="1"/>
  <c r="M953" i="9"/>
  <c r="O953" i="9" s="1"/>
  <c r="AE953" i="9" s="1"/>
  <c r="M958" i="9"/>
  <c r="O958" i="9" s="1"/>
  <c r="AE958" i="9" s="1"/>
  <c r="M960" i="9"/>
  <c r="O960" i="9" s="1"/>
  <c r="AE960" i="9" s="1"/>
  <c r="M966" i="9"/>
  <c r="O966" i="9" s="1"/>
  <c r="AE966" i="9" s="1"/>
  <c r="M969" i="9"/>
  <c r="O969" i="9" s="1"/>
  <c r="AE969" i="9" s="1"/>
  <c r="M971" i="9"/>
  <c r="M976" i="9"/>
  <c r="O976" i="9" s="1"/>
  <c r="AE976" i="9" s="1"/>
  <c r="M978" i="9"/>
  <c r="O978" i="9" s="1"/>
  <c r="AE978" i="9" s="1"/>
  <c r="M985" i="9"/>
  <c r="O985" i="9" s="1"/>
  <c r="AE985" i="9" s="1"/>
  <c r="M989" i="9"/>
  <c r="O989" i="9" s="1"/>
  <c r="AE989" i="9" s="1"/>
  <c r="M991" i="9"/>
  <c r="O991" i="9" s="1"/>
  <c r="AE991" i="9" s="1"/>
  <c r="M996" i="9"/>
  <c r="O996" i="9" s="1"/>
  <c r="AE996" i="9" s="1"/>
  <c r="M998" i="9"/>
  <c r="O998" i="9" s="1"/>
  <c r="AE998" i="9" s="1"/>
  <c r="M1004" i="9"/>
  <c r="O1004" i="9" s="1"/>
  <c r="AE1004" i="9" s="1"/>
  <c r="M1007" i="9"/>
  <c r="O1007" i="9" s="1"/>
  <c r="AE1007" i="9" s="1"/>
  <c r="M1009" i="9"/>
  <c r="O1009" i="9" s="1"/>
  <c r="AE1009" i="9" s="1"/>
  <c r="M1014" i="9"/>
  <c r="O1014" i="9" s="1"/>
  <c r="AE1014" i="9" s="1"/>
  <c r="M1016" i="9"/>
  <c r="O1016" i="9" s="1"/>
  <c r="AE1016" i="9" s="1"/>
  <c r="M1023" i="9"/>
  <c r="O1023" i="9" s="1"/>
  <c r="AE1023" i="9" s="1"/>
  <c r="M1027" i="9"/>
  <c r="O1027" i="9" s="1"/>
  <c r="AE1027" i="9" s="1"/>
  <c r="M838" i="9"/>
  <c r="O838" i="9" s="1"/>
  <c r="AE838" i="9" s="1"/>
  <c r="M842" i="9"/>
  <c r="M863" i="9"/>
  <c r="O863" i="9" s="1"/>
  <c r="AE863" i="9" s="1"/>
  <c r="M870" i="9"/>
  <c r="O870" i="9" s="1"/>
  <c r="AE870" i="9" s="1"/>
  <c r="M872" i="9"/>
  <c r="O872" i="9" s="1"/>
  <c r="AE872" i="9" s="1"/>
  <c r="M878" i="9"/>
  <c r="O878" i="9" s="1"/>
  <c r="AE878" i="9" s="1"/>
  <c r="M898" i="9"/>
  <c r="O898" i="9" s="1"/>
  <c r="AE898" i="9" s="1"/>
  <c r="M905" i="9"/>
  <c r="O905" i="9" s="1"/>
  <c r="AE905" i="9" s="1"/>
  <c r="M926" i="9"/>
  <c r="O926" i="9" s="1"/>
  <c r="AE926" i="9" s="1"/>
  <c r="M928" i="9"/>
  <c r="O928" i="9" s="1"/>
  <c r="AE928" i="9" s="1"/>
  <c r="M934" i="9"/>
  <c r="O934" i="9" s="1"/>
  <c r="AE934" i="9" s="1"/>
  <c r="M1031" i="9"/>
  <c r="O1031" i="9" s="1"/>
  <c r="AE1031" i="9" s="1"/>
  <c r="M1036" i="9"/>
  <c r="O1036" i="9" s="1"/>
  <c r="AE1036" i="9" s="1"/>
  <c r="M884" i="9"/>
  <c r="O884" i="9" s="1"/>
  <c r="AE884" i="9" s="1"/>
  <c r="M900" i="9"/>
  <c r="O900" i="9" s="1"/>
  <c r="AE900" i="9" s="1"/>
  <c r="M904" i="9"/>
  <c r="O904" i="9" s="1"/>
  <c r="AE904" i="9" s="1"/>
  <c r="M911" i="9"/>
  <c r="O911" i="9" s="1"/>
  <c r="AE911" i="9" s="1"/>
  <c r="M919" i="9"/>
  <c r="O919" i="9" s="1"/>
  <c r="AE919" i="9" s="1"/>
  <c r="M954" i="9"/>
  <c r="O954" i="9" s="1"/>
  <c r="AE954" i="9" s="1"/>
  <c r="M961" i="9"/>
  <c r="O961" i="9" s="1"/>
  <c r="AE961" i="9" s="1"/>
  <c r="M964" i="9"/>
  <c r="O964" i="9" s="1"/>
  <c r="AE964" i="9" s="1"/>
  <c r="M967" i="9"/>
  <c r="O967" i="9" s="1"/>
  <c r="AE967" i="9" s="1"/>
  <c r="M972" i="9"/>
  <c r="O972" i="9" s="1"/>
  <c r="AE972" i="9" s="1"/>
  <c r="M979" i="9"/>
  <c r="O979" i="9" s="1"/>
  <c r="AE979" i="9" s="1"/>
  <c r="M982" i="9"/>
  <c r="M986" i="9"/>
  <c r="O986" i="9" s="1"/>
  <c r="AE986" i="9" s="1"/>
  <c r="M988" i="9"/>
  <c r="O988" i="9" s="1"/>
  <c r="AE988" i="9" s="1"/>
  <c r="M992" i="9"/>
  <c r="O992" i="9" s="1"/>
  <c r="AE992" i="9" s="1"/>
  <c r="M999" i="9"/>
  <c r="O999" i="9" s="1"/>
  <c r="AE999" i="9" s="1"/>
  <c r="M1002" i="9"/>
  <c r="O1002" i="9" s="1"/>
  <c r="AE1002" i="9" s="1"/>
  <c r="M1005" i="9"/>
  <c r="O1005" i="9" s="1"/>
  <c r="AE1005" i="9" s="1"/>
  <c r="M1010" i="9"/>
  <c r="O1010" i="9" s="1"/>
  <c r="AE1010" i="9" s="1"/>
  <c r="M1017" i="9"/>
  <c r="O1017" i="9" s="1"/>
  <c r="AE1017" i="9" s="1"/>
  <c r="M1020" i="9"/>
  <c r="O1020" i="9" s="1"/>
  <c r="AE1020" i="9" s="1"/>
  <c r="M1024" i="9"/>
  <c r="M1026" i="9"/>
  <c r="O1026" i="9" s="1"/>
  <c r="AE1026" i="9" s="1"/>
  <c r="M880" i="9"/>
  <c r="O880" i="9" s="1"/>
  <c r="AE880" i="9" s="1"/>
  <c r="M899" i="9"/>
  <c r="O899" i="9" s="1"/>
  <c r="AE899" i="9" s="1"/>
  <c r="M908" i="9"/>
  <c r="M910" i="9"/>
  <c r="O910" i="9" s="1"/>
  <c r="AE910" i="9" s="1"/>
  <c r="M916" i="9"/>
  <c r="O916" i="9" s="1"/>
  <c r="AE916" i="9" s="1"/>
  <c r="M936" i="9"/>
  <c r="O936" i="9" s="1"/>
  <c r="AE936" i="9" s="1"/>
  <c r="M1033" i="9"/>
  <c r="O1033" i="9" s="1"/>
  <c r="AE1033" i="9" s="1"/>
  <c r="M886" i="9"/>
  <c r="O886" i="9" s="1"/>
  <c r="AE886" i="9" s="1"/>
  <c r="M893" i="9"/>
  <c r="O893" i="9" s="1"/>
  <c r="AE893" i="9" s="1"/>
  <c r="M922" i="9"/>
  <c r="O922" i="9" s="1"/>
  <c r="AE922" i="9" s="1"/>
  <c r="M938" i="9"/>
  <c r="O938" i="9" s="1"/>
  <c r="AE938" i="9" s="1"/>
  <c r="M942" i="9"/>
  <c r="O942" i="9" s="1"/>
  <c r="AE942" i="9" s="1"/>
  <c r="M945" i="9"/>
  <c r="O945" i="9" s="1"/>
  <c r="AE945" i="9" s="1"/>
  <c r="M950" i="9"/>
  <c r="M951" i="9"/>
  <c r="O951" i="9" s="1"/>
  <c r="AE951" i="9" s="1"/>
  <c r="M956" i="9"/>
  <c r="O956" i="9" s="1"/>
  <c r="AE956" i="9" s="1"/>
  <c r="M959" i="9"/>
  <c r="O959" i="9" s="1"/>
  <c r="AE959" i="9" s="1"/>
  <c r="M962" i="9"/>
  <c r="O962" i="9" s="1"/>
  <c r="AE962" i="9" s="1"/>
  <c r="M968" i="9"/>
  <c r="O968" i="9" s="1"/>
  <c r="AE968" i="9" s="1"/>
  <c r="M974" i="9"/>
  <c r="O974" i="9" s="1"/>
  <c r="AE974" i="9" s="1"/>
  <c r="M977" i="9"/>
  <c r="O977" i="9" s="1"/>
  <c r="AE977" i="9" s="1"/>
  <c r="M980" i="9"/>
  <c r="O980" i="9" s="1"/>
  <c r="AE980" i="9" s="1"/>
  <c r="M994" i="9"/>
  <c r="O994" i="9" s="1"/>
  <c r="AE994" i="9" s="1"/>
  <c r="M997" i="9"/>
  <c r="O997" i="9" s="1"/>
  <c r="AE997" i="9" s="1"/>
  <c r="M1000" i="9"/>
  <c r="O1000" i="9" s="1"/>
  <c r="AE1000" i="9" s="1"/>
  <c r="M1006" i="9"/>
  <c r="O1006" i="9" s="1"/>
  <c r="AE1006" i="9" s="1"/>
  <c r="M1012" i="9"/>
  <c r="M1015" i="9"/>
  <c r="O1015" i="9" s="1"/>
  <c r="AE1015" i="9" s="1"/>
  <c r="M1018" i="9"/>
  <c r="O1018" i="9" s="1"/>
  <c r="AE1018" i="9" s="1"/>
  <c r="M859" i="9"/>
  <c r="O859" i="9" s="1"/>
  <c r="AE859" i="9" s="1"/>
  <c r="M885" i="9"/>
  <c r="M902" i="9"/>
  <c r="O902" i="9" s="1"/>
  <c r="AE902" i="9" s="1"/>
  <c r="M918" i="9"/>
  <c r="O918" i="9" s="1"/>
  <c r="AE918" i="9" s="1"/>
  <c r="M937" i="9"/>
  <c r="O937" i="9" s="1"/>
  <c r="AE937" i="9" s="1"/>
  <c r="M868" i="9"/>
  <c r="O868" i="9" s="1"/>
  <c r="AE868" i="9" s="1"/>
  <c r="M875" i="9"/>
  <c r="O875" i="9" s="1"/>
  <c r="AE875" i="9" s="1"/>
  <c r="M891" i="9"/>
  <c r="O891" i="9" s="1"/>
  <c r="AE891" i="9" s="1"/>
  <c r="M924" i="9"/>
  <c r="M931" i="9"/>
  <c r="O931" i="9" s="1"/>
  <c r="AE931" i="9" s="1"/>
  <c r="M952" i="9"/>
  <c r="O952" i="9" s="1"/>
  <c r="AE952" i="9" s="1"/>
  <c r="M955" i="9"/>
  <c r="O955" i="9" s="1"/>
  <c r="AE955" i="9" s="1"/>
  <c r="M957" i="9"/>
  <c r="O957" i="9" s="1"/>
  <c r="AE957" i="9" s="1"/>
  <c r="M963" i="9"/>
  <c r="O963" i="9" s="1"/>
  <c r="AE963" i="9" s="1"/>
  <c r="M965" i="9"/>
  <c r="O965" i="9" s="1"/>
  <c r="AE965" i="9" s="1"/>
  <c r="M970" i="9"/>
  <c r="O970" i="9" s="1"/>
  <c r="AE970" i="9" s="1"/>
  <c r="M973" i="9"/>
  <c r="O973" i="9" s="1"/>
  <c r="AE973" i="9" s="1"/>
  <c r="M975" i="9"/>
  <c r="O975" i="9" s="1"/>
  <c r="AE975" i="9" s="1"/>
  <c r="M981" i="9"/>
  <c r="O981" i="9" s="1"/>
  <c r="AE981" i="9" s="1"/>
  <c r="M983" i="9"/>
  <c r="O983" i="9" s="1"/>
  <c r="AE983" i="9" s="1"/>
  <c r="M984" i="9"/>
  <c r="O984" i="9" s="1"/>
  <c r="AE984" i="9" s="1"/>
  <c r="M987" i="9"/>
  <c r="O987" i="9" s="1"/>
  <c r="AE987" i="9" s="1"/>
  <c r="M990" i="9"/>
  <c r="O990" i="9" s="1"/>
  <c r="AE990" i="9" s="1"/>
  <c r="M993" i="9"/>
  <c r="O993" i="9" s="1"/>
  <c r="AE993" i="9" s="1"/>
  <c r="M995" i="9"/>
  <c r="O995" i="9" s="1"/>
  <c r="AE995" i="9" s="1"/>
  <c r="M1001" i="9"/>
  <c r="M1003" i="9"/>
  <c r="O1003" i="9" s="1"/>
  <c r="AE1003" i="9" s="1"/>
  <c r="M1008" i="9"/>
  <c r="O1008" i="9" s="1"/>
  <c r="AE1008" i="9" s="1"/>
  <c r="M1011" i="9"/>
  <c r="O1011" i="9" s="1"/>
  <c r="AE1011" i="9" s="1"/>
  <c r="M1013" i="9"/>
  <c r="O1013" i="9" s="1"/>
  <c r="AE1013" i="9" s="1"/>
  <c r="M1019" i="9"/>
  <c r="O1019" i="9" s="1"/>
  <c r="AE1019" i="9" s="1"/>
  <c r="M1021" i="9"/>
  <c r="O1021" i="9" s="1"/>
  <c r="AE1021" i="9" s="1"/>
  <c r="M1022" i="9"/>
  <c r="O1022" i="9" s="1"/>
  <c r="AE1022" i="9" s="1"/>
  <c r="M1025" i="9"/>
  <c r="M848" i="9"/>
  <c r="O848" i="9" s="1"/>
  <c r="AE848" i="9" s="1"/>
  <c r="M852" i="9"/>
  <c r="O852" i="9" s="1"/>
  <c r="AE852" i="9" s="1"/>
  <c r="M861" i="9"/>
  <c r="O861" i="9" s="1"/>
  <c r="AE861" i="9" s="1"/>
  <c r="M867" i="9"/>
  <c r="O867" i="9" s="1"/>
  <c r="AE867" i="9" s="1"/>
  <c r="M888" i="9"/>
  <c r="O888" i="9" s="1"/>
  <c r="AE888" i="9" s="1"/>
  <c r="M890" i="9"/>
  <c r="O890" i="9" s="1"/>
  <c r="AE890" i="9" s="1"/>
  <c r="M896" i="9"/>
  <c r="O896" i="9" s="1"/>
  <c r="AE896" i="9" s="1"/>
  <c r="M923" i="9"/>
  <c r="O923" i="9" s="1"/>
  <c r="AE923" i="9" s="1"/>
  <c r="M940" i="9"/>
  <c r="O940" i="9" s="1"/>
  <c r="AE940" i="9" s="1"/>
  <c r="M946" i="9"/>
  <c r="O946" i="9" s="1"/>
  <c r="AE946" i="9" s="1"/>
  <c r="M1045" i="9"/>
  <c r="O1045" i="9" s="1"/>
  <c r="AE1045" i="9" s="1"/>
  <c r="M1047" i="9"/>
  <c r="O1047" i="9" s="1"/>
  <c r="AE1047" i="9" s="1"/>
  <c r="M1063" i="9"/>
  <c r="O1063" i="9" s="1"/>
  <c r="AE1063" i="9" s="1"/>
  <c r="M1079" i="9"/>
  <c r="O1079" i="9" s="1"/>
  <c r="AE1079" i="9" s="1"/>
  <c r="M1082" i="9"/>
  <c r="O1082" i="9" s="1"/>
  <c r="AE1082" i="9" s="1"/>
  <c r="M1087" i="9"/>
  <c r="M1094" i="9"/>
  <c r="O1094" i="9" s="1"/>
  <c r="AE1094" i="9" s="1"/>
  <c r="M1103" i="9"/>
  <c r="O1103" i="9" s="1"/>
  <c r="AE1103" i="9" s="1"/>
  <c r="M1108" i="9"/>
  <c r="O1108" i="9" s="1"/>
  <c r="AE1108" i="9" s="1"/>
  <c r="M1122" i="9"/>
  <c r="M1126" i="9"/>
  <c r="O1126" i="9" s="1"/>
  <c r="AE1126" i="9" s="1"/>
  <c r="M1028" i="9"/>
  <c r="O1028" i="9" s="1"/>
  <c r="AE1028" i="9" s="1"/>
  <c r="M1044" i="9"/>
  <c r="O1044" i="9" s="1"/>
  <c r="AE1044" i="9" s="1"/>
  <c r="M1046" i="9"/>
  <c r="M1107" i="9"/>
  <c r="O1107" i="9" s="1"/>
  <c r="AE1107" i="9" s="1"/>
  <c r="M1111" i="9"/>
  <c r="O1111" i="9" s="1"/>
  <c r="AE1111" i="9" s="1"/>
  <c r="M1131" i="9"/>
  <c r="O1131" i="9" s="1"/>
  <c r="AE1131" i="9" s="1"/>
  <c r="M1029" i="9"/>
  <c r="O1029" i="9" s="1"/>
  <c r="AE1029" i="9" s="1"/>
  <c r="M1034" i="9"/>
  <c r="O1034" i="9" s="1"/>
  <c r="AE1034" i="9" s="1"/>
  <c r="M1062" i="9"/>
  <c r="O1062" i="9" s="1"/>
  <c r="AE1062" i="9" s="1"/>
  <c r="M1071" i="9"/>
  <c r="O1071" i="9" s="1"/>
  <c r="AE1071" i="9" s="1"/>
  <c r="M1077" i="9"/>
  <c r="O1077" i="9" s="1"/>
  <c r="AE1077" i="9" s="1"/>
  <c r="M1092" i="9"/>
  <c r="O1092" i="9" s="1"/>
  <c r="AE1092" i="9" s="1"/>
  <c r="M1120" i="9"/>
  <c r="O1120" i="9" s="1"/>
  <c r="AE1120" i="9" s="1"/>
  <c r="M1049" i="9"/>
  <c r="O1049" i="9" s="1"/>
  <c r="AE1049" i="9" s="1"/>
  <c r="M1104" i="9"/>
  <c r="O1104" i="9" s="1"/>
  <c r="AE1104" i="9" s="1"/>
  <c r="M1106" i="9"/>
  <c r="O1106" i="9" s="1"/>
  <c r="AE1106" i="9" s="1"/>
  <c r="M1125" i="9"/>
  <c r="O1125" i="9" s="1"/>
  <c r="AE1125" i="9" s="1"/>
  <c r="M1136" i="9"/>
  <c r="O1136" i="9" s="1"/>
  <c r="AE1136" i="9" s="1"/>
  <c r="M1139" i="9"/>
  <c r="O1139" i="9" s="1"/>
  <c r="AE1139" i="9" s="1"/>
  <c r="M1141" i="9"/>
  <c r="O1141" i="9" s="1"/>
  <c r="AE1141" i="9" s="1"/>
  <c r="M1147" i="9"/>
  <c r="O1147" i="9" s="1"/>
  <c r="AE1147" i="9" s="1"/>
  <c r="M1149" i="9"/>
  <c r="O1149" i="9" s="1"/>
  <c r="AE1149" i="9" s="1"/>
  <c r="M1154" i="9"/>
  <c r="O1154" i="9" s="1"/>
  <c r="AE1154" i="9" s="1"/>
  <c r="M1157" i="9"/>
  <c r="O1157" i="9" s="1"/>
  <c r="AE1157" i="9" s="1"/>
  <c r="M1159" i="9"/>
  <c r="O1159" i="9" s="1"/>
  <c r="AE1159" i="9" s="1"/>
  <c r="M1165" i="9"/>
  <c r="O1165" i="9" s="1"/>
  <c r="AE1165" i="9" s="1"/>
  <c r="M1167" i="9"/>
  <c r="M1168" i="9"/>
  <c r="O1168" i="9" s="1"/>
  <c r="AE1168" i="9" s="1"/>
  <c r="M1171" i="9"/>
  <c r="O1171" i="9" s="1"/>
  <c r="AE1171" i="9" s="1"/>
  <c r="M1174" i="9"/>
  <c r="O1174" i="9" s="1"/>
  <c r="AE1174" i="9" s="1"/>
  <c r="M1177" i="9"/>
  <c r="O1177" i="9" s="1"/>
  <c r="AE1177" i="9" s="1"/>
  <c r="M1179" i="9"/>
  <c r="O1179" i="9" s="1"/>
  <c r="AE1179" i="9" s="1"/>
  <c r="M1185" i="9"/>
  <c r="O1185" i="9" s="1"/>
  <c r="AE1185" i="9" s="1"/>
  <c r="M1187" i="9"/>
  <c r="O1187" i="9" s="1"/>
  <c r="AE1187" i="9" s="1"/>
  <c r="M1192" i="9"/>
  <c r="O1192" i="9" s="1"/>
  <c r="AE1192" i="9" s="1"/>
  <c r="M1195" i="9"/>
  <c r="O1195" i="9" s="1"/>
  <c r="AE1195" i="9" s="1"/>
  <c r="M1197" i="9"/>
  <c r="O1197" i="9" s="1"/>
  <c r="AE1197" i="9" s="1"/>
  <c r="M1203" i="9"/>
  <c r="O1203" i="9" s="1"/>
  <c r="AE1203" i="9" s="1"/>
  <c r="M1205" i="9"/>
  <c r="O1205" i="9" s="1"/>
  <c r="AE1205" i="9" s="1"/>
  <c r="M1206" i="9"/>
  <c r="O1206" i="9" s="1"/>
  <c r="AE1206" i="9" s="1"/>
  <c r="M1209" i="9"/>
  <c r="O1209" i="9" s="1"/>
  <c r="AE1209" i="9" s="1"/>
  <c r="M1255" i="9"/>
  <c r="O1255" i="9" s="1"/>
  <c r="AE1255" i="9" s="1"/>
  <c r="M1271" i="9"/>
  <c r="O1271" i="9" s="1"/>
  <c r="AE1271" i="9" s="1"/>
  <c r="M1274" i="9"/>
  <c r="O1274" i="9" s="1"/>
  <c r="AE1274" i="9" s="1"/>
  <c r="M1295" i="9"/>
  <c r="O1295" i="9" s="1"/>
  <c r="AE1295" i="9" s="1"/>
  <c r="M1318" i="9"/>
  <c r="O1318" i="9" s="1"/>
  <c r="AE1318" i="9" s="1"/>
  <c r="M1348" i="9"/>
  <c r="O1348" i="9" s="1"/>
  <c r="AE1348" i="9" s="1"/>
  <c r="M1352" i="9"/>
  <c r="O1352" i="9" s="1"/>
  <c r="AE1352" i="9" s="1"/>
  <c r="M1358" i="9"/>
  <c r="O1358" i="9" s="1"/>
  <c r="AE1358" i="9" s="1"/>
  <c r="M1361" i="9"/>
  <c r="O1361" i="9" s="1"/>
  <c r="AE1361" i="9" s="1"/>
  <c r="M1364" i="9"/>
  <c r="O1364" i="9" s="1"/>
  <c r="AE1364" i="9" s="1"/>
  <c r="M1376" i="9"/>
  <c r="O1376" i="9" s="1"/>
  <c r="AE1376" i="9" s="1"/>
  <c r="M1380" i="9"/>
  <c r="O1380" i="9" s="1"/>
  <c r="AE1380" i="9" s="1"/>
  <c r="M1386" i="9"/>
  <c r="M1390" i="9"/>
  <c r="O1390" i="9" s="1"/>
  <c r="AE1390" i="9" s="1"/>
  <c r="M1212" i="9"/>
  <c r="O1212" i="9" s="1"/>
  <c r="AE1212" i="9" s="1"/>
  <c r="M1067" i="9"/>
  <c r="O1067" i="9" s="1"/>
  <c r="AE1067" i="9" s="1"/>
  <c r="M1080" i="9"/>
  <c r="O1080" i="9" s="1"/>
  <c r="AE1080" i="9" s="1"/>
  <c r="M1088" i="9"/>
  <c r="O1088" i="9" s="1"/>
  <c r="AE1088" i="9" s="1"/>
  <c r="M1090" i="9"/>
  <c r="O1090" i="9" s="1"/>
  <c r="AE1090" i="9" s="1"/>
  <c r="M1096" i="9"/>
  <c r="O1096" i="9" s="1"/>
  <c r="AE1096" i="9" s="1"/>
  <c r="M1099" i="9"/>
  <c r="O1099" i="9" s="1"/>
  <c r="AE1099" i="9" s="1"/>
  <c r="M1112" i="9"/>
  <c r="O1112" i="9" s="1"/>
  <c r="AE1112" i="9" s="1"/>
  <c r="M1119" i="9"/>
  <c r="O1119" i="9" s="1"/>
  <c r="AE1119" i="9" s="1"/>
  <c r="M1123" i="9"/>
  <c r="O1123" i="9" s="1"/>
  <c r="AE1123" i="9" s="1"/>
  <c r="M1030" i="9"/>
  <c r="O1030" i="9" s="1"/>
  <c r="AE1030" i="9" s="1"/>
  <c r="M1032" i="9"/>
  <c r="O1032" i="9" s="1"/>
  <c r="AE1032" i="9" s="1"/>
  <c r="M1052" i="9"/>
  <c r="O1052" i="9" s="1"/>
  <c r="AE1052" i="9" s="1"/>
  <c r="M1127" i="9"/>
  <c r="O1127" i="9" s="1"/>
  <c r="AE1127" i="9" s="1"/>
  <c r="M1039" i="9"/>
  <c r="O1039" i="9" s="1"/>
  <c r="AE1039" i="9" s="1"/>
  <c r="M1064" i="9"/>
  <c r="O1064" i="9" s="1"/>
  <c r="AE1064" i="9" s="1"/>
  <c r="M1073" i="9"/>
  <c r="O1073" i="9" s="1"/>
  <c r="AE1073" i="9" s="1"/>
  <c r="M1081" i="9"/>
  <c r="O1081" i="9" s="1"/>
  <c r="AE1081" i="9" s="1"/>
  <c r="M1086" i="9"/>
  <c r="O1086" i="9" s="1"/>
  <c r="AE1086" i="9" s="1"/>
  <c r="M1093" i="9"/>
  <c r="O1093" i="9" s="1"/>
  <c r="AE1093" i="9" s="1"/>
  <c r="M1110" i="9"/>
  <c r="O1110" i="9" s="1"/>
  <c r="AE1110" i="9" s="1"/>
  <c r="M1035" i="9"/>
  <c r="M1051" i="9"/>
  <c r="O1051" i="9" s="1"/>
  <c r="AE1051" i="9" s="1"/>
  <c r="M1113" i="9"/>
  <c r="O1113" i="9" s="1"/>
  <c r="AE1113" i="9" s="1"/>
  <c r="M1133" i="9"/>
  <c r="O1133" i="9" s="1"/>
  <c r="AE1133" i="9" s="1"/>
  <c r="M1137" i="9"/>
  <c r="O1137" i="9" s="1"/>
  <c r="AE1137" i="9" s="1"/>
  <c r="M1142" i="9"/>
  <c r="O1142" i="9" s="1"/>
  <c r="AE1142" i="9" s="1"/>
  <c r="M1144" i="9"/>
  <c r="M1150" i="9"/>
  <c r="O1150" i="9" s="1"/>
  <c r="AE1150" i="9" s="1"/>
  <c r="M1153" i="9"/>
  <c r="O1153" i="9" s="1"/>
  <c r="AE1153" i="9" s="1"/>
  <c r="M1155" i="9"/>
  <c r="O1155" i="9" s="1"/>
  <c r="AE1155" i="9" s="1"/>
  <c r="M1160" i="9"/>
  <c r="O1160" i="9" s="1"/>
  <c r="AE1160" i="9" s="1"/>
  <c r="M1162" i="9"/>
  <c r="O1162" i="9" s="1"/>
  <c r="AE1162" i="9" s="1"/>
  <c r="M1169" i="9"/>
  <c r="O1169" i="9" s="1"/>
  <c r="AE1169" i="9" s="1"/>
  <c r="M1173" i="9"/>
  <c r="O1173" i="9" s="1"/>
  <c r="AE1173" i="9" s="1"/>
  <c r="M1175" i="9"/>
  <c r="O1175" i="9" s="1"/>
  <c r="AE1175" i="9" s="1"/>
  <c r="M1180" i="9"/>
  <c r="O1180" i="9" s="1"/>
  <c r="AE1180" i="9" s="1"/>
  <c r="M1182" i="9"/>
  <c r="O1182" i="9" s="1"/>
  <c r="AE1182" i="9" s="1"/>
  <c r="M1188" i="9"/>
  <c r="O1188" i="9" s="1"/>
  <c r="AE1188" i="9" s="1"/>
  <c r="M1191" i="9"/>
  <c r="M1193" i="9"/>
  <c r="O1193" i="9" s="1"/>
  <c r="AE1193" i="9" s="1"/>
  <c r="M1198" i="9"/>
  <c r="M1200" i="9"/>
  <c r="O1200" i="9" s="1"/>
  <c r="AE1200" i="9" s="1"/>
  <c r="M1207" i="9"/>
  <c r="O1207" i="9" s="1"/>
  <c r="AE1207" i="9" s="1"/>
  <c r="M1217" i="9"/>
  <c r="O1217" i="9" s="1"/>
  <c r="AE1217" i="9" s="1"/>
  <c r="M1241" i="9"/>
  <c r="O1241" i="9" s="1"/>
  <c r="AE1241" i="9" s="1"/>
  <c r="M1248" i="9"/>
  <c r="O1248" i="9" s="1"/>
  <c r="AE1248" i="9" s="1"/>
  <c r="M1291" i="9"/>
  <c r="O1291" i="9" s="1"/>
  <c r="AE1291" i="9" s="1"/>
  <c r="M1304" i="9"/>
  <c r="O1304" i="9" s="1"/>
  <c r="AE1304" i="9" s="1"/>
  <c r="M1320" i="9"/>
  <c r="O1320" i="9" s="1"/>
  <c r="AE1320" i="9" s="1"/>
  <c r="M1349" i="9"/>
  <c r="O1349" i="9" s="1"/>
  <c r="AE1349" i="9" s="1"/>
  <c r="M1354" i="9"/>
  <c r="M1357" i="9"/>
  <c r="O1357" i="9" s="1"/>
  <c r="AE1357" i="9" s="1"/>
  <c r="M1359" i="9"/>
  <c r="O1359" i="9" s="1"/>
  <c r="AE1359" i="9" s="1"/>
  <c r="M1365" i="9"/>
  <c r="O1365" i="9" s="1"/>
  <c r="AE1365" i="9" s="1"/>
  <c r="M1367" i="9"/>
  <c r="O1367" i="9" s="1"/>
  <c r="AE1367" i="9" s="1"/>
  <c r="M1368" i="9"/>
  <c r="O1368" i="9" s="1"/>
  <c r="AE1368" i="9" s="1"/>
  <c r="M1371" i="9"/>
  <c r="O1371" i="9" s="1"/>
  <c r="AE1371" i="9" s="1"/>
  <c r="M1374" i="9"/>
  <c r="O1374" i="9" s="1"/>
  <c r="AE1374" i="9" s="1"/>
  <c r="M1377" i="9"/>
  <c r="O1377" i="9" s="1"/>
  <c r="AE1377" i="9" s="1"/>
  <c r="M1378" i="9"/>
  <c r="O1378" i="9" s="1"/>
  <c r="AE1378" i="9" s="1"/>
  <c r="M1381" i="9"/>
  <c r="O1381" i="9" s="1"/>
  <c r="AE1381" i="9" s="1"/>
  <c r="M1384" i="9"/>
  <c r="O1384" i="9" s="1"/>
  <c r="AE1384" i="9" s="1"/>
  <c r="M1387" i="9"/>
  <c r="O1387" i="9" s="1"/>
  <c r="AE1387" i="9" s="1"/>
  <c r="M1388" i="9"/>
  <c r="O1388" i="9" s="1"/>
  <c r="AE1388" i="9" s="1"/>
  <c r="M1391" i="9"/>
  <c r="O1391" i="9" s="1"/>
  <c r="AE1391" i="9" s="1"/>
  <c r="M1392" i="9"/>
  <c r="O1392" i="9" s="1"/>
  <c r="AE1392" i="9" s="1"/>
  <c r="M1395" i="9"/>
  <c r="O1395" i="9" s="1"/>
  <c r="AE1395" i="9" s="1"/>
  <c r="M1059" i="9"/>
  <c r="O1059" i="9" s="1"/>
  <c r="AE1059" i="9" s="1"/>
  <c r="M1069" i="9"/>
  <c r="O1069" i="9" s="1"/>
  <c r="AE1069" i="9" s="1"/>
  <c r="M1076" i="9"/>
  <c r="O1076" i="9" s="1"/>
  <c r="AE1076" i="9" s="1"/>
  <c r="M1097" i="9"/>
  <c r="O1097" i="9" s="1"/>
  <c r="AE1097" i="9" s="1"/>
  <c r="M1101" i="9"/>
  <c r="O1101" i="9" s="1"/>
  <c r="AE1101" i="9" s="1"/>
  <c r="M1109" i="9"/>
  <c r="O1109" i="9" s="1"/>
  <c r="AE1109" i="9" s="1"/>
  <c r="M1115" i="9"/>
  <c r="O1115" i="9" s="1"/>
  <c r="AE1115" i="9" s="1"/>
  <c r="M1130" i="9"/>
  <c r="O1130" i="9" s="1"/>
  <c r="AE1130" i="9" s="1"/>
  <c r="M1038" i="9"/>
  <c r="O1038" i="9" s="1"/>
  <c r="AE1038" i="9" s="1"/>
  <c r="M1053" i="9"/>
  <c r="O1053" i="9" s="1"/>
  <c r="AE1053" i="9" s="1"/>
  <c r="M1041" i="9"/>
  <c r="O1041" i="9" s="1"/>
  <c r="AE1041" i="9" s="1"/>
  <c r="M1054" i="9"/>
  <c r="O1054" i="9" s="1"/>
  <c r="AE1054" i="9" s="1"/>
  <c r="M1057" i="9"/>
  <c r="O1057" i="9" s="1"/>
  <c r="AE1057" i="9" s="1"/>
  <c r="M1058" i="9"/>
  <c r="O1058" i="9" s="1"/>
  <c r="AE1058" i="9" s="1"/>
  <c r="M1065" i="9"/>
  <c r="O1065" i="9" s="1"/>
  <c r="AE1065" i="9" s="1"/>
  <c r="M1066" i="9"/>
  <c r="M1074" i="9"/>
  <c r="O1074" i="9" s="1"/>
  <c r="AE1074" i="9" s="1"/>
  <c r="M1083" i="9"/>
  <c r="O1083" i="9" s="1"/>
  <c r="AE1083" i="9" s="1"/>
  <c r="M1089" i="9"/>
  <c r="O1089" i="9" s="1"/>
  <c r="AE1089" i="9" s="1"/>
  <c r="M1095" i="9"/>
  <c r="O1095" i="9" s="1"/>
  <c r="AE1095" i="9" s="1"/>
  <c r="M1114" i="9"/>
  <c r="O1114" i="9" s="1"/>
  <c r="AE1114" i="9" s="1"/>
  <c r="M1132" i="9"/>
  <c r="O1132" i="9" s="1"/>
  <c r="AE1132" i="9" s="1"/>
  <c r="M1037" i="9"/>
  <c r="O1037" i="9" s="1"/>
  <c r="AE1037" i="9" s="1"/>
  <c r="M1040" i="9"/>
  <c r="O1040" i="9" s="1"/>
  <c r="AE1040" i="9" s="1"/>
  <c r="M1056" i="9"/>
  <c r="O1056" i="9" s="1"/>
  <c r="AE1056" i="9" s="1"/>
  <c r="M1124" i="9"/>
  <c r="O1124" i="9" s="1"/>
  <c r="AE1124" i="9" s="1"/>
  <c r="M1129" i="9"/>
  <c r="O1129" i="9" s="1"/>
  <c r="AE1129" i="9" s="1"/>
  <c r="M1138" i="9"/>
  <c r="O1138" i="9" s="1"/>
  <c r="AE1138" i="9" s="1"/>
  <c r="M1145" i="9"/>
  <c r="O1145" i="9" s="1"/>
  <c r="AE1145" i="9" s="1"/>
  <c r="M1148" i="9"/>
  <c r="M1151" i="9"/>
  <c r="O1151" i="9" s="1"/>
  <c r="AE1151" i="9" s="1"/>
  <c r="M1156" i="9"/>
  <c r="O1156" i="9" s="1"/>
  <c r="AE1156" i="9" s="1"/>
  <c r="M1163" i="9"/>
  <c r="O1163" i="9" s="1"/>
  <c r="AE1163" i="9" s="1"/>
  <c r="M1166" i="9"/>
  <c r="O1166" i="9" s="1"/>
  <c r="AE1166" i="9" s="1"/>
  <c r="M1170" i="9"/>
  <c r="O1170" i="9" s="1"/>
  <c r="AE1170" i="9" s="1"/>
  <c r="M1172" i="9"/>
  <c r="O1172" i="9" s="1"/>
  <c r="AE1172" i="9" s="1"/>
  <c r="M1176" i="9"/>
  <c r="O1176" i="9" s="1"/>
  <c r="AE1176" i="9" s="1"/>
  <c r="M1183" i="9"/>
  <c r="O1183" i="9" s="1"/>
  <c r="AE1183" i="9" s="1"/>
  <c r="M1186" i="9"/>
  <c r="O1186" i="9" s="1"/>
  <c r="AE1186" i="9" s="1"/>
  <c r="M1189" i="9"/>
  <c r="M1194" i="9"/>
  <c r="O1194" i="9" s="1"/>
  <c r="AE1194" i="9" s="1"/>
  <c r="M1201" i="9"/>
  <c r="O1201" i="9" s="1"/>
  <c r="AE1201" i="9" s="1"/>
  <c r="M1204" i="9"/>
  <c r="O1204" i="9" s="1"/>
  <c r="AE1204" i="9" s="1"/>
  <c r="M1208" i="9"/>
  <c r="O1208" i="9" s="1"/>
  <c r="AE1208" i="9" s="1"/>
  <c r="M1210" i="9"/>
  <c r="O1210" i="9" s="1"/>
  <c r="AE1210" i="9" s="1"/>
  <c r="M1213" i="9"/>
  <c r="O1213" i="9" s="1"/>
  <c r="AE1213" i="9" s="1"/>
  <c r="M1223" i="9"/>
  <c r="O1223" i="9" s="1"/>
  <c r="AE1223" i="9" s="1"/>
  <c r="M1230" i="9"/>
  <c r="O1230" i="9" s="1"/>
  <c r="AE1230" i="9" s="1"/>
  <c r="M1251" i="9"/>
  <c r="O1251" i="9" s="1"/>
  <c r="AE1251" i="9" s="1"/>
  <c r="M1279" i="9"/>
  <c r="O1279" i="9" s="1"/>
  <c r="AE1279" i="9" s="1"/>
  <c r="M1286" i="9"/>
  <c r="O1286" i="9" s="1"/>
  <c r="AE1286" i="9" s="1"/>
  <c r="M1293" i="9"/>
  <c r="O1293" i="9" s="1"/>
  <c r="AE1293" i="9" s="1"/>
  <c r="M1306" i="9"/>
  <c r="O1306" i="9" s="1"/>
  <c r="AE1306" i="9" s="1"/>
  <c r="M1309" i="9"/>
  <c r="O1309" i="9" s="1"/>
  <c r="AE1309" i="9" s="1"/>
  <c r="M1325" i="9"/>
  <c r="O1325" i="9" s="1"/>
  <c r="AE1325" i="9" s="1"/>
  <c r="M1332" i="9"/>
  <c r="O1332" i="9" s="1"/>
  <c r="AE1332" i="9" s="1"/>
  <c r="M1350" i="9"/>
  <c r="O1350" i="9" s="1"/>
  <c r="AE1350" i="9" s="1"/>
  <c r="M1353" i="9"/>
  <c r="O1353" i="9" s="1"/>
  <c r="AE1353" i="9" s="1"/>
  <c r="M1355" i="9"/>
  <c r="O1355" i="9" s="1"/>
  <c r="AE1355" i="9" s="1"/>
  <c r="M1360" i="9"/>
  <c r="O1360" i="9" s="1"/>
  <c r="AE1360" i="9" s="1"/>
  <c r="M1362" i="9"/>
  <c r="O1362" i="9" s="1"/>
  <c r="AE1362" i="9" s="1"/>
  <c r="M1369" i="9"/>
  <c r="O1369" i="9" s="1"/>
  <c r="AE1369" i="9" s="1"/>
  <c r="M1373" i="9"/>
  <c r="O1373" i="9" s="1"/>
  <c r="AE1373" i="9" s="1"/>
  <c r="M1375" i="9"/>
  <c r="O1375" i="9" s="1"/>
  <c r="AE1375" i="9" s="1"/>
  <c r="M1382" i="9"/>
  <c r="O1382" i="9" s="1"/>
  <c r="AE1382" i="9" s="1"/>
  <c r="M1385" i="9"/>
  <c r="O1385" i="9" s="1"/>
  <c r="AE1385" i="9" s="1"/>
  <c r="M1393" i="9"/>
  <c r="O1393" i="9" s="1"/>
  <c r="AE1393" i="9" s="1"/>
  <c r="M1394" i="9"/>
  <c r="M1050" i="9"/>
  <c r="O1050" i="9" s="1"/>
  <c r="AE1050" i="9" s="1"/>
  <c r="M1061" i="9"/>
  <c r="O1061" i="9" s="1"/>
  <c r="AE1061" i="9" s="1"/>
  <c r="M1070" i="9"/>
  <c r="O1070" i="9" s="1"/>
  <c r="AE1070" i="9" s="1"/>
  <c r="M1072" i="9"/>
  <c r="O1072" i="9" s="1"/>
  <c r="AE1072" i="9" s="1"/>
  <c r="M1078" i="9"/>
  <c r="O1078" i="9" s="1"/>
  <c r="AE1078" i="9" s="1"/>
  <c r="M1085" i="9"/>
  <c r="O1085" i="9" s="1"/>
  <c r="AE1085" i="9" s="1"/>
  <c r="M1098" i="9"/>
  <c r="O1098" i="9" s="1"/>
  <c r="AE1098" i="9" s="1"/>
  <c r="M1102" i="9"/>
  <c r="M1105" i="9"/>
  <c r="O1105" i="9" s="1"/>
  <c r="AE1105" i="9" s="1"/>
  <c r="M1118" i="9"/>
  <c r="O1118" i="9" s="1"/>
  <c r="AE1118" i="9" s="1"/>
  <c r="M1042" i="9"/>
  <c r="O1042" i="9" s="1"/>
  <c r="AE1042" i="9" s="1"/>
  <c r="M1055" i="9"/>
  <c r="O1055" i="9" s="1"/>
  <c r="AE1055" i="9" s="1"/>
  <c r="M1117" i="9"/>
  <c r="O1117" i="9" s="1"/>
  <c r="AE1117" i="9" s="1"/>
  <c r="M1121" i="9"/>
  <c r="O1121" i="9" s="1"/>
  <c r="AE1121" i="9" s="1"/>
  <c r="M1134" i="9"/>
  <c r="M1043" i="9"/>
  <c r="O1043" i="9" s="1"/>
  <c r="AE1043" i="9" s="1"/>
  <c r="M1048" i="9"/>
  <c r="O1048" i="9" s="1"/>
  <c r="AE1048" i="9" s="1"/>
  <c r="M1060" i="9"/>
  <c r="O1060" i="9" s="1"/>
  <c r="AE1060" i="9" s="1"/>
  <c r="M1068" i="9"/>
  <c r="O1068" i="9" s="1"/>
  <c r="AE1068" i="9" s="1"/>
  <c r="M1075" i="9"/>
  <c r="O1075" i="9" s="1"/>
  <c r="AE1075" i="9" s="1"/>
  <c r="M1084" i="9"/>
  <c r="O1084" i="9" s="1"/>
  <c r="AE1084" i="9" s="1"/>
  <c r="M1091" i="9"/>
  <c r="O1091" i="9" s="1"/>
  <c r="AE1091" i="9" s="1"/>
  <c r="M1100" i="9"/>
  <c r="O1100" i="9" s="1"/>
  <c r="AE1100" i="9" s="1"/>
  <c r="M1128" i="9"/>
  <c r="O1128" i="9" s="1"/>
  <c r="AE1128" i="9" s="1"/>
  <c r="M1116" i="9"/>
  <c r="O1116" i="9" s="1"/>
  <c r="AE1116" i="9" s="1"/>
  <c r="M1135" i="9"/>
  <c r="O1135" i="9" s="1"/>
  <c r="AE1135" i="9" s="1"/>
  <c r="M1140" i="9"/>
  <c r="O1140" i="9" s="1"/>
  <c r="AE1140" i="9" s="1"/>
  <c r="M1143" i="9"/>
  <c r="O1143" i="9" s="1"/>
  <c r="AE1143" i="9" s="1"/>
  <c r="M1146" i="9"/>
  <c r="O1146" i="9" s="1"/>
  <c r="AE1146" i="9" s="1"/>
  <c r="M1152" i="9"/>
  <c r="O1152" i="9" s="1"/>
  <c r="AE1152" i="9" s="1"/>
  <c r="M1158" i="9"/>
  <c r="O1158" i="9" s="1"/>
  <c r="AE1158" i="9" s="1"/>
  <c r="M1161" i="9"/>
  <c r="O1161" i="9" s="1"/>
  <c r="AE1161" i="9" s="1"/>
  <c r="M1164" i="9"/>
  <c r="O1164" i="9" s="1"/>
  <c r="AE1164" i="9" s="1"/>
  <c r="M1178" i="9"/>
  <c r="O1178" i="9" s="1"/>
  <c r="AE1178" i="9" s="1"/>
  <c r="M1181" i="9"/>
  <c r="O1181" i="9" s="1"/>
  <c r="AE1181" i="9" s="1"/>
  <c r="M1184" i="9"/>
  <c r="O1184" i="9" s="1"/>
  <c r="AE1184" i="9" s="1"/>
  <c r="M1190" i="9"/>
  <c r="O1190" i="9" s="1"/>
  <c r="AE1190" i="9" s="1"/>
  <c r="M1196" i="9"/>
  <c r="O1196" i="9" s="1"/>
  <c r="AE1196" i="9" s="1"/>
  <c r="M1199" i="9"/>
  <c r="O1199" i="9" s="1"/>
  <c r="AE1199" i="9" s="1"/>
  <c r="M1202" i="9"/>
  <c r="O1202" i="9" s="1"/>
  <c r="AE1202" i="9" s="1"/>
  <c r="M1233" i="9"/>
  <c r="O1233" i="9" s="1"/>
  <c r="AE1233" i="9" s="1"/>
  <c r="M1236" i="9"/>
  <c r="O1236" i="9" s="1"/>
  <c r="AE1236" i="9" s="1"/>
  <c r="M1257" i="9"/>
  <c r="O1257" i="9" s="1"/>
  <c r="AE1257" i="9" s="1"/>
  <c r="M1261" i="9"/>
  <c r="O1261" i="9" s="1"/>
  <c r="AE1261" i="9" s="1"/>
  <c r="M1268" i="9"/>
  <c r="O1268" i="9" s="1"/>
  <c r="AE1268" i="9" s="1"/>
  <c r="M1289" i="9"/>
  <c r="O1289" i="9" s="1"/>
  <c r="AE1289" i="9" s="1"/>
  <c r="M1290" i="9"/>
  <c r="O1290" i="9" s="1"/>
  <c r="AE1290" i="9" s="1"/>
  <c r="M1294" i="9"/>
  <c r="O1294" i="9" s="1"/>
  <c r="AE1294" i="9" s="1"/>
  <c r="M1328" i="9"/>
  <c r="O1328" i="9" s="1"/>
  <c r="AE1328" i="9" s="1"/>
  <c r="M1338" i="9"/>
  <c r="O1338" i="9" s="1"/>
  <c r="AE1338" i="9" s="1"/>
  <c r="M1345" i="9"/>
  <c r="O1345" i="9" s="1"/>
  <c r="AE1345" i="9" s="1"/>
  <c r="M1351" i="9"/>
  <c r="O1351" i="9" s="1"/>
  <c r="AE1351" i="9" s="1"/>
  <c r="M1356" i="9"/>
  <c r="O1356" i="9" s="1"/>
  <c r="AE1356" i="9" s="1"/>
  <c r="M1363" i="9"/>
  <c r="O1363" i="9" s="1"/>
  <c r="AE1363" i="9" s="1"/>
  <c r="M1366" i="9"/>
  <c r="O1366" i="9" s="1"/>
  <c r="AE1366" i="9" s="1"/>
  <c r="M1370" i="9"/>
  <c r="O1370" i="9" s="1"/>
  <c r="AE1370" i="9" s="1"/>
  <c r="M1372" i="9"/>
  <c r="O1372" i="9" s="1"/>
  <c r="AE1372" i="9" s="1"/>
  <c r="M1379" i="9"/>
  <c r="O1379" i="9" s="1"/>
  <c r="AE1379" i="9" s="1"/>
  <c r="M1383" i="9"/>
  <c r="O1383" i="9" s="1"/>
  <c r="AE1383" i="9" s="1"/>
  <c r="M1389" i="9"/>
  <c r="O1389" i="9" s="1"/>
  <c r="AE1389" i="9" s="1"/>
  <c r="M1216" i="9"/>
  <c r="O1216" i="9" s="1"/>
  <c r="AE1216" i="9" s="1"/>
  <c r="M1266" i="9"/>
  <c r="O1266" i="9" s="1"/>
  <c r="AE1266" i="9" s="1"/>
  <c r="M1275" i="9"/>
  <c r="O1275" i="9" s="1"/>
  <c r="AE1275" i="9" s="1"/>
  <c r="M1310" i="9"/>
  <c r="O1310" i="9" s="1"/>
  <c r="AE1310" i="9" s="1"/>
  <c r="M1323" i="9"/>
  <c r="O1323" i="9" s="1"/>
  <c r="AE1323" i="9" s="1"/>
  <c r="M1326" i="9"/>
  <c r="O1326" i="9" s="1"/>
  <c r="AE1326" i="9" s="1"/>
  <c r="M1329" i="9"/>
  <c r="O1329" i="9" s="1"/>
  <c r="AE1329" i="9" s="1"/>
  <c r="M1337" i="9"/>
  <c r="O1337" i="9" s="1"/>
  <c r="AE1337" i="9" s="1"/>
  <c r="M1344" i="9"/>
  <c r="O1344" i="9" s="1"/>
  <c r="AE1344" i="9" s="1"/>
  <c r="M1221" i="9"/>
  <c r="O1221" i="9" s="1"/>
  <c r="AE1221" i="9" s="1"/>
  <c r="M1242" i="9"/>
  <c r="O1242" i="9" s="1"/>
  <c r="AE1242" i="9" s="1"/>
  <c r="M1244" i="9"/>
  <c r="O1244" i="9" s="1"/>
  <c r="AE1244" i="9" s="1"/>
  <c r="M1250" i="9"/>
  <c r="O1250" i="9" s="1"/>
  <c r="AE1250" i="9" s="1"/>
  <c r="M1277" i="9"/>
  <c r="O1277" i="9" s="1"/>
  <c r="AE1277" i="9" s="1"/>
  <c r="M1292" i="9"/>
  <c r="O1292" i="9" s="1"/>
  <c r="AE1292" i="9" s="1"/>
  <c r="M1296" i="9"/>
  <c r="O1296" i="9" s="1"/>
  <c r="AE1296" i="9" s="1"/>
  <c r="M1299" i="9"/>
  <c r="O1299" i="9" s="1"/>
  <c r="AE1299" i="9" s="1"/>
  <c r="M1301" i="9"/>
  <c r="O1301" i="9" s="1"/>
  <c r="AE1301" i="9" s="1"/>
  <c r="M1321" i="9"/>
  <c r="M1218" i="9"/>
  <c r="O1218" i="9" s="1"/>
  <c r="AE1218" i="9" s="1"/>
  <c r="M1240" i="9"/>
  <c r="O1240" i="9" s="1"/>
  <c r="AE1240" i="9" s="1"/>
  <c r="M1247" i="9"/>
  <c r="O1247" i="9" s="1"/>
  <c r="AE1247" i="9" s="1"/>
  <c r="M1276" i="9"/>
  <c r="O1276" i="9" s="1"/>
  <c r="AE1276" i="9" s="1"/>
  <c r="M1302" i="9"/>
  <c r="O1302" i="9" s="1"/>
  <c r="AE1302" i="9" s="1"/>
  <c r="M1327" i="9"/>
  <c r="O1327" i="9" s="1"/>
  <c r="AE1327" i="9" s="1"/>
  <c r="M1403" i="9"/>
  <c r="O1403" i="9" s="1"/>
  <c r="AE1403" i="9" s="1"/>
  <c r="M1404" i="9"/>
  <c r="O1404" i="9" s="1"/>
  <c r="AE1404" i="9" s="1"/>
  <c r="M1444" i="9"/>
  <c r="O1444" i="9" s="1"/>
  <c r="AE1444" i="9" s="1"/>
  <c r="M1451" i="9"/>
  <c r="O1451" i="9" s="1"/>
  <c r="AE1451" i="9" s="1"/>
  <c r="M1460" i="9"/>
  <c r="O1460" i="9" s="1"/>
  <c r="AE1460" i="9" s="1"/>
  <c r="M1467" i="9"/>
  <c r="O1467" i="9" s="1"/>
  <c r="AE1467" i="9" s="1"/>
  <c r="M1476" i="9"/>
  <c r="M1480" i="9"/>
  <c r="O1480" i="9" s="1"/>
  <c r="AE1480" i="9" s="1"/>
  <c r="M1483" i="9"/>
  <c r="O1483" i="9" s="1"/>
  <c r="AE1483" i="9" s="1"/>
  <c r="M1494" i="9"/>
  <c r="O1494" i="9" s="1"/>
  <c r="AE1494" i="9" s="1"/>
  <c r="M1500" i="9"/>
  <c r="O1500" i="9" s="1"/>
  <c r="AE1500" i="9" s="1"/>
  <c r="M1515" i="9"/>
  <c r="O1515" i="9" s="1"/>
  <c r="AE1515" i="9" s="1"/>
  <c r="M1550" i="9"/>
  <c r="O1550" i="9" s="1"/>
  <c r="AE1550" i="9" s="1"/>
  <c r="M1556" i="9"/>
  <c r="O1556" i="9" s="1"/>
  <c r="AE1556" i="9" s="1"/>
  <c r="M1510" i="9"/>
  <c r="O1510" i="9" s="1"/>
  <c r="AE1510" i="9" s="1"/>
  <c r="M1517" i="9"/>
  <c r="O1517" i="9" s="1"/>
  <c r="AE1517" i="9" s="1"/>
  <c r="M1562" i="9"/>
  <c r="O1562" i="9" s="1"/>
  <c r="AE1562" i="9" s="1"/>
  <c r="M1402" i="9"/>
  <c r="O1402" i="9" s="1"/>
  <c r="AE1402" i="9" s="1"/>
  <c r="M1446" i="9"/>
  <c r="O1446" i="9" s="1"/>
  <c r="AE1446" i="9" s="1"/>
  <c r="M1448" i="9"/>
  <c r="O1448" i="9" s="1"/>
  <c r="AE1448" i="9" s="1"/>
  <c r="M1454" i="9"/>
  <c r="O1454" i="9" s="1"/>
  <c r="AE1454" i="9" s="1"/>
  <c r="M1461" i="9"/>
  <c r="O1461" i="9" s="1"/>
  <c r="AE1461" i="9" s="1"/>
  <c r="M1474" i="9"/>
  <c r="O1474" i="9" s="1"/>
  <c r="AE1474" i="9" s="1"/>
  <c r="M1478" i="9"/>
  <c r="O1478" i="9" s="1"/>
  <c r="AE1478" i="9" s="1"/>
  <c r="M1484" i="9"/>
  <c r="O1484" i="9" s="1"/>
  <c r="AE1484" i="9" s="1"/>
  <c r="M1507" i="9"/>
  <c r="O1507" i="9" s="1"/>
  <c r="AE1507" i="9" s="1"/>
  <c r="M1523" i="9"/>
  <c r="O1523" i="9" s="1"/>
  <c r="AE1523" i="9" s="1"/>
  <c r="M1527" i="9"/>
  <c r="O1527" i="9" s="1"/>
  <c r="AE1527" i="9" s="1"/>
  <c r="M1534" i="9"/>
  <c r="O1534" i="9" s="1"/>
  <c r="AE1534" i="9" s="1"/>
  <c r="M1542" i="9"/>
  <c r="O1542" i="9" s="1"/>
  <c r="AE1542" i="9" s="1"/>
  <c r="M1493" i="9"/>
  <c r="O1493" i="9" s="1"/>
  <c r="AE1493" i="9" s="1"/>
  <c r="M1495" i="9"/>
  <c r="O1495" i="9" s="1"/>
  <c r="AE1495" i="9" s="1"/>
  <c r="M1501" i="9"/>
  <c r="O1501" i="9" s="1"/>
  <c r="AE1501" i="9" s="1"/>
  <c r="M1521" i="9"/>
  <c r="O1521" i="9" s="1"/>
  <c r="AE1521" i="9" s="1"/>
  <c r="M1528" i="9"/>
  <c r="O1528" i="9" s="1"/>
  <c r="AE1528" i="9" s="1"/>
  <c r="M1549" i="9"/>
  <c r="O1549" i="9" s="1"/>
  <c r="AE1549" i="9" s="1"/>
  <c r="M1551" i="9"/>
  <c r="O1551" i="9" s="1"/>
  <c r="AE1551" i="9" s="1"/>
  <c r="M1557" i="9"/>
  <c r="O1557" i="9" s="1"/>
  <c r="AE1557" i="9" s="1"/>
  <c r="M1243" i="9"/>
  <c r="M1249" i="9"/>
  <c r="O1249" i="9" s="1"/>
  <c r="AE1249" i="9" s="1"/>
  <c r="M1312" i="9"/>
  <c r="O1312" i="9" s="1"/>
  <c r="AE1312" i="9" s="1"/>
  <c r="M1317" i="9"/>
  <c r="O1317" i="9" s="1"/>
  <c r="AE1317" i="9" s="1"/>
  <c r="M1342" i="9"/>
  <c r="O1342" i="9" s="1"/>
  <c r="AE1342" i="9" s="1"/>
  <c r="M1215" i="9"/>
  <c r="O1215" i="9" s="1"/>
  <c r="AE1215" i="9" s="1"/>
  <c r="M1224" i="9"/>
  <c r="O1224" i="9" s="1"/>
  <c r="AE1224" i="9" s="1"/>
  <c r="M1226" i="9"/>
  <c r="O1226" i="9" s="1"/>
  <c r="AE1226" i="9" s="1"/>
  <c r="M1232" i="9"/>
  <c r="O1232" i="9" s="1"/>
  <c r="AE1232" i="9" s="1"/>
  <c r="M1252" i="9"/>
  <c r="O1252" i="9" s="1"/>
  <c r="AE1252" i="9" s="1"/>
  <c r="M1259" i="9"/>
  <c r="O1259" i="9" s="1"/>
  <c r="AE1259" i="9" s="1"/>
  <c r="M1280" i="9"/>
  <c r="O1280" i="9" s="1"/>
  <c r="AE1280" i="9" s="1"/>
  <c r="M1282" i="9"/>
  <c r="O1282" i="9" s="1"/>
  <c r="AE1282" i="9" s="1"/>
  <c r="M1288" i="9"/>
  <c r="O1288" i="9" s="1"/>
  <c r="AE1288" i="9" s="1"/>
  <c r="M1307" i="9"/>
  <c r="O1307" i="9" s="1"/>
  <c r="AE1307" i="9" s="1"/>
  <c r="M1322" i="9"/>
  <c r="O1322" i="9" s="1"/>
  <c r="AE1322" i="9" s="1"/>
  <c r="M1336" i="9"/>
  <c r="O1336" i="9" s="1"/>
  <c r="AE1336" i="9" s="1"/>
  <c r="M1211" i="9"/>
  <c r="O1211" i="9" s="1"/>
  <c r="AE1211" i="9" s="1"/>
  <c r="M1214" i="9"/>
  <c r="O1214" i="9" s="1"/>
  <c r="AE1214" i="9" s="1"/>
  <c r="M1222" i="9"/>
  <c r="O1222" i="9" s="1"/>
  <c r="AE1222" i="9" s="1"/>
  <c r="M1229" i="9"/>
  <c r="O1229" i="9" s="1"/>
  <c r="AE1229" i="9" s="1"/>
  <c r="M1245" i="9"/>
  <c r="O1245" i="9" s="1"/>
  <c r="AE1245" i="9" s="1"/>
  <c r="M1278" i="9"/>
  <c r="O1278" i="9" s="1"/>
  <c r="AE1278" i="9" s="1"/>
  <c r="M1285" i="9"/>
  <c r="O1285" i="9" s="1"/>
  <c r="AE1285" i="9" s="1"/>
  <c r="M1340" i="9"/>
  <c r="O1340" i="9" s="1"/>
  <c r="AE1340" i="9" s="1"/>
  <c r="M1346" i="9"/>
  <c r="O1346" i="9" s="1"/>
  <c r="AE1346" i="9" s="1"/>
  <c r="M1400" i="9"/>
  <c r="O1400" i="9" s="1"/>
  <c r="AE1400" i="9" s="1"/>
  <c r="M1447" i="9"/>
  <c r="O1447" i="9" s="1"/>
  <c r="AE1447" i="9" s="1"/>
  <c r="M1453" i="9"/>
  <c r="O1453" i="9" s="1"/>
  <c r="AE1453" i="9" s="1"/>
  <c r="M1468" i="9"/>
  <c r="O1468" i="9" s="1"/>
  <c r="AE1468" i="9" s="1"/>
  <c r="M1485" i="9"/>
  <c r="O1485" i="9" s="1"/>
  <c r="AE1485" i="9" s="1"/>
  <c r="M1488" i="9"/>
  <c r="O1488" i="9" s="1"/>
  <c r="AE1488" i="9" s="1"/>
  <c r="M1489" i="9"/>
  <c r="O1489" i="9" s="1"/>
  <c r="AE1489" i="9" s="1"/>
  <c r="M1497" i="9"/>
  <c r="O1497" i="9" s="1"/>
  <c r="AE1497" i="9" s="1"/>
  <c r="M1506" i="9"/>
  <c r="O1506" i="9" s="1"/>
  <c r="AE1506" i="9" s="1"/>
  <c r="M1532" i="9"/>
  <c r="O1532" i="9" s="1"/>
  <c r="AE1532" i="9" s="1"/>
  <c r="M1538" i="9"/>
  <c r="O1538" i="9" s="1"/>
  <c r="AE1538" i="9" s="1"/>
  <c r="M1553" i="9"/>
  <c r="O1553" i="9" s="1"/>
  <c r="AE1553" i="9" s="1"/>
  <c r="M1399" i="9"/>
  <c r="O1399" i="9" s="1"/>
  <c r="AE1399" i="9" s="1"/>
  <c r="M1492" i="9"/>
  <c r="O1492" i="9" s="1"/>
  <c r="AE1492" i="9" s="1"/>
  <c r="M1499" i="9"/>
  <c r="O1499" i="9" s="1"/>
  <c r="AE1499" i="9" s="1"/>
  <c r="M1520" i="9"/>
  <c r="O1520" i="9" s="1"/>
  <c r="AE1520" i="9" s="1"/>
  <c r="M1548" i="9"/>
  <c r="O1548" i="9" s="1"/>
  <c r="AE1548" i="9" s="1"/>
  <c r="M1555" i="9"/>
  <c r="O1555" i="9" s="1"/>
  <c r="AE1555" i="9" s="1"/>
  <c r="M1398" i="9"/>
  <c r="O1398" i="9" s="1"/>
  <c r="AE1398" i="9" s="1"/>
  <c r="M1439" i="9"/>
  <c r="O1439" i="9" s="1"/>
  <c r="AE1439" i="9" s="1"/>
  <c r="M1455" i="9"/>
  <c r="O1455" i="9" s="1"/>
  <c r="AE1455" i="9" s="1"/>
  <c r="M1458" i="9"/>
  <c r="O1458" i="9" s="1"/>
  <c r="AE1458" i="9" s="1"/>
  <c r="M1463" i="9"/>
  <c r="O1463" i="9" s="1"/>
  <c r="AE1463" i="9" s="1"/>
  <c r="M1470" i="9"/>
  <c r="O1470" i="9" s="1"/>
  <c r="AE1470" i="9" s="1"/>
  <c r="M1479" i="9"/>
  <c r="O1479" i="9" s="1"/>
  <c r="AE1479" i="9" s="1"/>
  <c r="M1486" i="9"/>
  <c r="O1486" i="9" s="1"/>
  <c r="AE1486" i="9" s="1"/>
  <c r="M1487" i="9"/>
  <c r="O1487" i="9" s="1"/>
  <c r="AE1487" i="9" s="1"/>
  <c r="M1509" i="9"/>
  <c r="O1509" i="9" s="1"/>
  <c r="AE1509" i="9" s="1"/>
  <c r="M1516" i="9"/>
  <c r="O1516" i="9" s="1"/>
  <c r="AE1516" i="9" s="1"/>
  <c r="M1545" i="9"/>
  <c r="O1545" i="9" s="1"/>
  <c r="AE1545" i="9" s="1"/>
  <c r="M1561" i="9"/>
  <c r="O1561" i="9" s="1"/>
  <c r="AE1561" i="9" s="1"/>
  <c r="M1565" i="9"/>
  <c r="O1565" i="9" s="1"/>
  <c r="AE1565" i="9" s="1"/>
  <c r="M1401" i="9"/>
  <c r="O1401" i="9" s="1"/>
  <c r="AE1401" i="9" s="1"/>
  <c r="M1503" i="9"/>
  <c r="O1503" i="9" s="1"/>
  <c r="AE1503" i="9" s="1"/>
  <c r="M1522" i="9"/>
  <c r="M1531" i="9"/>
  <c r="O1531" i="9" s="1"/>
  <c r="AE1531" i="9" s="1"/>
  <c r="M1533" i="9"/>
  <c r="O1533" i="9" s="1"/>
  <c r="AE1533" i="9" s="1"/>
  <c r="M1539" i="9"/>
  <c r="O1539" i="9" s="1"/>
  <c r="AE1539" i="9" s="1"/>
  <c r="M1559" i="9"/>
  <c r="O1559" i="9" s="1"/>
  <c r="AE1559" i="9" s="1"/>
  <c r="M1225" i="9"/>
  <c r="O1225" i="9" s="1"/>
  <c r="AE1225" i="9" s="1"/>
  <c r="M1231" i="9"/>
  <c r="O1231" i="9" s="1"/>
  <c r="AE1231" i="9" s="1"/>
  <c r="M1246" i="9"/>
  <c r="O1246" i="9" s="1"/>
  <c r="AE1246" i="9" s="1"/>
  <c r="M1281" i="9"/>
  <c r="O1281" i="9" s="1"/>
  <c r="AE1281" i="9" s="1"/>
  <c r="M1287" i="9"/>
  <c r="O1287" i="9" s="1"/>
  <c r="AE1287" i="9" s="1"/>
  <c r="M1298" i="9"/>
  <c r="O1298" i="9" s="1"/>
  <c r="AE1298" i="9" s="1"/>
  <c r="M1303" i="9"/>
  <c r="O1303" i="9" s="1"/>
  <c r="AE1303" i="9" s="1"/>
  <c r="M1234" i="9"/>
  <c r="O1234" i="9" s="1"/>
  <c r="AE1234" i="9" s="1"/>
  <c r="M1253" i="9"/>
  <c r="O1253" i="9" s="1"/>
  <c r="AE1253" i="9" s="1"/>
  <c r="M1262" i="9"/>
  <c r="O1262" i="9" s="1"/>
  <c r="AE1262" i="9" s="1"/>
  <c r="M1264" i="9"/>
  <c r="O1264" i="9" s="1"/>
  <c r="AE1264" i="9" s="1"/>
  <c r="M1270" i="9"/>
  <c r="O1270" i="9" s="1"/>
  <c r="AE1270" i="9" s="1"/>
  <c r="M1311" i="9"/>
  <c r="O1311" i="9" s="1"/>
  <c r="AE1311" i="9" s="1"/>
  <c r="M1324" i="9"/>
  <c r="O1324" i="9" s="1"/>
  <c r="AE1324" i="9" s="1"/>
  <c r="M1330" i="9"/>
  <c r="O1330" i="9" s="1"/>
  <c r="AE1330" i="9" s="1"/>
  <c r="M1339" i="9"/>
  <c r="O1339" i="9" s="1"/>
  <c r="AE1339" i="9" s="1"/>
  <c r="M1341" i="9"/>
  <c r="O1341" i="9" s="1"/>
  <c r="AE1341" i="9" s="1"/>
  <c r="M1347" i="9"/>
  <c r="O1347" i="9" s="1"/>
  <c r="AE1347" i="9" s="1"/>
  <c r="M1227" i="9"/>
  <c r="O1227" i="9" s="1"/>
  <c r="AE1227" i="9" s="1"/>
  <c r="M1235" i="9"/>
  <c r="O1235" i="9" s="1"/>
  <c r="AE1235" i="9" s="1"/>
  <c r="M1260" i="9"/>
  <c r="O1260" i="9" s="1"/>
  <c r="AE1260" i="9" s="1"/>
  <c r="M1267" i="9"/>
  <c r="O1267" i="9" s="1"/>
  <c r="AE1267" i="9" s="1"/>
  <c r="M1283" i="9"/>
  <c r="O1283" i="9" s="1"/>
  <c r="AE1283" i="9" s="1"/>
  <c r="M1314" i="9"/>
  <c r="O1314" i="9" s="1"/>
  <c r="AE1314" i="9" s="1"/>
  <c r="M1319" i="9"/>
  <c r="O1319" i="9" s="1"/>
  <c r="AE1319" i="9" s="1"/>
  <c r="M1334" i="9"/>
  <c r="O1334" i="9" s="1"/>
  <c r="AE1334" i="9" s="1"/>
  <c r="M1335" i="9"/>
  <c r="O1335" i="9" s="1"/>
  <c r="AE1335" i="9" s="1"/>
  <c r="M1343" i="9"/>
  <c r="O1343" i="9" s="1"/>
  <c r="AE1343" i="9" s="1"/>
  <c r="M1396" i="9"/>
  <c r="O1396" i="9" s="1"/>
  <c r="AE1396" i="9" s="1"/>
  <c r="M1438" i="9"/>
  <c r="O1438" i="9" s="1"/>
  <c r="AE1438" i="9" s="1"/>
  <c r="M1442" i="9"/>
  <c r="O1442" i="9" s="1"/>
  <c r="AE1442" i="9" s="1"/>
  <c r="M1449" i="9"/>
  <c r="O1449" i="9" s="1"/>
  <c r="AE1449" i="9" s="1"/>
  <c r="M1457" i="9"/>
  <c r="O1457" i="9" s="1"/>
  <c r="AE1457" i="9" s="1"/>
  <c r="M1462" i="9"/>
  <c r="O1462" i="9" s="1"/>
  <c r="AE1462" i="9" s="1"/>
  <c r="M1469" i="9"/>
  <c r="O1469" i="9" s="1"/>
  <c r="AE1469" i="9" s="1"/>
  <c r="M1535" i="9"/>
  <c r="O1535" i="9" s="1"/>
  <c r="AE1535" i="9" s="1"/>
  <c r="M1544" i="9"/>
  <c r="O1544" i="9" s="1"/>
  <c r="AE1544" i="9" s="1"/>
  <c r="M1502" i="9"/>
  <c r="O1502" i="9" s="1"/>
  <c r="AE1502" i="9" s="1"/>
  <c r="M1505" i="9"/>
  <c r="O1505" i="9" s="1"/>
  <c r="AE1505" i="9" s="1"/>
  <c r="M1526" i="9"/>
  <c r="O1526" i="9" s="1"/>
  <c r="AE1526" i="9" s="1"/>
  <c r="M1530" i="9"/>
  <c r="O1530" i="9" s="1"/>
  <c r="AE1530" i="9" s="1"/>
  <c r="M1537" i="9"/>
  <c r="O1537" i="9" s="1"/>
  <c r="AE1537" i="9" s="1"/>
  <c r="M1558" i="9"/>
  <c r="O1558" i="9" s="1"/>
  <c r="AE1558" i="9" s="1"/>
  <c r="M1440" i="9"/>
  <c r="O1440" i="9" s="1"/>
  <c r="AE1440" i="9" s="1"/>
  <c r="M1443" i="9"/>
  <c r="O1443" i="9" s="1"/>
  <c r="AE1443" i="9" s="1"/>
  <c r="M1456" i="9"/>
  <c r="O1456" i="9" s="1"/>
  <c r="AE1456" i="9" s="1"/>
  <c r="M1464" i="9"/>
  <c r="O1464" i="9" s="1"/>
  <c r="AE1464" i="9" s="1"/>
  <c r="M1466" i="9"/>
  <c r="O1466" i="9" s="1"/>
  <c r="AE1466" i="9" s="1"/>
  <c r="M1472" i="9"/>
  <c r="O1472" i="9" s="1"/>
  <c r="AE1472" i="9" s="1"/>
  <c r="M1475" i="9"/>
  <c r="O1475" i="9" s="1"/>
  <c r="AE1475" i="9" s="1"/>
  <c r="M1491" i="9"/>
  <c r="O1491" i="9" s="1"/>
  <c r="AE1491" i="9" s="1"/>
  <c r="M1498" i="9"/>
  <c r="O1498" i="9" s="1"/>
  <c r="AE1498" i="9" s="1"/>
  <c r="M1514" i="9"/>
  <c r="O1514" i="9" s="1"/>
  <c r="AE1514" i="9" s="1"/>
  <c r="M1547" i="9"/>
  <c r="O1547" i="9" s="1"/>
  <c r="AE1547" i="9" s="1"/>
  <c r="M1554" i="9"/>
  <c r="O1554" i="9" s="1"/>
  <c r="AE1554" i="9" s="1"/>
  <c r="M1397" i="9"/>
  <c r="O1397" i="9" s="1"/>
  <c r="AE1397" i="9" s="1"/>
  <c r="M1508" i="9"/>
  <c r="O1508" i="9" s="1"/>
  <c r="AE1508" i="9" s="1"/>
  <c r="M1525" i="9"/>
  <c r="O1525" i="9" s="1"/>
  <c r="AE1525" i="9" s="1"/>
  <c r="M1541" i="9"/>
  <c r="O1541" i="9" s="1"/>
  <c r="AE1541" i="9" s="1"/>
  <c r="M1560" i="9"/>
  <c r="O1560" i="9" s="1"/>
  <c r="AE1560" i="9" s="1"/>
  <c r="M1219" i="9"/>
  <c r="O1219" i="9" s="1"/>
  <c r="AE1219" i="9" s="1"/>
  <c r="M1220" i="9"/>
  <c r="O1220" i="9" s="1"/>
  <c r="AE1220" i="9" s="1"/>
  <c r="M1228" i="9"/>
  <c r="O1228" i="9" s="1"/>
  <c r="AE1228" i="9" s="1"/>
  <c r="M1237" i="9"/>
  <c r="O1237" i="9" s="1"/>
  <c r="AE1237" i="9" s="1"/>
  <c r="M1263" i="9"/>
  <c r="O1263" i="9" s="1"/>
  <c r="AE1263" i="9" s="1"/>
  <c r="M1269" i="9"/>
  <c r="O1269" i="9" s="1"/>
  <c r="AE1269" i="9" s="1"/>
  <c r="M1284" i="9"/>
  <c r="O1284" i="9" s="1"/>
  <c r="AE1284" i="9" s="1"/>
  <c r="M1308" i="9"/>
  <c r="O1308" i="9" s="1"/>
  <c r="AE1308" i="9" s="1"/>
  <c r="M1333" i="9"/>
  <c r="O1333" i="9" s="1"/>
  <c r="AE1333" i="9" s="1"/>
  <c r="M1239" i="9"/>
  <c r="O1239" i="9" s="1"/>
  <c r="AE1239" i="9" s="1"/>
  <c r="M1256" i="9"/>
  <c r="O1256" i="9" s="1"/>
  <c r="AE1256" i="9" s="1"/>
  <c r="M1272" i="9"/>
  <c r="O1272" i="9" s="1"/>
  <c r="AE1272" i="9" s="1"/>
  <c r="M1297" i="9"/>
  <c r="O1297" i="9" s="1"/>
  <c r="AE1297" i="9" s="1"/>
  <c r="M1313" i="9"/>
  <c r="O1313" i="9" s="1"/>
  <c r="AE1313" i="9" s="1"/>
  <c r="M1315" i="9"/>
  <c r="O1315" i="9" s="1"/>
  <c r="AE1315" i="9" s="1"/>
  <c r="M1238" i="9"/>
  <c r="O1238" i="9" s="1"/>
  <c r="AE1238" i="9" s="1"/>
  <c r="M1254" i="9"/>
  <c r="O1254" i="9" s="1"/>
  <c r="AE1254" i="9" s="1"/>
  <c r="M1258" i="9"/>
  <c r="O1258" i="9" s="1"/>
  <c r="AE1258" i="9" s="1"/>
  <c r="M1265" i="9"/>
  <c r="O1265" i="9" s="1"/>
  <c r="AE1265" i="9" s="1"/>
  <c r="M1273" i="9"/>
  <c r="O1273" i="9" s="1"/>
  <c r="AE1273" i="9" s="1"/>
  <c r="M1300" i="9"/>
  <c r="O1300" i="9" s="1"/>
  <c r="AE1300" i="9" s="1"/>
  <c r="M1305" i="9"/>
  <c r="O1305" i="9" s="1"/>
  <c r="AE1305" i="9" s="1"/>
  <c r="M1316" i="9"/>
  <c r="O1316" i="9" s="1"/>
  <c r="AE1316" i="9" s="1"/>
  <c r="M1331" i="9"/>
  <c r="O1331" i="9" s="1"/>
  <c r="AE1331" i="9" s="1"/>
  <c r="M1450" i="9"/>
  <c r="O1450" i="9" s="1"/>
  <c r="AE1450" i="9" s="1"/>
  <c r="M1459" i="9"/>
  <c r="O1459" i="9" s="1"/>
  <c r="AE1459" i="9" s="1"/>
  <c r="M1465" i="9"/>
  <c r="O1465" i="9" s="1"/>
  <c r="AE1465" i="9" s="1"/>
  <c r="M1471" i="9"/>
  <c r="O1471" i="9" s="1"/>
  <c r="AE1471" i="9" s="1"/>
  <c r="M1481" i="9"/>
  <c r="O1481" i="9" s="1"/>
  <c r="AE1481" i="9" s="1"/>
  <c r="M1512" i="9"/>
  <c r="O1512" i="9" s="1"/>
  <c r="AE1512" i="9" s="1"/>
  <c r="M1518" i="9"/>
  <c r="O1518" i="9" s="1"/>
  <c r="AE1518" i="9" s="1"/>
  <c r="M1524" i="9"/>
  <c r="O1524" i="9" s="1"/>
  <c r="AE1524" i="9" s="1"/>
  <c r="M1540" i="9"/>
  <c r="O1540" i="9" s="1"/>
  <c r="AE1540" i="9" s="1"/>
  <c r="M1543" i="9"/>
  <c r="O1543" i="9" s="1"/>
  <c r="AE1543" i="9" s="1"/>
  <c r="M1564" i="9"/>
  <c r="O1564" i="9" s="1"/>
  <c r="AE1564" i="9" s="1"/>
  <c r="M1441" i="9"/>
  <c r="O1441" i="9" s="1"/>
  <c r="AE1441" i="9" s="1"/>
  <c r="M1445" i="9"/>
  <c r="O1445" i="9" s="1"/>
  <c r="AE1445" i="9" s="1"/>
  <c r="M1452" i="9"/>
  <c r="O1452" i="9" s="1"/>
  <c r="AE1452" i="9" s="1"/>
  <c r="M1473" i="9"/>
  <c r="O1473" i="9" s="1"/>
  <c r="AE1473" i="9" s="1"/>
  <c r="M1477" i="9"/>
  <c r="O1477" i="9" s="1"/>
  <c r="AE1477" i="9" s="1"/>
  <c r="M1482" i="9"/>
  <c r="O1482" i="9" s="1"/>
  <c r="AE1482" i="9" s="1"/>
  <c r="M1496" i="9"/>
  <c r="O1496" i="9" s="1"/>
  <c r="AE1496" i="9" s="1"/>
  <c r="M1504" i="9"/>
  <c r="O1504" i="9" s="1"/>
  <c r="AE1504" i="9" s="1"/>
  <c r="M1529" i="9"/>
  <c r="O1529" i="9" s="1"/>
  <c r="AE1529" i="9" s="1"/>
  <c r="M1536" i="9"/>
  <c r="O1536" i="9" s="1"/>
  <c r="AE1536" i="9" s="1"/>
  <c r="M1552" i="9"/>
  <c r="O1552" i="9" s="1"/>
  <c r="AE1552" i="9" s="1"/>
  <c r="M1490" i="9"/>
  <c r="O1490" i="9" s="1"/>
  <c r="AE1490" i="9" s="1"/>
  <c r="M1511" i="9"/>
  <c r="O1511" i="9" s="1"/>
  <c r="AE1511" i="9" s="1"/>
  <c r="M1513" i="9"/>
  <c r="O1513" i="9" s="1"/>
  <c r="AE1513" i="9" s="1"/>
  <c r="M1519" i="9"/>
  <c r="O1519" i="9" s="1"/>
  <c r="AE1519" i="9" s="1"/>
  <c r="M1546" i="9"/>
  <c r="O1546" i="9" s="1"/>
  <c r="AE1546" i="9" s="1"/>
  <c r="M1563" i="9"/>
  <c r="O1563" i="9" s="1"/>
  <c r="AE1563" i="9" s="1"/>
  <c r="M1567" i="9"/>
  <c r="O1567" i="9" s="1"/>
  <c r="AE1567" i="9" s="1"/>
  <c r="M1572" i="9"/>
  <c r="O1572" i="9" s="1"/>
  <c r="AE1572" i="9" s="1"/>
  <c r="M1577" i="9"/>
  <c r="O1577" i="9" s="1"/>
  <c r="AE1577" i="9" s="1"/>
  <c r="M1579" i="9"/>
  <c r="O1579" i="9" s="1"/>
  <c r="AE1579" i="9" s="1"/>
  <c r="M1581" i="9"/>
  <c r="O1581" i="9" s="1"/>
  <c r="AE1581" i="9" s="1"/>
  <c r="M1586" i="9"/>
  <c r="O1586" i="9" s="1"/>
  <c r="AE1586" i="9" s="1"/>
  <c r="M1592" i="9"/>
  <c r="O1592" i="9" s="1"/>
  <c r="AE1592" i="9" s="1"/>
  <c r="M1595" i="9"/>
  <c r="O1595" i="9" s="1"/>
  <c r="AE1595" i="9" s="1"/>
  <c r="M1598" i="9"/>
  <c r="O1598" i="9" s="1"/>
  <c r="AE1598" i="9" s="1"/>
  <c r="M1602" i="9"/>
  <c r="O1602" i="9" s="1"/>
  <c r="AE1602" i="9" s="1"/>
  <c r="M1606" i="9"/>
  <c r="O1606" i="9" s="1"/>
  <c r="AE1606" i="9" s="1"/>
  <c r="M1611" i="9"/>
  <c r="O1611" i="9" s="1"/>
  <c r="AE1611" i="9" s="1"/>
  <c r="M1613" i="9"/>
  <c r="O1613" i="9" s="1"/>
  <c r="AE1613" i="9" s="1"/>
  <c r="M1619" i="9"/>
  <c r="O1619" i="9" s="1"/>
  <c r="AE1619" i="9" s="1"/>
  <c r="M1622" i="9"/>
  <c r="O1622" i="9" s="1"/>
  <c r="AE1622" i="9" s="1"/>
  <c r="M1624" i="9"/>
  <c r="O1624" i="9" s="1"/>
  <c r="AE1624" i="9" s="1"/>
  <c r="M1629" i="9"/>
  <c r="O1629" i="9" s="1"/>
  <c r="AE1629" i="9" s="1"/>
  <c r="M1631" i="9"/>
  <c r="O1631" i="9" s="1"/>
  <c r="AE1631" i="9" s="1"/>
  <c r="M1638" i="9"/>
  <c r="O1638" i="9" s="1"/>
  <c r="AE1638" i="9" s="1"/>
  <c r="M1642" i="9"/>
  <c r="O1642" i="9" s="1"/>
  <c r="AE1642" i="9" s="1"/>
  <c r="M1644" i="9"/>
  <c r="O1644" i="9" s="1"/>
  <c r="AE1644" i="9" s="1"/>
  <c r="M1651" i="9"/>
  <c r="O1651" i="9" s="1"/>
  <c r="AE1651" i="9" s="1"/>
  <c r="M1654" i="9"/>
  <c r="O1654" i="9" s="1"/>
  <c r="AE1654" i="9" s="1"/>
  <c r="M1662" i="9"/>
  <c r="O1662" i="9" s="1"/>
  <c r="AE1662" i="9" s="1"/>
  <c r="M1663" i="9"/>
  <c r="O1663" i="9" s="1"/>
  <c r="AE1663" i="9" s="1"/>
  <c r="M1667" i="9"/>
  <c r="O1667" i="9" s="1"/>
  <c r="AE1667" i="9" s="1"/>
  <c r="M1671" i="9"/>
  <c r="O1671" i="9" s="1"/>
  <c r="AE1671" i="9" s="1"/>
  <c r="M1691" i="9"/>
  <c r="O1691" i="9" s="1"/>
  <c r="AE1691" i="9" s="1"/>
  <c r="M1707" i="9"/>
  <c r="O1707" i="9" s="1"/>
  <c r="AE1707" i="9" s="1"/>
  <c r="M1711" i="9"/>
  <c r="O1711" i="9" s="1"/>
  <c r="AE1711" i="9" s="1"/>
  <c r="M1718" i="9"/>
  <c r="O1718" i="9" s="1"/>
  <c r="AE1718" i="9" s="1"/>
  <c r="M1726" i="9"/>
  <c r="O1726" i="9" s="1"/>
  <c r="AE1726" i="9" s="1"/>
  <c r="M1850" i="9"/>
  <c r="O1850" i="9" s="1"/>
  <c r="AE1850" i="9" s="1"/>
  <c r="M1855" i="9"/>
  <c r="O1855" i="9" s="1"/>
  <c r="AE1855" i="9" s="1"/>
  <c r="M1880" i="9"/>
  <c r="O1880" i="9" s="1"/>
  <c r="AE1880" i="9" s="1"/>
  <c r="M1888" i="9"/>
  <c r="O1888" i="9" s="1"/>
  <c r="AE1888" i="9" s="1"/>
  <c r="M1913" i="9"/>
  <c r="O1913" i="9" s="1"/>
  <c r="AE1913" i="9" s="1"/>
  <c r="M1920" i="9"/>
  <c r="O1920" i="9" s="1"/>
  <c r="AE1920" i="9" s="1"/>
  <c r="M1923" i="9"/>
  <c r="O1923" i="9" s="1"/>
  <c r="AE1923" i="9" s="1"/>
  <c r="M1931" i="9"/>
  <c r="O1931" i="9" s="1"/>
  <c r="AE1931" i="9" s="1"/>
  <c r="M1932" i="9"/>
  <c r="O1932" i="9" s="1"/>
  <c r="AE1932" i="9" s="1"/>
  <c r="M1935" i="9"/>
  <c r="O1935" i="9" s="1"/>
  <c r="AE1935" i="9" s="1"/>
  <c r="M1939" i="9"/>
  <c r="O1939" i="9" s="1"/>
  <c r="AE1939" i="9" s="1"/>
  <c r="M1945" i="9"/>
  <c r="O1945" i="9" s="1"/>
  <c r="AE1945" i="9" s="1"/>
  <c r="M1952" i="9"/>
  <c r="O1952" i="9" s="1"/>
  <c r="AE1952" i="9" s="1"/>
  <c r="M1959" i="9"/>
  <c r="O1959" i="9" s="1"/>
  <c r="AE1959" i="9" s="1"/>
  <c r="M1966" i="9"/>
  <c r="O1966" i="9" s="1"/>
  <c r="AE1966" i="9" s="1"/>
  <c r="M1973" i="9"/>
  <c r="O1973" i="9" s="1"/>
  <c r="AE1973" i="9" s="1"/>
  <c r="M1979" i="9"/>
  <c r="O1979" i="9" s="1"/>
  <c r="AE1979" i="9" s="1"/>
  <c r="M1986" i="9"/>
  <c r="O1986" i="9" s="1"/>
  <c r="AE1986" i="9" s="1"/>
  <c r="M1708" i="9"/>
  <c r="O1708" i="9" s="1"/>
  <c r="AE1708" i="9" s="1"/>
  <c r="M1724" i="9"/>
  <c r="O1724" i="9" s="1"/>
  <c r="AE1724" i="9" s="1"/>
  <c r="M1727" i="9"/>
  <c r="O1727" i="9" s="1"/>
  <c r="AE1727" i="9" s="1"/>
  <c r="M1749" i="9"/>
  <c r="O1749" i="9" s="1"/>
  <c r="AE1749" i="9" s="1"/>
  <c r="M1752" i="9"/>
  <c r="O1752" i="9" s="1"/>
  <c r="AE1752" i="9" s="1"/>
  <c r="M1760" i="9"/>
  <c r="O1760" i="9" s="1"/>
  <c r="AE1760" i="9" s="1"/>
  <c r="M1767" i="9"/>
  <c r="O1767" i="9" s="1"/>
  <c r="AE1767" i="9" s="1"/>
  <c r="M1776" i="9"/>
  <c r="O1776" i="9" s="1"/>
  <c r="AE1776" i="9" s="1"/>
  <c r="M1783" i="9"/>
  <c r="O1783" i="9" s="1"/>
  <c r="AE1783" i="9" s="1"/>
  <c r="M1792" i="9"/>
  <c r="O1792" i="9" s="1"/>
  <c r="AE1792" i="9" s="1"/>
  <c r="M1796" i="9"/>
  <c r="O1796" i="9" s="1"/>
  <c r="AE1796" i="9" s="1"/>
  <c r="M1803" i="9"/>
  <c r="O1803" i="9" s="1"/>
  <c r="AE1803" i="9" s="1"/>
  <c r="M1811" i="9"/>
  <c r="O1811" i="9" s="1"/>
  <c r="AE1811" i="9" s="1"/>
  <c r="M1816" i="9"/>
  <c r="O1816" i="9" s="1"/>
  <c r="AE1816" i="9" s="1"/>
  <c r="M1823" i="9"/>
  <c r="O1823" i="9" s="1"/>
  <c r="AE1823" i="9" s="1"/>
  <c r="M1573" i="9"/>
  <c r="O1573" i="9" s="1"/>
  <c r="AE1573" i="9" s="1"/>
  <c r="M1575" i="9"/>
  <c r="O1575" i="9" s="1"/>
  <c r="AE1575" i="9" s="1"/>
  <c r="M1578" i="9"/>
  <c r="O1578" i="9" s="1"/>
  <c r="AE1578" i="9" s="1"/>
  <c r="M1587" i="9"/>
  <c r="O1587" i="9" s="1"/>
  <c r="AE1587" i="9" s="1"/>
  <c r="M1589" i="9"/>
  <c r="O1589" i="9" s="1"/>
  <c r="AE1589" i="9" s="1"/>
  <c r="M1594" i="9"/>
  <c r="O1594" i="9" s="1"/>
  <c r="AE1594" i="9" s="1"/>
  <c r="M1597" i="9"/>
  <c r="O1597" i="9" s="1"/>
  <c r="AE1597" i="9" s="1"/>
  <c r="M1601" i="9"/>
  <c r="O1601" i="9" s="1"/>
  <c r="AE1601" i="9" s="1"/>
  <c r="M1607" i="9"/>
  <c r="O1607" i="9" s="1"/>
  <c r="AE1607" i="9" s="1"/>
  <c r="M1614" i="9"/>
  <c r="O1614" i="9" s="1"/>
  <c r="AE1614" i="9" s="1"/>
  <c r="M1617" i="9"/>
  <c r="O1617" i="9" s="1"/>
  <c r="AE1617" i="9" s="1"/>
  <c r="M1620" i="9"/>
  <c r="O1620" i="9" s="1"/>
  <c r="AE1620" i="9" s="1"/>
  <c r="M1625" i="9"/>
  <c r="O1625" i="9" s="1"/>
  <c r="AE1625" i="9" s="1"/>
  <c r="M1632" i="9"/>
  <c r="O1632" i="9" s="1"/>
  <c r="AE1632" i="9" s="1"/>
  <c r="M1635" i="9"/>
  <c r="O1635" i="9" s="1"/>
  <c r="AE1635" i="9" s="1"/>
  <c r="M1639" i="9"/>
  <c r="O1639" i="9" s="1"/>
  <c r="AE1639" i="9" s="1"/>
  <c r="M1641" i="9"/>
  <c r="O1641" i="9" s="1"/>
  <c r="AE1641" i="9" s="1"/>
  <c r="M1648" i="9"/>
  <c r="O1648" i="9" s="1"/>
  <c r="AE1648" i="9" s="1"/>
  <c r="M1652" i="9"/>
  <c r="O1652" i="9" s="1"/>
  <c r="AE1652" i="9" s="1"/>
  <c r="M1658" i="9"/>
  <c r="O1658" i="9" s="1"/>
  <c r="AE1658" i="9" s="1"/>
  <c r="M1666" i="9"/>
  <c r="O1666" i="9" s="1"/>
  <c r="AE1666" i="9" s="1"/>
  <c r="M1670" i="9"/>
  <c r="O1670" i="9" s="1"/>
  <c r="AE1670" i="9" s="1"/>
  <c r="M1693" i="9"/>
  <c r="O1693" i="9" s="1"/>
  <c r="AE1693" i="9" s="1"/>
  <c r="M1700" i="9"/>
  <c r="O1700" i="9" s="1"/>
  <c r="AE1700" i="9" s="1"/>
  <c r="M1729" i="9"/>
  <c r="O1729" i="9" s="1"/>
  <c r="AE1729" i="9" s="1"/>
  <c r="M1745" i="9"/>
  <c r="O1745" i="9" s="1"/>
  <c r="AE1745" i="9" s="1"/>
  <c r="M1836" i="9"/>
  <c r="O1836" i="9" s="1"/>
  <c r="AE1836" i="9" s="1"/>
  <c r="M1841" i="9"/>
  <c r="O1841" i="9" s="1"/>
  <c r="AE1841" i="9" s="1"/>
  <c r="M1891" i="9"/>
  <c r="O1891" i="9" s="1"/>
  <c r="AE1891" i="9" s="1"/>
  <c r="M1907" i="9"/>
  <c r="O1907" i="9" s="1"/>
  <c r="AE1907" i="9" s="1"/>
  <c r="M1911" i="9"/>
  <c r="O1911" i="9" s="1"/>
  <c r="AE1911" i="9" s="1"/>
  <c r="M1917" i="9"/>
  <c r="O1917" i="9" s="1"/>
  <c r="AE1917" i="9" s="1"/>
  <c r="M1921" i="9"/>
  <c r="O1921" i="9" s="1"/>
  <c r="AE1921" i="9" s="1"/>
  <c r="M1927" i="9"/>
  <c r="O1927" i="9" s="1"/>
  <c r="AE1927" i="9" s="1"/>
  <c r="M1938" i="9"/>
  <c r="O1938" i="9" s="1"/>
  <c r="AE1938" i="9" s="1"/>
  <c r="M1941" i="9"/>
  <c r="O1941" i="9" s="1"/>
  <c r="AE1941" i="9" s="1"/>
  <c r="M1947" i="9"/>
  <c r="O1947" i="9" s="1"/>
  <c r="AE1947" i="9" s="1"/>
  <c r="M1954" i="9"/>
  <c r="O1954" i="9" s="1"/>
  <c r="AE1954" i="9" s="1"/>
  <c r="M1961" i="9"/>
  <c r="O1961" i="9" s="1"/>
  <c r="AE1961" i="9" s="1"/>
  <c r="M1967" i="9"/>
  <c r="O1967" i="9" s="1"/>
  <c r="AE1967" i="9" s="1"/>
  <c r="M1974" i="9"/>
  <c r="O1974" i="9" s="1"/>
  <c r="AE1974" i="9" s="1"/>
  <c r="M1981" i="9"/>
  <c r="O1981" i="9" s="1"/>
  <c r="AE1981" i="9" s="1"/>
  <c r="M1988" i="9"/>
  <c r="O1988" i="9" s="1"/>
  <c r="AE1988" i="9" s="1"/>
  <c r="M1694" i="9"/>
  <c r="O1694" i="9" s="1"/>
  <c r="AE1694" i="9" s="1"/>
  <c r="M1701" i="9"/>
  <c r="O1701" i="9" s="1"/>
  <c r="AE1701" i="9" s="1"/>
  <c r="M1746" i="9"/>
  <c r="O1746" i="9" s="1"/>
  <c r="AE1746" i="9" s="1"/>
  <c r="M1754" i="9"/>
  <c r="O1754" i="9" s="1"/>
  <c r="AE1754" i="9" s="1"/>
  <c r="M1763" i="9"/>
  <c r="O1763" i="9" s="1"/>
  <c r="AE1763" i="9" s="1"/>
  <c r="M1769" i="9"/>
  <c r="O1769" i="9" s="1"/>
  <c r="AE1769" i="9" s="1"/>
  <c r="M1784" i="9"/>
  <c r="O1784" i="9" s="1"/>
  <c r="AE1784" i="9" s="1"/>
  <c r="M1804" i="9"/>
  <c r="O1804" i="9" s="1"/>
  <c r="AE1804" i="9" s="1"/>
  <c r="M1813" i="9"/>
  <c r="O1813" i="9" s="1"/>
  <c r="AE1813" i="9" s="1"/>
  <c r="M1819" i="9"/>
  <c r="O1819" i="9" s="1"/>
  <c r="AE1819" i="9" s="1"/>
  <c r="M1825" i="9"/>
  <c r="O1825" i="9" s="1"/>
  <c r="AE1825" i="9" s="1"/>
  <c r="M1569" i="9"/>
  <c r="O1569" i="9" s="1"/>
  <c r="AE1569" i="9" s="1"/>
  <c r="M1571" i="9"/>
  <c r="O1571" i="9" s="1"/>
  <c r="AE1571" i="9" s="1"/>
  <c r="M1574" i="9"/>
  <c r="O1574" i="9" s="1"/>
  <c r="AE1574" i="9" s="1"/>
  <c r="M1583" i="9"/>
  <c r="O1583" i="9" s="1"/>
  <c r="AE1583" i="9" s="1"/>
  <c r="M1585" i="9"/>
  <c r="O1585" i="9" s="1"/>
  <c r="AE1585" i="9" s="1"/>
  <c r="M1588" i="9"/>
  <c r="O1588" i="9" s="1"/>
  <c r="AE1588" i="9" s="1"/>
  <c r="M1596" i="9"/>
  <c r="O1596" i="9" s="1"/>
  <c r="AE1596" i="9" s="1"/>
  <c r="M1600" i="9"/>
  <c r="O1600" i="9" s="1"/>
  <c r="AE1600" i="9" s="1"/>
  <c r="M1603" i="9"/>
  <c r="O1603" i="9" s="1"/>
  <c r="AE1603" i="9" s="1"/>
  <c r="M1604" i="9"/>
  <c r="O1604" i="9" s="1"/>
  <c r="AE1604" i="9" s="1"/>
  <c r="M1609" i="9"/>
  <c r="O1609" i="9" s="1"/>
  <c r="AE1609" i="9" s="1"/>
  <c r="M1612" i="9"/>
  <c r="O1612" i="9" s="1"/>
  <c r="AE1612" i="9" s="1"/>
  <c r="M1615" i="9"/>
  <c r="O1615" i="9" s="1"/>
  <c r="AE1615" i="9" s="1"/>
  <c r="M1621" i="9"/>
  <c r="O1621" i="9" s="1"/>
  <c r="AE1621" i="9" s="1"/>
  <c r="M1627" i="9"/>
  <c r="O1627" i="9" s="1"/>
  <c r="AE1627" i="9" s="1"/>
  <c r="M1630" i="9"/>
  <c r="O1630" i="9" s="1"/>
  <c r="AE1630" i="9" s="1"/>
  <c r="M1633" i="9"/>
  <c r="O1633" i="9" s="1"/>
  <c r="AE1633" i="9" s="1"/>
  <c r="M1645" i="9"/>
  <c r="O1645" i="9" s="1"/>
  <c r="AE1645" i="9" s="1"/>
  <c r="M1649" i="9"/>
  <c r="O1649" i="9" s="1"/>
  <c r="AE1649" i="9" s="1"/>
  <c r="M1655" i="9"/>
  <c r="O1655" i="9" s="1"/>
  <c r="AE1655" i="9" s="1"/>
  <c r="M1659" i="9"/>
  <c r="O1659" i="9" s="1"/>
  <c r="AE1659" i="9" s="1"/>
  <c r="M1665" i="9"/>
  <c r="O1665" i="9" s="1"/>
  <c r="AE1665" i="9" s="1"/>
  <c r="M1669" i="9"/>
  <c r="O1669" i="9" s="1"/>
  <c r="AE1669" i="9" s="1"/>
  <c r="M1672" i="9"/>
  <c r="O1672" i="9" s="1"/>
  <c r="AE1672" i="9" s="1"/>
  <c r="M1675" i="9"/>
  <c r="O1675" i="9" s="1"/>
  <c r="AE1675" i="9" s="1"/>
  <c r="M1682" i="9"/>
  <c r="O1682" i="9" s="1"/>
  <c r="AE1682" i="9" s="1"/>
  <c r="M1698" i="9"/>
  <c r="O1698" i="9" s="1"/>
  <c r="AE1698" i="9" s="1"/>
  <c r="M1731" i="9"/>
  <c r="O1731" i="9" s="1"/>
  <c r="AE1731" i="9" s="1"/>
  <c r="M1738" i="9"/>
  <c r="O1738" i="9" s="1"/>
  <c r="AE1738" i="9" s="1"/>
  <c r="M1846" i="9"/>
  <c r="O1846" i="9" s="1"/>
  <c r="AE1846" i="9" s="1"/>
  <c r="M1871" i="9"/>
  <c r="O1871" i="9" s="1"/>
  <c r="AE1871" i="9" s="1"/>
  <c r="M1893" i="9"/>
  <c r="O1893" i="9" s="1"/>
  <c r="AE1893" i="9" s="1"/>
  <c r="M1900" i="9"/>
  <c r="O1900" i="9" s="1"/>
  <c r="AE1900" i="9" s="1"/>
  <c r="M1914" i="9"/>
  <c r="O1914" i="9" s="1"/>
  <c r="AE1914" i="9" s="1"/>
  <c r="M1918" i="9"/>
  <c r="O1918" i="9" s="1"/>
  <c r="AE1918" i="9" s="1"/>
  <c r="M1924" i="9"/>
  <c r="O1924" i="9" s="1"/>
  <c r="AE1924" i="9" s="1"/>
  <c r="M1928" i="9"/>
  <c r="O1928" i="9" s="1"/>
  <c r="AE1928" i="9" s="1"/>
  <c r="M1934" i="9"/>
  <c r="O1934" i="9" s="1"/>
  <c r="AE1934" i="9" s="1"/>
  <c r="M1937" i="9"/>
  <c r="O1937" i="9" s="1"/>
  <c r="AE1937" i="9" s="1"/>
  <c r="M1942" i="9"/>
  <c r="O1942" i="9" s="1"/>
  <c r="AE1942" i="9" s="1"/>
  <c r="M1949" i="9"/>
  <c r="O1949" i="9" s="1"/>
  <c r="AE1949" i="9" s="1"/>
  <c r="M1955" i="9"/>
  <c r="O1955" i="9" s="1"/>
  <c r="AE1955" i="9" s="1"/>
  <c r="M1962" i="9"/>
  <c r="O1962" i="9" s="1"/>
  <c r="AE1962" i="9" s="1"/>
  <c r="M1969" i="9"/>
  <c r="O1969" i="9" s="1"/>
  <c r="AE1969" i="9" s="1"/>
  <c r="M1976" i="9"/>
  <c r="O1976" i="9" s="1"/>
  <c r="AE1976" i="9" s="1"/>
  <c r="M1983" i="9"/>
  <c r="O1983" i="9" s="1"/>
  <c r="AE1983" i="9" s="1"/>
  <c r="M1990" i="9"/>
  <c r="O1990" i="9" s="1"/>
  <c r="AE1990" i="9" s="1"/>
  <c r="M1676" i="9"/>
  <c r="O1676" i="9" s="1"/>
  <c r="AE1676" i="9" s="1"/>
  <c r="M1683" i="9"/>
  <c r="O1683" i="9" s="1"/>
  <c r="AE1683" i="9" s="1"/>
  <c r="M1704" i="9"/>
  <c r="O1704" i="9" s="1"/>
  <c r="AE1704" i="9" s="1"/>
  <c r="M1732" i="9"/>
  <c r="O1732" i="9" s="1"/>
  <c r="AE1732" i="9" s="1"/>
  <c r="M1739" i="9"/>
  <c r="O1739" i="9" s="1"/>
  <c r="AE1739" i="9" s="1"/>
  <c r="M1756" i="9"/>
  <c r="O1756" i="9" s="1"/>
  <c r="AE1756" i="9" s="1"/>
  <c r="M1765" i="9"/>
  <c r="O1765" i="9" s="1"/>
  <c r="AE1765" i="9" s="1"/>
  <c r="M1773" i="9"/>
  <c r="O1773" i="9" s="1"/>
  <c r="AE1773" i="9" s="1"/>
  <c r="M1778" i="9"/>
  <c r="O1778" i="9" s="1"/>
  <c r="AE1778" i="9" s="1"/>
  <c r="M1785" i="9"/>
  <c r="O1785" i="9" s="1"/>
  <c r="AE1785" i="9" s="1"/>
  <c r="M1798" i="9"/>
  <c r="O1798" i="9" s="1"/>
  <c r="AE1798" i="9" s="1"/>
  <c r="M1805" i="9"/>
  <c r="O1805" i="9" s="1"/>
  <c r="AE1805" i="9" s="1"/>
  <c r="M1814" i="9"/>
  <c r="O1814" i="9" s="1"/>
  <c r="AE1814" i="9" s="1"/>
  <c r="M1821" i="9"/>
  <c r="O1821" i="9" s="1"/>
  <c r="AE1821" i="9" s="1"/>
  <c r="M1830" i="9"/>
  <c r="O1830" i="9" s="1"/>
  <c r="AE1830" i="9" s="1"/>
  <c r="M1834" i="9"/>
  <c r="O1834" i="9" s="1"/>
  <c r="AE1834" i="9" s="1"/>
  <c r="M1566" i="9"/>
  <c r="O1566" i="9" s="1"/>
  <c r="AE1566" i="9" s="1"/>
  <c r="M1568" i="9"/>
  <c r="O1568" i="9" s="1"/>
  <c r="AE1568" i="9" s="1"/>
  <c r="M1570" i="9"/>
  <c r="O1570" i="9" s="1"/>
  <c r="AE1570" i="9" s="1"/>
  <c r="M1576" i="9"/>
  <c r="O1576" i="9" s="1"/>
  <c r="AE1576" i="9" s="1"/>
  <c r="M1580" i="9"/>
  <c r="O1580" i="9" s="1"/>
  <c r="AE1580" i="9" s="1"/>
  <c r="M1582" i="9"/>
  <c r="O1582" i="9" s="1"/>
  <c r="AE1582" i="9" s="1"/>
  <c r="M1584" i="9"/>
  <c r="O1584" i="9" s="1"/>
  <c r="AE1584" i="9" s="1"/>
  <c r="M1590" i="9"/>
  <c r="O1590" i="9" s="1"/>
  <c r="AE1590" i="9" s="1"/>
  <c r="M1591" i="9"/>
  <c r="O1591" i="9" s="1"/>
  <c r="AE1591" i="9" s="1"/>
  <c r="M1593" i="9"/>
  <c r="O1593" i="9" s="1"/>
  <c r="AE1593" i="9" s="1"/>
  <c r="M1599" i="9"/>
  <c r="O1599" i="9" s="1"/>
  <c r="AE1599" i="9" s="1"/>
  <c r="M1605" i="9"/>
  <c r="O1605" i="9" s="1"/>
  <c r="AE1605" i="9" s="1"/>
  <c r="M1608" i="9"/>
  <c r="O1608" i="9" s="1"/>
  <c r="AE1608" i="9" s="1"/>
  <c r="M1610" i="9"/>
  <c r="O1610" i="9" s="1"/>
  <c r="AE1610" i="9" s="1"/>
  <c r="M1616" i="9"/>
  <c r="O1616" i="9" s="1"/>
  <c r="AE1616" i="9" s="1"/>
  <c r="M1618" i="9"/>
  <c r="O1618" i="9" s="1"/>
  <c r="AE1618" i="9" s="1"/>
  <c r="M1623" i="9"/>
  <c r="O1623" i="9" s="1"/>
  <c r="AE1623" i="9" s="1"/>
  <c r="M1626" i="9"/>
  <c r="O1626" i="9" s="1"/>
  <c r="AE1626" i="9" s="1"/>
  <c r="M1628" i="9"/>
  <c r="O1628" i="9" s="1"/>
  <c r="AE1628" i="9" s="1"/>
  <c r="M1634" i="9"/>
  <c r="O1634" i="9" s="1"/>
  <c r="AE1634" i="9" s="1"/>
  <c r="M1636" i="9"/>
  <c r="O1636" i="9" s="1"/>
  <c r="AE1636" i="9" s="1"/>
  <c r="M1637" i="9"/>
  <c r="O1637" i="9" s="1"/>
  <c r="AE1637" i="9" s="1"/>
  <c r="M1640" i="9"/>
  <c r="O1640" i="9" s="1"/>
  <c r="AE1640" i="9" s="1"/>
  <c r="M1643" i="9"/>
  <c r="O1643" i="9" s="1"/>
  <c r="AE1643" i="9" s="1"/>
  <c r="M1646" i="9"/>
  <c r="O1646" i="9" s="1"/>
  <c r="AE1646" i="9" s="1"/>
  <c r="M1647" i="9"/>
  <c r="O1647" i="9" s="1"/>
  <c r="AE1647" i="9" s="1"/>
  <c r="M1650" i="9"/>
  <c r="O1650" i="9" s="1"/>
  <c r="AE1650" i="9" s="1"/>
  <c r="M1653" i="9"/>
  <c r="O1653" i="9" s="1"/>
  <c r="AE1653" i="9" s="1"/>
  <c r="M1656" i="9"/>
  <c r="O1656" i="9" s="1"/>
  <c r="AE1656" i="9" s="1"/>
  <c r="M1657" i="9"/>
  <c r="O1657" i="9" s="1"/>
  <c r="AE1657" i="9" s="1"/>
  <c r="M1660" i="9"/>
  <c r="O1660" i="9" s="1"/>
  <c r="AE1660" i="9" s="1"/>
  <c r="M1661" i="9"/>
  <c r="O1661" i="9" s="1"/>
  <c r="AE1661" i="9" s="1"/>
  <c r="M1664" i="9"/>
  <c r="O1664" i="9" s="1"/>
  <c r="AE1664" i="9" s="1"/>
  <c r="M1668" i="9"/>
  <c r="O1668" i="9" s="1"/>
  <c r="AE1668" i="9" s="1"/>
  <c r="M1680" i="9"/>
  <c r="O1680" i="9" s="1"/>
  <c r="AE1680" i="9" s="1"/>
  <c r="M1688" i="9"/>
  <c r="O1688" i="9" s="1"/>
  <c r="AE1688" i="9" s="1"/>
  <c r="M1713" i="9"/>
  <c r="O1713" i="9" s="1"/>
  <c r="AE1713" i="9" s="1"/>
  <c r="M1720" i="9"/>
  <c r="O1720" i="9" s="1"/>
  <c r="AE1720" i="9" s="1"/>
  <c r="M1736" i="9"/>
  <c r="O1736" i="9" s="1"/>
  <c r="AE1736" i="9" s="1"/>
  <c r="M1848" i="9"/>
  <c r="O1848" i="9" s="1"/>
  <c r="AE1848" i="9" s="1"/>
  <c r="M1861" i="9"/>
  <c r="O1861" i="9" s="1"/>
  <c r="AE1861" i="9" s="1"/>
  <c r="M1864" i="9"/>
  <c r="O1864" i="9" s="1"/>
  <c r="AE1864" i="9" s="1"/>
  <c r="M1867" i="9"/>
  <c r="O1867" i="9" s="1"/>
  <c r="AE1867" i="9" s="1"/>
  <c r="M1875" i="9"/>
  <c r="O1875" i="9" s="1"/>
  <c r="AE1875" i="9" s="1"/>
  <c r="M1882" i="9"/>
  <c r="O1882" i="9" s="1"/>
  <c r="AE1882" i="9" s="1"/>
  <c r="M1898" i="9"/>
  <c r="O1898" i="9" s="1"/>
  <c r="AE1898" i="9" s="1"/>
  <c r="M1912" i="9"/>
  <c r="O1912" i="9" s="1"/>
  <c r="AE1912" i="9" s="1"/>
  <c r="M1915" i="9"/>
  <c r="O1915" i="9" s="1"/>
  <c r="AE1915" i="9" s="1"/>
  <c r="M1916" i="9"/>
  <c r="O1916" i="9" s="1"/>
  <c r="AE1916" i="9" s="1"/>
  <c r="M1919" i="9"/>
  <c r="O1919" i="9" s="1"/>
  <c r="AE1919" i="9" s="1"/>
  <c r="M1922" i="9"/>
  <c r="O1922" i="9" s="1"/>
  <c r="AE1922" i="9" s="1"/>
  <c r="M1925" i="9"/>
  <c r="O1925" i="9" s="1"/>
  <c r="AE1925" i="9" s="1"/>
  <c r="M1926" i="9"/>
  <c r="O1926" i="9" s="1"/>
  <c r="AE1926" i="9" s="1"/>
  <c r="M1929" i="9"/>
  <c r="O1929" i="9" s="1"/>
  <c r="AE1929" i="9" s="1"/>
  <c r="M1930" i="9"/>
  <c r="O1930" i="9" s="1"/>
  <c r="AE1930" i="9" s="1"/>
  <c r="M1933" i="9"/>
  <c r="O1933" i="9" s="1"/>
  <c r="AE1933" i="9" s="1"/>
  <c r="M1936" i="9"/>
  <c r="O1936" i="9" s="1"/>
  <c r="AE1936" i="9" s="1"/>
  <c r="M1940" i="9"/>
  <c r="O1940" i="9" s="1"/>
  <c r="AE1940" i="9" s="1"/>
  <c r="M1943" i="9"/>
  <c r="O1943" i="9" s="1"/>
  <c r="AE1943" i="9" s="1"/>
  <c r="M1950" i="9"/>
  <c r="O1950" i="9" s="1"/>
  <c r="AE1950" i="9" s="1"/>
  <c r="M1957" i="9"/>
  <c r="O1957" i="9" s="1"/>
  <c r="AE1957" i="9" s="1"/>
  <c r="M1964" i="9"/>
  <c r="O1964" i="9" s="1"/>
  <c r="AE1964" i="9" s="1"/>
  <c r="M1971" i="9"/>
  <c r="O1971" i="9" s="1"/>
  <c r="AE1971" i="9" s="1"/>
  <c r="M1978" i="9"/>
  <c r="O1978" i="9" s="1"/>
  <c r="AE1978" i="9" s="1"/>
  <c r="M1985" i="9"/>
  <c r="O1985" i="9" s="1"/>
  <c r="AE1985" i="9" s="1"/>
  <c r="M1991" i="9"/>
  <c r="O1991" i="9" s="1"/>
  <c r="AE1991" i="9" s="1"/>
  <c r="M1686" i="9"/>
  <c r="O1686" i="9" s="1"/>
  <c r="AE1686" i="9" s="1"/>
  <c r="M1689" i="9"/>
  <c r="O1689" i="9" s="1"/>
  <c r="AE1689" i="9" s="1"/>
  <c r="M1710" i="9"/>
  <c r="O1710" i="9" s="1"/>
  <c r="AE1710" i="9" s="1"/>
  <c r="M1714" i="9"/>
  <c r="O1714" i="9" s="1"/>
  <c r="AE1714" i="9" s="1"/>
  <c r="M1721" i="9"/>
  <c r="O1721" i="9" s="1"/>
  <c r="AE1721" i="9" s="1"/>
  <c r="M1742" i="9"/>
  <c r="O1742" i="9" s="1"/>
  <c r="AE1742" i="9" s="1"/>
  <c r="M1750" i="9"/>
  <c r="O1750" i="9" s="1"/>
  <c r="AE1750" i="9" s="1"/>
  <c r="M1757" i="9"/>
  <c r="O1757" i="9" s="1"/>
  <c r="AE1757" i="9" s="1"/>
  <c r="M1758" i="9"/>
  <c r="O1758" i="9" s="1"/>
  <c r="AE1758" i="9" s="1"/>
  <c r="M1766" i="9"/>
  <c r="O1766" i="9" s="1"/>
  <c r="AE1766" i="9" s="1"/>
  <c r="M1775" i="9"/>
  <c r="O1775" i="9" s="1"/>
  <c r="AE1775" i="9" s="1"/>
  <c r="M1781" i="9"/>
  <c r="O1781" i="9" s="1"/>
  <c r="AE1781" i="9" s="1"/>
  <c r="M1787" i="9"/>
  <c r="O1787" i="9" s="1"/>
  <c r="AE1787" i="9" s="1"/>
  <c r="M1801" i="9"/>
  <c r="O1801" i="9" s="1"/>
  <c r="AE1801" i="9" s="1"/>
  <c r="M1807" i="9"/>
  <c r="O1807" i="9" s="1"/>
  <c r="AE1807" i="9" s="1"/>
  <c r="M1822" i="9"/>
  <c r="O1822" i="9" s="1"/>
  <c r="AE1822" i="9" s="1"/>
  <c r="M1845" i="9"/>
  <c r="O1845" i="9" s="1"/>
  <c r="AE1845" i="9" s="1"/>
  <c r="M1860" i="9"/>
  <c r="O1860" i="9" s="1"/>
  <c r="AE1860" i="9" s="1"/>
  <c r="M1874" i="9"/>
  <c r="O1874" i="9" s="1"/>
  <c r="AE1874" i="9" s="1"/>
  <c r="M1895" i="9"/>
  <c r="O1895" i="9" s="1"/>
  <c r="AE1895" i="9" s="1"/>
  <c r="M1897" i="9"/>
  <c r="O1897" i="9" s="1"/>
  <c r="AE1897" i="9" s="1"/>
  <c r="M1903" i="9"/>
  <c r="O1903" i="9" s="1"/>
  <c r="AE1903" i="9" s="1"/>
  <c r="M1678" i="9"/>
  <c r="O1678" i="9" s="1"/>
  <c r="AE1678" i="9" s="1"/>
  <c r="M1684" i="9"/>
  <c r="O1684" i="9" s="1"/>
  <c r="AE1684" i="9" s="1"/>
  <c r="M1699" i="9"/>
  <c r="O1699" i="9" s="1"/>
  <c r="AE1699" i="9" s="1"/>
  <c r="M1734" i="9"/>
  <c r="O1734" i="9" s="1"/>
  <c r="AE1734" i="9" s="1"/>
  <c r="M1740" i="9"/>
  <c r="O1740" i="9" s="1"/>
  <c r="AE1740" i="9" s="1"/>
  <c r="M1838" i="9"/>
  <c r="O1838" i="9" s="1"/>
  <c r="AE1838" i="9" s="1"/>
  <c r="M1843" i="9"/>
  <c r="O1843" i="9" s="1"/>
  <c r="AE1843" i="9" s="1"/>
  <c r="M1854" i="9"/>
  <c r="O1854" i="9" s="1"/>
  <c r="AE1854" i="9" s="1"/>
  <c r="M1869" i="9"/>
  <c r="O1869" i="9" s="1"/>
  <c r="AE1869" i="9" s="1"/>
  <c r="M1692" i="9"/>
  <c r="O1692" i="9" s="1"/>
  <c r="AE1692" i="9" s="1"/>
  <c r="M1709" i="9"/>
  <c r="O1709" i="9" s="1"/>
  <c r="AE1709" i="9" s="1"/>
  <c r="M1725" i="9"/>
  <c r="O1725" i="9" s="1"/>
  <c r="AE1725" i="9" s="1"/>
  <c r="M1744" i="9"/>
  <c r="O1744" i="9" s="1"/>
  <c r="AE1744" i="9" s="1"/>
  <c r="M1751" i="9"/>
  <c r="O1751" i="9" s="1"/>
  <c r="AE1751" i="9" s="1"/>
  <c r="M1761" i="9"/>
  <c r="O1761" i="9" s="1"/>
  <c r="AE1761" i="9" s="1"/>
  <c r="M1768" i="9"/>
  <c r="O1768" i="9" s="1"/>
  <c r="AE1768" i="9" s="1"/>
  <c r="M1789" i="9"/>
  <c r="O1789" i="9" s="1"/>
  <c r="AE1789" i="9" s="1"/>
  <c r="M1793" i="9"/>
  <c r="O1793" i="9" s="1"/>
  <c r="AE1793" i="9" s="1"/>
  <c r="M1809" i="9"/>
  <c r="O1809" i="9" s="1"/>
  <c r="AE1809" i="9" s="1"/>
  <c r="M1812" i="9"/>
  <c r="O1812" i="9" s="1"/>
  <c r="AE1812" i="9" s="1"/>
  <c r="M1817" i="9"/>
  <c r="O1817" i="9" s="1"/>
  <c r="AE1817" i="9" s="1"/>
  <c r="M1824" i="9"/>
  <c r="O1824" i="9" s="1"/>
  <c r="AE1824" i="9" s="1"/>
  <c r="M1833" i="9"/>
  <c r="O1833" i="9" s="1"/>
  <c r="AE1833" i="9" s="1"/>
  <c r="M1842" i="9"/>
  <c r="O1842" i="9" s="1"/>
  <c r="AE1842" i="9" s="1"/>
  <c r="M1858" i="9"/>
  <c r="O1858" i="9" s="1"/>
  <c r="AE1858" i="9" s="1"/>
  <c r="M1908" i="9"/>
  <c r="O1908" i="9" s="1"/>
  <c r="AE1908" i="9" s="1"/>
  <c r="M1946" i="9"/>
  <c r="O1946" i="9" s="1"/>
  <c r="AE1946" i="9" s="1"/>
  <c r="M1956" i="9"/>
  <c r="O1956" i="9" s="1"/>
  <c r="AE1956" i="9" s="1"/>
  <c r="M1965" i="9"/>
  <c r="O1965" i="9" s="1"/>
  <c r="AE1965" i="9" s="1"/>
  <c r="M1975" i="9"/>
  <c r="O1975" i="9" s="1"/>
  <c r="AE1975" i="9" s="1"/>
  <c r="M1984" i="9"/>
  <c r="O1984" i="9" s="1"/>
  <c r="AE1984" i="9" s="1"/>
  <c r="M1849" i="9"/>
  <c r="O1849" i="9" s="1"/>
  <c r="AE1849" i="9" s="1"/>
  <c r="M1862" i="9"/>
  <c r="O1862" i="9" s="1"/>
  <c r="AE1862" i="9" s="1"/>
  <c r="M1868" i="9"/>
  <c r="O1868" i="9" s="1"/>
  <c r="AE1868" i="9" s="1"/>
  <c r="M1877" i="9"/>
  <c r="O1877" i="9" s="1"/>
  <c r="AE1877" i="9" s="1"/>
  <c r="M1879" i="9"/>
  <c r="O1879" i="9" s="1"/>
  <c r="AE1879" i="9" s="1"/>
  <c r="M1885" i="9"/>
  <c r="O1885" i="9" s="1"/>
  <c r="AE1885" i="9" s="1"/>
  <c r="M1905" i="9"/>
  <c r="O1905" i="9" s="1"/>
  <c r="AE1905" i="9" s="1"/>
  <c r="M1673" i="9"/>
  <c r="O1673" i="9" s="1"/>
  <c r="AE1673" i="9" s="1"/>
  <c r="M1681" i="9"/>
  <c r="O1681" i="9" s="1"/>
  <c r="AE1681" i="9" s="1"/>
  <c r="M1690" i="9"/>
  <c r="O1690" i="9" s="1"/>
  <c r="AE1690" i="9" s="1"/>
  <c r="M1716" i="9"/>
  <c r="O1716" i="9" s="1"/>
  <c r="AE1716" i="9" s="1"/>
  <c r="M1722" i="9"/>
  <c r="O1722" i="9" s="1"/>
  <c r="AE1722" i="9" s="1"/>
  <c r="M1737" i="9"/>
  <c r="O1737" i="9" s="1"/>
  <c r="AE1737" i="9" s="1"/>
  <c r="M1840" i="9"/>
  <c r="O1840" i="9" s="1"/>
  <c r="AE1840" i="9" s="1"/>
  <c r="M1865" i="9"/>
  <c r="O1865" i="9" s="1"/>
  <c r="AE1865" i="9" s="1"/>
  <c r="M1896" i="9"/>
  <c r="O1896" i="9" s="1"/>
  <c r="AE1896" i="9" s="1"/>
  <c r="M1902" i="9"/>
  <c r="O1902" i="9" s="1"/>
  <c r="AE1902" i="9" s="1"/>
  <c r="M1674" i="9"/>
  <c r="O1674" i="9" s="1"/>
  <c r="AE1674" i="9" s="1"/>
  <c r="M1695" i="9"/>
  <c r="O1695" i="9" s="1"/>
  <c r="AE1695" i="9" s="1"/>
  <c r="M1697" i="9"/>
  <c r="O1697" i="9" s="1"/>
  <c r="AE1697" i="9" s="1"/>
  <c r="M1703" i="9"/>
  <c r="O1703" i="9" s="1"/>
  <c r="AE1703" i="9" s="1"/>
  <c r="M1730" i="9"/>
  <c r="O1730" i="9" s="1"/>
  <c r="AE1730" i="9" s="1"/>
  <c r="M1747" i="9"/>
  <c r="O1747" i="9" s="1"/>
  <c r="AE1747" i="9" s="1"/>
  <c r="M1753" i="9"/>
  <c r="O1753" i="9" s="1"/>
  <c r="AE1753" i="9" s="1"/>
  <c r="M1762" i="9"/>
  <c r="O1762" i="9" s="1"/>
  <c r="AE1762" i="9" s="1"/>
  <c r="M1764" i="9"/>
  <c r="O1764" i="9" s="1"/>
  <c r="AE1764" i="9" s="1"/>
  <c r="M1770" i="9"/>
  <c r="O1770" i="9" s="1"/>
  <c r="AE1770" i="9" s="1"/>
  <c r="M1777" i="9"/>
  <c r="O1777" i="9" s="1"/>
  <c r="AE1777" i="9" s="1"/>
  <c r="M1790" i="9"/>
  <c r="O1790" i="9" s="1"/>
  <c r="AE1790" i="9" s="1"/>
  <c r="M1794" i="9"/>
  <c r="O1794" i="9" s="1"/>
  <c r="AE1794" i="9" s="1"/>
  <c r="M1797" i="9"/>
  <c r="O1797" i="9" s="1"/>
  <c r="AE1797" i="9" s="1"/>
  <c r="M1810" i="9"/>
  <c r="O1810" i="9" s="1"/>
  <c r="AE1810" i="9" s="1"/>
  <c r="M1818" i="9"/>
  <c r="O1818" i="9" s="1"/>
  <c r="AE1818" i="9" s="1"/>
  <c r="M1820" i="9"/>
  <c r="O1820" i="9" s="1"/>
  <c r="AE1820" i="9" s="1"/>
  <c r="M1826" i="9"/>
  <c r="O1826" i="9" s="1"/>
  <c r="AE1826" i="9" s="1"/>
  <c r="M1829" i="9"/>
  <c r="O1829" i="9" s="1"/>
  <c r="AE1829" i="9" s="1"/>
  <c r="M1844" i="9"/>
  <c r="O1844" i="9" s="1"/>
  <c r="AE1844" i="9" s="1"/>
  <c r="M1847" i="9"/>
  <c r="O1847" i="9" s="1"/>
  <c r="AE1847" i="9" s="1"/>
  <c r="M1863" i="9"/>
  <c r="O1863" i="9" s="1"/>
  <c r="AE1863" i="9" s="1"/>
  <c r="M1870" i="9"/>
  <c r="O1870" i="9" s="1"/>
  <c r="AE1870" i="9" s="1"/>
  <c r="M1894" i="9"/>
  <c r="O1894" i="9" s="1"/>
  <c r="AE1894" i="9" s="1"/>
  <c r="M1901" i="9"/>
  <c r="O1901" i="9" s="1"/>
  <c r="AE1901" i="9" s="1"/>
  <c r="M1948" i="9"/>
  <c r="O1948" i="9" s="1"/>
  <c r="AE1948" i="9" s="1"/>
  <c r="M1958" i="9"/>
  <c r="O1958" i="9" s="1"/>
  <c r="AE1958" i="9" s="1"/>
  <c r="M1968" i="9"/>
  <c r="O1968" i="9" s="1"/>
  <c r="AE1968" i="9" s="1"/>
  <c r="M1977" i="9"/>
  <c r="O1977" i="9" s="1"/>
  <c r="AE1977" i="9" s="1"/>
  <c r="M1987" i="9"/>
  <c r="O1987" i="9" s="1"/>
  <c r="AE1987" i="9" s="1"/>
  <c r="M1835" i="9"/>
  <c r="O1835" i="9" s="1"/>
  <c r="AE1835" i="9" s="1"/>
  <c r="M1851" i="9"/>
  <c r="O1851" i="9" s="1"/>
  <c r="AE1851" i="9" s="1"/>
  <c r="M1853" i="9"/>
  <c r="O1853" i="9" s="1"/>
  <c r="AE1853" i="9" s="1"/>
  <c r="M1887" i="9"/>
  <c r="O1887" i="9" s="1"/>
  <c r="AE1887" i="9" s="1"/>
  <c r="M1906" i="9"/>
  <c r="O1906" i="9" s="1"/>
  <c r="AE1906" i="9" s="1"/>
  <c r="M1719" i="9"/>
  <c r="O1719" i="9" s="1"/>
  <c r="AE1719" i="9" s="1"/>
  <c r="M1728" i="9"/>
  <c r="O1728" i="9" s="1"/>
  <c r="AE1728" i="9" s="1"/>
  <c r="M1878" i="9"/>
  <c r="O1878" i="9" s="1"/>
  <c r="AE1878" i="9" s="1"/>
  <c r="M1884" i="9"/>
  <c r="O1884" i="9" s="1"/>
  <c r="AE1884" i="9" s="1"/>
  <c r="M1899" i="9"/>
  <c r="O1899" i="9" s="1"/>
  <c r="AE1899" i="9" s="1"/>
  <c r="M1677" i="9"/>
  <c r="O1677" i="9" s="1"/>
  <c r="AE1677" i="9" s="1"/>
  <c r="M1679" i="9"/>
  <c r="O1679" i="9" s="1"/>
  <c r="AE1679" i="9" s="1"/>
  <c r="M1685" i="9"/>
  <c r="O1685" i="9" s="1"/>
  <c r="AE1685" i="9" s="1"/>
  <c r="M1705" i="9"/>
  <c r="O1705" i="9" s="1"/>
  <c r="AE1705" i="9" s="1"/>
  <c r="M1712" i="9"/>
  <c r="O1712" i="9" s="1"/>
  <c r="AE1712" i="9" s="1"/>
  <c r="M1733" i="9"/>
  <c r="O1733" i="9" s="1"/>
  <c r="AE1733" i="9" s="1"/>
  <c r="M1735" i="9"/>
  <c r="O1735" i="9" s="1"/>
  <c r="AE1735" i="9" s="1"/>
  <c r="M1741" i="9"/>
  <c r="O1741" i="9" s="1"/>
  <c r="AE1741" i="9" s="1"/>
  <c r="M1748" i="9"/>
  <c r="O1748" i="9" s="1"/>
  <c r="AE1748" i="9" s="1"/>
  <c r="M1755" i="9"/>
  <c r="O1755" i="9" s="1"/>
  <c r="AE1755" i="9" s="1"/>
  <c r="M1771" i="9"/>
  <c r="O1771" i="9" s="1"/>
  <c r="AE1771" i="9" s="1"/>
  <c r="M1774" i="9"/>
  <c r="O1774" i="9" s="1"/>
  <c r="AE1774" i="9" s="1"/>
  <c r="M1779" i="9"/>
  <c r="O1779" i="9" s="1"/>
  <c r="AE1779" i="9" s="1"/>
  <c r="M1786" i="9"/>
  <c r="O1786" i="9" s="1"/>
  <c r="AE1786" i="9" s="1"/>
  <c r="M1795" i="9"/>
  <c r="O1795" i="9" s="1"/>
  <c r="AE1795" i="9" s="1"/>
  <c r="M1799" i="9"/>
  <c r="O1799" i="9" s="1"/>
  <c r="AE1799" i="9" s="1"/>
  <c r="M1806" i="9"/>
  <c r="O1806" i="9" s="1"/>
  <c r="AE1806" i="9" s="1"/>
  <c r="M1827" i="9"/>
  <c r="O1827" i="9" s="1"/>
  <c r="AE1827" i="9" s="1"/>
  <c r="M1831" i="9"/>
  <c r="O1831" i="9" s="1"/>
  <c r="AE1831" i="9" s="1"/>
  <c r="M1866" i="9"/>
  <c r="O1866" i="9" s="1"/>
  <c r="AE1866" i="9" s="1"/>
  <c r="M1876" i="9"/>
  <c r="O1876" i="9" s="1"/>
  <c r="AE1876" i="9" s="1"/>
  <c r="M1883" i="9"/>
  <c r="O1883" i="9" s="1"/>
  <c r="AE1883" i="9" s="1"/>
  <c r="M1904" i="9"/>
  <c r="O1904" i="9" s="1"/>
  <c r="AE1904" i="9" s="1"/>
  <c r="M1951" i="9"/>
  <c r="O1951" i="9" s="1"/>
  <c r="AE1951" i="9" s="1"/>
  <c r="M1960" i="9"/>
  <c r="O1960" i="9" s="1"/>
  <c r="AE1960" i="9" s="1"/>
  <c r="M1970" i="9"/>
  <c r="O1970" i="9" s="1"/>
  <c r="AE1970" i="9" s="1"/>
  <c r="M1980" i="9"/>
  <c r="O1980" i="9" s="1"/>
  <c r="AE1980" i="9" s="1"/>
  <c r="M1989" i="9"/>
  <c r="O1989" i="9" s="1"/>
  <c r="AE1989" i="9" s="1"/>
  <c r="M1837" i="9"/>
  <c r="O1837" i="9" s="1"/>
  <c r="AE1837" i="9" s="1"/>
  <c r="M1839" i="9"/>
  <c r="O1839" i="9" s="1"/>
  <c r="AE1839" i="9" s="1"/>
  <c r="M1859" i="9"/>
  <c r="O1859" i="9" s="1"/>
  <c r="AE1859" i="9" s="1"/>
  <c r="M1892" i="9"/>
  <c r="O1892" i="9" s="1"/>
  <c r="AE1892" i="9" s="1"/>
  <c r="M1909" i="9"/>
  <c r="O1909" i="9" s="1"/>
  <c r="AE1909" i="9" s="1"/>
  <c r="M1696" i="9"/>
  <c r="O1696" i="9" s="1"/>
  <c r="AE1696" i="9" s="1"/>
  <c r="M1702" i="9"/>
  <c r="O1702" i="9" s="1"/>
  <c r="AE1702" i="9" s="1"/>
  <c r="M1852" i="9"/>
  <c r="O1852" i="9" s="1"/>
  <c r="AE1852" i="9" s="1"/>
  <c r="M1857" i="9"/>
  <c r="O1857" i="9" s="1"/>
  <c r="AE1857" i="9" s="1"/>
  <c r="M1872" i="9"/>
  <c r="O1872" i="9" s="1"/>
  <c r="AE1872" i="9" s="1"/>
  <c r="M1873" i="9"/>
  <c r="O1873" i="9" s="1"/>
  <c r="AE1873" i="9" s="1"/>
  <c r="M1881" i="9"/>
  <c r="O1881" i="9" s="1"/>
  <c r="AE1881" i="9" s="1"/>
  <c r="M1890" i="9"/>
  <c r="O1890" i="9" s="1"/>
  <c r="AE1890" i="9" s="1"/>
  <c r="M1687" i="9"/>
  <c r="O1687" i="9" s="1"/>
  <c r="AE1687" i="9" s="1"/>
  <c r="M1706" i="9"/>
  <c r="O1706" i="9" s="1"/>
  <c r="AE1706" i="9" s="1"/>
  <c r="M1715" i="9"/>
  <c r="O1715" i="9" s="1"/>
  <c r="AE1715" i="9" s="1"/>
  <c r="M1717" i="9"/>
  <c r="O1717" i="9" s="1"/>
  <c r="AE1717" i="9" s="1"/>
  <c r="M1723" i="9"/>
  <c r="O1723" i="9" s="1"/>
  <c r="AE1723" i="9" s="1"/>
  <c r="M1743" i="9"/>
  <c r="O1743" i="9" s="1"/>
  <c r="AE1743" i="9" s="1"/>
  <c r="M1759" i="9"/>
  <c r="O1759" i="9" s="1"/>
  <c r="AE1759" i="9" s="1"/>
  <c r="M1772" i="9"/>
  <c r="O1772" i="9" s="1"/>
  <c r="AE1772" i="9" s="1"/>
  <c r="M1780" i="9"/>
  <c r="O1780" i="9" s="1"/>
  <c r="AE1780" i="9" s="1"/>
  <c r="M1782" i="9"/>
  <c r="O1782" i="9" s="1"/>
  <c r="AE1782" i="9" s="1"/>
  <c r="M1788" i="9"/>
  <c r="O1788" i="9" s="1"/>
  <c r="AE1788" i="9" s="1"/>
  <c r="M1791" i="9"/>
  <c r="O1791" i="9" s="1"/>
  <c r="AE1791" i="9" s="1"/>
  <c r="M1800" i="9"/>
  <c r="O1800" i="9" s="1"/>
  <c r="AE1800" i="9" s="1"/>
  <c r="M1802" i="9"/>
  <c r="O1802" i="9" s="1"/>
  <c r="AE1802" i="9" s="1"/>
  <c r="M1808" i="9"/>
  <c r="O1808" i="9" s="1"/>
  <c r="AE1808" i="9" s="1"/>
  <c r="M1815" i="9"/>
  <c r="O1815" i="9" s="1"/>
  <c r="AE1815" i="9" s="1"/>
  <c r="M1828" i="9"/>
  <c r="O1828" i="9" s="1"/>
  <c r="AE1828" i="9" s="1"/>
  <c r="M1832" i="9"/>
  <c r="O1832" i="9" s="1"/>
  <c r="AE1832" i="9" s="1"/>
  <c r="M1856" i="9"/>
  <c r="O1856" i="9" s="1"/>
  <c r="AE1856" i="9" s="1"/>
  <c r="M1886" i="9"/>
  <c r="O1886" i="9" s="1"/>
  <c r="AE1886" i="9" s="1"/>
  <c r="M1889" i="9"/>
  <c r="O1889" i="9" s="1"/>
  <c r="AE1889" i="9" s="1"/>
  <c r="M1910" i="9"/>
  <c r="O1910" i="9" s="1"/>
  <c r="AE1910" i="9" s="1"/>
  <c r="M1944" i="9"/>
  <c r="O1944" i="9" s="1"/>
  <c r="AE1944" i="9" s="1"/>
  <c r="M1953" i="9"/>
  <c r="O1953" i="9" s="1"/>
  <c r="AE1953" i="9" s="1"/>
  <c r="M1963" i="9"/>
  <c r="O1963" i="9" s="1"/>
  <c r="AE1963" i="9" s="1"/>
  <c r="M1972" i="9"/>
  <c r="O1972" i="9" s="1"/>
  <c r="AE1972" i="9" s="1"/>
  <c r="M1982" i="9"/>
  <c r="O1982" i="9" s="1"/>
  <c r="AE1982" i="9" s="1"/>
  <c r="Y316" i="9"/>
  <c r="W1375" i="9"/>
  <c r="Y1375" i="9" s="1"/>
  <c r="W1376" i="9"/>
  <c r="Y1376" i="9" s="1"/>
  <c r="W1380" i="9"/>
  <c r="Y1380" i="9" s="1"/>
  <c r="W1383" i="9"/>
  <c r="Y1383" i="9" s="1"/>
  <c r="W1387" i="9"/>
  <c r="Y1387" i="9" s="1"/>
  <c r="W1389" i="9"/>
  <c r="Y1389" i="9" s="1"/>
  <c r="W1378" i="9"/>
  <c r="Y1378" i="9" s="1"/>
  <c r="W1381" i="9"/>
  <c r="Y1381" i="9" s="1"/>
  <c r="W1392" i="9"/>
  <c r="Y1392" i="9" s="1"/>
  <c r="W1393" i="9"/>
  <c r="Y1393" i="9" s="1"/>
  <c r="W1382" i="9"/>
  <c r="Y1382" i="9" s="1"/>
  <c r="W1390" i="9"/>
  <c r="Y1390" i="9" s="1"/>
  <c r="W1384" i="9"/>
  <c r="Y1384" i="9" s="1"/>
  <c r="W1377" i="9"/>
  <c r="Y1377" i="9" s="1"/>
  <c r="P51" i="9"/>
  <c r="D206" i="8"/>
  <c r="D203" i="8"/>
  <c r="J203" i="8" s="1"/>
  <c r="D201" i="8"/>
  <c r="J201" i="8" s="1"/>
  <c r="D210" i="8"/>
  <c r="J210" i="8" s="1"/>
  <c r="X1962" i="9" s="1"/>
  <c r="Y1962" i="9" s="1"/>
  <c r="AC1962" i="9" s="1"/>
  <c r="D207" i="8"/>
  <c r="D202" i="8"/>
  <c r="J202" i="8" s="1"/>
  <c r="Y151" i="9"/>
  <c r="V1328" i="9"/>
  <c r="AN32" i="9"/>
  <c r="V1329" i="9"/>
  <c r="V1332" i="9"/>
  <c r="V1401" i="9"/>
  <c r="Y1401" i="9" s="1"/>
  <c r="V1215" i="9"/>
  <c r="V1212" i="9"/>
  <c r="V1330" i="9"/>
  <c r="V1218" i="9"/>
  <c r="Y157" i="9"/>
  <c r="Y1943" i="9"/>
  <c r="AC1943" i="9" s="1"/>
  <c r="V1331" i="9"/>
  <c r="V1334" i="9"/>
  <c r="V1396" i="9"/>
  <c r="Y1396" i="9" s="1"/>
  <c r="V1403" i="9"/>
  <c r="Y1403" i="9" s="1"/>
  <c r="V1399" i="9"/>
  <c r="Y1399" i="9" s="1"/>
  <c r="V1402" i="9"/>
  <c r="Y1402" i="9" s="1"/>
  <c r="V1327" i="9"/>
  <c r="V1400" i="9"/>
  <c r="Y1400" i="9" s="1"/>
  <c r="V1214" i="9"/>
  <c r="V1217" i="9"/>
  <c r="V1398" i="9"/>
  <c r="Y1398" i="9" s="1"/>
  <c r="V1216" i="9"/>
  <c r="D47" i="3"/>
  <c r="V1213" i="9"/>
  <c r="V1219" i="9"/>
  <c r="V1333" i="9"/>
  <c r="V1397" i="9"/>
  <c r="Y1397" i="9" s="1"/>
  <c r="Y174" i="9"/>
  <c r="Y93" i="9"/>
  <c r="Y90" i="9"/>
  <c r="Y176" i="9"/>
  <c r="Y92" i="9"/>
  <c r="Y87" i="9"/>
  <c r="Y154" i="9"/>
  <c r="Y156" i="9"/>
  <c r="Y94" i="9"/>
  <c r="Y147" i="9"/>
  <c r="Y149" i="9"/>
  <c r="Y95" i="9"/>
  <c r="Y155" i="9"/>
  <c r="Y152" i="9"/>
  <c r="Y181" i="9"/>
  <c r="Y148" i="9"/>
  <c r="Y173" i="9"/>
  <c r="D113" i="8"/>
  <c r="J113" i="8" s="1"/>
  <c r="D15" i="8"/>
  <c r="Y150" i="9"/>
  <c r="Y172" i="9"/>
  <c r="Y158" i="9"/>
  <c r="Y327" i="9"/>
  <c r="Y294" i="9"/>
  <c r="Y68" i="9"/>
  <c r="Y145" i="9"/>
  <c r="Y146" i="9"/>
  <c r="D204" i="8"/>
  <c r="J204" i="8" s="1"/>
  <c r="Y1946" i="9"/>
  <c r="AC1946" i="9" s="1"/>
  <c r="V674" i="9"/>
  <c r="V676" i="9"/>
  <c r="V678" i="9"/>
  <c r="V679" i="9"/>
  <c r="V681" i="9"/>
  <c r="V680" i="9"/>
  <c r="V675" i="9"/>
  <c r="V677" i="9"/>
  <c r="V790" i="9"/>
  <c r="V792" i="9"/>
  <c r="V794" i="9"/>
  <c r="V791" i="9"/>
  <c r="V789" i="9"/>
  <c r="V796" i="9"/>
  <c r="V793" i="9"/>
  <c r="V795" i="9"/>
  <c r="V861" i="9"/>
  <c r="V863" i="9"/>
  <c r="V859" i="9"/>
  <c r="V862" i="9"/>
  <c r="V860" i="9"/>
  <c r="V858" i="9"/>
  <c r="V865" i="9"/>
  <c r="V864" i="9"/>
  <c r="X721" i="9"/>
  <c r="X723" i="9"/>
  <c r="X724" i="9"/>
  <c r="X726" i="9"/>
  <c r="X730" i="9"/>
  <c r="X732" i="9"/>
  <c r="X733" i="9"/>
  <c r="X729" i="9"/>
  <c r="X735" i="9"/>
  <c r="X737" i="9"/>
  <c r="X738" i="9"/>
  <c r="X740" i="9"/>
  <c r="X743" i="9"/>
  <c r="X745" i="9"/>
  <c r="X746" i="9"/>
  <c r="X747" i="9"/>
  <c r="X749" i="9"/>
  <c r="X754" i="9"/>
  <c r="X758" i="9"/>
  <c r="X722" i="9"/>
  <c r="X725" i="9"/>
  <c r="X731" i="9"/>
  <c r="X727" i="9"/>
  <c r="X751" i="9"/>
  <c r="X755" i="9"/>
  <c r="X728" i="9"/>
  <c r="X734" i="9"/>
  <c r="X742" i="9"/>
  <c r="X744" i="9"/>
  <c r="X750" i="9"/>
  <c r="X753" i="9"/>
  <c r="X736" i="9"/>
  <c r="X752" i="9"/>
  <c r="X757" i="9"/>
  <c r="X741" i="9"/>
  <c r="X748" i="9"/>
  <c r="X739" i="9"/>
  <c r="X756" i="9"/>
  <c r="V601" i="9"/>
  <c r="V606" i="9"/>
  <c r="V605" i="9"/>
  <c r="V610" i="9"/>
  <c r="V623" i="9"/>
  <c r="V619" i="9"/>
  <c r="V624" i="9"/>
  <c r="V633" i="9"/>
  <c r="V615" i="9"/>
  <c r="V634" i="9"/>
  <c r="V628" i="9"/>
  <c r="V635" i="9"/>
  <c r="V643" i="9"/>
  <c r="V644" i="9"/>
  <c r="V653" i="9"/>
  <c r="V661" i="9"/>
  <c r="V662" i="9"/>
  <c r="V657" i="9"/>
  <c r="V648" i="9"/>
  <c r="V666" i="9"/>
  <c r="V671" i="9"/>
  <c r="V673" i="9"/>
  <c r="V672" i="9"/>
  <c r="V690" i="9"/>
  <c r="V691" i="9"/>
  <c r="V700" i="9"/>
  <c r="V708" i="9"/>
  <c r="V709" i="9"/>
  <c r="V639" i="9"/>
  <c r="V704" i="9"/>
  <c r="V718" i="9"/>
  <c r="V720" i="9"/>
  <c r="V728" i="9"/>
  <c r="V729" i="9"/>
  <c r="V695" i="9"/>
  <c r="V742" i="9"/>
  <c r="V751" i="9"/>
  <c r="V756" i="9"/>
  <c r="V757" i="9"/>
  <c r="V713" i="9"/>
  <c r="V733" i="9"/>
  <c r="V686" i="9"/>
  <c r="V747" i="9"/>
  <c r="V719" i="9"/>
  <c r="V738" i="9"/>
  <c r="V758" i="9"/>
  <c r="V761" i="9"/>
  <c r="V768" i="9"/>
  <c r="V775" i="9"/>
  <c r="V782" i="9"/>
  <c r="V786" i="9"/>
  <c r="V787" i="9"/>
  <c r="V746" i="9"/>
  <c r="V765" i="9"/>
  <c r="V772" i="9"/>
  <c r="V788" i="9"/>
  <c r="V823" i="9"/>
  <c r="V828" i="9"/>
  <c r="V764" i="9"/>
  <c r="V801" i="9"/>
  <c r="V824" i="9"/>
  <c r="V833" i="9"/>
  <c r="V805" i="9"/>
  <c r="V724" i="9"/>
  <c r="V779" i="9"/>
  <c r="V778" i="9"/>
  <c r="V806" i="9"/>
  <c r="V810" i="9"/>
  <c r="V834" i="9"/>
  <c r="V835" i="9"/>
  <c r="V815" i="9"/>
  <c r="V819" i="9"/>
  <c r="V600" i="9"/>
  <c r="V604" i="9"/>
  <c r="V609" i="9"/>
  <c r="V614" i="9"/>
  <c r="V618" i="9"/>
  <c r="V622" i="9"/>
  <c r="V627" i="9"/>
  <c r="V632" i="9"/>
  <c r="V642" i="9"/>
  <c r="V652" i="9"/>
  <c r="V660" i="9"/>
  <c r="V665" i="9"/>
  <c r="V656" i="9"/>
  <c r="V670" i="9"/>
  <c r="V638" i="9"/>
  <c r="V689" i="9"/>
  <c r="V699" i="9"/>
  <c r="V707" i="9"/>
  <c r="V647" i="9"/>
  <c r="V727" i="9"/>
  <c r="V703" i="9"/>
  <c r="V712" i="9"/>
  <c r="V732" i="9"/>
  <c r="V741" i="9"/>
  <c r="V750" i="9"/>
  <c r="V755" i="9"/>
  <c r="V737" i="9"/>
  <c r="V694" i="9"/>
  <c r="V717" i="9"/>
  <c r="V723" i="9"/>
  <c r="V800" i="9"/>
  <c r="V832" i="9"/>
  <c r="V745" i="9"/>
  <c r="V804" i="9"/>
  <c r="V809" i="9"/>
  <c r="V685" i="9"/>
  <c r="V814" i="9"/>
  <c r="V818" i="9"/>
  <c r="V827" i="9"/>
  <c r="V822" i="9"/>
  <c r="Y175" i="9"/>
  <c r="Y295" i="9"/>
  <c r="Y292" i="9"/>
  <c r="T79" i="9"/>
  <c r="Y79" i="9" s="1"/>
  <c r="Y73" i="9"/>
  <c r="Y72" i="9"/>
  <c r="Y65" i="9"/>
  <c r="Y63" i="9"/>
  <c r="Y60" i="9"/>
  <c r="Y291" i="9"/>
  <c r="X100" i="9"/>
  <c r="Y100" i="9" s="1"/>
  <c r="X99" i="9"/>
  <c r="Y99" i="9" s="1"/>
  <c r="X104" i="9"/>
  <c r="Y104" i="9" s="1"/>
  <c r="X106" i="9"/>
  <c r="Y106" i="9" s="1"/>
  <c r="X102" i="9"/>
  <c r="Y102" i="9" s="1"/>
  <c r="X105" i="9"/>
  <c r="Y105" i="9" s="1"/>
  <c r="X109" i="9"/>
  <c r="Y109" i="9" s="1"/>
  <c r="X112" i="9"/>
  <c r="X115" i="9"/>
  <c r="X117" i="9"/>
  <c r="X108" i="9"/>
  <c r="Y108" i="9" s="1"/>
  <c r="X110" i="9"/>
  <c r="Y110" i="9" s="1"/>
  <c r="X111" i="9"/>
  <c r="Y111" i="9" s="1"/>
  <c r="X116" i="9"/>
  <c r="X119" i="9"/>
  <c r="X120" i="9"/>
  <c r="X121" i="9"/>
  <c r="X122" i="9"/>
  <c r="X123" i="9"/>
  <c r="X124" i="9"/>
  <c r="X125" i="9"/>
  <c r="Y125" i="9" s="1"/>
  <c r="X126" i="9"/>
  <c r="Y126" i="9" s="1"/>
  <c r="X127" i="9"/>
  <c r="Y127" i="9" s="1"/>
  <c r="X128" i="9"/>
  <c r="Y128" i="9" s="1"/>
  <c r="X129" i="9"/>
  <c r="Y129" i="9" s="1"/>
  <c r="X130" i="9"/>
  <c r="Y130" i="9" s="1"/>
  <c r="X131" i="9"/>
  <c r="Y131" i="9" s="1"/>
  <c r="X132" i="9"/>
  <c r="Y132" i="9" s="1"/>
  <c r="X133" i="9"/>
  <c r="Y133" i="9" s="1"/>
  <c r="X134" i="9"/>
  <c r="Y134" i="9" s="1"/>
  <c r="X135" i="9"/>
  <c r="Y135" i="9" s="1"/>
  <c r="X98" i="9"/>
  <c r="Y98" i="9" s="1"/>
  <c r="X113" i="9"/>
  <c r="X118" i="9"/>
  <c r="X107" i="9"/>
  <c r="Y107" i="9" s="1"/>
  <c r="X101" i="9"/>
  <c r="Y101" i="9" s="1"/>
  <c r="X103" i="9"/>
  <c r="Y103" i="9" s="1"/>
  <c r="X114" i="9"/>
  <c r="T86" i="9"/>
  <c r="Y86" i="9" s="1"/>
  <c r="T124" i="9"/>
  <c r="T209" i="9"/>
  <c r="T171" i="9"/>
  <c r="Y171" i="9" s="1"/>
  <c r="T241" i="9"/>
  <c r="T286" i="9"/>
  <c r="Y286" i="9" s="1"/>
  <c r="T312" i="9"/>
  <c r="Y312" i="9" s="1"/>
  <c r="X184" i="9"/>
  <c r="Y184" i="9" s="1"/>
  <c r="X189" i="9"/>
  <c r="Y189" i="9" s="1"/>
  <c r="X191" i="9"/>
  <c r="Y191" i="9" s="1"/>
  <c r="X197" i="9"/>
  <c r="X200" i="9"/>
  <c r="X202" i="9"/>
  <c r="X207" i="9"/>
  <c r="X209" i="9"/>
  <c r="X216" i="9"/>
  <c r="Y216" i="9" s="1"/>
  <c r="X183" i="9"/>
  <c r="Y183" i="9" s="1"/>
  <c r="X186" i="9"/>
  <c r="Y186" i="9" s="1"/>
  <c r="X188" i="9"/>
  <c r="Y188" i="9" s="1"/>
  <c r="X194" i="9"/>
  <c r="Y194" i="9" s="1"/>
  <c r="X196" i="9"/>
  <c r="Y196" i="9" s="1"/>
  <c r="X201" i="9"/>
  <c r="X204" i="9"/>
  <c r="X206" i="9"/>
  <c r="X212" i="9"/>
  <c r="Y212" i="9" s="1"/>
  <c r="X214" i="9"/>
  <c r="Y214" i="9" s="1"/>
  <c r="X215" i="9"/>
  <c r="Y215" i="9" s="1"/>
  <c r="X218" i="9"/>
  <c r="Y218" i="9" s="1"/>
  <c r="X187" i="9"/>
  <c r="Y187" i="9" s="1"/>
  <c r="X190" i="9"/>
  <c r="Y190" i="9" s="1"/>
  <c r="X193" i="9"/>
  <c r="Y193" i="9" s="1"/>
  <c r="X199" i="9"/>
  <c r="X205" i="9"/>
  <c r="X208" i="9"/>
  <c r="X211" i="9"/>
  <c r="Y211" i="9" s="1"/>
  <c r="X220" i="9"/>
  <c r="Y220" i="9" s="1"/>
  <c r="X185" i="9"/>
  <c r="Y185" i="9" s="1"/>
  <c r="X192" i="9"/>
  <c r="Y192" i="9" s="1"/>
  <c r="X213" i="9"/>
  <c r="Y213" i="9" s="1"/>
  <c r="X217" i="9"/>
  <c r="Y217" i="9" s="1"/>
  <c r="X195" i="9"/>
  <c r="Y195" i="9" s="1"/>
  <c r="X198" i="9"/>
  <c r="X219" i="9"/>
  <c r="Y219" i="9" s="1"/>
  <c r="X210" i="9"/>
  <c r="Y210" i="9" s="1"/>
  <c r="X203" i="9"/>
  <c r="Y96" i="9"/>
  <c r="Y71" i="9"/>
  <c r="Y69" i="9"/>
  <c r="Y67" i="9"/>
  <c r="Y64" i="9"/>
  <c r="Y290" i="9"/>
  <c r="X136" i="9"/>
  <c r="Y136" i="9" s="1"/>
  <c r="X137" i="9"/>
  <c r="Y137" i="9" s="1"/>
  <c r="X138" i="9"/>
  <c r="Y138" i="9" s="1"/>
  <c r="X139" i="9"/>
  <c r="X140" i="9"/>
  <c r="X141" i="9"/>
  <c r="X142" i="9"/>
  <c r="Y142" i="9" s="1"/>
  <c r="X143" i="9"/>
  <c r="Y143" i="9" s="1"/>
  <c r="X144" i="9"/>
  <c r="Y144" i="9" s="1"/>
  <c r="X221" i="9"/>
  <c r="Y221" i="9" s="1"/>
  <c r="X223" i="9"/>
  <c r="Y223" i="9" s="1"/>
  <c r="X225" i="9"/>
  <c r="Y225" i="9" s="1"/>
  <c r="X224" i="9"/>
  <c r="Y224" i="9" s="1"/>
  <c r="X226" i="9"/>
  <c r="Y226" i="9" s="1"/>
  <c r="X229" i="9"/>
  <c r="Y229" i="9" s="1"/>
  <c r="X231" i="9"/>
  <c r="Y231" i="9" s="1"/>
  <c r="X232" i="9"/>
  <c r="X233" i="9"/>
  <c r="X234" i="9"/>
  <c r="X235" i="9"/>
  <c r="X236" i="9"/>
  <c r="X237" i="9"/>
  <c r="X238" i="9"/>
  <c r="X239" i="9"/>
  <c r="X240" i="9"/>
  <c r="X241" i="9"/>
  <c r="X242" i="9"/>
  <c r="Y242" i="9" s="1"/>
  <c r="X243" i="9"/>
  <c r="Y243" i="9" s="1"/>
  <c r="X244" i="9"/>
  <c r="Y244" i="9" s="1"/>
  <c r="X245" i="9"/>
  <c r="Y245" i="9" s="1"/>
  <c r="X246" i="9"/>
  <c r="Y246" i="9" s="1"/>
  <c r="X247" i="9"/>
  <c r="Y247" i="9" s="1"/>
  <c r="X248" i="9"/>
  <c r="Y248" i="9" s="1"/>
  <c r="X249" i="9"/>
  <c r="Y249" i="9" s="1"/>
  <c r="X250" i="9"/>
  <c r="Y250" i="9" s="1"/>
  <c r="X222" i="9"/>
  <c r="Y222" i="9" s="1"/>
  <c r="X227" i="9"/>
  <c r="Y227" i="9" s="1"/>
  <c r="X230" i="9"/>
  <c r="Y230" i="9" s="1"/>
  <c r="X228" i="9"/>
  <c r="Y228" i="9" s="1"/>
  <c r="X251" i="9"/>
  <c r="Y251" i="9" s="1"/>
  <c r="X252" i="9"/>
  <c r="Y252" i="9" s="1"/>
  <c r="X253" i="9"/>
  <c r="Y253" i="9" s="1"/>
  <c r="X254" i="9"/>
  <c r="X255" i="9"/>
  <c r="X256" i="9"/>
  <c r="X257" i="9"/>
  <c r="Y257" i="9" s="1"/>
  <c r="X258" i="9"/>
  <c r="Y258" i="9" s="1"/>
  <c r="X259" i="9"/>
  <c r="Y259" i="9" s="1"/>
  <c r="Y70" i="9"/>
  <c r="Y62" i="9"/>
  <c r="Y182" i="9"/>
  <c r="Y289" i="9"/>
  <c r="Y66" i="9"/>
  <c r="Y61" i="9"/>
  <c r="Y296" i="9"/>
  <c r="Y287" i="9"/>
  <c r="Y271" i="9"/>
  <c r="Y265" i="9"/>
  <c r="Y263" i="9"/>
  <c r="Y297" i="9"/>
  <c r="Y268" i="9"/>
  <c r="Y261" i="9"/>
  <c r="Y328" i="9"/>
  <c r="Y319" i="9"/>
  <c r="Y302" i="9"/>
  <c r="Y301" i="9"/>
  <c r="Y298" i="9"/>
  <c r="Y180" i="9"/>
  <c r="Y179" i="9"/>
  <c r="Y269" i="9"/>
  <c r="Y262" i="9"/>
  <c r="Y288" i="9"/>
  <c r="Y267" i="9"/>
  <c r="Y322" i="9"/>
  <c r="Y313" i="9"/>
  <c r="Y304" i="9"/>
  <c r="Y300" i="9"/>
  <c r="Y177" i="9"/>
  <c r="Y273" i="9"/>
  <c r="Y260" i="9"/>
  <c r="Y266" i="9"/>
  <c r="Y320" i="9"/>
  <c r="Y321" i="9"/>
  <c r="Y326" i="9"/>
  <c r="Y303" i="9"/>
  <c r="Y314" i="9"/>
  <c r="Y318" i="9"/>
  <c r="Y299" i="9"/>
  <c r="Y178" i="9"/>
  <c r="Y272" i="9"/>
  <c r="Y270" i="9"/>
  <c r="Y264" i="9"/>
  <c r="Y315" i="9"/>
  <c r="Y305" i="9"/>
  <c r="BB26" i="11"/>
  <c r="BD25" i="11"/>
  <c r="Y1945" i="9"/>
  <c r="AC1945" i="9" s="1"/>
  <c r="Y1947" i="9"/>
  <c r="AC1947" i="9" s="1"/>
  <c r="D208" i="8"/>
  <c r="J208" i="8" s="1"/>
  <c r="D209" i="8"/>
  <c r="J153" i="8"/>
  <c r="W1959" i="9" s="1"/>
  <c r="Y1959" i="9" s="1"/>
  <c r="AC1959" i="9" s="1"/>
  <c r="J211" i="8"/>
  <c r="X1963" i="9" s="1"/>
  <c r="Y1963" i="9" s="1"/>
  <c r="AC1963" i="9" s="1"/>
  <c r="J152" i="8"/>
  <c r="W1958" i="9" s="1"/>
  <c r="Y1958" i="9" s="1"/>
  <c r="AC1958" i="9" s="1"/>
  <c r="W1957" i="9"/>
  <c r="Y1957" i="9" s="1"/>
  <c r="AC1957" i="9" s="1"/>
  <c r="O1025" i="9"/>
  <c r="AE1025" i="9" s="1"/>
  <c r="O1134" i="9"/>
  <c r="AE1134" i="9" s="1"/>
  <c r="O1191" i="9"/>
  <c r="AE1191" i="9" s="1"/>
  <c r="O154" i="9"/>
  <c r="AE154" i="9" s="1"/>
  <c r="O251" i="9"/>
  <c r="AE251" i="9" s="1"/>
  <c r="O117" i="9"/>
  <c r="AE117" i="9" s="1"/>
  <c r="O124" i="9"/>
  <c r="AE124" i="9" s="1"/>
  <c r="O193" i="9"/>
  <c r="AE193" i="9" s="1"/>
  <c r="O221" i="9"/>
  <c r="AE221" i="9" s="1"/>
  <c r="O1386" i="9"/>
  <c r="AE1386" i="9" s="1"/>
  <c r="O236" i="9"/>
  <c r="AE236" i="9" s="1"/>
  <c r="O266" i="9"/>
  <c r="AE266" i="9" s="1"/>
  <c r="O64" i="9"/>
  <c r="AE64" i="9" s="1"/>
  <c r="O144" i="9"/>
  <c r="AE144" i="9" s="1"/>
  <c r="O166" i="9"/>
  <c r="AE166" i="9" s="1"/>
  <c r="O351" i="9"/>
  <c r="AE351" i="9" s="1"/>
  <c r="O383" i="9"/>
  <c r="AE383" i="9" s="1"/>
  <c r="O298" i="9"/>
  <c r="AE298" i="9" s="1"/>
  <c r="O319" i="9"/>
  <c r="AE319" i="9" s="1"/>
  <c r="O370" i="9"/>
  <c r="AE370" i="9" s="1"/>
  <c r="O378" i="9"/>
  <c r="AE378" i="9" s="1"/>
  <c r="O436" i="9"/>
  <c r="AE436" i="9" s="1"/>
  <c r="O548" i="9"/>
  <c r="AE548" i="9" s="1"/>
  <c r="O322" i="9"/>
  <c r="AE322" i="9" s="1"/>
  <c r="O337" i="9"/>
  <c r="AE337" i="9" s="1"/>
  <c r="O554" i="9"/>
  <c r="AE554" i="9" s="1"/>
  <c r="O349" i="9"/>
  <c r="AE349" i="9" s="1"/>
  <c r="O537" i="9"/>
  <c r="AE537" i="9" s="1"/>
  <c r="O531" i="9"/>
  <c r="AE531" i="9" s="1"/>
  <c r="O642" i="9"/>
  <c r="AE642" i="9" s="1"/>
  <c r="O571" i="9"/>
  <c r="AE571" i="9" s="1"/>
  <c r="O590" i="9"/>
  <c r="AE590" i="9" s="1"/>
  <c r="O586" i="9"/>
  <c r="AE586" i="9" s="1"/>
  <c r="O601" i="9"/>
  <c r="AE601" i="9" s="1"/>
  <c r="O603" i="9"/>
  <c r="AE603" i="9" s="1"/>
  <c r="O659" i="9"/>
  <c r="AE659" i="9" s="1"/>
  <c r="Y1944" i="9"/>
  <c r="AC1944" i="9" s="1"/>
  <c r="Y1948" i="9"/>
  <c r="AC1948" i="9" s="1"/>
  <c r="Y1975" i="9"/>
  <c r="AC1975" i="9" s="1"/>
  <c r="Y1977" i="9"/>
  <c r="AC1977" i="9" s="1"/>
  <c r="Y1974" i="9"/>
  <c r="AC1974" i="9" s="1"/>
  <c r="Y1972" i="9"/>
  <c r="AC1972" i="9" s="1"/>
  <c r="Y1973" i="9"/>
  <c r="AC1973" i="9" s="1"/>
  <c r="Y1976" i="9"/>
  <c r="AC1976" i="9" s="1"/>
  <c r="X1799" i="9"/>
  <c r="Y1799" i="9" s="1"/>
  <c r="X1806" i="9"/>
  <c r="Y1806" i="9" s="1"/>
  <c r="X1809" i="9"/>
  <c r="Y1809" i="9" s="1"/>
  <c r="X1812" i="9"/>
  <c r="Y1812" i="9" s="1"/>
  <c r="X1817" i="9"/>
  <c r="Y1817" i="9" s="1"/>
  <c r="X1824" i="9"/>
  <c r="Y1824" i="9" s="1"/>
  <c r="X1827" i="9"/>
  <c r="Y1827" i="9" s="1"/>
  <c r="X1831" i="9"/>
  <c r="Y1831" i="9" s="1"/>
  <c r="X1833" i="9"/>
  <c r="Y1833" i="9" s="1"/>
  <c r="X1801" i="9"/>
  <c r="Y1801" i="9" s="1"/>
  <c r="X1804" i="9"/>
  <c r="Y1804" i="9" s="1"/>
  <c r="X1807" i="9"/>
  <c r="Y1807" i="9" s="1"/>
  <c r="X1813" i="9"/>
  <c r="Y1813" i="9" s="1"/>
  <c r="X1819" i="9"/>
  <c r="Y1819" i="9" s="1"/>
  <c r="X1822" i="9"/>
  <c r="Y1822" i="9" s="1"/>
  <c r="X1798" i="9"/>
  <c r="Y1798" i="9" s="1"/>
  <c r="X1803" i="9"/>
  <c r="Y1803" i="9" s="1"/>
  <c r="X1805" i="9"/>
  <c r="Y1805" i="9" s="1"/>
  <c r="X1811" i="9"/>
  <c r="Y1811" i="9" s="1"/>
  <c r="X1814" i="9"/>
  <c r="Y1814" i="9" s="1"/>
  <c r="X1816" i="9"/>
  <c r="Y1816" i="9" s="1"/>
  <c r="X1821" i="9"/>
  <c r="Y1821" i="9" s="1"/>
  <c r="X1823" i="9"/>
  <c r="Y1823" i="9" s="1"/>
  <c r="X1825" i="9"/>
  <c r="Y1825" i="9" s="1"/>
  <c r="X1826" i="9"/>
  <c r="Y1826" i="9" s="1"/>
  <c r="X1828" i="9"/>
  <c r="Y1828" i="9" s="1"/>
  <c r="X1829" i="9"/>
  <c r="Y1829" i="9" s="1"/>
  <c r="X1830" i="9"/>
  <c r="Y1830" i="9" s="1"/>
  <c r="X1832" i="9"/>
  <c r="Y1832" i="9" s="1"/>
  <c r="X1834" i="9"/>
  <c r="Y1834" i="9" s="1"/>
  <c r="X1797" i="9"/>
  <c r="Y1797" i="9" s="1"/>
  <c r="X1800" i="9"/>
  <c r="Y1800" i="9" s="1"/>
  <c r="X1802" i="9"/>
  <c r="Y1802" i="9" s="1"/>
  <c r="X1808" i="9"/>
  <c r="Y1808" i="9" s="1"/>
  <c r="X1810" i="9"/>
  <c r="Y1810" i="9" s="1"/>
  <c r="X1815" i="9"/>
  <c r="Y1815" i="9" s="1"/>
  <c r="X1818" i="9"/>
  <c r="Y1818" i="9" s="1"/>
  <c r="X1820" i="9"/>
  <c r="Y1820" i="9" s="1"/>
  <c r="X1713" i="9"/>
  <c r="Y1713" i="9" s="1"/>
  <c r="X1716" i="9"/>
  <c r="Y1716" i="9" s="1"/>
  <c r="X1718" i="9"/>
  <c r="Y1718" i="9" s="1"/>
  <c r="X1719" i="9"/>
  <c r="Y1719" i="9" s="1"/>
  <c r="X1720" i="9"/>
  <c r="Y1720" i="9" s="1"/>
  <c r="X1715" i="9"/>
  <c r="Y1715" i="9" s="1"/>
  <c r="X1717" i="9"/>
  <c r="Y1717" i="9" s="1"/>
  <c r="X1714" i="9"/>
  <c r="Y1714" i="9" s="1"/>
  <c r="X1721" i="9"/>
  <c r="Y1721" i="9" s="1"/>
  <c r="X1724" i="9"/>
  <c r="Y1724" i="9" s="1"/>
  <c r="X1712" i="9"/>
  <c r="Y1712" i="9" s="1"/>
  <c r="X1727" i="9"/>
  <c r="Y1727" i="9" s="1"/>
  <c r="X1732" i="9"/>
  <c r="Y1732" i="9" s="1"/>
  <c r="X1725" i="9"/>
  <c r="Y1725" i="9" s="1"/>
  <c r="X1728" i="9"/>
  <c r="Y1728" i="9" s="1"/>
  <c r="X1734" i="9"/>
  <c r="Y1734" i="9" s="1"/>
  <c r="X1737" i="9"/>
  <c r="Y1737" i="9" s="1"/>
  <c r="X1739" i="9"/>
  <c r="Y1739" i="9" s="1"/>
  <c r="X1741" i="9"/>
  <c r="Y1741" i="9" s="1"/>
  <c r="X1742" i="9"/>
  <c r="Y1742" i="9" s="1"/>
  <c r="X1743" i="9"/>
  <c r="Y1743" i="9" s="1"/>
  <c r="X1744" i="9"/>
  <c r="Y1744" i="9" s="1"/>
  <c r="X1746" i="9"/>
  <c r="Y1746" i="9" s="1"/>
  <c r="X1747" i="9"/>
  <c r="Y1747" i="9" s="1"/>
  <c r="X1723" i="9"/>
  <c r="Y1723" i="9" s="1"/>
  <c r="X1730" i="9"/>
  <c r="Y1730" i="9" s="1"/>
  <c r="X1733" i="9"/>
  <c r="Y1733" i="9" s="1"/>
  <c r="X1735" i="9"/>
  <c r="Y1735" i="9" s="1"/>
  <c r="X1749" i="9"/>
  <c r="Y1749" i="9" s="1"/>
  <c r="X1745" i="9"/>
  <c r="Y1745" i="9" s="1"/>
  <c r="X1748" i="9"/>
  <c r="Y1748" i="9" s="1"/>
  <c r="X1729" i="9"/>
  <c r="Y1729" i="9" s="1"/>
  <c r="X1736" i="9"/>
  <c r="Y1736" i="9" s="1"/>
  <c r="X1722" i="9"/>
  <c r="Y1722" i="9" s="1"/>
  <c r="X1740" i="9"/>
  <c r="Y1740" i="9" s="1"/>
  <c r="X1731" i="9"/>
  <c r="Y1731" i="9" s="1"/>
  <c r="X1738" i="9"/>
  <c r="Y1738" i="9" s="1"/>
  <c r="X1726" i="9"/>
  <c r="Y1726" i="9" s="1"/>
  <c r="X1759" i="9"/>
  <c r="Y1759" i="9" s="1"/>
  <c r="X1761" i="9"/>
  <c r="Y1761" i="9" s="1"/>
  <c r="X1762" i="9"/>
  <c r="Y1762" i="9" s="1"/>
  <c r="X1763" i="9"/>
  <c r="Y1763" i="9" s="1"/>
  <c r="X1766" i="9"/>
  <c r="Y1766" i="9" s="1"/>
  <c r="X1769" i="9"/>
  <c r="Y1769" i="9" s="1"/>
  <c r="X1775" i="9"/>
  <c r="Y1775" i="9" s="1"/>
  <c r="X1760" i="9"/>
  <c r="Y1760" i="9" s="1"/>
  <c r="X1764" i="9"/>
  <c r="Y1764" i="9" s="1"/>
  <c r="X1770" i="9"/>
  <c r="Y1770" i="9" s="1"/>
  <c r="X1772" i="9"/>
  <c r="Y1772" i="9" s="1"/>
  <c r="X1777" i="9"/>
  <c r="Y1777" i="9" s="1"/>
  <c r="X1780" i="9"/>
  <c r="Y1780" i="9" s="1"/>
  <c r="X1781" i="9"/>
  <c r="Y1781" i="9" s="1"/>
  <c r="X1783" i="9"/>
  <c r="Y1783" i="9" s="1"/>
  <c r="X1784" i="9"/>
  <c r="Y1784" i="9" s="1"/>
  <c r="X1785" i="9"/>
  <c r="Y1785" i="9" s="1"/>
  <c r="X1787" i="9"/>
  <c r="Y1787" i="9" s="1"/>
  <c r="X1792" i="9"/>
  <c r="Y1792" i="9" s="1"/>
  <c r="X1768" i="9"/>
  <c r="Y1768" i="9" s="1"/>
  <c r="X1771" i="9"/>
  <c r="Y1771" i="9" s="1"/>
  <c r="X1765" i="9"/>
  <c r="Y1765" i="9" s="1"/>
  <c r="X1767" i="9"/>
  <c r="Y1767" i="9" s="1"/>
  <c r="X1786" i="9"/>
  <c r="Y1786" i="9" s="1"/>
  <c r="X1795" i="9"/>
  <c r="Y1795" i="9" s="1"/>
  <c r="X1790" i="9"/>
  <c r="Y1790" i="9" s="1"/>
  <c r="X1794" i="9"/>
  <c r="Y1794" i="9" s="1"/>
  <c r="X1773" i="9"/>
  <c r="Y1773" i="9" s="1"/>
  <c r="X1776" i="9"/>
  <c r="Y1776" i="9" s="1"/>
  <c r="X1778" i="9"/>
  <c r="Y1778" i="9" s="1"/>
  <c r="X1782" i="9"/>
  <c r="Y1782" i="9" s="1"/>
  <c r="X1788" i="9"/>
  <c r="Y1788" i="9" s="1"/>
  <c r="X1791" i="9"/>
  <c r="Y1791" i="9" s="1"/>
  <c r="X1796" i="9"/>
  <c r="Y1796" i="9" s="1"/>
  <c r="X1789" i="9"/>
  <c r="Y1789" i="9" s="1"/>
  <c r="X1774" i="9"/>
  <c r="Y1774" i="9" s="1"/>
  <c r="X1779" i="9"/>
  <c r="Y1779" i="9" s="1"/>
  <c r="X1793" i="9"/>
  <c r="Y1793" i="9" s="1"/>
  <c r="X1865" i="9"/>
  <c r="Y1865" i="9" s="1"/>
  <c r="X1867" i="9"/>
  <c r="Y1867" i="9" s="1"/>
  <c r="X1869" i="9"/>
  <c r="Y1869" i="9" s="1"/>
  <c r="X1866" i="9"/>
  <c r="Y1866" i="9" s="1"/>
  <c r="X1868" i="9"/>
  <c r="Y1868" i="9" s="1"/>
  <c r="X1870" i="9"/>
  <c r="Y1870" i="9" s="1"/>
  <c r="X1872" i="9"/>
  <c r="Y1872" i="9" s="1"/>
  <c r="X1873" i="9"/>
  <c r="Y1873" i="9" s="1"/>
  <c r="X1871" i="9"/>
  <c r="Y1871" i="9" s="1"/>
  <c r="X1836" i="9"/>
  <c r="Y1836" i="9" s="1"/>
  <c r="X1838" i="9"/>
  <c r="Y1838" i="9" s="1"/>
  <c r="X1840" i="9"/>
  <c r="Y1840" i="9" s="1"/>
  <c r="X1841" i="9"/>
  <c r="Y1841" i="9" s="1"/>
  <c r="X1843" i="9"/>
  <c r="Y1843" i="9" s="1"/>
  <c r="X1846" i="9"/>
  <c r="Y1846" i="9" s="1"/>
  <c r="X1848" i="9"/>
  <c r="Y1848" i="9" s="1"/>
  <c r="X1850" i="9"/>
  <c r="Y1850" i="9" s="1"/>
  <c r="X1852" i="9"/>
  <c r="Y1852" i="9" s="1"/>
  <c r="X1854" i="9"/>
  <c r="Y1854" i="9" s="1"/>
  <c r="X1855" i="9"/>
  <c r="Y1855" i="9" s="1"/>
  <c r="X1857" i="9"/>
  <c r="Y1857" i="9" s="1"/>
  <c r="X1861" i="9"/>
  <c r="Y1861" i="9" s="1"/>
  <c r="X1864" i="9"/>
  <c r="Y1864" i="9" s="1"/>
  <c r="X1835" i="9"/>
  <c r="Y1835" i="9" s="1"/>
  <c r="X1837" i="9"/>
  <c r="Y1837" i="9" s="1"/>
  <c r="X1839" i="9"/>
  <c r="Y1839" i="9" s="1"/>
  <c r="X1842" i="9"/>
  <c r="Y1842" i="9" s="1"/>
  <c r="X1844" i="9"/>
  <c r="Y1844" i="9" s="1"/>
  <c r="X1845" i="9"/>
  <c r="Y1845" i="9" s="1"/>
  <c r="X1847" i="9"/>
  <c r="Y1847" i="9" s="1"/>
  <c r="X1849" i="9"/>
  <c r="Y1849" i="9" s="1"/>
  <c r="X1851" i="9"/>
  <c r="Y1851" i="9" s="1"/>
  <c r="X1853" i="9"/>
  <c r="Y1853" i="9" s="1"/>
  <c r="X1856" i="9"/>
  <c r="Y1856" i="9" s="1"/>
  <c r="X1858" i="9"/>
  <c r="Y1858" i="9" s="1"/>
  <c r="X1859" i="9"/>
  <c r="Y1859" i="9" s="1"/>
  <c r="X1860" i="9"/>
  <c r="Y1860" i="9" s="1"/>
  <c r="X1862" i="9"/>
  <c r="Y1862" i="9" s="1"/>
  <c r="X1863" i="9"/>
  <c r="Y1863" i="9" s="1"/>
  <c r="X1596" i="9"/>
  <c r="X1597" i="9"/>
  <c r="X1599" i="9"/>
  <c r="Y1599" i="9" s="1"/>
  <c r="X1601" i="9"/>
  <c r="X1602" i="9"/>
  <c r="X1604" i="9"/>
  <c r="X1600" i="9"/>
  <c r="Y1600" i="9" s="1"/>
  <c r="X1603" i="9"/>
  <c r="X1598" i="9"/>
  <c r="X1569" i="9"/>
  <c r="X1571" i="9"/>
  <c r="X1574" i="9"/>
  <c r="X1583" i="9"/>
  <c r="X1585" i="9"/>
  <c r="X1588" i="9"/>
  <c r="X1566" i="9"/>
  <c r="X1568" i="9"/>
  <c r="X1570" i="9"/>
  <c r="X1576" i="9"/>
  <c r="X1580" i="9"/>
  <c r="Y1580" i="9" s="1"/>
  <c r="X1582" i="9"/>
  <c r="Y1582" i="9" s="1"/>
  <c r="X1584" i="9"/>
  <c r="X1590" i="9"/>
  <c r="X1591" i="9"/>
  <c r="X1593" i="9"/>
  <c r="X1573" i="9"/>
  <c r="X1575" i="9"/>
  <c r="X1578" i="9"/>
  <c r="Y1578" i="9" s="1"/>
  <c r="X1587" i="9"/>
  <c r="X1589" i="9"/>
  <c r="X1594" i="9"/>
  <c r="X1567" i="9"/>
  <c r="X1572" i="9"/>
  <c r="Y1572" i="9" s="1"/>
  <c r="X1577" i="9"/>
  <c r="Y1577" i="9" s="1"/>
  <c r="X1579" i="9"/>
  <c r="Y1579" i="9" s="1"/>
  <c r="X1581" i="9"/>
  <c r="Y1581" i="9" s="1"/>
  <c r="X1586" i="9"/>
  <c r="X1592" i="9"/>
  <c r="X1595" i="9"/>
  <c r="X1491" i="9"/>
  <c r="X1494" i="9"/>
  <c r="X1496" i="9"/>
  <c r="X1497" i="9"/>
  <c r="X1492" i="9"/>
  <c r="X1498" i="9"/>
  <c r="X1500" i="9"/>
  <c r="X1504" i="9"/>
  <c r="Y1504" i="9" s="1"/>
  <c r="X1506" i="9"/>
  <c r="Y1506" i="9" s="1"/>
  <c r="X1507" i="9"/>
  <c r="Y1507" i="9" s="1"/>
  <c r="X1509" i="9"/>
  <c r="Y1509" i="9" s="1"/>
  <c r="X1512" i="9"/>
  <c r="X1514" i="9"/>
  <c r="X1515" i="9"/>
  <c r="X1516" i="9"/>
  <c r="X1518" i="9"/>
  <c r="X1523" i="9"/>
  <c r="X1527" i="9"/>
  <c r="Y1527" i="9" s="1"/>
  <c r="X1490" i="9"/>
  <c r="X1493" i="9"/>
  <c r="Y1493" i="9" s="1"/>
  <c r="X1495" i="9"/>
  <c r="X1501" i="9"/>
  <c r="X1508" i="9"/>
  <c r="Y1508" i="9" s="1"/>
  <c r="X1502" i="9"/>
  <c r="X1505" i="9"/>
  <c r="Y1505" i="9" s="1"/>
  <c r="X1510" i="9"/>
  <c r="Y1510" i="9" s="1"/>
  <c r="X1503" i="9"/>
  <c r="X1499" i="9"/>
  <c r="X1511" i="9"/>
  <c r="Y1511" i="9" s="1"/>
  <c r="X1521" i="9"/>
  <c r="X1525" i="9"/>
  <c r="X1513" i="9"/>
  <c r="X1517" i="9"/>
  <c r="X1519" i="9"/>
  <c r="X1524" i="9"/>
  <c r="X1526" i="9"/>
  <c r="X1520" i="9"/>
  <c r="X1522" i="9"/>
  <c r="X1528" i="9"/>
  <c r="X1531" i="9"/>
  <c r="X1533" i="9"/>
  <c r="X1539" i="9"/>
  <c r="X1541" i="9"/>
  <c r="X1546" i="9"/>
  <c r="Y1546" i="9" s="1"/>
  <c r="X1549" i="9"/>
  <c r="Y1549" i="9" s="1"/>
  <c r="X1551" i="9"/>
  <c r="X1557" i="9"/>
  <c r="X1559" i="9"/>
  <c r="X1560" i="9"/>
  <c r="X1563" i="9"/>
  <c r="Y1563" i="9" s="1"/>
  <c r="X1529" i="9"/>
  <c r="X1534" i="9"/>
  <c r="X1536" i="9"/>
  <c r="X1542" i="9"/>
  <c r="Y1542" i="9" s="1"/>
  <c r="X1545" i="9"/>
  <c r="Y1545" i="9" s="1"/>
  <c r="X1547" i="9"/>
  <c r="Y1547" i="9" s="1"/>
  <c r="X1552" i="9"/>
  <c r="X1554" i="9"/>
  <c r="X1561" i="9"/>
  <c r="X1565" i="9"/>
  <c r="X1532" i="9"/>
  <c r="X1535" i="9"/>
  <c r="X1538" i="9"/>
  <c r="X1544" i="9"/>
  <c r="Y1544" i="9" s="1"/>
  <c r="X1550" i="9"/>
  <c r="X1553" i="9"/>
  <c r="X1556" i="9"/>
  <c r="X1530" i="9"/>
  <c r="X1537" i="9"/>
  <c r="X1540" i="9"/>
  <c r="X1543" i="9"/>
  <c r="Y1543" i="9" s="1"/>
  <c r="X1548" i="9"/>
  <c r="Y1548" i="9" s="1"/>
  <c r="X1555" i="9"/>
  <c r="X1558" i="9"/>
  <c r="X1562" i="9"/>
  <c r="X1564" i="9"/>
  <c r="X1444" i="9"/>
  <c r="X1447" i="9"/>
  <c r="X1449" i="9"/>
  <c r="X1450" i="9"/>
  <c r="X1445" i="9"/>
  <c r="X1453" i="9"/>
  <c r="X1443" i="9"/>
  <c r="Y1443" i="9" s="1"/>
  <c r="X1446" i="9"/>
  <c r="X1448" i="9"/>
  <c r="X1452" i="9"/>
  <c r="X1455" i="9"/>
  <c r="X1459" i="9"/>
  <c r="Y1459" i="9" s="1"/>
  <c r="X1465" i="9"/>
  <c r="X1468" i="9"/>
  <c r="X1471" i="9"/>
  <c r="X1451" i="9"/>
  <c r="X1456" i="9"/>
  <c r="X1461" i="9"/>
  <c r="Y1461" i="9" s="1"/>
  <c r="X1464" i="9"/>
  <c r="Y1464" i="9" s="1"/>
  <c r="X1466" i="9"/>
  <c r="X1472" i="9"/>
  <c r="X1474" i="9"/>
  <c r="X1475" i="9"/>
  <c r="X1478" i="9"/>
  <c r="X1479" i="9"/>
  <c r="X1454" i="9"/>
  <c r="X1458" i="9"/>
  <c r="Y1458" i="9" s="1"/>
  <c r="X1463" i="9"/>
  <c r="Y1463" i="9" s="1"/>
  <c r="X1470" i="9"/>
  <c r="X1473" i="9"/>
  <c r="X1477" i="9"/>
  <c r="X1480" i="9"/>
  <c r="X1457" i="9"/>
  <c r="Y1457" i="9" s="1"/>
  <c r="X1460" i="9"/>
  <c r="Y1460" i="9" s="1"/>
  <c r="X1462" i="9"/>
  <c r="Y1462" i="9" s="1"/>
  <c r="X1467" i="9"/>
  <c r="X1469" i="9"/>
  <c r="X1476" i="9"/>
  <c r="X1481" i="9"/>
  <c r="X1484" i="9"/>
  <c r="Y1484" i="9" s="1"/>
  <c r="X1482" i="9"/>
  <c r="X1485" i="9"/>
  <c r="Y1485" i="9" s="1"/>
  <c r="X1483" i="9"/>
  <c r="X1486" i="9"/>
  <c r="X1487" i="9"/>
  <c r="X1488" i="9"/>
  <c r="X1489" i="9"/>
  <c r="X1221" i="9"/>
  <c r="Y1221" i="9" s="1"/>
  <c r="X1223" i="9"/>
  <c r="X1224" i="9"/>
  <c r="Y1224" i="9" s="1"/>
  <c r="X1225" i="9"/>
  <c r="Y1225" i="9" s="1"/>
  <c r="X1228" i="9"/>
  <c r="Y1228" i="9" s="1"/>
  <c r="X1231" i="9"/>
  <c r="Y1231" i="9" s="1"/>
  <c r="X1237" i="9"/>
  <c r="X1243" i="9"/>
  <c r="Y1243" i="9" s="1"/>
  <c r="X1246" i="9"/>
  <c r="Y1246" i="9" s="1"/>
  <c r="X1226" i="9"/>
  <c r="Y1226" i="9" s="1"/>
  <c r="X1232" i="9"/>
  <c r="X1234" i="9"/>
  <c r="Y1234" i="9" s="1"/>
  <c r="X1239" i="9"/>
  <c r="Y1239" i="9" s="1"/>
  <c r="X1242" i="9"/>
  <c r="Y1242" i="9" s="1"/>
  <c r="X1244" i="9"/>
  <c r="Y1244" i="9" s="1"/>
  <c r="X1247" i="9"/>
  <c r="Y1247" i="9" s="1"/>
  <c r="X1248" i="9"/>
  <c r="Y1248" i="9" s="1"/>
  <c r="X1251" i="9"/>
  <c r="Y1251" i="9" s="1"/>
  <c r="X1255" i="9"/>
  <c r="X1257" i="9"/>
  <c r="Y1257" i="9" s="1"/>
  <c r="X1227" i="9"/>
  <c r="X1229" i="9"/>
  <c r="Y1229" i="9" s="1"/>
  <c r="X1235" i="9"/>
  <c r="Y1235" i="9" s="1"/>
  <c r="X1238" i="9"/>
  <c r="Y1238" i="9" s="1"/>
  <c r="X1240" i="9"/>
  <c r="Y1240" i="9" s="1"/>
  <c r="X1245" i="9"/>
  <c r="X1254" i="9"/>
  <c r="Y1254" i="9" s="1"/>
  <c r="X1258" i="9"/>
  <c r="Y1258" i="9" s="1"/>
  <c r="X1250" i="9"/>
  <c r="X1252" i="9"/>
  <c r="Y1252" i="9" s="1"/>
  <c r="X1253" i="9"/>
  <c r="Y1253" i="9" s="1"/>
  <c r="X1256" i="9"/>
  <c r="Y1256" i="9" s="1"/>
  <c r="X1233" i="9"/>
  <c r="Y1233" i="9" s="1"/>
  <c r="X1236" i="9"/>
  <c r="Y1236" i="9" s="1"/>
  <c r="X1241" i="9"/>
  <c r="X1230" i="9"/>
  <c r="Y1230" i="9" s="1"/>
  <c r="X1249" i="9"/>
  <c r="Y1249" i="9" s="1"/>
  <c r="X1222" i="9"/>
  <c r="Y1222" i="9" s="1"/>
  <c r="X1328" i="9"/>
  <c r="X1330" i="9"/>
  <c r="X1332" i="9"/>
  <c r="X1327" i="9"/>
  <c r="X1334" i="9"/>
  <c r="X1335" i="9"/>
  <c r="Y1335" i="9" s="1"/>
  <c r="X1329" i="9"/>
  <c r="X1333" i="9"/>
  <c r="X1331" i="9"/>
  <c r="X1260" i="9"/>
  <c r="Y1260" i="9" s="1"/>
  <c r="X1263" i="9"/>
  <c r="Y1263" i="9" s="1"/>
  <c r="X1265" i="9"/>
  <c r="X1266" i="9"/>
  <c r="Y1266" i="9" s="1"/>
  <c r="X1267" i="9"/>
  <c r="Y1267" i="9" s="1"/>
  <c r="X1269" i="9"/>
  <c r="Y1269" i="9" s="1"/>
  <c r="X1273" i="9"/>
  <c r="Y1273" i="9" s="1"/>
  <c r="X1275" i="9"/>
  <c r="X1276" i="9"/>
  <c r="Y1276" i="9" s="1"/>
  <c r="X1278" i="9"/>
  <c r="Y1278" i="9" s="1"/>
  <c r="X1281" i="9"/>
  <c r="Y1281" i="9" s="1"/>
  <c r="X1283" i="9"/>
  <c r="X1284" i="9"/>
  <c r="Y1284" i="9" s="1"/>
  <c r="X1285" i="9"/>
  <c r="Y1285" i="9" s="1"/>
  <c r="X1287" i="9"/>
  <c r="Y1287" i="9" s="1"/>
  <c r="X1292" i="9"/>
  <c r="Y1292" i="9" s="1"/>
  <c r="X1296" i="9"/>
  <c r="Y1296" i="9" s="1"/>
  <c r="X1261" i="9"/>
  <c r="X1268" i="9"/>
  <c r="Y1268" i="9" s="1"/>
  <c r="X1289" i="9"/>
  <c r="Y1289" i="9" s="1"/>
  <c r="X1293" i="9"/>
  <c r="X1259" i="9"/>
  <c r="Y1259" i="9" s="1"/>
  <c r="X1272" i="9"/>
  <c r="Y1272" i="9" s="1"/>
  <c r="X1280" i="9"/>
  <c r="Y1280" i="9" s="1"/>
  <c r="X1282" i="9"/>
  <c r="Y1282" i="9" s="1"/>
  <c r="X1288" i="9"/>
  <c r="X1291" i="9"/>
  <c r="Y1291" i="9" s="1"/>
  <c r="X1277" i="9"/>
  <c r="Y1277" i="9" s="1"/>
  <c r="X1279" i="9"/>
  <c r="X1286" i="9"/>
  <c r="Y1286" i="9" s="1"/>
  <c r="X1294" i="9"/>
  <c r="Y1294" i="9" s="1"/>
  <c r="X1262" i="9"/>
  <c r="Y1262" i="9" s="1"/>
  <c r="X1290" i="9"/>
  <c r="Y1290" i="9" s="1"/>
  <c r="X1295" i="9"/>
  <c r="Y1295" i="9" s="1"/>
  <c r="X1271" i="9"/>
  <c r="Y1271" i="9" s="1"/>
  <c r="X1264" i="9"/>
  <c r="Y1264" i="9" s="1"/>
  <c r="X1270" i="9"/>
  <c r="X1274" i="9"/>
  <c r="Y1274" i="9" s="1"/>
  <c r="Y1308" i="9"/>
  <c r="Y1317" i="9"/>
  <c r="Y1320" i="9"/>
  <c r="Y1303" i="9"/>
  <c r="Y1302" i="9"/>
  <c r="Y1322" i="9"/>
  <c r="Y1304" i="9"/>
  <c r="Y1297" i="9"/>
  <c r="Y1169" i="9"/>
  <c r="Y1150" i="9"/>
  <c r="Y1144" i="9"/>
  <c r="Y1145" i="9"/>
  <c r="Y1139" i="9"/>
  <c r="Y1355" i="9"/>
  <c r="Y1373" i="9"/>
  <c r="Y1353" i="9"/>
  <c r="Y1337" i="9"/>
  <c r="Y1364" i="9"/>
  <c r="Y1358" i="9"/>
  <c r="Y1372" i="9"/>
  <c r="Y1363" i="9"/>
  <c r="Y1351" i="9"/>
  <c r="Y1348" i="9"/>
  <c r="Y1313" i="9"/>
  <c r="Y1316" i="9"/>
  <c r="Y1301" i="9"/>
  <c r="Y1305" i="9"/>
  <c r="Y1307" i="9"/>
  <c r="Y1167" i="9"/>
  <c r="Y1161" i="9"/>
  <c r="Y1157" i="9"/>
  <c r="Y1149" i="9"/>
  <c r="Y1141" i="9"/>
  <c r="Y1140" i="9"/>
  <c r="Y1350" i="9"/>
  <c r="Y1346" i="9"/>
  <c r="Y1371" i="9"/>
  <c r="Y1367" i="9"/>
  <c r="Y1354" i="9"/>
  <c r="Y1341" i="9"/>
  <c r="Y1339" i="9"/>
  <c r="Y1404" i="9"/>
  <c r="Y1388" i="9"/>
  <c r="X1213" i="9"/>
  <c r="X1212" i="9"/>
  <c r="X1214" i="9"/>
  <c r="X1218" i="9"/>
  <c r="X1217" i="9"/>
  <c r="X1215" i="9"/>
  <c r="X1219" i="9"/>
  <c r="X1220" i="9"/>
  <c r="Y1220" i="9" s="1"/>
  <c r="X1216" i="9"/>
  <c r="X1174" i="9"/>
  <c r="Y1174" i="9" s="1"/>
  <c r="X1177" i="9"/>
  <c r="Y1177" i="9" s="1"/>
  <c r="X1179" i="9"/>
  <c r="Y1179" i="9" s="1"/>
  <c r="X1178" i="9"/>
  <c r="Y1178" i="9" s="1"/>
  <c r="X1181" i="9"/>
  <c r="Y1181" i="9" s="1"/>
  <c r="X1184" i="9"/>
  <c r="Y1184" i="9" s="1"/>
  <c r="X1188" i="9"/>
  <c r="Y1188" i="9" s="1"/>
  <c r="X1190" i="9"/>
  <c r="X1191" i="9"/>
  <c r="Y1191" i="9" s="1"/>
  <c r="X1193" i="9"/>
  <c r="Y1193" i="9" s="1"/>
  <c r="X1196" i="9"/>
  <c r="Y1196" i="9" s="1"/>
  <c r="X1198" i="9"/>
  <c r="X1183" i="9"/>
  <c r="Y1183" i="9" s="1"/>
  <c r="X1201" i="9"/>
  <c r="Y1201" i="9" s="1"/>
  <c r="X1203" i="9"/>
  <c r="X1204" i="9"/>
  <c r="Y1204" i="9" s="1"/>
  <c r="X1205" i="9"/>
  <c r="Y1205" i="9" s="1"/>
  <c r="X1206" i="9"/>
  <c r="Y1206" i="9" s="1"/>
  <c r="X1208" i="9"/>
  <c r="X1209" i="9"/>
  <c r="Y1209" i="9" s="1"/>
  <c r="X1210" i="9"/>
  <c r="Y1210" i="9" s="1"/>
  <c r="X1185" i="9"/>
  <c r="X1192" i="9"/>
  <c r="Y1192" i="9" s="1"/>
  <c r="X1195" i="9"/>
  <c r="Y1195" i="9" s="1"/>
  <c r="X1197" i="9"/>
  <c r="Y1197" i="9" s="1"/>
  <c r="X1207" i="9"/>
  <c r="Y1207" i="9" s="1"/>
  <c r="X1211" i="9"/>
  <c r="Y1211" i="9" s="1"/>
  <c r="X1176" i="9"/>
  <c r="X1194" i="9"/>
  <c r="X1202" i="9"/>
  <c r="Y1202" i="9" s="1"/>
  <c r="X1199" i="9"/>
  <c r="Y1199" i="9" s="1"/>
  <c r="X1175" i="9"/>
  <c r="Y1175" i="9" s="1"/>
  <c r="X1182" i="9"/>
  <c r="Y1182" i="9" s="1"/>
  <c r="X1186" i="9"/>
  <c r="Y1186" i="9" s="1"/>
  <c r="X1189" i="9"/>
  <c r="Y1189" i="9" s="1"/>
  <c r="X1187" i="9"/>
  <c r="Y1187" i="9" s="1"/>
  <c r="X1180" i="9"/>
  <c r="X1200" i="9"/>
  <c r="Y1200" i="9" s="1"/>
  <c r="Y1310" i="9"/>
  <c r="Y1309" i="9"/>
  <c r="Y1326" i="9"/>
  <c r="Y1318" i="9"/>
  <c r="Y1314" i="9"/>
  <c r="Y1315" i="9"/>
  <c r="Y1300" i="9"/>
  <c r="Y1323" i="9"/>
  <c r="Y1324" i="9"/>
  <c r="Y1306" i="9"/>
  <c r="Y1299" i="9"/>
  <c r="Y1168" i="9"/>
  <c r="Y1163" i="9"/>
  <c r="Y1173" i="9"/>
  <c r="Y1171" i="9"/>
  <c r="Y1146" i="9"/>
  <c r="Y1172" i="9"/>
  <c r="Y1170" i="9"/>
  <c r="Y1164" i="9"/>
  <c r="Y1153" i="9"/>
  <c r="Y1151" i="9"/>
  <c r="Y1148" i="9"/>
  <c r="Y1137" i="9"/>
  <c r="Y1361" i="9"/>
  <c r="Y1340" i="9"/>
  <c r="Y1343" i="9"/>
  <c r="Y1362" i="9"/>
  <c r="Y1369" i="9"/>
  <c r="Y1366" i="9"/>
  <c r="Y1345" i="9"/>
  <c r="Y1312" i="9"/>
  <c r="Y1311" i="9"/>
  <c r="Y1325" i="9"/>
  <c r="Y1319" i="9"/>
  <c r="Y1321" i="9"/>
  <c r="Y1298" i="9"/>
  <c r="Y1158" i="9"/>
  <c r="Y1166" i="9"/>
  <c r="Y1155" i="9"/>
  <c r="Y1162" i="9"/>
  <c r="Y1159" i="9"/>
  <c r="Y1154" i="9"/>
  <c r="Y1136" i="9"/>
  <c r="Y1143" i="9"/>
  <c r="Y1344" i="9"/>
  <c r="Y1368" i="9"/>
  <c r="Y1359" i="9"/>
  <c r="Y1357" i="9"/>
  <c r="Y1349" i="9"/>
  <c r="Y1336" i="9"/>
  <c r="Y1971" i="9"/>
  <c r="AC1971" i="9" s="1"/>
  <c r="D69" i="3"/>
  <c r="C73" i="3"/>
  <c r="B73" i="3"/>
  <c r="C72" i="3"/>
  <c r="B72" i="3"/>
  <c r="C21" i="3"/>
  <c r="D73" i="3"/>
  <c r="C48" i="3"/>
  <c r="B48" i="3"/>
  <c r="C45" i="3"/>
  <c r="C46" i="3"/>
  <c r="B46" i="3"/>
  <c r="C74" i="3"/>
  <c r="B74" i="3"/>
  <c r="B71" i="3"/>
  <c r="C71" i="3"/>
  <c r="B70" i="3"/>
  <c r="C70" i="3"/>
  <c r="B69" i="3"/>
  <c r="C69" i="3"/>
  <c r="D72" i="3"/>
  <c r="C47" i="3"/>
  <c r="B47" i="3"/>
  <c r="J114" i="8"/>
  <c r="D71" i="3"/>
  <c r="J112" i="8"/>
  <c r="J87" i="8"/>
  <c r="D46" i="3"/>
  <c r="J86" i="8"/>
  <c r="D45" i="3"/>
  <c r="J11" i="8"/>
  <c r="J10" i="8"/>
  <c r="J16" i="8"/>
  <c r="T754" i="9" s="1"/>
  <c r="J18" i="8"/>
  <c r="J12" i="8"/>
  <c r="J14" i="8"/>
  <c r="J17" i="8"/>
  <c r="J13" i="8"/>
  <c r="BC26" i="11"/>
  <c r="BE25" i="11"/>
  <c r="BA26" i="11"/>
  <c r="O1522" i="9"/>
  <c r="AE1522" i="9" s="1"/>
  <c r="O1476" i="9"/>
  <c r="AE1476" i="9" s="1"/>
  <c r="AE1432" i="9"/>
  <c r="AE1429" i="9"/>
  <c r="AE1417" i="9"/>
  <c r="AE1416" i="9"/>
  <c r="AE1411" i="9"/>
  <c r="AE1405" i="9"/>
  <c r="O1394" i="9"/>
  <c r="AE1394" i="9" s="1"/>
  <c r="O1189" i="9"/>
  <c r="AE1189" i="9" s="1"/>
  <c r="O1198" i="9"/>
  <c r="AE1198" i="9" s="1"/>
  <c r="O1354" i="9"/>
  <c r="AE1354" i="9" s="1"/>
  <c r="O1243" i="9"/>
  <c r="AE1243" i="9" s="1"/>
  <c r="O1167" i="9"/>
  <c r="AE1167" i="9" s="1"/>
  <c r="O1148" i="9"/>
  <c r="AE1148" i="9" s="1"/>
  <c r="O1144" i="9"/>
  <c r="AE1144" i="9" s="1"/>
  <c r="O1122" i="9"/>
  <c r="AE1122" i="9" s="1"/>
  <c r="O1102" i="9"/>
  <c r="AE1102" i="9" s="1"/>
  <c r="O1087" i="9"/>
  <c r="AE1087" i="9" s="1"/>
  <c r="O1066" i="9"/>
  <c r="AE1066" i="9" s="1"/>
  <c r="O1046" i="9"/>
  <c r="AE1046" i="9" s="1"/>
  <c r="O1035" i="9"/>
  <c r="AE1035" i="9" s="1"/>
  <c r="O1024" i="9"/>
  <c r="AE1024" i="9" s="1"/>
  <c r="O1012" i="9"/>
  <c r="AE1012" i="9" s="1"/>
  <c r="O1001" i="9"/>
  <c r="AE1001" i="9" s="1"/>
  <c r="O982" i="9"/>
  <c r="AE982" i="9" s="1"/>
  <c r="O971" i="9"/>
  <c r="AE971" i="9" s="1"/>
  <c r="O950" i="9"/>
  <c r="AE950" i="9" s="1"/>
  <c r="O947" i="9"/>
  <c r="AE947" i="9" s="1"/>
  <c r="O944" i="9"/>
  <c r="AE944" i="9" s="1"/>
  <c r="O927" i="9"/>
  <c r="AE927" i="9" s="1"/>
  <c r="O924" i="9"/>
  <c r="AE924" i="9" s="1"/>
  <c r="O915" i="9"/>
  <c r="AE915" i="9" s="1"/>
  <c r="O908" i="9"/>
  <c r="AE908" i="9" s="1"/>
  <c r="O901" i="9"/>
  <c r="AE901" i="9" s="1"/>
  <c r="O894" i="9"/>
  <c r="AE894" i="9" s="1"/>
  <c r="O892" i="9"/>
  <c r="AE892" i="9" s="1"/>
  <c r="O887" i="9"/>
  <c r="AE887" i="9" s="1"/>
  <c r="O885" i="9"/>
  <c r="AE885" i="9" s="1"/>
  <c r="O865" i="9"/>
  <c r="AE865" i="9" s="1"/>
  <c r="O856" i="9"/>
  <c r="AE856" i="9" s="1"/>
  <c r="O842" i="9"/>
  <c r="AE842" i="9" s="1"/>
  <c r="O837" i="9"/>
  <c r="AE837" i="9" s="1"/>
  <c r="O826" i="9"/>
  <c r="AE826" i="9" s="1"/>
  <c r="O813" i="9"/>
  <c r="AE813" i="9" s="1"/>
  <c r="O803" i="9"/>
  <c r="AE803" i="9" s="1"/>
  <c r="O799" i="9"/>
  <c r="AE799" i="9" s="1"/>
  <c r="O794" i="9"/>
  <c r="AE794" i="9" s="1"/>
  <c r="O786" i="9"/>
  <c r="AE786" i="9" s="1"/>
  <c r="O765" i="9"/>
  <c r="AE765" i="9" s="1"/>
  <c r="O1321" i="9"/>
  <c r="AE1321" i="9" s="1"/>
  <c r="O744" i="9"/>
  <c r="AE744" i="9" s="1"/>
  <c r="O739" i="9"/>
  <c r="AE739" i="9" s="1"/>
  <c r="O734" i="9"/>
  <c r="AE734" i="9" s="1"/>
  <c r="O725" i="9"/>
  <c r="AE725" i="9" s="1"/>
  <c r="O719" i="9"/>
  <c r="AE719" i="9" s="1"/>
  <c r="O712" i="9"/>
  <c r="AE712" i="9" s="1"/>
  <c r="O709" i="9"/>
  <c r="AE709" i="9" s="1"/>
  <c r="O705" i="9"/>
  <c r="AE705" i="9" s="1"/>
  <c r="O684" i="9"/>
  <c r="AE684" i="9" s="1"/>
  <c r="O680" i="9"/>
  <c r="AE680" i="9" s="1"/>
  <c r="O648" i="9"/>
  <c r="AE648" i="9" s="1"/>
  <c r="O647" i="9"/>
  <c r="AE647" i="9" s="1"/>
  <c r="O640" i="9"/>
  <c r="AE640" i="9" s="1"/>
  <c r="O633" i="9"/>
  <c r="AE633" i="9" s="1"/>
  <c r="O632" i="9"/>
  <c r="AE632" i="9" s="1"/>
  <c r="O626" i="9"/>
  <c r="AE626" i="9" s="1"/>
  <c r="O618" i="9"/>
  <c r="AE618" i="9" s="1"/>
  <c r="O617" i="9"/>
  <c r="AE617" i="9" s="1"/>
  <c r="O573" i="9"/>
  <c r="AE573" i="9" s="1"/>
  <c r="O558" i="9"/>
  <c r="AE558" i="9" s="1"/>
  <c r="O552" i="9"/>
  <c r="AE552" i="9" s="1"/>
  <c r="O540" i="9"/>
  <c r="AE540" i="9" s="1"/>
  <c r="O539" i="9"/>
  <c r="AE539" i="9" s="1"/>
  <c r="O518" i="9"/>
  <c r="AE518" i="9" s="1"/>
  <c r="O516" i="9"/>
  <c r="AE516" i="9" s="1"/>
  <c r="O496" i="9"/>
  <c r="AE496" i="9" s="1"/>
  <c r="O484" i="9"/>
  <c r="AE484" i="9" s="1"/>
  <c r="O477" i="9"/>
  <c r="AE477" i="9" s="1"/>
  <c r="O465" i="9"/>
  <c r="AE465" i="9" s="1"/>
  <c r="O461" i="9"/>
  <c r="AE461" i="9" s="1"/>
  <c r="O452" i="9"/>
  <c r="AE452" i="9" s="1"/>
  <c r="O451" i="9"/>
  <c r="AE451" i="9" s="1"/>
  <c r="O432" i="9"/>
  <c r="AE432" i="9" s="1"/>
  <c r="O416" i="9"/>
  <c r="AE416" i="9" s="1"/>
  <c r="O406" i="9"/>
  <c r="AE406" i="9" s="1"/>
  <c r="O404" i="9"/>
  <c r="AE404" i="9" s="1"/>
  <c r="O396" i="9"/>
  <c r="AE396" i="9" s="1"/>
  <c r="O395" i="9"/>
  <c r="AE395" i="9" s="1"/>
  <c r="O391" i="9"/>
  <c r="AE391" i="9" s="1"/>
  <c r="O390" i="9"/>
  <c r="AE390" i="9" s="1"/>
  <c r="O384" i="9"/>
  <c r="AE384" i="9" s="1"/>
  <c r="O381" i="9"/>
  <c r="AE381" i="9" s="1"/>
  <c r="O377" i="9"/>
  <c r="AE377" i="9" s="1"/>
  <c r="O373" i="9"/>
  <c r="AE373" i="9" s="1"/>
  <c r="O367" i="9"/>
  <c r="AE367" i="9" s="1"/>
  <c r="O354" i="9"/>
  <c r="AE354" i="9" s="1"/>
  <c r="O347" i="9"/>
  <c r="AE347" i="9" s="1"/>
  <c r="O346" i="9"/>
  <c r="AE346" i="9" s="1"/>
  <c r="O332" i="9"/>
  <c r="AE332" i="9" s="1"/>
  <c r="O331" i="9"/>
  <c r="AE331" i="9" s="1"/>
  <c r="O328" i="9"/>
  <c r="AE328" i="9" s="1"/>
  <c r="O327" i="9"/>
  <c r="AE327" i="9" s="1"/>
  <c r="O326" i="9"/>
  <c r="AE326" i="9" s="1"/>
  <c r="O323" i="9"/>
  <c r="AE323" i="9" s="1"/>
  <c r="O320" i="9"/>
  <c r="AE320" i="9" s="1"/>
  <c r="O313" i="9"/>
  <c r="AE313" i="9" s="1"/>
  <c r="O311" i="9"/>
  <c r="AE311" i="9" s="1"/>
  <c r="O310" i="9"/>
  <c r="AE310" i="9" s="1"/>
  <c r="O303" i="9"/>
  <c r="AE303" i="9" s="1"/>
  <c r="O302" i="9"/>
  <c r="AE302" i="9" s="1"/>
  <c r="O300" i="9"/>
  <c r="AE300" i="9" s="1"/>
  <c r="O297" i="9"/>
  <c r="AE297" i="9" s="1"/>
  <c r="O295" i="9"/>
  <c r="AE295" i="9" s="1"/>
  <c r="O290" i="9"/>
  <c r="AE290" i="9" s="1"/>
  <c r="O288" i="9"/>
  <c r="AE288" i="9" s="1"/>
  <c r="O286" i="9"/>
  <c r="AE286" i="9" s="1"/>
  <c r="O285" i="9"/>
  <c r="AE285" i="9" s="1"/>
  <c r="O284" i="9"/>
  <c r="AE284" i="9" s="1"/>
  <c r="O281" i="9"/>
  <c r="AE281" i="9" s="1"/>
  <c r="O277" i="9"/>
  <c r="AE277" i="9" s="1"/>
  <c r="O270" i="9"/>
  <c r="AE270" i="9" s="1"/>
  <c r="O267" i="9"/>
  <c r="AE267" i="9" s="1"/>
  <c r="O263" i="9"/>
  <c r="AE263" i="9" s="1"/>
  <c r="O258" i="9"/>
  <c r="AE258" i="9" s="1"/>
  <c r="O256" i="9"/>
  <c r="AE256" i="9" s="1"/>
  <c r="O254" i="9"/>
  <c r="AE254" i="9" s="1"/>
  <c r="O252" i="9"/>
  <c r="AE252" i="9" s="1"/>
  <c r="O249" i="9"/>
  <c r="AE249" i="9" s="1"/>
  <c r="O246" i="9"/>
  <c r="AE246" i="9" s="1"/>
  <c r="O235" i="9"/>
  <c r="AE235" i="9" s="1"/>
  <c r="O233" i="9"/>
  <c r="AE233" i="9" s="1"/>
  <c r="O227" i="9"/>
  <c r="AE227" i="9" s="1"/>
  <c r="O223" i="9"/>
  <c r="AE223" i="9" s="1"/>
  <c r="O220" i="9"/>
  <c r="AE220" i="9" s="1"/>
  <c r="O219" i="9"/>
  <c r="AE219" i="9" s="1"/>
  <c r="O216" i="9"/>
  <c r="AE216" i="9" s="1"/>
  <c r="O215" i="9"/>
  <c r="AE215" i="9" s="1"/>
  <c r="O212" i="9"/>
  <c r="AE212" i="9" s="1"/>
  <c r="O211" i="9"/>
  <c r="AE211" i="9" s="1"/>
  <c r="O210" i="9"/>
  <c r="AE210" i="9" s="1"/>
  <c r="O207" i="9"/>
  <c r="AE207" i="9" s="1"/>
  <c r="O206" i="9"/>
  <c r="AE206" i="9" s="1"/>
  <c r="O203" i="9"/>
  <c r="AE203" i="9" s="1"/>
  <c r="O201" i="9"/>
  <c r="AE201" i="9" s="1"/>
  <c r="O200" i="9"/>
  <c r="AE200" i="9" s="1"/>
  <c r="O199" i="9"/>
  <c r="AE199" i="9" s="1"/>
  <c r="O196" i="9"/>
  <c r="AE196" i="9" s="1"/>
  <c r="O195" i="9"/>
  <c r="AE195" i="9" s="1"/>
  <c r="O194" i="9"/>
  <c r="AE194" i="9" s="1"/>
  <c r="O189" i="9"/>
  <c r="AE189" i="9" s="1"/>
  <c r="O186" i="9"/>
  <c r="AE186" i="9" s="1"/>
  <c r="O180" i="9"/>
  <c r="AE180" i="9" s="1"/>
  <c r="O179" i="9"/>
  <c r="AE179" i="9" s="1"/>
  <c r="O175" i="9"/>
  <c r="AE175" i="9" s="1"/>
  <c r="O168" i="9"/>
  <c r="AE168" i="9" s="1"/>
  <c r="O164" i="9"/>
  <c r="AE164" i="9" s="1"/>
  <c r="O156" i="9"/>
  <c r="AE156" i="9" s="1"/>
  <c r="O151" i="9"/>
  <c r="AE151" i="9" s="1"/>
  <c r="O141" i="9"/>
  <c r="AE141" i="9" s="1"/>
  <c r="O139" i="9"/>
  <c r="AE139" i="9" s="1"/>
  <c r="O125" i="9"/>
  <c r="AE125" i="9" s="1"/>
  <c r="O113" i="9"/>
  <c r="AE113" i="9" s="1"/>
  <c r="O107" i="9"/>
  <c r="AE107" i="9" s="1"/>
  <c r="O104" i="9"/>
  <c r="AE104" i="9" s="1"/>
  <c r="O102" i="9"/>
  <c r="AE102" i="9" s="1"/>
  <c r="O97" i="9"/>
  <c r="AE97" i="9" s="1"/>
  <c r="O91" i="9"/>
  <c r="AE91" i="9" s="1"/>
  <c r="O90" i="9"/>
  <c r="AE90" i="9" s="1"/>
  <c r="O82" i="9"/>
  <c r="AE82" i="9" s="1"/>
  <c r="O80" i="9"/>
  <c r="AE80" i="9" s="1"/>
  <c r="O74" i="9"/>
  <c r="AE74" i="9" s="1"/>
  <c r="O70" i="9"/>
  <c r="AE70" i="9" s="1"/>
  <c r="O65" i="9"/>
  <c r="AE65" i="9" s="1"/>
  <c r="O63" i="9"/>
  <c r="AE63" i="9" s="1"/>
  <c r="O169" i="9"/>
  <c r="AE169" i="9" s="1"/>
  <c r="O148" i="9"/>
  <c r="AE148" i="9" s="1"/>
  <c r="O137" i="9"/>
  <c r="AE137" i="9" s="1"/>
  <c r="O136" i="9"/>
  <c r="AE136" i="9" s="1"/>
  <c r="O122" i="9"/>
  <c r="AE122" i="9" s="1"/>
  <c r="O119" i="9"/>
  <c r="AE119" i="9" s="1"/>
  <c r="O116" i="9"/>
  <c r="AE116" i="9" s="1"/>
  <c r="O115" i="9"/>
  <c r="AE115" i="9" s="1"/>
  <c r="O114" i="9"/>
  <c r="AE114" i="9" s="1"/>
  <c r="O111" i="9"/>
  <c r="AE111" i="9" s="1"/>
  <c r="O108" i="9"/>
  <c r="AE108" i="9" s="1"/>
  <c r="O100" i="9"/>
  <c r="AE100" i="9" s="1"/>
  <c r="O98" i="9"/>
  <c r="AE98" i="9" s="1"/>
  <c r="O95" i="9"/>
  <c r="AE95" i="9" s="1"/>
  <c r="O92" i="9"/>
  <c r="AE92" i="9" s="1"/>
  <c r="O87" i="9"/>
  <c r="AE87" i="9" s="1"/>
  <c r="O79" i="9"/>
  <c r="AE79" i="9" s="1"/>
  <c r="O75" i="9"/>
  <c r="AE75" i="9" s="1"/>
  <c r="O73" i="9"/>
  <c r="AE73" i="9" s="1"/>
  <c r="O69" i="9"/>
  <c r="AE69" i="9" s="1"/>
  <c r="O61" i="9"/>
  <c r="AE61" i="9" s="1"/>
  <c r="O159" i="9"/>
  <c r="AE159" i="9" s="1"/>
  <c r="O158" i="9"/>
  <c r="AE158" i="9" s="1"/>
  <c r="O153" i="9"/>
  <c r="AE153" i="9" s="1"/>
  <c r="O149" i="9"/>
  <c r="AE149" i="9" s="1"/>
  <c r="O147" i="9"/>
  <c r="AE147" i="9" s="1"/>
  <c r="O132" i="9"/>
  <c r="AE132" i="9" s="1"/>
  <c r="O129" i="9"/>
  <c r="AE129" i="9" s="1"/>
  <c r="O128" i="9"/>
  <c r="AE128" i="9" s="1"/>
  <c r="O109" i="9"/>
  <c r="AE109" i="9" s="1"/>
  <c r="O106" i="9"/>
  <c r="AE106" i="9" s="1"/>
  <c r="O103" i="9"/>
  <c r="AE103" i="9" s="1"/>
  <c r="O101" i="9"/>
  <c r="AE101" i="9" s="1"/>
  <c r="O89" i="9"/>
  <c r="AE89" i="9" s="1"/>
  <c r="O83" i="9"/>
  <c r="AE83" i="9" s="1"/>
  <c r="O78" i="9"/>
  <c r="AE78" i="9" s="1"/>
  <c r="O77" i="9"/>
  <c r="AE77" i="9" s="1"/>
  <c r="O76" i="9"/>
  <c r="AE76" i="9" s="1"/>
  <c r="O71" i="9"/>
  <c r="AE71" i="9" s="1"/>
  <c r="O60" i="9"/>
  <c r="AE60" i="9" s="1"/>
  <c r="BA25" i="11"/>
  <c r="BC25" i="11"/>
  <c r="BB25" i="11"/>
  <c r="D205" i="8"/>
  <c r="J205" i="8" s="1"/>
  <c r="D150" i="8"/>
  <c r="D148" i="8"/>
  <c r="Y1176" i="9" l="1"/>
  <c r="Y1190" i="9"/>
  <c r="Y1480" i="9"/>
  <c r="Y1575" i="9"/>
  <c r="Y1576" i="9"/>
  <c r="Y1571" i="9"/>
  <c r="J286" i="8"/>
  <c r="D93" i="3" a="1"/>
  <c r="D93" i="3" s="1"/>
  <c r="D97" i="3" a="1"/>
  <c r="D97" i="3" s="1"/>
  <c r="Y1482" i="9"/>
  <c r="Y1537" i="9"/>
  <c r="Y1532" i="9"/>
  <c r="Y1533" i="9"/>
  <c r="Y1574" i="9"/>
  <c r="Y1538" i="9"/>
  <c r="Y1450" i="9"/>
  <c r="Y1534" i="9"/>
  <c r="Y1455" i="9"/>
  <c r="Y1541" i="9"/>
  <c r="Y1491" i="9"/>
  <c r="Y1535" i="9"/>
  <c r="Y1598" i="9"/>
  <c r="Y1500" i="9"/>
  <c r="Y1530" i="9"/>
  <c r="Y1502" i="9"/>
  <c r="Y1185" i="9"/>
  <c r="Y1518" i="9"/>
  <c r="T309" i="9"/>
  <c r="Y309" i="9" s="1"/>
  <c r="T237" i="9"/>
  <c r="Y237" i="9" s="1"/>
  <c r="Y1557" i="9"/>
  <c r="Y1589" i="9"/>
  <c r="Y1570" i="9"/>
  <c r="Y1597" i="9"/>
  <c r="Y1198" i="9"/>
  <c r="Y1275" i="9"/>
  <c r="Y1232" i="9"/>
  <c r="Y1237" i="9"/>
  <c r="Y1468" i="9"/>
  <c r="Y1540" i="9"/>
  <c r="Y1522" i="9"/>
  <c r="Y1519" i="9"/>
  <c r="Y1521" i="9"/>
  <c r="Y1587" i="9"/>
  <c r="Y1602" i="9"/>
  <c r="Y1265" i="9"/>
  <c r="Y1245" i="9"/>
  <c r="Y1469" i="9"/>
  <c r="Y1456" i="9"/>
  <c r="Y1556" i="9"/>
  <c r="Y1490" i="9"/>
  <c r="Y1569" i="9"/>
  <c r="Y1255" i="9"/>
  <c r="Y1454" i="9"/>
  <c r="Y1474" i="9"/>
  <c r="Y1452" i="9"/>
  <c r="T255" i="9"/>
  <c r="Y255" i="9" s="1"/>
  <c r="Y1447" i="9"/>
  <c r="T307" i="9"/>
  <c r="Y307" i="9" s="1"/>
  <c r="T140" i="9"/>
  <c r="Y140" i="9" s="1"/>
  <c r="Y1495" i="9"/>
  <c r="T308" i="9"/>
  <c r="Y308" i="9" s="1"/>
  <c r="T234" i="9"/>
  <c r="Y234" i="9" s="1"/>
  <c r="T78" i="9"/>
  <c r="Y78" i="9" s="1"/>
  <c r="T306" i="9"/>
  <c r="Y306" i="9" s="1"/>
  <c r="T279" i="9"/>
  <c r="Y279" i="9" s="1"/>
  <c r="T160" i="9"/>
  <c r="Y160" i="9" s="1"/>
  <c r="T274" i="9"/>
  <c r="Y274" i="9" s="1"/>
  <c r="Y1595" i="9"/>
  <c r="Y1573" i="9"/>
  <c r="Y1453" i="9"/>
  <c r="Y1208" i="9"/>
  <c r="Y1203" i="9"/>
  <c r="Y1483" i="9"/>
  <c r="T324" i="9"/>
  <c r="Y324" i="9" s="1"/>
  <c r="T323" i="9"/>
  <c r="Y323" i="9" s="1"/>
  <c r="T277" i="9"/>
  <c r="Y277" i="9" s="1"/>
  <c r="T200" i="9"/>
  <c r="Y200" i="9" s="1"/>
  <c r="Y1477" i="9"/>
  <c r="Y1529" i="9"/>
  <c r="Y1496" i="9"/>
  <c r="Y1585" i="9"/>
  <c r="T615" i="9"/>
  <c r="T698" i="9"/>
  <c r="Y1539" i="9"/>
  <c r="Y1501" i="9"/>
  <c r="Y1494" i="9"/>
  <c r="T793" i="9"/>
  <c r="Y1444" i="9"/>
  <c r="Y1566" i="9"/>
  <c r="Y1499" i="9"/>
  <c r="Y1497" i="9"/>
  <c r="Y1288" i="9"/>
  <c r="Y1261" i="9"/>
  <c r="Y1250" i="9"/>
  <c r="Y1451" i="9"/>
  <c r="Y1564" i="9"/>
  <c r="Y1590" i="9"/>
  <c r="Y1588" i="9"/>
  <c r="Y1283" i="9"/>
  <c r="Y1473" i="9"/>
  <c r="Y1551" i="9"/>
  <c r="Y1586" i="9"/>
  <c r="Y1593" i="9"/>
  <c r="Y1568" i="9"/>
  <c r="Y1223" i="9"/>
  <c r="Y1487" i="9"/>
  <c r="Y1470" i="9"/>
  <c r="Y1448" i="9"/>
  <c r="Y1445" i="9"/>
  <c r="Y1536" i="9"/>
  <c r="Y1520" i="9"/>
  <c r="Y1591" i="9"/>
  <c r="Y1489" i="9"/>
  <c r="Y1471" i="9"/>
  <c r="Y1449" i="9"/>
  <c r="Y1562" i="9"/>
  <c r="Y1524" i="9"/>
  <c r="Y1503" i="9"/>
  <c r="Y1592" i="9"/>
  <c r="Y1604" i="9"/>
  <c r="T616" i="9"/>
  <c r="T739" i="9"/>
  <c r="T862" i="9"/>
  <c r="T613" i="9"/>
  <c r="T655" i="9"/>
  <c r="T704" i="9"/>
  <c r="T700" i="9"/>
  <c r="T812" i="9"/>
  <c r="T736" i="9"/>
  <c r="T847" i="9"/>
  <c r="T652" i="9"/>
  <c r="T699" i="9"/>
  <c r="T813" i="9"/>
  <c r="T742" i="9"/>
  <c r="Y1559" i="9"/>
  <c r="T816" i="9"/>
  <c r="T619" i="9"/>
  <c r="Y1270" i="9"/>
  <c r="Y1279" i="9"/>
  <c r="Y1293" i="9"/>
  <c r="Y1194" i="9"/>
  <c r="T773" i="9"/>
  <c r="T735" i="9"/>
  <c r="T654" i="9"/>
  <c r="T678" i="9"/>
  <c r="Y1227" i="9"/>
  <c r="T774" i="9"/>
  <c r="Y1481" i="9"/>
  <c r="Y1561" i="9"/>
  <c r="Y1528" i="9"/>
  <c r="Y1516" i="9"/>
  <c r="T792" i="9"/>
  <c r="T737" i="9"/>
  <c r="T656" i="9"/>
  <c r="Y1241" i="9"/>
  <c r="Y1498" i="9"/>
  <c r="Y1479" i="9"/>
  <c r="Y1552" i="9"/>
  <c r="Y1601" i="9"/>
  <c r="Y1558" i="9"/>
  <c r="Y1553" i="9"/>
  <c r="Y1554" i="9"/>
  <c r="Y1467" i="9"/>
  <c r="Y1531" i="9"/>
  <c r="Y1526" i="9"/>
  <c r="T614" i="9"/>
  <c r="T618" i="9"/>
  <c r="T651" i="9"/>
  <c r="T650" i="9"/>
  <c r="T653" i="9"/>
  <c r="T703" i="9"/>
  <c r="T702" i="9"/>
  <c r="T740" i="9"/>
  <c r="T772" i="9"/>
  <c r="T771" i="9"/>
  <c r="T818" i="9"/>
  <c r="T819" i="9"/>
  <c r="T815" i="9"/>
  <c r="T844" i="9"/>
  <c r="T612" i="9"/>
  <c r="T617" i="9"/>
  <c r="T657" i="9"/>
  <c r="T677" i="9"/>
  <c r="T701" i="9"/>
  <c r="T697" i="9"/>
  <c r="T738" i="9"/>
  <c r="T770" i="9"/>
  <c r="T741" i="9"/>
  <c r="T817" i="9"/>
  <c r="T814" i="9"/>
  <c r="T775" i="9"/>
  <c r="T846" i="9"/>
  <c r="T861" i="9"/>
  <c r="Y1180" i="9"/>
  <c r="Y1472" i="9"/>
  <c r="Y1555" i="9"/>
  <c r="Y1517" i="9"/>
  <c r="Y1603" i="9"/>
  <c r="W900" i="9"/>
  <c r="Y900" i="9" s="1"/>
  <c r="AC900" i="9" s="1"/>
  <c r="X1014" i="9"/>
  <c r="Y1014" i="9" s="1"/>
  <c r="AC1014" i="9" s="1"/>
  <c r="X1009" i="9"/>
  <c r="Y1009" i="9" s="1"/>
  <c r="AC1009" i="9" s="1"/>
  <c r="X1016" i="9"/>
  <c r="Y1016" i="9" s="1"/>
  <c r="AC1016" i="9" s="1"/>
  <c r="X1002" i="9"/>
  <c r="Y1002" i="9" s="1"/>
  <c r="AC1002" i="9" s="1"/>
  <c r="X1023" i="9"/>
  <c r="Y1023" i="9" s="1"/>
  <c r="AC1023" i="9" s="1"/>
  <c r="X1012" i="9"/>
  <c r="Y1012" i="9" s="1"/>
  <c r="AC1012" i="9" s="1"/>
  <c r="X992" i="9"/>
  <c r="Y992" i="9" s="1"/>
  <c r="AC992" i="9" s="1"/>
  <c r="X1025" i="9"/>
  <c r="Y1025" i="9" s="1"/>
  <c r="AC1025" i="9" s="1"/>
  <c r="X1010" i="9"/>
  <c r="Y1010" i="9" s="1"/>
  <c r="AC1010" i="9" s="1"/>
  <c r="X1000" i="9"/>
  <c r="Y1000" i="9" s="1"/>
  <c r="AC1000" i="9" s="1"/>
  <c r="X1026" i="9"/>
  <c r="Y1026" i="9" s="1"/>
  <c r="AC1026" i="9" s="1"/>
  <c r="X1008" i="9"/>
  <c r="Y1008" i="9" s="1"/>
  <c r="AC1008" i="9" s="1"/>
  <c r="X1018" i="9"/>
  <c r="Y1018" i="9" s="1"/>
  <c r="AC1018" i="9" s="1"/>
  <c r="X1027" i="9"/>
  <c r="Y1027" i="9" s="1"/>
  <c r="AC1027" i="9" s="1"/>
  <c r="X997" i="9"/>
  <c r="Y997" i="9" s="1"/>
  <c r="AC997" i="9" s="1"/>
  <c r="X990" i="9"/>
  <c r="Y990" i="9" s="1"/>
  <c r="AC990" i="9" s="1"/>
  <c r="X1006" i="9"/>
  <c r="Y1006" i="9" s="1"/>
  <c r="AC1006" i="9" s="1"/>
  <c r="X1021" i="9"/>
  <c r="Y1021" i="9" s="1"/>
  <c r="AC1021" i="9" s="1"/>
  <c r="X993" i="9"/>
  <c r="Y993" i="9" s="1"/>
  <c r="AC993" i="9" s="1"/>
  <c r="X1005" i="9"/>
  <c r="Y1005" i="9" s="1"/>
  <c r="AC1005" i="9" s="1"/>
  <c r="X994" i="9"/>
  <c r="Y994" i="9" s="1"/>
  <c r="AC994" i="9" s="1"/>
  <c r="X995" i="9"/>
  <c r="Y995" i="9" s="1"/>
  <c r="AC995" i="9" s="1"/>
  <c r="X1015" i="9"/>
  <c r="Y1015" i="9" s="1"/>
  <c r="AC1015" i="9" s="1"/>
  <c r="X1003" i="9"/>
  <c r="Y1003" i="9" s="1"/>
  <c r="AC1003" i="9" s="1"/>
  <c r="X1022" i="9"/>
  <c r="Y1022" i="9" s="1"/>
  <c r="AC1022" i="9" s="1"/>
  <c r="X1020" i="9"/>
  <c r="Y1020" i="9" s="1"/>
  <c r="AC1020" i="9" s="1"/>
  <c r="X999" i="9"/>
  <c r="Y999" i="9" s="1"/>
  <c r="AC999" i="9" s="1"/>
  <c r="X946" i="9"/>
  <c r="Y946" i="9" s="1"/>
  <c r="AC946" i="9" s="1"/>
  <c r="X944" i="9"/>
  <c r="Y944" i="9" s="1"/>
  <c r="AC944" i="9" s="1"/>
  <c r="X943" i="9"/>
  <c r="Y943" i="9" s="1"/>
  <c r="AC943" i="9" s="1"/>
  <c r="X951" i="9"/>
  <c r="Y951" i="9" s="1"/>
  <c r="AC951" i="9" s="1"/>
  <c r="X950" i="9"/>
  <c r="Y950" i="9" s="1"/>
  <c r="AC950" i="9" s="1"/>
  <c r="X948" i="9"/>
  <c r="Y948" i="9" s="1"/>
  <c r="AC948" i="9" s="1"/>
  <c r="X1013" i="9"/>
  <c r="Y1013" i="9" s="1"/>
  <c r="AC1013" i="9" s="1"/>
  <c r="X1017" i="9"/>
  <c r="Y1017" i="9" s="1"/>
  <c r="AC1017" i="9" s="1"/>
  <c r="X945" i="9"/>
  <c r="Y945" i="9" s="1"/>
  <c r="AC945" i="9" s="1"/>
  <c r="X1001" i="9"/>
  <c r="Y1001" i="9" s="1"/>
  <c r="AC1001" i="9" s="1"/>
  <c r="X998" i="9"/>
  <c r="Y998" i="9" s="1"/>
  <c r="AC998" i="9" s="1"/>
  <c r="X1024" i="9"/>
  <c r="Y1024" i="9" s="1"/>
  <c r="AC1024" i="9" s="1"/>
  <c r="X1011" i="9"/>
  <c r="Y1011" i="9" s="1"/>
  <c r="AC1011" i="9" s="1"/>
  <c r="X949" i="9"/>
  <c r="Y949" i="9" s="1"/>
  <c r="AC949" i="9" s="1"/>
  <c r="X996" i="9"/>
  <c r="Y996" i="9" s="1"/>
  <c r="AC996" i="9" s="1"/>
  <c r="X1004" i="9"/>
  <c r="Y1004" i="9" s="1"/>
  <c r="AC1004" i="9" s="1"/>
  <c r="X991" i="9"/>
  <c r="Y991" i="9" s="1"/>
  <c r="AC991" i="9" s="1"/>
  <c r="X1019" i="9"/>
  <c r="Y1019" i="9" s="1"/>
  <c r="AC1019" i="9" s="1"/>
  <c r="T80" i="9"/>
  <c r="Y80" i="9" s="1"/>
  <c r="T81" i="9"/>
  <c r="Y81" i="9" s="1"/>
  <c r="T113" i="9"/>
  <c r="Y113" i="9" s="1"/>
  <c r="T116" i="9"/>
  <c r="Y116" i="9" s="1"/>
  <c r="T139" i="9"/>
  <c r="Y139" i="9" s="1"/>
  <c r="T198" i="9"/>
  <c r="Y198" i="9" s="1"/>
  <c r="T163" i="9"/>
  <c r="Y163" i="9" s="1"/>
  <c r="T162" i="9"/>
  <c r="Y162" i="9" s="1"/>
  <c r="T197" i="9"/>
  <c r="Y197" i="9" s="1"/>
  <c r="T236" i="9"/>
  <c r="Y236" i="9" s="1"/>
  <c r="T235" i="9"/>
  <c r="Y235" i="9" s="1"/>
  <c r="T275" i="9"/>
  <c r="Y275" i="9" s="1"/>
  <c r="T280" i="9"/>
  <c r="Y280" i="9" s="1"/>
  <c r="T74" i="9"/>
  <c r="Y74" i="9" s="1"/>
  <c r="T114" i="9"/>
  <c r="Y114" i="9" s="1"/>
  <c r="T119" i="9"/>
  <c r="Y119" i="9" s="1"/>
  <c r="T115" i="9"/>
  <c r="Y115" i="9" s="1"/>
  <c r="T161" i="9"/>
  <c r="Y161" i="9" s="1"/>
  <c r="T199" i="9"/>
  <c r="Y199" i="9" s="1"/>
  <c r="T117" i="9"/>
  <c r="Y117" i="9" s="1"/>
  <c r="T165" i="9"/>
  <c r="Y165" i="9" s="1"/>
  <c r="T166" i="9"/>
  <c r="Y166" i="9" s="1"/>
  <c r="T201" i="9"/>
  <c r="Y201" i="9" s="1"/>
  <c r="T202" i="9"/>
  <c r="Y202" i="9" s="1"/>
  <c r="T164" i="9"/>
  <c r="Y164" i="9" s="1"/>
  <c r="T159" i="9"/>
  <c r="Y159" i="9" s="1"/>
  <c r="T233" i="9"/>
  <c r="Y233" i="9" s="1"/>
  <c r="T276" i="9"/>
  <c r="Y276" i="9" s="1"/>
  <c r="T77" i="9"/>
  <c r="Y77" i="9" s="1"/>
  <c r="T75" i="9"/>
  <c r="Y75" i="9" s="1"/>
  <c r="T118" i="9"/>
  <c r="Y118" i="9" s="1"/>
  <c r="T203" i="9"/>
  <c r="Y203" i="9" s="1"/>
  <c r="T204" i="9"/>
  <c r="Y204" i="9" s="1"/>
  <c r="T112" i="9"/>
  <c r="Y112" i="9" s="1"/>
  <c r="T232" i="9"/>
  <c r="Y232" i="9" s="1"/>
  <c r="T254" i="9"/>
  <c r="Y254" i="9" s="1"/>
  <c r="T278" i="9"/>
  <c r="Y278" i="9" s="1"/>
  <c r="T281" i="9"/>
  <c r="Y281" i="9" s="1"/>
  <c r="T285" i="9"/>
  <c r="Y285" i="9" s="1"/>
  <c r="T84" i="9"/>
  <c r="Y84" i="9" s="1"/>
  <c r="T282" i="9"/>
  <c r="Y282" i="9" s="1"/>
  <c r="T120" i="9"/>
  <c r="Y120" i="9" s="1"/>
  <c r="T123" i="9"/>
  <c r="Y123" i="9" s="1"/>
  <c r="T121" i="9"/>
  <c r="Y121" i="9" s="1"/>
  <c r="T205" i="9"/>
  <c r="Y205" i="9" s="1"/>
  <c r="T83" i="9"/>
  <c r="Y83" i="9" s="1"/>
  <c r="T122" i="9"/>
  <c r="Y122" i="9" s="1"/>
  <c r="T169" i="9"/>
  <c r="Y169" i="9" s="1"/>
  <c r="T141" i="9"/>
  <c r="Y141" i="9" s="1"/>
  <c r="T168" i="9"/>
  <c r="Y168" i="9" s="1"/>
  <c r="T325" i="9"/>
  <c r="Y325" i="9" s="1"/>
  <c r="T170" i="9"/>
  <c r="Y170" i="9" s="1"/>
  <c r="T167" i="9"/>
  <c r="Y167" i="9" s="1"/>
  <c r="T310" i="9"/>
  <c r="Y310" i="9" s="1"/>
  <c r="T240" i="9"/>
  <c r="Y240" i="9" s="1"/>
  <c r="T239" i="9"/>
  <c r="Y239" i="9" s="1"/>
  <c r="T284" i="9"/>
  <c r="Y284" i="9" s="1"/>
  <c r="T206" i="9"/>
  <c r="Y206" i="9" s="1"/>
  <c r="T311" i="9"/>
  <c r="Y311" i="9" s="1"/>
  <c r="T207" i="9"/>
  <c r="Y207" i="9" s="1"/>
  <c r="T256" i="9"/>
  <c r="Y256" i="9" s="1"/>
  <c r="T82" i="9"/>
  <c r="Y82" i="9" s="1"/>
  <c r="T85" i="9"/>
  <c r="Y85" i="9" s="1"/>
  <c r="T238" i="9"/>
  <c r="Y238" i="9" s="1"/>
  <c r="T283" i="9"/>
  <c r="Y283" i="9" s="1"/>
  <c r="T208" i="9"/>
  <c r="Y208" i="9" s="1"/>
  <c r="W1124" i="9"/>
  <c r="Y1124" i="9" s="1"/>
  <c r="AC1124" i="9" s="1"/>
  <c r="W1115" i="9"/>
  <c r="Y1115" i="9" s="1"/>
  <c r="AC1115" i="9" s="1"/>
  <c r="W1109" i="9"/>
  <c r="Y1109" i="9" s="1"/>
  <c r="AC1109" i="9" s="1"/>
  <c r="W1112" i="9"/>
  <c r="Y1112" i="9" s="1"/>
  <c r="AC1112" i="9" s="1"/>
  <c r="W1123" i="9"/>
  <c r="Y1123" i="9" s="1"/>
  <c r="AC1123" i="9" s="1"/>
  <c r="W1120" i="9"/>
  <c r="Y1120" i="9" s="1"/>
  <c r="AC1120" i="9" s="1"/>
  <c r="W1105" i="9"/>
  <c r="Y1105" i="9" s="1"/>
  <c r="AC1105" i="9" s="1"/>
  <c r="W1122" i="9"/>
  <c r="Y1122" i="9" s="1"/>
  <c r="AC1122" i="9" s="1"/>
  <c r="W1119" i="9"/>
  <c r="Y1119" i="9" s="1"/>
  <c r="AC1119" i="9" s="1"/>
  <c r="W1107" i="9"/>
  <c r="Y1107" i="9" s="1"/>
  <c r="AC1107" i="9" s="1"/>
  <c r="W1108" i="9"/>
  <c r="Y1108" i="9" s="1"/>
  <c r="AC1108" i="9" s="1"/>
  <c r="W1125" i="9"/>
  <c r="Y1125" i="9" s="1"/>
  <c r="AC1125" i="9" s="1"/>
  <c r="W1121" i="9"/>
  <c r="Y1121" i="9" s="1"/>
  <c r="AC1121" i="9" s="1"/>
  <c r="W1113" i="9"/>
  <c r="Y1113" i="9" s="1"/>
  <c r="AC1113" i="9" s="1"/>
  <c r="W1116" i="9"/>
  <c r="Y1116" i="9" s="1"/>
  <c r="AC1116" i="9" s="1"/>
  <c r="W1114" i="9"/>
  <c r="Y1114" i="9" s="1"/>
  <c r="AC1114" i="9" s="1"/>
  <c r="W1110" i="9"/>
  <c r="Y1110" i="9" s="1"/>
  <c r="AC1110" i="9" s="1"/>
  <c r="W1126" i="9"/>
  <c r="Y1126" i="9" s="1"/>
  <c r="AC1126" i="9" s="1"/>
  <c r="W1111" i="9"/>
  <c r="Y1111" i="9" s="1"/>
  <c r="AC1111" i="9" s="1"/>
  <c r="W1117" i="9"/>
  <c r="Y1117" i="9" s="1"/>
  <c r="AC1117" i="9" s="1"/>
  <c r="W1118" i="9"/>
  <c r="Y1118" i="9" s="1"/>
  <c r="AC1118" i="9" s="1"/>
  <c r="W1106" i="9"/>
  <c r="Y1106" i="9" s="1"/>
  <c r="AC1106" i="9" s="1"/>
  <c r="Y1584" i="9"/>
  <c r="X1058" i="9"/>
  <c r="Y1058" i="9" s="1"/>
  <c r="AC1058" i="9" s="1"/>
  <c r="W890" i="9"/>
  <c r="Y890" i="9" s="1"/>
  <c r="AC890" i="9" s="1"/>
  <c r="W874" i="9"/>
  <c r="Y874" i="9" s="1"/>
  <c r="AC874" i="9" s="1"/>
  <c r="W901" i="9"/>
  <c r="Y901" i="9" s="1"/>
  <c r="AC901" i="9" s="1"/>
  <c r="X906" i="9"/>
  <c r="Y906" i="9" s="1"/>
  <c r="AC906" i="9" s="1"/>
  <c r="W1134" i="9"/>
  <c r="Y1134" i="9" s="1"/>
  <c r="AC1134" i="9" s="1"/>
  <c r="W1133" i="9"/>
  <c r="Y1133" i="9" s="1"/>
  <c r="AC1133" i="9" s="1"/>
  <c r="W1128" i="9"/>
  <c r="Y1128" i="9" s="1"/>
  <c r="AC1128" i="9" s="1"/>
  <c r="W1127" i="9"/>
  <c r="Y1127" i="9" s="1"/>
  <c r="AC1127" i="9" s="1"/>
  <c r="W1131" i="9"/>
  <c r="Y1131" i="9" s="1"/>
  <c r="AC1131" i="9" s="1"/>
  <c r="W1130" i="9"/>
  <c r="Y1130" i="9" s="1"/>
  <c r="AC1130" i="9" s="1"/>
  <c r="W1135" i="9"/>
  <c r="Y1135" i="9" s="1"/>
  <c r="AC1135" i="9" s="1"/>
  <c r="W1132" i="9"/>
  <c r="Y1132" i="9" s="1"/>
  <c r="AC1132" i="9" s="1"/>
  <c r="W1129" i="9"/>
  <c r="Y1129" i="9" s="1"/>
  <c r="AC1129" i="9" s="1"/>
  <c r="X1054" i="9"/>
  <c r="Y1054" i="9" s="1"/>
  <c r="AC1054" i="9" s="1"/>
  <c r="X1029" i="9"/>
  <c r="Y1029" i="9" s="1"/>
  <c r="AC1029" i="9" s="1"/>
  <c r="X1041" i="9"/>
  <c r="Y1041" i="9" s="1"/>
  <c r="AC1041" i="9" s="1"/>
  <c r="X1048" i="9"/>
  <c r="Y1048" i="9" s="1"/>
  <c r="AC1048" i="9" s="1"/>
  <c r="X1045" i="9"/>
  <c r="Y1045" i="9" s="1"/>
  <c r="AC1045" i="9" s="1"/>
  <c r="X1051" i="9"/>
  <c r="Y1051" i="9" s="1"/>
  <c r="AC1051" i="9" s="1"/>
  <c r="X1039" i="9"/>
  <c r="Y1039" i="9" s="1"/>
  <c r="AC1039" i="9" s="1"/>
  <c r="X1046" i="9"/>
  <c r="Y1046" i="9" s="1"/>
  <c r="AC1046" i="9" s="1"/>
  <c r="X1034" i="9"/>
  <c r="Y1034" i="9" s="1"/>
  <c r="AC1034" i="9" s="1"/>
  <c r="X1055" i="9"/>
  <c r="Y1055" i="9" s="1"/>
  <c r="AC1055" i="9" s="1"/>
  <c r="X1035" i="9"/>
  <c r="Y1035" i="9" s="1"/>
  <c r="AC1035" i="9" s="1"/>
  <c r="X1036" i="9"/>
  <c r="Y1036" i="9" s="1"/>
  <c r="AC1036" i="9" s="1"/>
  <c r="X1049" i="9"/>
  <c r="Y1049" i="9" s="1"/>
  <c r="AC1049" i="9" s="1"/>
  <c r="X1042" i="9"/>
  <c r="Y1042" i="9" s="1"/>
  <c r="AC1042" i="9" s="1"/>
  <c r="X1053" i="9"/>
  <c r="Y1053" i="9" s="1"/>
  <c r="AC1053" i="9" s="1"/>
  <c r="X1038" i="9"/>
  <c r="Y1038" i="9" s="1"/>
  <c r="AC1038" i="9" s="1"/>
  <c r="X1050" i="9"/>
  <c r="Y1050" i="9" s="1"/>
  <c r="AC1050" i="9" s="1"/>
  <c r="X1056" i="9"/>
  <c r="Y1056" i="9" s="1"/>
  <c r="AC1056" i="9" s="1"/>
  <c r="X1043" i="9"/>
  <c r="Y1043" i="9" s="1"/>
  <c r="AC1043" i="9" s="1"/>
  <c r="X1031" i="9"/>
  <c r="Y1031" i="9" s="1"/>
  <c r="AC1031" i="9" s="1"/>
  <c r="X1030" i="9"/>
  <c r="Y1030" i="9" s="1"/>
  <c r="AC1030" i="9" s="1"/>
  <c r="X1047" i="9"/>
  <c r="Y1047" i="9" s="1"/>
  <c r="AC1047" i="9" s="1"/>
  <c r="X1028" i="9"/>
  <c r="Y1028" i="9" s="1"/>
  <c r="AC1028" i="9" s="1"/>
  <c r="X1037" i="9"/>
  <c r="Y1037" i="9" s="1"/>
  <c r="AC1037" i="9" s="1"/>
  <c r="X1057" i="9"/>
  <c r="Y1057" i="9" s="1"/>
  <c r="AC1057" i="9" s="1"/>
  <c r="X1040" i="9"/>
  <c r="Y1040" i="9" s="1"/>
  <c r="AC1040" i="9" s="1"/>
  <c r="X1033" i="9"/>
  <c r="Y1033" i="9" s="1"/>
  <c r="AC1033" i="9" s="1"/>
  <c r="X1052" i="9"/>
  <c r="Y1052" i="9" s="1"/>
  <c r="AC1052" i="9" s="1"/>
  <c r="X1044" i="9"/>
  <c r="Y1044" i="9" s="1"/>
  <c r="AC1044" i="9" s="1"/>
  <c r="X1032" i="9"/>
  <c r="Y1032" i="9" s="1"/>
  <c r="AC1032" i="9" s="1"/>
  <c r="W891" i="9"/>
  <c r="Y891" i="9" s="1"/>
  <c r="AC891" i="9" s="1"/>
  <c r="W894" i="9"/>
  <c r="Y894" i="9" s="1"/>
  <c r="AC894" i="9" s="1"/>
  <c r="W885" i="9"/>
  <c r="Y885" i="9" s="1"/>
  <c r="AC885" i="9" s="1"/>
  <c r="W889" i="9"/>
  <c r="Y889" i="9" s="1"/>
  <c r="AC889" i="9" s="1"/>
  <c r="W893" i="9"/>
  <c r="Y893" i="9" s="1"/>
  <c r="AC893" i="9" s="1"/>
  <c r="W904" i="9"/>
  <c r="Y904" i="9" s="1"/>
  <c r="AC904" i="9" s="1"/>
  <c r="W892" i="9"/>
  <c r="Y892" i="9" s="1"/>
  <c r="AC892" i="9" s="1"/>
  <c r="W887" i="9"/>
  <c r="Y887" i="9" s="1"/>
  <c r="AC887" i="9" s="1"/>
  <c r="W882" i="9"/>
  <c r="Y882" i="9" s="1"/>
  <c r="AC882" i="9" s="1"/>
  <c r="W868" i="9"/>
  <c r="Y868" i="9" s="1"/>
  <c r="AC868" i="9" s="1"/>
  <c r="W903" i="9"/>
  <c r="Y903" i="9" s="1"/>
  <c r="AC903" i="9" s="1"/>
  <c r="W867" i="9"/>
  <c r="Y867" i="9" s="1"/>
  <c r="AC867" i="9" s="1"/>
  <c r="W870" i="9"/>
  <c r="Y870" i="9" s="1"/>
  <c r="AC870" i="9" s="1"/>
  <c r="W898" i="9"/>
  <c r="Y898" i="9" s="1"/>
  <c r="AC898" i="9" s="1"/>
  <c r="W878" i="9"/>
  <c r="Y878" i="9" s="1"/>
  <c r="AC878" i="9" s="1"/>
  <c r="X923" i="9"/>
  <c r="Y923" i="9" s="1"/>
  <c r="AC923" i="9" s="1"/>
  <c r="X942" i="9"/>
  <c r="Y942" i="9" s="1"/>
  <c r="AC942" i="9" s="1"/>
  <c r="X916" i="9"/>
  <c r="Y916" i="9" s="1"/>
  <c r="AC916" i="9" s="1"/>
  <c r="X921" i="9"/>
  <c r="Y921" i="9" s="1"/>
  <c r="AC921" i="9" s="1"/>
  <c r="W895" i="9"/>
  <c r="Y895" i="9" s="1"/>
  <c r="AC895" i="9" s="1"/>
  <c r="W873" i="9"/>
  <c r="Y873" i="9" s="1"/>
  <c r="AC873" i="9" s="1"/>
  <c r="W902" i="9"/>
  <c r="Y902" i="9" s="1"/>
  <c r="AC902" i="9" s="1"/>
  <c r="X940" i="9"/>
  <c r="Y940" i="9" s="1"/>
  <c r="AC940" i="9" s="1"/>
  <c r="X917" i="9"/>
  <c r="Y917" i="9" s="1"/>
  <c r="AC917" i="9" s="1"/>
  <c r="X913" i="9"/>
  <c r="Y913" i="9" s="1"/>
  <c r="AC913" i="9" s="1"/>
  <c r="W875" i="9"/>
  <c r="Y875" i="9" s="1"/>
  <c r="AC875" i="9" s="1"/>
  <c r="W877" i="9"/>
  <c r="Y877" i="9" s="1"/>
  <c r="AC877" i="9" s="1"/>
  <c r="W896" i="9"/>
  <c r="Y896" i="9" s="1"/>
  <c r="AC896" i="9" s="1"/>
  <c r="W872" i="9"/>
  <c r="Y872" i="9" s="1"/>
  <c r="AC872" i="9" s="1"/>
  <c r="W883" i="9"/>
  <c r="Y883" i="9" s="1"/>
  <c r="AC883" i="9" s="1"/>
  <c r="W871" i="9"/>
  <c r="Y871" i="9" s="1"/>
  <c r="AC871" i="9" s="1"/>
  <c r="W899" i="9"/>
  <c r="Y899" i="9" s="1"/>
  <c r="AC899" i="9" s="1"/>
  <c r="W888" i="9"/>
  <c r="Y888" i="9" s="1"/>
  <c r="AC888" i="9" s="1"/>
  <c r="W876" i="9"/>
  <c r="Y876" i="9" s="1"/>
  <c r="AC876" i="9" s="1"/>
  <c r="W880" i="9"/>
  <c r="Y880" i="9" s="1"/>
  <c r="AC880" i="9" s="1"/>
  <c r="W869" i="9"/>
  <c r="Y869" i="9" s="1"/>
  <c r="AC869" i="9" s="1"/>
  <c r="W879" i="9"/>
  <c r="Y879" i="9" s="1"/>
  <c r="AC879" i="9" s="1"/>
  <c r="W881" i="9"/>
  <c r="Y881" i="9" s="1"/>
  <c r="AC881" i="9" s="1"/>
  <c r="W884" i="9"/>
  <c r="Y884" i="9" s="1"/>
  <c r="AC884" i="9" s="1"/>
  <c r="W897" i="9"/>
  <c r="Y897" i="9" s="1"/>
  <c r="AC897" i="9" s="1"/>
  <c r="X1061" i="9"/>
  <c r="Y1061" i="9" s="1"/>
  <c r="AC1061" i="9" s="1"/>
  <c r="X1066" i="9"/>
  <c r="Y1066" i="9" s="1"/>
  <c r="AC1066" i="9" s="1"/>
  <c r="X1062" i="9"/>
  <c r="Y1062" i="9" s="1"/>
  <c r="AC1062" i="9" s="1"/>
  <c r="X1059" i="9"/>
  <c r="Y1059" i="9" s="1"/>
  <c r="AC1059" i="9" s="1"/>
  <c r="X1065" i="9"/>
  <c r="Y1065" i="9" s="1"/>
  <c r="AC1065" i="9" s="1"/>
  <c r="X1060" i="9"/>
  <c r="Y1060" i="9" s="1"/>
  <c r="AC1060" i="9" s="1"/>
  <c r="X1064" i="9"/>
  <c r="Y1064" i="9" s="1"/>
  <c r="AC1064" i="9" s="1"/>
  <c r="X1063" i="9"/>
  <c r="Y1063" i="9" s="1"/>
  <c r="AC1063" i="9" s="1"/>
  <c r="X930" i="9"/>
  <c r="Y930" i="9" s="1"/>
  <c r="AC930" i="9" s="1"/>
  <c r="X920" i="9"/>
  <c r="Y920" i="9" s="1"/>
  <c r="AC920" i="9" s="1"/>
  <c r="X926" i="9"/>
  <c r="Y926" i="9" s="1"/>
  <c r="AC926" i="9" s="1"/>
  <c r="X927" i="9"/>
  <c r="Y927" i="9" s="1"/>
  <c r="AC927" i="9" s="1"/>
  <c r="X935" i="9"/>
  <c r="Y935" i="9" s="1"/>
  <c r="AC935" i="9" s="1"/>
  <c r="X929" i="9"/>
  <c r="Y929" i="9" s="1"/>
  <c r="AC929" i="9" s="1"/>
  <c r="X914" i="9"/>
  <c r="Y914" i="9" s="1"/>
  <c r="AC914" i="9" s="1"/>
  <c r="X910" i="9"/>
  <c r="Y910" i="9" s="1"/>
  <c r="AC910" i="9" s="1"/>
  <c r="X941" i="9"/>
  <c r="Y941" i="9" s="1"/>
  <c r="AC941" i="9" s="1"/>
  <c r="X931" i="9"/>
  <c r="Y931" i="9" s="1"/>
  <c r="AC931" i="9" s="1"/>
  <c r="X908" i="9"/>
  <c r="Y908" i="9" s="1"/>
  <c r="AC908" i="9" s="1"/>
  <c r="X928" i="9"/>
  <c r="Y928" i="9" s="1"/>
  <c r="AC928" i="9" s="1"/>
  <c r="X936" i="9"/>
  <c r="Y936" i="9" s="1"/>
  <c r="AC936" i="9" s="1"/>
  <c r="X915" i="9"/>
  <c r="Y915" i="9" s="1"/>
  <c r="AC915" i="9" s="1"/>
  <c r="X925" i="9"/>
  <c r="Y925" i="9" s="1"/>
  <c r="AC925" i="9" s="1"/>
  <c r="X919" i="9"/>
  <c r="Y919" i="9" s="1"/>
  <c r="AC919" i="9" s="1"/>
  <c r="X932" i="9"/>
  <c r="Y932" i="9" s="1"/>
  <c r="AC932" i="9" s="1"/>
  <c r="X911" i="9"/>
  <c r="Y911" i="9" s="1"/>
  <c r="AC911" i="9" s="1"/>
  <c r="X912" i="9"/>
  <c r="Y912" i="9" s="1"/>
  <c r="AC912" i="9" s="1"/>
  <c r="X918" i="9"/>
  <c r="Y918" i="9" s="1"/>
  <c r="AC918" i="9" s="1"/>
  <c r="X922" i="9"/>
  <c r="Y922" i="9" s="1"/>
  <c r="AC922" i="9" s="1"/>
  <c r="X909" i="9"/>
  <c r="Y909" i="9" s="1"/>
  <c r="AC909" i="9" s="1"/>
  <c r="X907" i="9"/>
  <c r="Y907" i="9" s="1"/>
  <c r="AC907" i="9" s="1"/>
  <c r="X905" i="9"/>
  <c r="Y905" i="9" s="1"/>
  <c r="AC905" i="9" s="1"/>
  <c r="X924" i="9"/>
  <c r="Y924" i="9" s="1"/>
  <c r="AC924" i="9" s="1"/>
  <c r="X934" i="9"/>
  <c r="Y934" i="9" s="1"/>
  <c r="AC934" i="9" s="1"/>
  <c r="X939" i="9"/>
  <c r="Y939" i="9" s="1"/>
  <c r="AC939" i="9" s="1"/>
  <c r="X933" i="9"/>
  <c r="Y933" i="9" s="1"/>
  <c r="AC933" i="9" s="1"/>
  <c r="X937" i="9"/>
  <c r="Y937" i="9" s="1"/>
  <c r="AC937" i="9" s="1"/>
  <c r="X938" i="9"/>
  <c r="Y938" i="9" s="1"/>
  <c r="AC938" i="9" s="1"/>
  <c r="J345" i="8"/>
  <c r="D118" i="3" a="1"/>
  <c r="D118" i="3" s="1"/>
  <c r="J347" i="8"/>
  <c r="D120" i="3" a="1"/>
  <c r="D120" i="3" s="1"/>
  <c r="J350" i="8"/>
  <c r="D123" i="3" a="1"/>
  <c r="D123" i="3" s="1"/>
  <c r="J344" i="8"/>
  <c r="D117" i="3" a="1"/>
  <c r="D117" i="3" s="1"/>
  <c r="J346" i="8"/>
  <c r="D119" i="3" a="1"/>
  <c r="D119" i="3" s="1"/>
  <c r="J349" i="8"/>
  <c r="D122" i="3" a="1"/>
  <c r="D122" i="3" s="1"/>
  <c r="J351" i="8"/>
  <c r="D124" i="3" a="1"/>
  <c r="D124" i="3" s="1"/>
  <c r="Y1525" i="9"/>
  <c r="Y1476" i="9"/>
  <c r="Y1478" i="9"/>
  <c r="Y1486" i="9"/>
  <c r="Y1466" i="9"/>
  <c r="Y1550" i="9"/>
  <c r="Y1567" i="9"/>
  <c r="Y1594" i="9"/>
  <c r="Y1583" i="9"/>
  <c r="Y1560" i="9"/>
  <c r="Y1475" i="9"/>
  <c r="X954" i="9"/>
  <c r="Y954" i="9" s="1"/>
  <c r="AC954" i="9" s="1"/>
  <c r="X961" i="9"/>
  <c r="Y961" i="9" s="1"/>
  <c r="AC961" i="9" s="1"/>
  <c r="X982" i="9"/>
  <c r="Y982" i="9" s="1"/>
  <c r="AC982" i="9" s="1"/>
  <c r="X969" i="9"/>
  <c r="Y969" i="9" s="1"/>
  <c r="AC969" i="9" s="1"/>
  <c r="X985" i="9"/>
  <c r="Y985" i="9" s="1"/>
  <c r="AC985" i="9" s="1"/>
  <c r="X989" i="9"/>
  <c r="Y989" i="9" s="1"/>
  <c r="AC989" i="9" s="1"/>
  <c r="X987" i="9"/>
  <c r="Y987" i="9" s="1"/>
  <c r="AC987" i="9" s="1"/>
  <c r="X952" i="9"/>
  <c r="Y952" i="9" s="1"/>
  <c r="AC952" i="9" s="1"/>
  <c r="X964" i="9"/>
  <c r="Y964" i="9" s="1"/>
  <c r="AC964" i="9" s="1"/>
  <c r="X967" i="9"/>
  <c r="Y967" i="9" s="1"/>
  <c r="AC967" i="9" s="1"/>
  <c r="X988" i="9"/>
  <c r="Y988" i="9" s="1"/>
  <c r="AC988" i="9" s="1"/>
  <c r="X971" i="9"/>
  <c r="Y971" i="9" s="1"/>
  <c r="AC971" i="9" s="1"/>
  <c r="X978" i="9"/>
  <c r="Y978" i="9" s="1"/>
  <c r="AC978" i="9" s="1"/>
  <c r="X972" i="9"/>
  <c r="Y972" i="9" s="1"/>
  <c r="AC972" i="9" s="1"/>
  <c r="X979" i="9"/>
  <c r="Y979" i="9" s="1"/>
  <c r="AC979" i="9" s="1"/>
  <c r="X958" i="9"/>
  <c r="Y958" i="9" s="1"/>
  <c r="AC958" i="9" s="1"/>
  <c r="X966" i="9"/>
  <c r="Y966" i="9" s="1"/>
  <c r="AC966" i="9" s="1"/>
  <c r="X974" i="9"/>
  <c r="Y974" i="9" s="1"/>
  <c r="AC974" i="9" s="1"/>
  <c r="X980" i="9"/>
  <c r="Y980" i="9" s="1"/>
  <c r="AC980" i="9" s="1"/>
  <c r="X986" i="9"/>
  <c r="Y986" i="9" s="1"/>
  <c r="AC986" i="9" s="1"/>
  <c r="X968" i="9"/>
  <c r="Y968" i="9" s="1"/>
  <c r="AC968" i="9" s="1"/>
  <c r="X955" i="9"/>
  <c r="Y955" i="9" s="1"/>
  <c r="AC955" i="9" s="1"/>
  <c r="X983" i="9"/>
  <c r="Y983" i="9" s="1"/>
  <c r="AC983" i="9" s="1"/>
  <c r="X981" i="9"/>
  <c r="Y981" i="9" s="1"/>
  <c r="AC981" i="9" s="1"/>
  <c r="X976" i="9"/>
  <c r="Y976" i="9" s="1"/>
  <c r="AC976" i="9" s="1"/>
  <c r="X959" i="9"/>
  <c r="Y959" i="9" s="1"/>
  <c r="AC959" i="9" s="1"/>
  <c r="X970" i="9"/>
  <c r="Y970" i="9" s="1"/>
  <c r="AC970" i="9" s="1"/>
  <c r="X975" i="9"/>
  <c r="Y975" i="9" s="1"/>
  <c r="AC975" i="9" s="1"/>
  <c r="X984" i="9"/>
  <c r="Y984" i="9" s="1"/>
  <c r="AC984" i="9" s="1"/>
  <c r="X965" i="9"/>
  <c r="Y965" i="9" s="1"/>
  <c r="AC965" i="9" s="1"/>
  <c r="X953" i="9"/>
  <c r="Y953" i="9" s="1"/>
  <c r="AC953" i="9" s="1"/>
  <c r="X957" i="9"/>
  <c r="Y957" i="9" s="1"/>
  <c r="AC957" i="9" s="1"/>
  <c r="X963" i="9"/>
  <c r="Y963" i="9" s="1"/>
  <c r="AC963" i="9" s="1"/>
  <c r="X956" i="9"/>
  <c r="Y956" i="9" s="1"/>
  <c r="AC956" i="9" s="1"/>
  <c r="X962" i="9"/>
  <c r="Y962" i="9" s="1"/>
  <c r="AC962" i="9" s="1"/>
  <c r="X960" i="9"/>
  <c r="Y960" i="9" s="1"/>
  <c r="AC960" i="9" s="1"/>
  <c r="X973" i="9"/>
  <c r="Y973" i="9" s="1"/>
  <c r="AC973" i="9" s="1"/>
  <c r="X977" i="9"/>
  <c r="Y977" i="9" s="1"/>
  <c r="AC977" i="9" s="1"/>
  <c r="J148" i="8"/>
  <c r="J207" i="8"/>
  <c r="J206" i="8"/>
  <c r="J150" i="8"/>
  <c r="Y1465" i="9"/>
  <c r="Y1565" i="9"/>
  <c r="Y1513" i="9"/>
  <c r="Y1488" i="9"/>
  <c r="Y1523" i="9"/>
  <c r="Y1514" i="9"/>
  <c r="Y1492" i="9"/>
  <c r="Y1596" i="9"/>
  <c r="Y1446" i="9"/>
  <c r="Y1515" i="9"/>
  <c r="Y1512" i="9"/>
  <c r="J15" i="8"/>
  <c r="T711" i="9" s="1"/>
  <c r="D28" i="3"/>
  <c r="Y1329" i="9"/>
  <c r="W1964" i="9"/>
  <c r="Y1964" i="9" s="1"/>
  <c r="W1950" i="9"/>
  <c r="X1970" i="9"/>
  <c r="X1956" i="9"/>
  <c r="U1956" i="9"/>
  <c r="U1955" i="9"/>
  <c r="U1954" i="9"/>
  <c r="U1953" i="9"/>
  <c r="U1952" i="9"/>
  <c r="U1951" i="9"/>
  <c r="U1950" i="9"/>
  <c r="W1965" i="9"/>
  <c r="Y1965" i="9" s="1"/>
  <c r="W1951" i="9"/>
  <c r="W1966" i="9"/>
  <c r="Y1966" i="9" s="1"/>
  <c r="W1952" i="9"/>
  <c r="X1969" i="9"/>
  <c r="Y1969" i="9" s="1"/>
  <c r="AC1969" i="9" s="1"/>
  <c r="X1955" i="9"/>
  <c r="Y1217" i="9"/>
  <c r="Y1330" i="9"/>
  <c r="Y1215" i="9"/>
  <c r="U856" i="9"/>
  <c r="U850" i="9"/>
  <c r="U834" i="9"/>
  <c r="U787" i="9"/>
  <c r="U682" i="9"/>
  <c r="U797" i="9"/>
  <c r="U866" i="9"/>
  <c r="U629" i="9"/>
  <c r="U667" i="9"/>
  <c r="U649" i="9"/>
  <c r="U611" i="9"/>
  <c r="U714" i="9"/>
  <c r="U752" i="9"/>
  <c r="U734" i="9"/>
  <c r="U769" i="9"/>
  <c r="U783" i="9"/>
  <c r="U811" i="9"/>
  <c r="U843" i="9"/>
  <c r="U696" i="9"/>
  <c r="U829" i="9"/>
  <c r="U853" i="9"/>
  <c r="U635" i="9"/>
  <c r="U662" i="9"/>
  <c r="U691" i="9"/>
  <c r="U606" i="9"/>
  <c r="U634" i="9"/>
  <c r="U673" i="9"/>
  <c r="U747" i="9"/>
  <c r="U779" i="9"/>
  <c r="U709" i="9"/>
  <c r="U757" i="9"/>
  <c r="U624" i="9"/>
  <c r="U644" i="9"/>
  <c r="U672" i="9"/>
  <c r="U719" i="9"/>
  <c r="U720" i="9"/>
  <c r="U758" i="9"/>
  <c r="U765" i="9"/>
  <c r="U788" i="9"/>
  <c r="U729" i="9"/>
  <c r="U835" i="9"/>
  <c r="U806" i="9"/>
  <c r="U857" i="9"/>
  <c r="U840" i="9"/>
  <c r="U824" i="9"/>
  <c r="Y1328" i="9"/>
  <c r="Y1214" i="9"/>
  <c r="Y1332" i="9"/>
  <c r="Y1327" i="9"/>
  <c r="Y1218" i="9"/>
  <c r="Y1212" i="9"/>
  <c r="Y1216" i="9"/>
  <c r="Y1333" i="9"/>
  <c r="Y1331" i="9"/>
  <c r="Y1334" i="9"/>
  <c r="D70" i="3"/>
  <c r="Y1213" i="9"/>
  <c r="Y1219" i="9"/>
  <c r="Y124" i="9"/>
  <c r="X683" i="9"/>
  <c r="X685" i="9"/>
  <c r="X686" i="9"/>
  <c r="X688" i="9"/>
  <c r="X692" i="9"/>
  <c r="X694" i="9"/>
  <c r="X695" i="9"/>
  <c r="X696" i="9"/>
  <c r="X698" i="9"/>
  <c r="X701" i="9"/>
  <c r="X703" i="9"/>
  <c r="X704" i="9"/>
  <c r="X706" i="9"/>
  <c r="X710" i="9"/>
  <c r="X712" i="9"/>
  <c r="X713" i="9"/>
  <c r="X714" i="9"/>
  <c r="X715" i="9"/>
  <c r="X717" i="9"/>
  <c r="X718" i="9"/>
  <c r="X687" i="9"/>
  <c r="X693" i="9"/>
  <c r="X708" i="9"/>
  <c r="X716" i="9"/>
  <c r="X719" i="9"/>
  <c r="X684" i="9"/>
  <c r="X691" i="9"/>
  <c r="X700" i="9"/>
  <c r="X707" i="9"/>
  <c r="X689" i="9"/>
  <c r="X690" i="9"/>
  <c r="X697" i="9"/>
  <c r="X699" i="9"/>
  <c r="X702" i="9"/>
  <c r="X709" i="9"/>
  <c r="X720" i="9"/>
  <c r="X705" i="9"/>
  <c r="X711" i="9"/>
  <c r="T624" i="9"/>
  <c r="T662" i="9"/>
  <c r="T709" i="9"/>
  <c r="T747" i="9"/>
  <c r="T779" i="9"/>
  <c r="T824" i="9"/>
  <c r="T850" i="9"/>
  <c r="U608" i="9"/>
  <c r="U612" i="9"/>
  <c r="U614" i="9"/>
  <c r="U615" i="9"/>
  <c r="U610" i="9"/>
  <c r="U613" i="9"/>
  <c r="U625" i="9"/>
  <c r="U607" i="9"/>
  <c r="U626" i="9"/>
  <c r="U609" i="9"/>
  <c r="U645" i="9"/>
  <c r="U647" i="9"/>
  <c r="U648" i="9"/>
  <c r="U651" i="9"/>
  <c r="U628" i="9"/>
  <c r="U627" i="9"/>
  <c r="U652" i="9"/>
  <c r="U666" i="9"/>
  <c r="U650" i="9"/>
  <c r="U665" i="9"/>
  <c r="U646" i="9"/>
  <c r="U663" i="9"/>
  <c r="U664" i="9"/>
  <c r="U677" i="9"/>
  <c r="U653" i="9"/>
  <c r="U693" i="9"/>
  <c r="U697" i="9"/>
  <c r="U699" i="9"/>
  <c r="U700" i="9"/>
  <c r="U695" i="9"/>
  <c r="U698" i="9"/>
  <c r="U710" i="9"/>
  <c r="U694" i="9"/>
  <c r="U711" i="9"/>
  <c r="U712" i="9"/>
  <c r="U713" i="9"/>
  <c r="U733" i="9"/>
  <c r="U676" i="9"/>
  <c r="U692" i="9"/>
  <c r="U735" i="9"/>
  <c r="U737" i="9"/>
  <c r="U738" i="9"/>
  <c r="U749" i="9"/>
  <c r="U680" i="9"/>
  <c r="U730" i="9"/>
  <c r="U731" i="9"/>
  <c r="U736" i="9"/>
  <c r="U748" i="9"/>
  <c r="U751" i="9"/>
  <c r="U767" i="9"/>
  <c r="U770" i="9"/>
  <c r="U772" i="9"/>
  <c r="U781" i="9"/>
  <c r="U791" i="9"/>
  <c r="U795" i="9"/>
  <c r="U808" i="9"/>
  <c r="U812" i="9"/>
  <c r="U814" i="9"/>
  <c r="U815" i="9"/>
  <c r="U826" i="9"/>
  <c r="U809" i="9"/>
  <c r="U732" i="9"/>
  <c r="U768" i="9"/>
  <c r="U771" i="9"/>
  <c r="U780" i="9"/>
  <c r="U810" i="9"/>
  <c r="U813" i="9"/>
  <c r="U825" i="9"/>
  <c r="U766" i="9"/>
  <c r="U782" i="9"/>
  <c r="U807" i="9"/>
  <c r="U750" i="9"/>
  <c r="U828" i="9"/>
  <c r="U792" i="9"/>
  <c r="U827" i="9"/>
  <c r="U841" i="9"/>
  <c r="U845" i="9"/>
  <c r="U851" i="9"/>
  <c r="U861" i="9"/>
  <c r="U860" i="9"/>
  <c r="U842" i="9"/>
  <c r="U844" i="9"/>
  <c r="U864" i="9"/>
  <c r="U852" i="9"/>
  <c r="W837" i="9"/>
  <c r="W838" i="9"/>
  <c r="W842" i="9"/>
  <c r="W844" i="9"/>
  <c r="W847" i="9"/>
  <c r="W848" i="9"/>
  <c r="W852" i="9"/>
  <c r="W855" i="9"/>
  <c r="W856" i="9"/>
  <c r="W839" i="9"/>
  <c r="W840" i="9"/>
  <c r="W846" i="9"/>
  <c r="W853" i="9"/>
  <c r="W857" i="9"/>
  <c r="W845" i="9"/>
  <c r="W851" i="9"/>
  <c r="W836" i="9"/>
  <c r="W843" i="9"/>
  <c r="W849" i="9"/>
  <c r="W850" i="9"/>
  <c r="W854" i="9"/>
  <c r="W841" i="9"/>
  <c r="T621" i="9"/>
  <c r="T620" i="9"/>
  <c r="T622" i="9"/>
  <c r="T623" i="9"/>
  <c r="T659" i="9"/>
  <c r="T661" i="9"/>
  <c r="T679" i="9"/>
  <c r="T658" i="9"/>
  <c r="T706" i="9"/>
  <c r="T705" i="9"/>
  <c r="T708" i="9"/>
  <c r="T743" i="9"/>
  <c r="T745" i="9"/>
  <c r="T746" i="9"/>
  <c r="T660" i="9"/>
  <c r="T707" i="9"/>
  <c r="T776" i="9"/>
  <c r="T778" i="9"/>
  <c r="T794" i="9"/>
  <c r="T820" i="9"/>
  <c r="T821" i="9"/>
  <c r="T744" i="9"/>
  <c r="T777" i="9"/>
  <c r="T823" i="9"/>
  <c r="T822" i="9"/>
  <c r="T849" i="9"/>
  <c r="T848" i="9"/>
  <c r="T863" i="9"/>
  <c r="T634" i="9"/>
  <c r="T672" i="9"/>
  <c r="T719" i="9"/>
  <c r="T787" i="9"/>
  <c r="T834" i="9"/>
  <c r="T757" i="9"/>
  <c r="T856" i="9"/>
  <c r="T605" i="9"/>
  <c r="T602" i="9"/>
  <c r="T603" i="9"/>
  <c r="T604" i="9"/>
  <c r="T641" i="9"/>
  <c r="T642" i="9"/>
  <c r="T640" i="9"/>
  <c r="T643" i="9"/>
  <c r="T675" i="9"/>
  <c r="T688" i="9"/>
  <c r="T690" i="9"/>
  <c r="T726" i="9"/>
  <c r="T689" i="9"/>
  <c r="T687" i="9"/>
  <c r="T728" i="9"/>
  <c r="T725" i="9"/>
  <c r="T762" i="9"/>
  <c r="T764" i="9"/>
  <c r="T727" i="9"/>
  <c r="T804" i="9"/>
  <c r="T763" i="9"/>
  <c r="T805" i="9"/>
  <c r="T803" i="9"/>
  <c r="T790" i="9"/>
  <c r="T802" i="9"/>
  <c r="T839" i="9"/>
  <c r="T838" i="9"/>
  <c r="T859" i="9"/>
  <c r="T630" i="9"/>
  <c r="T631" i="9"/>
  <c r="T632" i="9"/>
  <c r="T633" i="9"/>
  <c r="T669" i="9"/>
  <c r="T668" i="9"/>
  <c r="T715" i="9"/>
  <c r="T717" i="9"/>
  <c r="T718" i="9"/>
  <c r="T681" i="9"/>
  <c r="T671" i="9"/>
  <c r="T716" i="9"/>
  <c r="T756" i="9"/>
  <c r="T670" i="9"/>
  <c r="T755" i="9"/>
  <c r="T753" i="9"/>
  <c r="T785" i="9"/>
  <c r="T796" i="9"/>
  <c r="T786" i="9"/>
  <c r="T830" i="9"/>
  <c r="T784" i="9"/>
  <c r="T831" i="9"/>
  <c r="T833" i="9"/>
  <c r="T854" i="9"/>
  <c r="T832" i="9"/>
  <c r="T855" i="9"/>
  <c r="T865" i="9"/>
  <c r="V603" i="9"/>
  <c r="V599" i="9"/>
  <c r="V617" i="9"/>
  <c r="V613" i="9"/>
  <c r="V611" i="9"/>
  <c r="V626" i="9"/>
  <c r="V608" i="9"/>
  <c r="V621" i="9"/>
  <c r="V631" i="9"/>
  <c r="V637" i="9"/>
  <c r="V646" i="9"/>
  <c r="V655" i="9"/>
  <c r="V664" i="9"/>
  <c r="V649" i="9"/>
  <c r="V659" i="9"/>
  <c r="V629" i="9"/>
  <c r="V651" i="9"/>
  <c r="V669" i="9"/>
  <c r="V684" i="9"/>
  <c r="V693" i="9"/>
  <c r="V702" i="9"/>
  <c r="V711" i="9"/>
  <c r="V716" i="9"/>
  <c r="V667" i="9"/>
  <c r="V696" i="9"/>
  <c r="V706" i="9"/>
  <c r="V714" i="9"/>
  <c r="V722" i="9"/>
  <c r="V731" i="9"/>
  <c r="V698" i="9"/>
  <c r="V726" i="9"/>
  <c r="V734" i="9"/>
  <c r="V736" i="9"/>
  <c r="V744" i="9"/>
  <c r="V752" i="9"/>
  <c r="V641" i="9"/>
  <c r="V749" i="9"/>
  <c r="V688" i="9"/>
  <c r="V740" i="9"/>
  <c r="V754" i="9"/>
  <c r="V763" i="9"/>
  <c r="V769" i="9"/>
  <c r="V771" i="9"/>
  <c r="V777" i="9"/>
  <c r="V783" i="9"/>
  <c r="V760" i="9"/>
  <c r="V785" i="9"/>
  <c r="V808" i="9"/>
  <c r="V781" i="9"/>
  <c r="V803" i="9"/>
  <c r="V817" i="9"/>
  <c r="V829" i="9"/>
  <c r="V811" i="9"/>
  <c r="V774" i="9"/>
  <c r="V821" i="9"/>
  <c r="V826" i="9"/>
  <c r="V831" i="9"/>
  <c r="V813" i="9"/>
  <c r="V767" i="9"/>
  <c r="V837" i="9"/>
  <c r="V842" i="9"/>
  <c r="V847" i="9"/>
  <c r="V852" i="9"/>
  <c r="V855" i="9"/>
  <c r="V799" i="9"/>
  <c r="V839" i="9"/>
  <c r="V843" i="9"/>
  <c r="V845" i="9"/>
  <c r="V849" i="9"/>
  <c r="V853" i="9"/>
  <c r="X789" i="9"/>
  <c r="X791" i="9"/>
  <c r="X793" i="9"/>
  <c r="X795" i="9"/>
  <c r="X796" i="9"/>
  <c r="X792" i="9"/>
  <c r="X797" i="9"/>
  <c r="X790" i="9"/>
  <c r="X794" i="9"/>
  <c r="W798" i="9"/>
  <c r="W800" i="9"/>
  <c r="W801" i="9"/>
  <c r="W803" i="9"/>
  <c r="W807" i="9"/>
  <c r="W809" i="9"/>
  <c r="W810" i="9"/>
  <c r="W811" i="9"/>
  <c r="W813" i="9"/>
  <c r="W816" i="9"/>
  <c r="W818" i="9"/>
  <c r="W819" i="9"/>
  <c r="W821" i="9"/>
  <c r="W825" i="9"/>
  <c r="W827" i="9"/>
  <c r="W828" i="9"/>
  <c r="W829" i="9"/>
  <c r="W830" i="9"/>
  <c r="W832" i="9"/>
  <c r="W833" i="9"/>
  <c r="W834" i="9"/>
  <c r="W799" i="9"/>
  <c r="W806" i="9"/>
  <c r="W815" i="9"/>
  <c r="W822" i="9"/>
  <c r="W831" i="9"/>
  <c r="W802" i="9"/>
  <c r="W808" i="9"/>
  <c r="W823" i="9"/>
  <c r="W804" i="9"/>
  <c r="W812" i="9"/>
  <c r="W814" i="9"/>
  <c r="W824" i="9"/>
  <c r="W820" i="9"/>
  <c r="W826" i="9"/>
  <c r="W835" i="9"/>
  <c r="W805" i="9"/>
  <c r="W817" i="9"/>
  <c r="X760" i="9"/>
  <c r="X762" i="9"/>
  <c r="X764" i="9"/>
  <c r="X765" i="9"/>
  <c r="X767" i="9"/>
  <c r="X770" i="9"/>
  <c r="X772" i="9"/>
  <c r="X774" i="9"/>
  <c r="X776" i="9"/>
  <c r="X778" i="9"/>
  <c r="X779" i="9"/>
  <c r="X781" i="9"/>
  <c r="X785" i="9"/>
  <c r="X788" i="9"/>
  <c r="X761" i="9"/>
  <c r="X763" i="9"/>
  <c r="X773" i="9"/>
  <c r="X783" i="9"/>
  <c r="X786" i="9"/>
  <c r="X766" i="9"/>
  <c r="X782" i="9"/>
  <c r="X759" i="9"/>
  <c r="X775" i="9"/>
  <c r="X777" i="9"/>
  <c r="X780" i="9"/>
  <c r="X768" i="9"/>
  <c r="X769" i="9"/>
  <c r="X771" i="9"/>
  <c r="X784" i="9"/>
  <c r="X787" i="9"/>
  <c r="T599" i="9"/>
  <c r="T600" i="9"/>
  <c r="T598" i="9"/>
  <c r="T601" i="9"/>
  <c r="T636" i="9"/>
  <c r="T638" i="9"/>
  <c r="T639" i="9"/>
  <c r="T683" i="9"/>
  <c r="T685" i="9"/>
  <c r="T686" i="9"/>
  <c r="T674" i="9"/>
  <c r="T721" i="9"/>
  <c r="T723" i="9"/>
  <c r="T724" i="9"/>
  <c r="T684" i="9"/>
  <c r="T760" i="9"/>
  <c r="T789" i="9"/>
  <c r="T722" i="9"/>
  <c r="T761" i="9"/>
  <c r="T798" i="9"/>
  <c r="T637" i="9"/>
  <c r="T799" i="9"/>
  <c r="T759" i="9"/>
  <c r="T800" i="9"/>
  <c r="T801" i="9"/>
  <c r="T836" i="9"/>
  <c r="T837" i="9"/>
  <c r="T858" i="9"/>
  <c r="U598" i="9"/>
  <c r="U600" i="9"/>
  <c r="U601" i="9"/>
  <c r="U603" i="9"/>
  <c r="U599" i="9"/>
  <c r="U604" i="9"/>
  <c r="U605" i="9"/>
  <c r="U617" i="9"/>
  <c r="U618" i="9"/>
  <c r="U619" i="9"/>
  <c r="U621" i="9"/>
  <c r="U616" i="9"/>
  <c r="U602" i="9"/>
  <c r="U620" i="9"/>
  <c r="U622" i="9"/>
  <c r="U631" i="9"/>
  <c r="U630" i="9"/>
  <c r="U636" i="9"/>
  <c r="U638" i="9"/>
  <c r="U639" i="9"/>
  <c r="U641" i="9"/>
  <c r="U654" i="9"/>
  <c r="U656" i="9"/>
  <c r="U657" i="9"/>
  <c r="U659" i="9"/>
  <c r="U632" i="9"/>
  <c r="U643" i="9"/>
  <c r="U658" i="9"/>
  <c r="U668" i="9"/>
  <c r="U670" i="9"/>
  <c r="U671" i="9"/>
  <c r="U623" i="9"/>
  <c r="U633" i="9"/>
  <c r="U642" i="9"/>
  <c r="U655" i="9"/>
  <c r="U637" i="9"/>
  <c r="U660" i="9"/>
  <c r="U640" i="9"/>
  <c r="U661" i="9"/>
  <c r="U675" i="9"/>
  <c r="U679" i="9"/>
  <c r="U669" i="9"/>
  <c r="U674" i="9"/>
  <c r="U681" i="9"/>
  <c r="U684" i="9"/>
  <c r="U687" i="9"/>
  <c r="U689" i="9"/>
  <c r="U690" i="9"/>
  <c r="U702" i="9"/>
  <c r="U705" i="9"/>
  <c r="U707" i="9"/>
  <c r="U708" i="9"/>
  <c r="U703" i="9"/>
  <c r="U678" i="9"/>
  <c r="U686" i="9"/>
  <c r="U688" i="9"/>
  <c r="U701" i="9"/>
  <c r="U715" i="9"/>
  <c r="U721" i="9"/>
  <c r="U723" i="9"/>
  <c r="U724" i="9"/>
  <c r="U683" i="9"/>
  <c r="U704" i="9"/>
  <c r="U706" i="9"/>
  <c r="U716" i="9"/>
  <c r="U727" i="9"/>
  <c r="U685" i="9"/>
  <c r="U718" i="9"/>
  <c r="U728" i="9"/>
  <c r="U740" i="9"/>
  <c r="U743" i="9"/>
  <c r="U745" i="9"/>
  <c r="U746" i="9"/>
  <c r="U754" i="9"/>
  <c r="U717" i="9"/>
  <c r="U725" i="9"/>
  <c r="U741" i="9"/>
  <c r="U739" i="9"/>
  <c r="U756" i="9"/>
  <c r="U753" i="9"/>
  <c r="U760" i="9"/>
  <c r="U762" i="9"/>
  <c r="U764" i="9"/>
  <c r="U774" i="9"/>
  <c r="U776" i="9"/>
  <c r="U778" i="9"/>
  <c r="U785" i="9"/>
  <c r="U789" i="9"/>
  <c r="U793" i="9"/>
  <c r="U796" i="9"/>
  <c r="U799" i="9"/>
  <c r="U802" i="9"/>
  <c r="U804" i="9"/>
  <c r="U805" i="9"/>
  <c r="U817" i="9"/>
  <c r="U820" i="9"/>
  <c r="U822" i="9"/>
  <c r="U823" i="9"/>
  <c r="U831" i="9"/>
  <c r="U759" i="9"/>
  <c r="U775" i="9"/>
  <c r="U777" i="9"/>
  <c r="U784" i="9"/>
  <c r="U801" i="9"/>
  <c r="U803" i="9"/>
  <c r="U816" i="9"/>
  <c r="U833" i="9"/>
  <c r="U726" i="9"/>
  <c r="U794" i="9"/>
  <c r="U818" i="9"/>
  <c r="U742" i="9"/>
  <c r="U800" i="9"/>
  <c r="U722" i="9"/>
  <c r="U744" i="9"/>
  <c r="U761" i="9"/>
  <c r="U763" i="9"/>
  <c r="U790" i="9"/>
  <c r="U798" i="9"/>
  <c r="U832" i="9"/>
  <c r="U773" i="9"/>
  <c r="U819" i="9"/>
  <c r="U830" i="9"/>
  <c r="U755" i="9"/>
  <c r="U786" i="9"/>
  <c r="U821" i="9"/>
  <c r="U836" i="9"/>
  <c r="U839" i="9"/>
  <c r="U846" i="9"/>
  <c r="U849" i="9"/>
  <c r="U854" i="9"/>
  <c r="U859" i="9"/>
  <c r="U863" i="9"/>
  <c r="U837" i="9"/>
  <c r="U855" i="9"/>
  <c r="U862" i="9"/>
  <c r="U838" i="9"/>
  <c r="U858" i="9"/>
  <c r="U865" i="9"/>
  <c r="U847" i="9"/>
  <c r="U848" i="9"/>
  <c r="T606" i="9"/>
  <c r="T644" i="9"/>
  <c r="T729" i="9"/>
  <c r="T765" i="9"/>
  <c r="T691" i="9"/>
  <c r="T806" i="9"/>
  <c r="T840" i="9"/>
  <c r="T611" i="9"/>
  <c r="T607" i="9"/>
  <c r="T609" i="9"/>
  <c r="T610" i="9"/>
  <c r="T608" i="9"/>
  <c r="T645" i="9"/>
  <c r="T647" i="9"/>
  <c r="T648" i="9"/>
  <c r="T649" i="9"/>
  <c r="T646" i="9"/>
  <c r="T692" i="9"/>
  <c r="T694" i="9"/>
  <c r="T695" i="9"/>
  <c r="T696" i="9"/>
  <c r="T730" i="9"/>
  <c r="T732" i="9"/>
  <c r="T733" i="9"/>
  <c r="T676" i="9"/>
  <c r="T693" i="9"/>
  <c r="T731" i="9"/>
  <c r="T734" i="9"/>
  <c r="T767" i="9"/>
  <c r="T791" i="9"/>
  <c r="T768" i="9"/>
  <c r="T810" i="9"/>
  <c r="T811" i="9"/>
  <c r="T769" i="9"/>
  <c r="T809" i="9"/>
  <c r="T766" i="9"/>
  <c r="T808" i="9"/>
  <c r="T841" i="9"/>
  <c r="T843" i="9"/>
  <c r="T807" i="9"/>
  <c r="T842" i="9"/>
  <c r="T860" i="9"/>
  <c r="T635" i="9"/>
  <c r="T673" i="9"/>
  <c r="T720" i="9"/>
  <c r="T758" i="9"/>
  <c r="T788" i="9"/>
  <c r="T857" i="9"/>
  <c r="T835" i="9"/>
  <c r="V856" i="9"/>
  <c r="V840" i="9"/>
  <c r="V850" i="9"/>
  <c r="V857" i="9"/>
  <c r="V598" i="9"/>
  <c r="V602" i="9"/>
  <c r="V612" i="9"/>
  <c r="V616" i="9"/>
  <c r="V607" i="9"/>
  <c r="V620" i="9"/>
  <c r="V625" i="9"/>
  <c r="V640" i="9"/>
  <c r="V650" i="9"/>
  <c r="V658" i="9"/>
  <c r="V636" i="9"/>
  <c r="V630" i="9"/>
  <c r="V668" i="9"/>
  <c r="V654" i="9"/>
  <c r="V645" i="9"/>
  <c r="V687" i="9"/>
  <c r="V697" i="9"/>
  <c r="V705" i="9"/>
  <c r="V663" i="9"/>
  <c r="V683" i="9"/>
  <c r="V725" i="9"/>
  <c r="V710" i="9"/>
  <c r="V701" i="9"/>
  <c r="V721" i="9"/>
  <c r="V739" i="9"/>
  <c r="V748" i="9"/>
  <c r="V753" i="9"/>
  <c r="V743" i="9"/>
  <c r="V715" i="9"/>
  <c r="V730" i="9"/>
  <c r="V735" i="9"/>
  <c r="V759" i="9"/>
  <c r="V766" i="9"/>
  <c r="V773" i="9"/>
  <c r="V780" i="9"/>
  <c r="V784" i="9"/>
  <c r="V692" i="9"/>
  <c r="V802" i="9"/>
  <c r="V807" i="9"/>
  <c r="V776" i="9"/>
  <c r="V812" i="9"/>
  <c r="V816" i="9"/>
  <c r="V770" i="9"/>
  <c r="V820" i="9"/>
  <c r="V798" i="9"/>
  <c r="V825" i="9"/>
  <c r="V830" i="9"/>
  <c r="V838" i="9"/>
  <c r="V844" i="9"/>
  <c r="V848" i="9"/>
  <c r="V762" i="9"/>
  <c r="V836" i="9"/>
  <c r="V841" i="9"/>
  <c r="V846" i="9"/>
  <c r="V851" i="9"/>
  <c r="V854" i="9"/>
  <c r="Y241" i="9"/>
  <c r="Y209" i="9"/>
  <c r="J209" i="8"/>
  <c r="X1961" i="9" s="1"/>
  <c r="Y1961" i="9" s="1"/>
  <c r="AC1961" i="9" s="1"/>
  <c r="X1960" i="9"/>
  <c r="Y1960" i="9" s="1"/>
  <c r="AC1960" i="9" s="1"/>
  <c r="AF722" i="9"/>
  <c r="AF1708" i="9"/>
  <c r="AF1648" i="9"/>
  <c r="AF1846" i="9"/>
  <c r="AF1981" i="9"/>
  <c r="AF1901" i="9"/>
  <c r="AF1806" i="9"/>
  <c r="AF1795" i="9"/>
  <c r="AF1774" i="9"/>
  <c r="AF1910" i="9"/>
  <c r="AF1889" i="9"/>
  <c r="AF1972" i="9"/>
  <c r="AF1880" i="9"/>
  <c r="AF1830" i="9"/>
  <c r="AF1718" i="9"/>
  <c r="AF1691" i="9"/>
  <c r="AF1638" i="9"/>
  <c r="AF1683" i="9"/>
  <c r="AF1635" i="9"/>
  <c r="AF1175" i="9"/>
  <c r="AF1682" i="9"/>
  <c r="AF1662" i="9"/>
  <c r="AF1595" i="9"/>
  <c r="AF1554" i="9"/>
  <c r="AF1543" i="9"/>
  <c r="AF777" i="9"/>
  <c r="AF1498" i="9"/>
  <c r="AF1476" i="9"/>
  <c r="AF1258" i="9"/>
  <c r="AF1198" i="9"/>
  <c r="AF1451" i="9"/>
  <c r="AF1337" i="9"/>
  <c r="AF1534" i="9"/>
  <c r="AF1491" i="9"/>
  <c r="AF1265" i="9"/>
  <c r="AF567" i="9"/>
  <c r="AF1499" i="9"/>
  <c r="AF1492" i="9"/>
  <c r="AF1482" i="9"/>
  <c r="AF1432" i="9"/>
  <c r="AF1425" i="9"/>
  <c r="AF1366" i="9"/>
  <c r="AF1271" i="9"/>
  <c r="AF1115" i="9"/>
  <c r="AF1007" i="9"/>
  <c r="AF900" i="9"/>
  <c r="AF1961" i="9"/>
  <c r="AF1908" i="9"/>
  <c r="AF1842" i="9"/>
  <c r="AF1824" i="9"/>
  <c r="AF1817" i="9"/>
  <c r="AF1789" i="9"/>
  <c r="AF1746" i="9"/>
  <c r="AF1652" i="9"/>
  <c r="AF1632" i="9"/>
  <c r="AF1625" i="9"/>
  <c r="AF1601" i="9"/>
  <c r="AF1537" i="9"/>
  <c r="AF1530" i="9"/>
  <c r="AF1526" i="9"/>
  <c r="AF1505" i="9"/>
  <c r="AF1502" i="9"/>
  <c r="AF1470" i="9"/>
  <c r="AF1463" i="9"/>
  <c r="AF1435" i="9"/>
  <c r="AF1286" i="9"/>
  <c r="AF1208" i="9"/>
  <c r="AF1139" i="9"/>
  <c r="AF949" i="9"/>
  <c r="AF1976" i="9"/>
  <c r="AF1944" i="9"/>
  <c r="AF1932" i="9"/>
  <c r="AF1913" i="9"/>
  <c r="AF1911" i="9"/>
  <c r="AF1891" i="9"/>
  <c r="AF1841" i="9"/>
  <c r="AF1823" i="9"/>
  <c r="AF1760" i="9"/>
  <c r="AF1752" i="9"/>
  <c r="AF1749" i="9"/>
  <c r="AF1729" i="9"/>
  <c r="AF1693" i="9"/>
  <c r="AF1671" i="9"/>
  <c r="AF1631" i="9"/>
  <c r="AF1577" i="9"/>
  <c r="AF1552" i="9"/>
  <c r="AF1536" i="9"/>
  <c r="AF1469" i="9"/>
  <c r="AF1406" i="9"/>
  <c r="AF1369" i="9"/>
  <c r="AF1278" i="9"/>
  <c r="AF1245" i="9"/>
  <c r="AF1162" i="9"/>
  <c r="AF836" i="9"/>
  <c r="AF775" i="9"/>
  <c r="AF729" i="9"/>
  <c r="AF1155" i="9"/>
  <c r="AF1042" i="9"/>
  <c r="AF1003" i="9"/>
  <c r="AF987" i="9"/>
  <c r="AF916" i="9"/>
  <c r="AF830" i="9"/>
  <c r="AF662" i="9"/>
  <c r="AF1125" i="9"/>
  <c r="AF1023" i="9"/>
  <c r="AF919" i="9"/>
  <c r="AF760" i="9"/>
  <c r="AF1991" i="9"/>
  <c r="AF1975" i="9"/>
  <c r="AF1959" i="9"/>
  <c r="AF1943" i="9"/>
  <c r="AF1925" i="9"/>
  <c r="AF1912" i="9"/>
  <c r="AF1906" i="9"/>
  <c r="AF1887" i="9"/>
  <c r="AF1853" i="9"/>
  <c r="AF1851" i="9"/>
  <c r="AF1835" i="9"/>
  <c r="AF1832" i="9"/>
  <c r="AF1815" i="9"/>
  <c r="AF1788" i="9"/>
  <c r="AF1782" i="9"/>
  <c r="AF1780" i="9"/>
  <c r="AF1759" i="9"/>
  <c r="AF1744" i="9"/>
  <c r="AF1725" i="9"/>
  <c r="AF1709" i="9"/>
  <c r="AF1692" i="9"/>
  <c r="AF1664" i="9"/>
  <c r="AF1660" i="9"/>
  <c r="AF1646" i="9"/>
  <c r="AF1640" i="9"/>
  <c r="AF1623" i="9"/>
  <c r="AF1590" i="9"/>
  <c r="AF1570" i="9"/>
  <c r="AF1568" i="9"/>
  <c r="AF1557" i="9"/>
  <c r="AF1551" i="9"/>
  <c r="AF1549" i="9"/>
  <c r="AF1528" i="9"/>
  <c r="AF1521" i="9"/>
  <c r="AF1501" i="9"/>
  <c r="AF1495" i="9"/>
  <c r="AF1493" i="9"/>
  <c r="AF1484" i="9"/>
  <c r="AF1478" i="9"/>
  <c r="AF1461" i="9"/>
  <c r="AF1434" i="9"/>
  <c r="AF1428" i="9"/>
  <c r="AF1426" i="9"/>
  <c r="AF1405" i="9"/>
  <c r="AF1389" i="9"/>
  <c r="AF1248" i="9"/>
  <c r="AF1241" i="9"/>
  <c r="AF1217" i="9"/>
  <c r="AF1170" i="9"/>
  <c r="AF1093" i="9"/>
  <c r="AF998" i="9"/>
  <c r="AF822" i="9"/>
  <c r="AF719" i="9"/>
  <c r="AF656" i="9"/>
  <c r="AF508" i="9"/>
  <c r="AF339" i="9"/>
  <c r="AF1986" i="9"/>
  <c r="AF1970" i="9"/>
  <c r="AF1954" i="9"/>
  <c r="AF1899" i="9"/>
  <c r="AF1884" i="9"/>
  <c r="AF1878" i="9"/>
  <c r="AF1813" i="9"/>
  <c r="AF1804" i="9"/>
  <c r="AF1754" i="9"/>
  <c r="AF1737" i="9"/>
  <c r="AF1722" i="9"/>
  <c r="AF1716" i="9"/>
  <c r="AF1690" i="9"/>
  <c r="AF1681" i="9"/>
  <c r="AF1673" i="9"/>
  <c r="AF1672" i="9"/>
  <c r="AF1659" i="9"/>
  <c r="AF1655" i="9"/>
  <c r="AF1621" i="9"/>
  <c r="AF1612" i="9"/>
  <c r="AF1604" i="9"/>
  <c r="AF1603" i="9"/>
  <c r="AF1588" i="9"/>
  <c r="AF1583" i="9"/>
  <c r="AF1518" i="9"/>
  <c r="AF1512" i="9"/>
  <c r="AF1481" i="9"/>
  <c r="AF1459" i="9"/>
  <c r="AF1450" i="9"/>
  <c r="AF1382" i="9"/>
  <c r="AF1355" i="9"/>
  <c r="AF1333" i="9"/>
  <c r="AF1260" i="9"/>
  <c r="AF1235" i="9"/>
  <c r="AF1227" i="9"/>
  <c r="AF1193" i="9"/>
  <c r="AF1160" i="9"/>
  <c r="AF1118" i="9"/>
  <c r="AF1113" i="9"/>
  <c r="AF1085" i="9"/>
  <c r="AF990" i="9"/>
  <c r="AF963" i="9"/>
  <c r="AF957" i="9"/>
  <c r="AF946" i="9"/>
  <c r="AF888" i="9"/>
  <c r="AF854" i="9"/>
  <c r="AF850" i="9"/>
  <c r="AF77" i="9"/>
  <c r="AF93" i="9"/>
  <c r="AF73" i="9"/>
  <c r="AF92" i="9"/>
  <c r="AF105" i="9"/>
  <c r="AF80" i="9"/>
  <c r="AF111" i="9"/>
  <c r="AF100" i="9"/>
  <c r="AF112" i="9"/>
  <c r="AF118" i="9"/>
  <c r="AF125" i="9"/>
  <c r="AF130" i="9"/>
  <c r="AF148" i="9"/>
  <c r="AF150" i="9"/>
  <c r="AF156" i="9"/>
  <c r="AF176" i="9"/>
  <c r="AF164" i="9"/>
  <c r="AF171" i="9"/>
  <c r="AF177" i="9"/>
  <c r="AF186" i="9"/>
  <c r="AF188" i="9"/>
  <c r="AF194" i="9"/>
  <c r="AF214" i="9"/>
  <c r="AF123" i="9"/>
  <c r="AF149" i="9"/>
  <c r="AF155" i="9"/>
  <c r="AF184" i="9"/>
  <c r="AF191" i="9"/>
  <c r="AF207" i="9"/>
  <c r="AF144" i="9"/>
  <c r="AF224" i="9"/>
  <c r="AF229" i="9"/>
  <c r="AF240" i="9"/>
  <c r="AF172" i="9"/>
  <c r="AF237" i="9"/>
  <c r="AF239" i="9"/>
  <c r="AF236" i="9"/>
  <c r="AF167" i="9"/>
  <c r="AF273" i="9"/>
  <c r="AF292" i="9"/>
  <c r="AF298" i="9"/>
  <c r="AF311" i="9"/>
  <c r="AF342" i="9"/>
  <c r="AF223" i="9"/>
  <c r="AF250" i="9"/>
  <c r="AF253" i="9"/>
  <c r="AF261" i="9"/>
  <c r="AF268" i="9"/>
  <c r="AF284" i="9"/>
  <c r="AF317" i="9"/>
  <c r="AF322" i="9"/>
  <c r="AF330" i="9"/>
  <c r="AF337" i="9"/>
  <c r="AF249" i="9"/>
  <c r="AF325" i="9"/>
  <c r="AF347" i="9"/>
  <c r="AF364" i="9"/>
  <c r="AF380" i="9"/>
  <c r="AF399" i="9"/>
  <c r="AF414" i="9"/>
  <c r="AF435" i="9"/>
  <c r="AF437" i="9"/>
  <c r="AF443" i="9"/>
  <c r="AF267" i="9"/>
  <c r="AF276" i="9"/>
  <c r="AF327" i="9"/>
  <c r="AF328" i="9"/>
  <c r="AF353" i="9"/>
  <c r="AF386" i="9"/>
  <c r="AF393" i="9"/>
  <c r="AF420" i="9"/>
  <c r="AF428" i="9"/>
  <c r="AF363" i="9"/>
  <c r="AF410" i="9"/>
  <c r="AF434" i="9"/>
  <c r="AF441" i="9"/>
  <c r="AF471" i="9"/>
  <c r="AF478" i="9"/>
  <c r="AF491" i="9"/>
  <c r="AF496" i="9"/>
  <c r="AF546" i="9"/>
  <c r="AF562" i="9"/>
  <c r="AF566" i="9"/>
  <c r="AF568" i="9"/>
  <c r="AF587" i="9"/>
  <c r="AF615" i="9"/>
  <c r="AF255" i="9"/>
  <c r="AF300" i="9"/>
  <c r="AF304" i="9"/>
  <c r="AF354" i="9"/>
  <c r="AF389" i="9"/>
  <c r="AF395" i="9"/>
  <c r="AF421" i="9"/>
  <c r="AF430" i="9"/>
  <c r="AF486" i="9"/>
  <c r="AF511" i="9"/>
  <c r="AF541" i="9"/>
  <c r="AF544" i="9"/>
  <c r="AF565" i="9"/>
  <c r="AF582" i="9"/>
  <c r="AF610" i="9"/>
  <c r="AF613" i="9"/>
  <c r="AF199" i="9"/>
  <c r="AF444" i="9"/>
  <c r="AF474" i="9"/>
  <c r="AF480" i="9"/>
  <c r="AF493" i="9"/>
  <c r="AF498" i="9"/>
  <c r="AF593" i="9"/>
  <c r="AF643" i="9"/>
  <c r="AF652" i="9"/>
  <c r="AF674" i="9"/>
  <c r="AF705" i="9"/>
  <c r="AF711" i="9"/>
  <c r="AF445" i="9"/>
  <c r="AF452" i="9"/>
  <c r="AF547" i="9"/>
  <c r="AF570" i="9"/>
  <c r="AF584" i="9"/>
  <c r="AF588" i="9"/>
  <c r="AF629" i="9"/>
  <c r="AF636" i="9"/>
  <c r="AF657" i="9"/>
  <c r="AF659" i="9"/>
  <c r="AF665" i="9"/>
  <c r="AF696" i="9"/>
  <c r="AF715" i="9"/>
  <c r="AF724" i="9"/>
  <c r="AF726" i="9"/>
  <c r="AF732" i="9"/>
  <c r="AF752" i="9"/>
  <c r="AF369" i="9"/>
  <c r="AF477" i="9"/>
  <c r="AF624" i="9"/>
  <c r="AF669" i="9"/>
  <c r="AF691" i="9"/>
  <c r="AF707" i="9"/>
  <c r="AF740" i="9"/>
  <c r="AF780" i="9"/>
  <c r="AF810" i="9"/>
  <c r="AF813" i="9"/>
  <c r="AF834" i="9"/>
  <c r="AF851" i="9"/>
  <c r="AF879" i="9"/>
  <c r="AF882" i="9"/>
  <c r="AF903" i="9"/>
  <c r="AF907" i="9"/>
  <c r="AF914" i="9"/>
  <c r="AF935" i="9"/>
  <c r="AF986" i="9"/>
  <c r="AF1002" i="9"/>
  <c r="AF1005" i="9"/>
  <c r="AF1026" i="9"/>
  <c r="AF1059" i="9"/>
  <c r="AF1069" i="9"/>
  <c r="AF1076" i="9"/>
  <c r="AF1097" i="9"/>
  <c r="AF371" i="9"/>
  <c r="AF455" i="9"/>
  <c r="AF483" i="9"/>
  <c r="AF515" i="9"/>
  <c r="AF550" i="9"/>
  <c r="AF598" i="9"/>
  <c r="AF634" i="9"/>
  <c r="AF638" i="9"/>
  <c r="AF645" i="9"/>
  <c r="AF717" i="9"/>
  <c r="AF762" i="9"/>
  <c r="AF767" i="9"/>
  <c r="AF778" i="9"/>
  <c r="AF793" i="9"/>
  <c r="AF838" i="9"/>
  <c r="AF842" i="9"/>
  <c r="AF862" i="9"/>
  <c r="AF912" i="9"/>
  <c r="AF921" i="9"/>
  <c r="AF943" i="9"/>
  <c r="AF974" i="9"/>
  <c r="AF980" i="9"/>
  <c r="AF1045" i="9"/>
  <c r="AF1050" i="9"/>
  <c r="AF1065" i="9"/>
  <c r="AF1066" i="9"/>
  <c r="AF1074" i="9"/>
  <c r="AF1083" i="9"/>
  <c r="AF1117" i="9"/>
  <c r="AF1121" i="9"/>
  <c r="AF1134" i="9"/>
  <c r="AF1135" i="9"/>
  <c r="AF1143" i="9"/>
  <c r="AF1152" i="9"/>
  <c r="AF614" i="9"/>
  <c r="AF642" i="9"/>
  <c r="AF709" i="9"/>
  <c r="AF761" i="9"/>
  <c r="AF763" i="9"/>
  <c r="AF783" i="9"/>
  <c r="AF833" i="9"/>
  <c r="AF885" i="9"/>
  <c r="AF952" i="9"/>
  <c r="AF1025" i="9"/>
  <c r="AF1044" i="9"/>
  <c r="AF1046" i="9"/>
  <c r="AF1119" i="9"/>
  <c r="AF1123" i="9"/>
  <c r="AF1142" i="9"/>
  <c r="AF1158" i="9"/>
  <c r="AF1164" i="9"/>
  <c r="AF1225" i="9"/>
  <c r="AF1231" i="9"/>
  <c r="AF1246" i="9"/>
  <c r="AF1281" i="9"/>
  <c r="AF1287" i="9"/>
  <c r="AF1300" i="9"/>
  <c r="AF1305" i="9"/>
  <c r="AF1316" i="9"/>
  <c r="AF1331" i="9"/>
  <c r="AF1376" i="9"/>
  <c r="AF1380" i="9"/>
  <c r="AF1400" i="9"/>
  <c r="AF285" i="9"/>
  <c r="AF333" i="9"/>
  <c r="AF392" i="9"/>
  <c r="AF470" i="9"/>
  <c r="AF651" i="9"/>
  <c r="AF672" i="9"/>
  <c r="AF755" i="9"/>
  <c r="AF795" i="9"/>
  <c r="AF817" i="9"/>
  <c r="AF844" i="9"/>
  <c r="AF893" i="9"/>
  <c r="AF938" i="9"/>
  <c r="AF960" i="9"/>
  <c r="AF976" i="9"/>
  <c r="AF1009" i="9"/>
  <c r="AF1029" i="9"/>
  <c r="AF1100" i="9"/>
  <c r="AF1108" i="9"/>
  <c r="AF1126" i="9"/>
  <c r="AF1151" i="9"/>
  <c r="AF1168" i="9"/>
  <c r="AF1177" i="9"/>
  <c r="AF1179" i="9"/>
  <c r="AF1185" i="9"/>
  <c r="AF1205" i="9"/>
  <c r="AF1239" i="9"/>
  <c r="AF1256" i="9"/>
  <c r="AF1272" i="9"/>
  <c r="AF1291" i="9"/>
  <c r="AF1311" i="9"/>
  <c r="AF1324" i="9"/>
  <c r="AF1330" i="9"/>
  <c r="AF1339" i="9"/>
  <c r="AF1341" i="9"/>
  <c r="AF1347" i="9"/>
  <c r="AF1367" i="9"/>
  <c r="AF1378" i="9"/>
  <c r="AF1384" i="9"/>
  <c r="AF1399" i="9"/>
  <c r="AF338" i="9"/>
  <c r="AF507" i="9"/>
  <c r="AF622" i="9"/>
  <c r="AF655" i="9"/>
  <c r="AF79" i="9"/>
  <c r="AF86" i="9"/>
  <c r="AF78" i="9"/>
  <c r="AF95" i="9"/>
  <c r="AF90" i="9"/>
  <c r="AF85" i="9"/>
  <c r="AF116" i="9"/>
  <c r="AF115" i="9"/>
  <c r="AF96" i="9"/>
  <c r="AF104" i="9"/>
  <c r="AF133" i="9"/>
  <c r="AF139" i="9"/>
  <c r="AF76" i="9"/>
  <c r="AF114" i="9"/>
  <c r="AF142" i="9"/>
  <c r="AF134" i="9"/>
  <c r="AF158" i="9"/>
  <c r="AF146" i="9"/>
  <c r="AF153" i="9"/>
  <c r="AF169" i="9"/>
  <c r="AF128" i="9"/>
  <c r="AF175" i="9"/>
  <c r="AF180" i="9"/>
  <c r="AF196" i="9"/>
  <c r="AF215" i="9"/>
  <c r="AF178" i="9"/>
  <c r="AF182" i="9"/>
  <c r="AF189" i="9"/>
  <c r="AF197" i="9"/>
  <c r="AF157" i="9"/>
  <c r="AF213" i="9"/>
  <c r="AF242" i="9"/>
  <c r="AF161" i="9"/>
  <c r="AF187" i="9"/>
  <c r="AF193" i="9"/>
  <c r="AF226" i="9"/>
  <c r="AF107" i="9"/>
  <c r="AF165" i="9"/>
  <c r="AF195" i="9"/>
  <c r="AF231" i="9"/>
  <c r="AF173" i="9"/>
  <c r="AF278" i="9"/>
  <c r="AF295" i="9"/>
  <c r="AF301" i="9"/>
  <c r="AF315" i="9"/>
  <c r="AF319" i="9"/>
  <c r="AF248" i="9"/>
  <c r="AF266" i="9"/>
  <c r="AF274" i="9"/>
  <c r="AF309" i="9"/>
  <c r="AF335" i="9"/>
  <c r="AF343" i="9"/>
  <c r="AF272" i="9"/>
  <c r="AF275" i="9"/>
  <c r="AF296" i="9"/>
  <c r="AF350" i="9"/>
  <c r="AF352" i="9"/>
  <c r="AF358" i="9"/>
  <c r="AF385" i="9"/>
  <c r="AF402" i="9"/>
  <c r="AF408" i="9"/>
  <c r="AF417" i="9"/>
  <c r="AF419" i="9"/>
  <c r="AF425" i="9"/>
  <c r="AF210" i="9"/>
  <c r="AF282" i="9"/>
  <c r="AF288" i="9"/>
  <c r="AF320" i="9"/>
  <c r="AF368" i="9"/>
  <c r="AF375" i="9"/>
  <c r="AF391" i="9"/>
  <c r="AF431" i="9"/>
  <c r="AF453" i="9"/>
  <c r="AF460" i="9"/>
  <c r="AF476" i="9"/>
  <c r="AF501" i="9"/>
  <c r="AF526" i="9"/>
  <c r="AF548" i="9"/>
  <c r="AF555" i="9"/>
  <c r="AF575" i="9"/>
  <c r="AF595" i="9"/>
  <c r="AF324" i="9"/>
  <c r="AF436" i="9"/>
  <c r="AF442" i="9"/>
  <c r="AF472" i="9"/>
  <c r="AF479" i="9"/>
  <c r="AF497" i="9"/>
  <c r="AF513" i="9"/>
  <c r="AF563" i="9"/>
  <c r="AF572" i="9"/>
  <c r="AF269" i="9"/>
  <c r="AF356" i="9"/>
  <c r="AF406" i="9"/>
  <c r="AF416" i="9"/>
  <c r="AF533" i="9"/>
  <c r="AF539" i="9"/>
  <c r="AF620" i="9"/>
  <c r="AF626" i="9"/>
  <c r="AF687" i="9"/>
  <c r="AF693" i="9"/>
  <c r="AF708" i="9"/>
  <c r="AF743" i="9"/>
  <c r="AF749" i="9"/>
  <c r="AF235" i="9"/>
  <c r="AF264" i="9"/>
  <c r="AF418" i="9"/>
  <c r="AF424" i="9"/>
  <c r="AF517" i="9"/>
  <c r="AF571" i="9"/>
  <c r="AF577" i="9"/>
  <c r="AF592" i="9"/>
  <c r="AF601" i="9"/>
  <c r="AF603" i="9"/>
  <c r="AF609" i="9"/>
  <c r="AF630" i="9"/>
  <c r="AF639" i="9"/>
  <c r="AF641" i="9"/>
  <c r="AF647" i="9"/>
  <c r="AF667" i="9"/>
  <c r="AF701" i="9"/>
  <c r="AF718" i="9"/>
  <c r="AF734" i="9"/>
  <c r="AF753" i="9"/>
  <c r="AF331" i="9"/>
  <c r="AF365" i="9"/>
  <c r="AF637" i="9"/>
  <c r="AF716" i="9"/>
  <c r="AF766" i="9"/>
  <c r="AF782" i="9"/>
  <c r="AF832" i="9"/>
  <c r="AF841" i="9"/>
  <c r="AF901" i="9"/>
  <c r="AF917" i="9"/>
  <c r="AF920" i="9"/>
  <c r="AF941" i="9"/>
  <c r="AF948" i="9"/>
  <c r="AF972" i="9"/>
  <c r="AF979" i="9"/>
  <c r="AF1024" i="9"/>
  <c r="AF1049" i="9"/>
  <c r="AF1079" i="9"/>
  <c r="AF1082" i="9"/>
  <c r="AF1103" i="9"/>
  <c r="AF246" i="9"/>
  <c r="AF581" i="9"/>
  <c r="AF585" i="9"/>
  <c r="AF618" i="9"/>
  <c r="AF625" i="9"/>
  <c r="AF675" i="9"/>
  <c r="AF685" i="9"/>
  <c r="AF692" i="9"/>
  <c r="AF764" i="9"/>
  <c r="AF789" i="9"/>
  <c r="AF820" i="9"/>
  <c r="AF826" i="9"/>
  <c r="AF858" i="9"/>
  <c r="AF889" i="9"/>
  <c r="AF895" i="9"/>
  <c r="AF956" i="9"/>
  <c r="AF962" i="9"/>
  <c r="AF977" i="9"/>
  <c r="AF1012" i="9"/>
  <c r="AF1018" i="9"/>
  <c r="AF1031" i="9"/>
  <c r="AF1036" i="9"/>
  <c r="AF1047" i="9"/>
  <c r="AF1062" i="9"/>
  <c r="AF1107" i="9"/>
  <c r="AF1111" i="9"/>
  <c r="AF1131" i="9"/>
  <c r="AF583" i="9"/>
  <c r="AF605" i="9"/>
  <c r="AF631" i="9"/>
  <c r="AF738" i="9"/>
  <c r="AF773" i="9"/>
  <c r="AF792" i="9"/>
  <c r="AF801" i="9"/>
  <c r="AF803" i="9"/>
  <c r="AF809" i="9"/>
  <c r="AF829" i="9"/>
  <c r="AF926" i="9"/>
  <c r="AF928" i="9"/>
  <c r="AF934" i="9"/>
  <c r="AF993" i="9"/>
  <c r="AF995" i="9"/>
  <c r="AF1001" i="9"/>
  <c r="AF1021" i="9"/>
  <c r="AF1038" i="9"/>
  <c r="AF1053" i="9"/>
  <c r="AF1088" i="9"/>
  <c r="AF1090" i="9"/>
  <c r="AF1096" i="9"/>
  <c r="AF1136" i="9"/>
  <c r="AF1161" i="9"/>
  <c r="AF1196" i="9"/>
  <c r="AF1202" i="9"/>
  <c r="AF1219" i="9"/>
  <c r="AF1220" i="9"/>
  <c r="AF1228" i="9"/>
  <c r="AF1237" i="9"/>
  <c r="AF1263" i="9"/>
  <c r="AF1269" i="9"/>
  <c r="AF1284" i="9"/>
  <c r="AF1302" i="9"/>
  <c r="AF1327" i="9"/>
  <c r="AF1358" i="9"/>
  <c r="AF1364" i="9"/>
  <c r="AF1396" i="9"/>
  <c r="AF542" i="9"/>
  <c r="AF580" i="9"/>
  <c r="AF679" i="9"/>
  <c r="AF703" i="9"/>
  <c r="AF779" i="9"/>
  <c r="AF847" i="9"/>
  <c r="AF873" i="9"/>
  <c r="AF881" i="9"/>
  <c r="AF906" i="9"/>
  <c r="AF985" i="9"/>
  <c r="AF1041" i="9"/>
  <c r="AF1057" i="9"/>
  <c r="AF1060" i="9"/>
  <c r="AF1068" i="9"/>
  <c r="AF1154" i="9"/>
  <c r="AF1171" i="9"/>
  <c r="AF1187" i="9"/>
  <c r="AF1206" i="9"/>
  <c r="AF1221" i="9"/>
  <c r="AF1242" i="9"/>
  <c r="AF1244" i="9"/>
  <c r="AF1250" i="9"/>
  <c r="AF1277" i="9"/>
  <c r="AF1294" i="9"/>
  <c r="AF1297" i="9"/>
  <c r="AF1313" i="9"/>
  <c r="AF1315" i="9"/>
  <c r="AF1349" i="9"/>
  <c r="AF1368" i="9"/>
  <c r="AF1374" i="9"/>
  <c r="AF1387" i="9"/>
  <c r="AF512" i="9"/>
  <c r="AF61" i="9"/>
  <c r="AF68" i="9"/>
  <c r="AF84" i="9"/>
  <c r="AF60" i="9"/>
  <c r="AF81" i="9"/>
  <c r="AF83" i="9"/>
  <c r="AF89" i="9"/>
  <c r="AF94" i="9"/>
  <c r="AF98" i="9"/>
  <c r="AF87" i="9"/>
  <c r="AF119" i="9"/>
  <c r="AF121" i="9"/>
  <c r="AF127" i="9"/>
  <c r="AF117" i="9"/>
  <c r="AF124" i="9"/>
  <c r="AF72" i="9"/>
  <c r="AF67" i="9"/>
  <c r="AF120" i="9"/>
  <c r="AF126" i="9"/>
  <c r="AF131" i="9"/>
  <c r="AF135" i="9"/>
  <c r="AF138" i="9"/>
  <c r="AF163" i="9"/>
  <c r="AF143" i="9"/>
  <c r="AF151" i="9"/>
  <c r="AF159" i="9"/>
  <c r="AF137" i="9"/>
  <c r="AF201" i="9"/>
  <c r="AF218" i="9"/>
  <c r="AF170" i="9"/>
  <c r="AF200" i="9"/>
  <c r="AF216" i="9"/>
  <c r="AF220" i="9"/>
  <c r="AF217" i="9"/>
  <c r="AF228" i="9"/>
  <c r="AF244" i="9"/>
  <c r="AF179" i="9"/>
  <c r="AF221" i="9"/>
  <c r="AF205" i="9"/>
  <c r="AF211" i="9"/>
  <c r="AF241" i="9"/>
  <c r="AF222" i="9"/>
  <c r="AF260" i="9"/>
  <c r="AF281" i="9"/>
  <c r="AF283" i="9"/>
  <c r="AF289" i="9"/>
  <c r="AF305" i="9"/>
  <c r="AF312" i="9"/>
  <c r="AF316" i="9"/>
  <c r="AF329" i="9"/>
  <c r="AF225" i="9"/>
  <c r="AF277" i="9"/>
  <c r="AF293" i="9"/>
  <c r="AF297" i="9"/>
  <c r="AF299" i="9"/>
  <c r="AF318" i="9"/>
  <c r="AF346" i="9"/>
  <c r="AF256" i="9"/>
  <c r="AF280" i="9"/>
  <c r="AF287" i="9"/>
  <c r="AF307" i="9"/>
  <c r="AF360" i="9"/>
  <c r="AF367" i="9"/>
  <c r="AF388" i="9"/>
  <c r="AF390" i="9"/>
  <c r="AF396" i="9"/>
  <c r="AF427" i="9"/>
  <c r="AF258" i="9"/>
  <c r="AF259" i="9"/>
  <c r="AF310" i="9"/>
  <c r="AF314" i="9"/>
  <c r="AF336" i="9"/>
  <c r="AF345" i="9"/>
  <c r="AF362" i="9"/>
  <c r="AF366" i="9"/>
  <c r="AF373" i="9"/>
  <c r="AF381" i="9"/>
  <c r="AF411" i="9"/>
  <c r="AF433" i="9"/>
  <c r="AF440" i="9"/>
  <c r="AF294" i="9"/>
  <c r="AF379" i="9"/>
  <c r="AF382" i="9"/>
  <c r="AF403" i="9"/>
  <c r="AF447" i="9"/>
  <c r="AF451" i="9"/>
  <c r="AF458" i="9"/>
  <c r="AF466" i="9"/>
  <c r="AF503" i="9"/>
  <c r="AF516" i="9"/>
  <c r="AF519" i="9"/>
  <c r="AF522" i="9"/>
  <c r="AF530" i="9"/>
  <c r="AF537" i="9"/>
  <c r="AF553" i="9"/>
  <c r="AF586" i="9"/>
  <c r="AF591" i="9"/>
  <c r="AF599" i="9"/>
  <c r="AF606" i="9"/>
  <c r="AF245" i="9"/>
  <c r="AF412" i="9"/>
  <c r="AF413" i="9"/>
  <c r="AF450" i="9"/>
  <c r="AF454" i="9"/>
  <c r="AF461" i="9"/>
  <c r="AF482" i="9"/>
  <c r="AF499" i="9"/>
  <c r="AF502" i="9"/>
  <c r="AF518" i="9"/>
  <c r="AF525" i="9"/>
  <c r="AF549" i="9"/>
  <c r="AF556" i="9"/>
  <c r="AF576" i="9"/>
  <c r="AF594" i="9"/>
  <c r="AF140" i="9"/>
  <c r="AF252" i="9"/>
  <c r="AF262" i="9"/>
  <c r="AF401" i="9"/>
  <c r="AF509" i="9"/>
  <c r="AF524" i="9"/>
  <c r="AF569" i="9"/>
  <c r="AF573" i="9"/>
  <c r="AF623" i="9"/>
  <c r="AF658" i="9"/>
  <c r="AF664" i="9"/>
  <c r="AF681" i="9"/>
  <c r="AF682" i="9"/>
  <c r="AF690" i="9"/>
  <c r="AF699" i="9"/>
  <c r="AF725" i="9"/>
  <c r="AF731" i="9"/>
  <c r="AF746" i="9"/>
  <c r="AF203" i="9"/>
  <c r="AF439" i="9"/>
  <c r="AF473" i="9"/>
  <c r="AF475" i="9"/>
  <c r="AF481" i="9"/>
  <c r="AF492" i="9"/>
  <c r="AF494" i="9"/>
  <c r="AF514" i="9"/>
  <c r="AF564" i="9"/>
  <c r="AF616" i="9"/>
  <c r="AF633" i="9"/>
  <c r="AF649" i="9"/>
  <c r="AF668" i="9"/>
  <c r="AF683" i="9"/>
  <c r="AF704" i="9"/>
  <c r="AF706" i="9"/>
  <c r="AF712" i="9"/>
  <c r="AF739" i="9"/>
  <c r="AF756" i="9"/>
  <c r="AF495" i="9"/>
  <c r="AF520" i="9"/>
  <c r="AF617" i="9"/>
  <c r="AF653" i="9"/>
  <c r="AF673" i="9"/>
  <c r="AF676" i="9"/>
  <c r="AF684" i="9"/>
  <c r="AF747" i="9"/>
  <c r="AF768" i="9"/>
  <c r="AF771" i="9"/>
  <c r="AF787" i="9"/>
  <c r="AF794" i="9"/>
  <c r="AF818" i="9"/>
  <c r="AF825" i="9"/>
  <c r="AF845" i="9"/>
  <c r="AF863" i="9"/>
  <c r="AF887" i="9"/>
  <c r="AF894" i="9"/>
  <c r="AF939" i="9"/>
  <c r="AF944" i="9"/>
  <c r="AF954" i="9"/>
  <c r="AF961" i="9"/>
  <c r="AF982" i="9"/>
  <c r="AF1010" i="9"/>
  <c r="AF1017" i="9"/>
  <c r="AF1035" i="9"/>
  <c r="AF1051" i="9"/>
  <c r="AF1101" i="9"/>
  <c r="AF377" i="9"/>
  <c r="AF457" i="9"/>
  <c r="AF463" i="9"/>
  <c r="AF500" i="9"/>
  <c r="AF552" i="9"/>
  <c r="AF558" i="9"/>
  <c r="AF666" i="9"/>
  <c r="AF733" i="9"/>
  <c r="AF736" i="9"/>
  <c r="AF757" i="9"/>
  <c r="AF802" i="9"/>
  <c r="AF808" i="9"/>
  <c r="AF823" i="9"/>
  <c r="AF871" i="9"/>
  <c r="AF877" i="9"/>
  <c r="AF892" i="9"/>
  <c r="AF927" i="9"/>
  <c r="AF933" i="9"/>
  <c r="AF950" i="9"/>
  <c r="AF951" i="9"/>
  <c r="AF959" i="9"/>
  <c r="AF968" i="9"/>
  <c r="AF994" i="9"/>
  <c r="AF1000" i="9"/>
  <c r="AF1015" i="9"/>
  <c r="AF1033" i="9"/>
  <c r="AF1058" i="9"/>
  <c r="AF1089" i="9"/>
  <c r="AF1095" i="9"/>
  <c r="AF1127" i="9"/>
  <c r="AF635" i="9"/>
  <c r="AF650" i="9"/>
  <c r="AF754" i="9"/>
  <c r="AF816" i="9"/>
  <c r="AF839" i="9"/>
  <c r="AF853" i="9"/>
  <c r="AF857" i="9"/>
  <c r="AF902" i="9"/>
  <c r="AF918" i="9"/>
  <c r="AF937" i="9"/>
  <c r="AF973" i="9"/>
  <c r="AF975" i="9"/>
  <c r="AF981" i="9"/>
  <c r="AF1008" i="9"/>
  <c r="AF1028" i="9"/>
  <c r="AF1080" i="9"/>
  <c r="AF1099" i="9"/>
  <c r="AF1110" i="9"/>
  <c r="AF1112" i="9"/>
  <c r="AF1116" i="9"/>
  <c r="AF1150" i="9"/>
  <c r="AF1178" i="9"/>
  <c r="AF1184" i="9"/>
  <c r="AF1199" i="9"/>
  <c r="AF1216" i="9"/>
  <c r="AF1266" i="9"/>
  <c r="AF1275" i="9"/>
  <c r="AF1340" i="9"/>
  <c r="AF1346" i="9"/>
  <c r="AF1361" i="9"/>
  <c r="AF409" i="9"/>
  <c r="AF561" i="9"/>
  <c r="AF648" i="9"/>
  <c r="AF770" i="9"/>
  <c r="AF824" i="9"/>
  <c r="AF864" i="9"/>
  <c r="AF886" i="9"/>
  <c r="AF922" i="9"/>
  <c r="AF942" i="9"/>
  <c r="AF945" i="9"/>
  <c r="AF953" i="9"/>
  <c r="AF1016" i="9"/>
  <c r="AF1034" i="9"/>
  <c r="AF1084" i="9"/>
  <c r="AF1104" i="9"/>
  <c r="AF1120" i="9"/>
  <c r="AF1122" i="9"/>
  <c r="AF1124" i="9"/>
  <c r="AF1144" i="9"/>
  <c r="AF1148" i="9"/>
  <c r="AF1157" i="9"/>
  <c r="AF1159" i="9"/>
  <c r="AF1165" i="9"/>
  <c r="AF1192" i="9"/>
  <c r="AF1209" i="9"/>
  <c r="AF1215" i="9"/>
  <c r="AF1224" i="9"/>
  <c r="AF1226" i="9"/>
  <c r="AF1232" i="9"/>
  <c r="AF1252" i="9"/>
  <c r="AF1259" i="9"/>
  <c r="AF1280" i="9"/>
  <c r="AF1282" i="9"/>
  <c r="AF1288" i="9"/>
  <c r="AF1299" i="9"/>
  <c r="AF1301" i="9"/>
  <c r="AF1321" i="9"/>
  <c r="AF1354" i="9"/>
  <c r="AF1371" i="9"/>
  <c r="AF1377" i="9"/>
  <c r="AF1391" i="9"/>
  <c r="AF1395" i="9"/>
  <c r="AF290" i="9"/>
  <c r="AF697" i="9"/>
  <c r="AF66" i="9"/>
  <c r="AF74" i="9"/>
  <c r="AF63" i="9"/>
  <c r="AF65" i="9"/>
  <c r="AF71" i="9"/>
  <c r="AF91" i="9"/>
  <c r="AF62" i="9"/>
  <c r="AF69" i="9"/>
  <c r="AF102" i="9"/>
  <c r="AF64" i="9"/>
  <c r="AF70" i="9"/>
  <c r="AF101" i="9"/>
  <c r="AF103" i="9"/>
  <c r="AF99" i="9"/>
  <c r="AF109" i="9"/>
  <c r="AF82" i="9"/>
  <c r="AF88" i="9"/>
  <c r="AF106" i="9"/>
  <c r="AF122" i="9"/>
  <c r="AF75" i="9"/>
  <c r="AF97" i="9"/>
  <c r="AF110" i="9"/>
  <c r="AF113" i="9"/>
  <c r="AF141" i="9"/>
  <c r="AF145" i="9"/>
  <c r="AF166" i="9"/>
  <c r="AF168" i="9"/>
  <c r="AF174" i="9"/>
  <c r="AF129" i="9"/>
  <c r="AF136" i="9"/>
  <c r="AF162" i="9"/>
  <c r="AF132" i="9"/>
  <c r="AF147" i="9"/>
  <c r="AF154" i="9"/>
  <c r="AF183" i="9"/>
  <c r="AF204" i="9"/>
  <c r="AF206" i="9"/>
  <c r="AF212" i="9"/>
  <c r="AF202" i="9"/>
  <c r="AF209" i="9"/>
  <c r="AF160" i="9"/>
  <c r="AF181" i="9"/>
  <c r="AF185" i="9"/>
  <c r="AF192" i="9"/>
  <c r="AF230" i="9"/>
  <c r="AF233" i="9"/>
  <c r="AF152" i="9"/>
  <c r="AF208" i="9"/>
  <c r="AF238" i="9"/>
  <c r="AF243" i="9"/>
  <c r="AF198" i="9"/>
  <c r="AF219" i="9"/>
  <c r="AF232" i="9"/>
  <c r="AF227" i="9"/>
  <c r="AF247" i="9"/>
  <c r="AF254" i="9"/>
  <c r="AF263" i="9"/>
  <c r="AF265" i="9"/>
  <c r="AF271" i="9"/>
  <c r="AF291" i="9"/>
  <c r="AF302" i="9"/>
  <c r="AF308" i="9"/>
  <c r="AF323" i="9"/>
  <c r="AF332" i="9"/>
  <c r="AF334" i="9"/>
  <c r="AF340" i="9"/>
  <c r="AF257" i="9"/>
  <c r="AF279" i="9"/>
  <c r="AF286" i="9"/>
  <c r="AF306" i="9"/>
  <c r="AF326" i="9"/>
  <c r="AF108" i="9"/>
  <c r="AF190" i="9"/>
  <c r="AF313" i="9"/>
  <c r="AF341" i="9"/>
  <c r="AF344" i="9"/>
  <c r="AF361" i="9"/>
  <c r="AF370" i="9"/>
  <c r="AF372" i="9"/>
  <c r="AF378" i="9"/>
  <c r="AF398" i="9"/>
  <c r="AF432" i="9"/>
  <c r="AF251" i="9"/>
  <c r="AF348" i="9"/>
  <c r="AF355" i="9"/>
  <c r="AF384" i="9"/>
  <c r="AF400" i="9"/>
  <c r="AF404" i="9"/>
  <c r="AF407" i="9"/>
  <c r="AF415" i="9"/>
  <c r="AF422" i="9"/>
  <c r="AF438" i="9"/>
  <c r="AF303" i="9"/>
  <c r="AF359" i="9"/>
  <c r="AF387" i="9"/>
  <c r="AF394" i="9"/>
  <c r="AF426" i="9"/>
  <c r="AF429" i="9"/>
  <c r="AF469" i="9"/>
  <c r="AF485" i="9"/>
  <c r="AF489" i="9"/>
  <c r="AF505" i="9"/>
  <c r="AF510" i="9"/>
  <c r="AF535" i="9"/>
  <c r="AF543" i="9"/>
  <c r="AF578" i="9"/>
  <c r="AF604" i="9"/>
  <c r="AF612" i="9"/>
  <c r="AF374" i="9"/>
  <c r="AF383" i="9"/>
  <c r="AF405" i="9"/>
  <c r="AF448" i="9"/>
  <c r="AF464" i="9"/>
  <c r="AF467" i="9"/>
  <c r="AF488" i="9"/>
  <c r="AF521" i="9"/>
  <c r="AF531" i="9"/>
  <c r="AF538" i="9"/>
  <c r="AF559" i="9"/>
  <c r="AF590" i="9"/>
  <c r="AF600" i="9"/>
  <c r="AF607" i="9"/>
  <c r="AF234" i="9"/>
  <c r="AF349" i="9"/>
  <c r="AF423" i="9"/>
  <c r="AF459" i="9"/>
  <c r="AF468" i="9"/>
  <c r="AF554" i="9"/>
  <c r="AF602" i="9"/>
  <c r="AF608" i="9"/>
  <c r="AF640" i="9"/>
  <c r="AF646" i="9"/>
  <c r="AF661" i="9"/>
  <c r="AF678" i="9"/>
  <c r="AF728" i="9"/>
  <c r="AF737" i="9"/>
  <c r="AF270" i="9"/>
  <c r="AF351" i="9"/>
  <c r="AF357" i="9"/>
  <c r="AF449" i="9"/>
  <c r="AF465" i="9"/>
  <c r="AF484" i="9"/>
  <c r="AF504" i="9"/>
  <c r="AF523" i="9"/>
  <c r="AF532" i="9"/>
  <c r="AF534" i="9"/>
  <c r="AF540" i="9"/>
  <c r="AF560" i="9"/>
  <c r="AF619" i="9"/>
  <c r="AF621" i="9"/>
  <c r="AF627" i="9"/>
  <c r="AF654" i="9"/>
  <c r="AF671" i="9"/>
  <c r="AF677" i="9"/>
  <c r="AF686" i="9"/>
  <c r="AF688" i="9"/>
  <c r="AF694" i="9"/>
  <c r="AF714" i="9"/>
  <c r="AF721" i="9"/>
  <c r="AF742" i="9"/>
  <c r="AF744" i="9"/>
  <c r="AF750" i="9"/>
  <c r="AF321" i="9"/>
  <c r="AF376" i="9"/>
  <c r="AF456" i="9"/>
  <c r="AF462" i="9"/>
  <c r="AF551" i="9"/>
  <c r="AF557" i="9"/>
  <c r="AF589" i="9"/>
  <c r="AF644" i="9"/>
  <c r="AF660" i="9"/>
  <c r="AF700" i="9"/>
  <c r="AF720" i="9"/>
  <c r="AF727" i="9"/>
  <c r="AF735" i="9"/>
  <c r="AF790" i="9"/>
  <c r="AF800" i="9"/>
  <c r="AF807" i="9"/>
  <c r="AF828" i="9"/>
  <c r="AF859" i="9"/>
  <c r="AF869" i="9"/>
  <c r="AF876" i="9"/>
  <c r="AF897" i="9"/>
  <c r="AF925" i="9"/>
  <c r="AF932" i="9"/>
  <c r="AF964" i="9"/>
  <c r="AF967" i="9"/>
  <c r="AF988" i="9"/>
  <c r="AF992" i="9"/>
  <c r="AF999" i="9"/>
  <c r="AF1020" i="9"/>
  <c r="AF1037" i="9"/>
  <c r="AF1040" i="9"/>
  <c r="AF1056" i="9"/>
  <c r="AF1063" i="9"/>
  <c r="AF1087" i="9"/>
  <c r="AF1094" i="9"/>
  <c r="AF446" i="9"/>
  <c r="AF529" i="9"/>
  <c r="AF574" i="9"/>
  <c r="AF670" i="9"/>
  <c r="AF713" i="9"/>
  <c r="AF741" i="9"/>
  <c r="AF748" i="9"/>
  <c r="AF776" i="9"/>
  <c r="AF781" i="9"/>
  <c r="AF796" i="9"/>
  <c r="AF797" i="9"/>
  <c r="AF805" i="9"/>
  <c r="AF814" i="9"/>
  <c r="AF848" i="9"/>
  <c r="AF852" i="9"/>
  <c r="AF865" i="9"/>
  <c r="AF866" i="9"/>
  <c r="AF874" i="9"/>
  <c r="AF883" i="9"/>
  <c r="AF909" i="9"/>
  <c r="AF915" i="9"/>
  <c r="AF930" i="9"/>
  <c r="AF947" i="9"/>
  <c r="AF997" i="9"/>
  <c r="AF1006" i="9"/>
  <c r="AF1071" i="9"/>
  <c r="AF1077" i="9"/>
  <c r="AF1092" i="9"/>
  <c r="AF1140" i="9"/>
  <c r="AF1146" i="9"/>
  <c r="AF397" i="9"/>
  <c r="AF527" i="9"/>
  <c r="AF528" i="9"/>
  <c r="AF579" i="9"/>
  <c r="AF680" i="9"/>
  <c r="AF702" i="9"/>
  <c r="AF758" i="9"/>
  <c r="AF786" i="9"/>
  <c r="AF840" i="9"/>
  <c r="AF846" i="9"/>
  <c r="AF861" i="9"/>
  <c r="AF870" i="9"/>
  <c r="AF872" i="9"/>
  <c r="AF878" i="9"/>
  <c r="AF898" i="9"/>
  <c r="AF905" i="9"/>
  <c r="AF965" i="9"/>
  <c r="AF984" i="9"/>
  <c r="AF1067" i="9"/>
  <c r="AF1181" i="9"/>
  <c r="AF1190" i="9"/>
  <c r="AF1212" i="9"/>
  <c r="AF1243" i="9"/>
  <c r="AF1249" i="9"/>
  <c r="AF1314" i="9"/>
  <c r="AF1319" i="9"/>
  <c r="AF1334" i="9"/>
  <c r="AF1335" i="9"/>
  <c r="AF1343" i="9"/>
  <c r="AF1352" i="9"/>
  <c r="AF1386" i="9"/>
  <c r="AF1390" i="9"/>
  <c r="AF1403" i="9"/>
  <c r="AF490" i="9"/>
  <c r="AF632" i="9"/>
  <c r="AF710" i="9"/>
  <c r="AF774" i="9"/>
  <c r="AF804" i="9"/>
  <c r="AF812" i="9"/>
  <c r="AF913" i="9"/>
  <c r="AF929" i="9"/>
  <c r="AF969" i="9"/>
  <c r="AF989" i="9"/>
  <c r="AF996" i="9"/>
  <c r="AF1004" i="9"/>
  <c r="AF1054" i="9"/>
  <c r="AF1075" i="9"/>
  <c r="AF1091" i="9"/>
  <c r="AF1129" i="9"/>
  <c r="AF1137" i="9"/>
  <c r="AF1167" i="9"/>
  <c r="AF1174" i="9"/>
  <c r="AF1195" i="9"/>
  <c r="AF1197" i="9"/>
  <c r="AF1203" i="9"/>
  <c r="AF1234" i="9"/>
  <c r="AF1253" i="9"/>
  <c r="AF1262" i="9"/>
  <c r="AF1264" i="9"/>
  <c r="AF1270" i="9"/>
  <c r="AF1290" i="9"/>
  <c r="AF1307" i="9"/>
  <c r="AF1322" i="9"/>
  <c r="AF1336" i="9"/>
  <c r="AF1357" i="9"/>
  <c r="AF1359" i="9"/>
  <c r="AF1365" i="9"/>
  <c r="AF1381" i="9"/>
  <c r="AF1388" i="9"/>
  <c r="AF1392" i="9"/>
  <c r="AF536" i="9"/>
  <c r="AF689" i="9"/>
  <c r="AF1893" i="9"/>
  <c r="AF1871" i="9"/>
  <c r="AF1805" i="9"/>
  <c r="AF1444" i="9"/>
  <c r="AF1965" i="9"/>
  <c r="AF1939" i="9"/>
  <c r="AF1844" i="9"/>
  <c r="AF1727" i="9"/>
  <c r="AF1411" i="9"/>
  <c r="AF1989" i="9"/>
  <c r="AF1927" i="9"/>
  <c r="AF1779" i="9"/>
  <c r="AF1639" i="9"/>
  <c r="AF1573" i="9"/>
  <c r="AF1956" i="9"/>
  <c r="AF1923" i="9"/>
  <c r="AF1855" i="9"/>
  <c r="AF1814" i="9"/>
  <c r="AF1393" i="9"/>
  <c r="AF1663" i="9"/>
  <c r="AF1644" i="9"/>
  <c r="AF1622" i="9"/>
  <c r="AF1572" i="9"/>
  <c r="AF1540" i="9"/>
  <c r="AF1419" i="9"/>
  <c r="AF1739" i="9"/>
  <c r="AF1614" i="9"/>
  <c r="AF1547" i="9"/>
  <c r="AF1738" i="9"/>
  <c r="AF1675" i="9"/>
  <c r="AF1667" i="9"/>
  <c r="AF1613" i="9"/>
  <c r="AF1592" i="9"/>
  <c r="AF1398" i="9"/>
  <c r="AF1344" i="9"/>
  <c r="AF1273" i="9"/>
  <c r="AF1467" i="9"/>
  <c r="AF1329" i="9"/>
  <c r="AF506" i="9"/>
  <c r="AF1360" i="9"/>
  <c r="AF1238" i="9"/>
  <c r="AF1452" i="9"/>
  <c r="AF1445" i="9"/>
  <c r="AF1441" i="9"/>
  <c r="AF1420" i="9"/>
  <c r="AF1417" i="9"/>
  <c r="AF1345" i="9"/>
  <c r="AF1176" i="9"/>
  <c r="AF835" i="9"/>
  <c r="AF1985" i="9"/>
  <c r="AF1953" i="9"/>
  <c r="AF1935" i="9"/>
  <c r="AF1904" i="9"/>
  <c r="AF1833" i="9"/>
  <c r="AF1812" i="9"/>
  <c r="AF1809" i="9"/>
  <c r="AF1742" i="9"/>
  <c r="AF1641" i="9"/>
  <c r="AF1620" i="9"/>
  <c r="AF1617" i="9"/>
  <c r="AF1587" i="9"/>
  <c r="AF1562" i="9"/>
  <c r="AF1479" i="9"/>
  <c r="AF1458" i="9"/>
  <c r="AF1455" i="9"/>
  <c r="AF1379" i="9"/>
  <c r="AF1320" i="9"/>
  <c r="AF1223" i="9"/>
  <c r="AF1213" i="9"/>
  <c r="AF1163" i="9"/>
  <c r="AF1027" i="9"/>
  <c r="AF856" i="9"/>
  <c r="AF815" i="9"/>
  <c r="AF1968" i="9"/>
  <c r="AF1931" i="9"/>
  <c r="AF1875" i="9"/>
  <c r="AF1867" i="9"/>
  <c r="AF1864" i="9"/>
  <c r="AF1848" i="9"/>
  <c r="AF1792" i="9"/>
  <c r="AF1713" i="9"/>
  <c r="AF1688" i="9"/>
  <c r="AF1680" i="9"/>
  <c r="AF1654" i="9"/>
  <c r="AF1586" i="9"/>
  <c r="AF1565" i="9"/>
  <c r="AF1545" i="9"/>
  <c r="AF1509" i="9"/>
  <c r="AF1487" i="9"/>
  <c r="AF1438" i="9"/>
  <c r="AF1394" i="9"/>
  <c r="AF1375" i="9"/>
  <c r="AF1353" i="9"/>
  <c r="AF1303" i="9"/>
  <c r="AF1211" i="9"/>
  <c r="AF970" i="9"/>
  <c r="AF880" i="9"/>
  <c r="AF1149" i="9"/>
  <c r="AF1072" i="9"/>
  <c r="AF849" i="9"/>
  <c r="AF811" i="9"/>
  <c r="AF745" i="9"/>
  <c r="AF1156" i="9"/>
  <c r="AF1130" i="9"/>
  <c r="AF1043" i="9"/>
  <c r="AF884" i="9"/>
  <c r="AF831" i="9"/>
  <c r="AF751" i="9"/>
  <c r="AF611" i="9"/>
  <c r="AF597" i="9"/>
  <c r="AF545" i="9"/>
  <c r="AF1987" i="9"/>
  <c r="AF1971" i="9"/>
  <c r="AF1955" i="9"/>
  <c r="AF1937" i="9"/>
  <c r="AF1922" i="9"/>
  <c r="AF1916" i="9"/>
  <c r="AF1905" i="9"/>
  <c r="AF1885" i="9"/>
  <c r="AF1879" i="9"/>
  <c r="AF1877" i="9"/>
  <c r="AF1868" i="9"/>
  <c r="AF1862" i="9"/>
  <c r="AF1849" i="9"/>
  <c r="AF1829" i="9"/>
  <c r="AF1810" i="9"/>
  <c r="AF1794" i="9"/>
  <c r="AF1777" i="9"/>
  <c r="AF1743" i="9"/>
  <c r="AF1723" i="9"/>
  <c r="AF1717" i="9"/>
  <c r="AF1715" i="9"/>
  <c r="AF1706" i="9"/>
  <c r="AF1687" i="9"/>
  <c r="AF1656" i="9"/>
  <c r="AF1643" i="9"/>
  <c r="AF1637" i="9"/>
  <c r="AF1618" i="9"/>
  <c r="AF1584" i="9"/>
  <c r="AF1582" i="9"/>
  <c r="AF1566" i="9"/>
  <c r="AF1563" i="9"/>
  <c r="AF1546" i="9"/>
  <c r="AF1519" i="9"/>
  <c r="AF1513" i="9"/>
  <c r="AF1511" i="9"/>
  <c r="AF1490" i="9"/>
  <c r="AF1475" i="9"/>
  <c r="AF1456" i="9"/>
  <c r="AF1440" i="9"/>
  <c r="AF1423" i="9"/>
  <c r="AF1383" i="9"/>
  <c r="AF1363" i="9"/>
  <c r="AF1356" i="9"/>
  <c r="AF1332" i="9"/>
  <c r="AF1268" i="9"/>
  <c r="AF1261" i="9"/>
  <c r="AF1257" i="9"/>
  <c r="AF1236" i="9"/>
  <c r="AF1233" i="9"/>
  <c r="AF1201" i="9"/>
  <c r="AF1194" i="9"/>
  <c r="AF1166" i="9"/>
  <c r="AF1114" i="9"/>
  <c r="AF1086" i="9"/>
  <c r="AF1064" i="9"/>
  <c r="AF991" i="9"/>
  <c r="AF958" i="9"/>
  <c r="AF875" i="9"/>
  <c r="AF855" i="9"/>
  <c r="AF788" i="9"/>
  <c r="AF723" i="9"/>
  <c r="AF663" i="9"/>
  <c r="AF1982" i="9"/>
  <c r="AF1966" i="9"/>
  <c r="AF1950" i="9"/>
  <c r="AF1934" i="9"/>
  <c r="AF1902" i="9"/>
  <c r="AF1896" i="9"/>
  <c r="AF1865" i="9"/>
  <c r="AF1840" i="9"/>
  <c r="AF1822" i="9"/>
  <c r="AF1807" i="9"/>
  <c r="AF1801" i="9"/>
  <c r="AF1775" i="9"/>
  <c r="AF1766" i="9"/>
  <c r="AF1758" i="9"/>
  <c r="AF1757" i="9"/>
  <c r="AF1740" i="9"/>
  <c r="AF1734" i="9"/>
  <c r="AF1699" i="9"/>
  <c r="AF1684" i="9"/>
  <c r="AF1678" i="9"/>
  <c r="AF1630" i="9"/>
  <c r="AF1615" i="9"/>
  <c r="AF1609" i="9"/>
  <c r="AF1544" i="9"/>
  <c r="AF1535" i="9"/>
  <c r="AF1485" i="9"/>
  <c r="AF1468" i="9"/>
  <c r="AF1453" i="9"/>
  <c r="AF1447" i="9"/>
  <c r="AF1421" i="9"/>
  <c r="AF1412" i="9"/>
  <c r="AF1404" i="9"/>
  <c r="AF1350" i="9"/>
  <c r="AF1342" i="9"/>
  <c r="AF1312" i="9"/>
  <c r="AF1292" i="9"/>
  <c r="AF1247" i="9"/>
  <c r="AF1188" i="9"/>
  <c r="AF1180" i="9"/>
  <c r="AF1173" i="9"/>
  <c r="AF1052" i="9"/>
  <c r="AF1030" i="9"/>
  <c r="AF1019" i="9"/>
  <c r="AF1013" i="9"/>
  <c r="AF940" i="9"/>
  <c r="AF867" i="9"/>
  <c r="AF819" i="9"/>
  <c r="AF784" i="9"/>
  <c r="AF1765" i="9"/>
  <c r="AF1920" i="9"/>
  <c r="AF1798" i="9"/>
  <c r="AF1940" i="9"/>
  <c r="AF1900" i="9"/>
  <c r="AF1589" i="9"/>
  <c r="AF1949" i="9"/>
  <c r="AF1921" i="9"/>
  <c r="AF1894" i="9"/>
  <c r="AF1870" i="9"/>
  <c r="AF1799" i="9"/>
  <c r="AF1771" i="9"/>
  <c r="AF1755" i="9"/>
  <c r="AF1748" i="9"/>
  <c r="AF1973" i="9"/>
  <c r="AF1886" i="9"/>
  <c r="AF1856" i="9"/>
  <c r="AF1831" i="9"/>
  <c r="AF1888" i="9"/>
  <c r="AF1850" i="9"/>
  <c r="AF1785" i="9"/>
  <c r="AF1726" i="9"/>
  <c r="AF1711" i="9"/>
  <c r="AF1567" i="9"/>
  <c r="AF1520" i="9"/>
  <c r="AF1676" i="9"/>
  <c r="AF1666" i="9"/>
  <c r="AF1524" i="9"/>
  <c r="AF1731" i="9"/>
  <c r="AF1698" i="9"/>
  <c r="AF1606" i="9"/>
  <c r="AF1598" i="9"/>
  <c r="AF1579" i="9"/>
  <c r="AF1055" i="9"/>
  <c r="AF1542" i="9"/>
  <c r="AF1527" i="9"/>
  <c r="AF1483" i="9"/>
  <c r="AF1460" i="9"/>
  <c r="AF1477" i="9"/>
  <c r="AF1397" i="9"/>
  <c r="AF1295" i="9"/>
  <c r="AF1274" i="9"/>
  <c r="AF1204" i="9"/>
  <c r="AF1977" i="9"/>
  <c r="AF1945" i="9"/>
  <c r="AF1917" i="9"/>
  <c r="AF1858" i="9"/>
  <c r="AF1768" i="9"/>
  <c r="AF1761" i="9"/>
  <c r="AF1751" i="9"/>
  <c r="AF1701" i="9"/>
  <c r="AF1694" i="9"/>
  <c r="AF1670" i="9"/>
  <c r="AF1594" i="9"/>
  <c r="AF1578" i="9"/>
  <c r="AF1575" i="9"/>
  <c r="AF1558" i="9"/>
  <c r="AF1414" i="9"/>
  <c r="AF1407" i="9"/>
  <c r="AF1370" i="9"/>
  <c r="AF1304" i="9"/>
  <c r="AF1279" i="9"/>
  <c r="AF1251" i="9"/>
  <c r="AF1109" i="9"/>
  <c r="AF837" i="9"/>
  <c r="AF1960" i="9"/>
  <c r="AF1907" i="9"/>
  <c r="AF1836" i="9"/>
  <c r="AF1816" i="9"/>
  <c r="AF1783" i="9"/>
  <c r="AF1767" i="9"/>
  <c r="AF1745" i="9"/>
  <c r="AF1700" i="9"/>
  <c r="AF1651" i="9"/>
  <c r="AF1624" i="9"/>
  <c r="AF1602" i="9"/>
  <c r="AF1529" i="9"/>
  <c r="AF1504" i="9"/>
  <c r="AF1496" i="9"/>
  <c r="AF1462" i="9"/>
  <c r="AF1429" i="9"/>
  <c r="AF1413" i="9"/>
  <c r="AF1298" i="9"/>
  <c r="AF1229" i="9"/>
  <c r="AF1207" i="9"/>
  <c r="AF1138" i="9"/>
  <c r="AF1145" i="9"/>
  <c r="AF1105" i="9"/>
  <c r="AF1098" i="9"/>
  <c r="AF1070" i="9"/>
  <c r="AF910" i="9"/>
  <c r="AF1141" i="9"/>
  <c r="AF1073" i="9"/>
  <c r="AF904" i="9"/>
  <c r="AF1983" i="9"/>
  <c r="AF1967" i="9"/>
  <c r="AF1951" i="9"/>
  <c r="AF1930" i="9"/>
  <c r="AF1926" i="9"/>
  <c r="AF1919" i="9"/>
  <c r="AF1903" i="9"/>
  <c r="AF1897" i="9"/>
  <c r="AF1895" i="9"/>
  <c r="AF1874" i="9"/>
  <c r="AF1860" i="9"/>
  <c r="AF1845" i="9"/>
  <c r="AF1828" i="9"/>
  <c r="AF1808" i="9"/>
  <c r="AF1802" i="9"/>
  <c r="AF1800" i="9"/>
  <c r="AF1791" i="9"/>
  <c r="AF1772" i="9"/>
  <c r="AF1741" i="9"/>
  <c r="AF1735" i="9"/>
  <c r="AF1733" i="9"/>
  <c r="AF1712" i="9"/>
  <c r="AF1705" i="9"/>
  <c r="AF1685" i="9"/>
  <c r="AF1679" i="9"/>
  <c r="AF1677" i="9"/>
  <c r="AF1668" i="9"/>
  <c r="AF1653" i="9"/>
  <c r="AF1647" i="9"/>
  <c r="AF1636" i="9"/>
  <c r="AF1616" i="9"/>
  <c r="AF1610" i="9"/>
  <c r="AF1608" i="9"/>
  <c r="AF1599" i="9"/>
  <c r="AF1593" i="9"/>
  <c r="AF1580" i="9"/>
  <c r="AF1560" i="9"/>
  <c r="AF1541" i="9"/>
  <c r="AF1525" i="9"/>
  <c r="AF1508" i="9"/>
  <c r="AF1474" i="9"/>
  <c r="AF1454" i="9"/>
  <c r="AF1448" i="9"/>
  <c r="AF1446" i="9"/>
  <c r="AF1437" i="9"/>
  <c r="AF1418" i="9"/>
  <c r="AF1372" i="9"/>
  <c r="AF1351" i="9"/>
  <c r="AF1348" i="9"/>
  <c r="AF1318" i="9"/>
  <c r="AF1293" i="9"/>
  <c r="AF1210" i="9"/>
  <c r="AF1189" i="9"/>
  <c r="AF1186" i="9"/>
  <c r="AF1153" i="9"/>
  <c r="AF1039" i="9"/>
  <c r="AF1014" i="9"/>
  <c r="AF931" i="9"/>
  <c r="AF868" i="9"/>
  <c r="AF860" i="9"/>
  <c r="AF806" i="9"/>
  <c r="AF785" i="9"/>
  <c r="AF730" i="9"/>
  <c r="AF698" i="9"/>
  <c r="AF628" i="9"/>
  <c r="AF487" i="9"/>
  <c r="AF1978" i="9"/>
  <c r="AF1962" i="9"/>
  <c r="AF1946" i="9"/>
  <c r="AF1938" i="9"/>
  <c r="AF1918" i="9"/>
  <c r="AF1914" i="9"/>
  <c r="AF1869" i="9"/>
  <c r="AF1854" i="9"/>
  <c r="AF1843" i="9"/>
  <c r="AF1838" i="9"/>
  <c r="AF1825" i="9"/>
  <c r="AF1819" i="9"/>
  <c r="AF1784" i="9"/>
  <c r="AF1769" i="9"/>
  <c r="AF1763" i="9"/>
  <c r="AF1702" i="9"/>
  <c r="AF1696" i="9"/>
  <c r="AF1665" i="9"/>
  <c r="AF1633" i="9"/>
  <c r="AF1627" i="9"/>
  <c r="AF1596" i="9"/>
  <c r="AF1571" i="9"/>
  <c r="AF1553" i="9"/>
  <c r="AF1538" i="9"/>
  <c r="AF1532" i="9"/>
  <c r="AF1506" i="9"/>
  <c r="AF1497" i="9"/>
  <c r="AF1489" i="9"/>
  <c r="AF1488" i="9"/>
  <c r="AF1471" i="9"/>
  <c r="AF1465" i="9"/>
  <c r="AF1430" i="9"/>
  <c r="AF1415" i="9"/>
  <c r="AF1409" i="9"/>
  <c r="AF1402" i="9"/>
  <c r="AF1362" i="9"/>
  <c r="AF1308" i="9"/>
  <c r="AF1283" i="9"/>
  <c r="AF1267" i="9"/>
  <c r="AF1200" i="9"/>
  <c r="AF983" i="9"/>
  <c r="AF955" i="9"/>
  <c r="AF923" i="9"/>
  <c r="AF896" i="9"/>
  <c r="AF890" i="9"/>
  <c r="AF843" i="9"/>
  <c r="AF798" i="9"/>
  <c r="AF1948" i="9"/>
  <c r="AF1964" i="9"/>
  <c r="AF1821" i="9"/>
  <c r="AF1756" i="9"/>
  <c r="AF1980" i="9"/>
  <c r="AF1773" i="9"/>
  <c r="AF1863" i="9"/>
  <c r="AF1847" i="9"/>
  <c r="AF1827" i="9"/>
  <c r="AF1957" i="9"/>
  <c r="AF1786" i="9"/>
  <c r="AF1724" i="9"/>
  <c r="AF1988" i="9"/>
  <c r="AF1834" i="9"/>
  <c r="AF1778" i="9"/>
  <c r="AF1707" i="9"/>
  <c r="AF1642" i="9"/>
  <c r="AF1548" i="9"/>
  <c r="AF1507" i="9"/>
  <c r="AF1326" i="9"/>
  <c r="AF1732" i="9"/>
  <c r="AF1704" i="9"/>
  <c r="AF1607" i="9"/>
  <c r="AF1597" i="9"/>
  <c r="AF1514" i="9"/>
  <c r="AF1629" i="9"/>
  <c r="AF1564" i="9"/>
  <c r="AF1555" i="9"/>
  <c r="AF1431" i="9"/>
  <c r="AF1323" i="9"/>
  <c r="AF1310" i="9"/>
  <c r="AF1254" i="9"/>
  <c r="AF1523" i="9"/>
  <c r="AF1480" i="9"/>
  <c r="AF1424" i="9"/>
  <c r="AF1182" i="9"/>
  <c r="AF899" i="9"/>
  <c r="AF1473" i="9"/>
  <c r="AF1338" i="9"/>
  <c r="AF1328" i="9"/>
  <c r="AF1255" i="9"/>
  <c r="AF1183" i="9"/>
  <c r="AF1172" i="9"/>
  <c r="AF1048" i="9"/>
  <c r="AF1969" i="9"/>
  <c r="AF1883" i="9"/>
  <c r="AF1876" i="9"/>
  <c r="AF1866" i="9"/>
  <c r="AF1793" i="9"/>
  <c r="AF1721" i="9"/>
  <c r="AF1714" i="9"/>
  <c r="AF1710" i="9"/>
  <c r="AF1689" i="9"/>
  <c r="AF1686" i="9"/>
  <c r="AF1658" i="9"/>
  <c r="AF1517" i="9"/>
  <c r="AF1510" i="9"/>
  <c r="AF1486" i="9"/>
  <c r="AF1439" i="9"/>
  <c r="AF1230" i="9"/>
  <c r="AF971" i="9"/>
  <c r="AF765" i="9"/>
  <c r="AF1984" i="9"/>
  <c r="AF1952" i="9"/>
  <c r="AF1936" i="9"/>
  <c r="AF1898" i="9"/>
  <c r="AF1882" i="9"/>
  <c r="AF1861" i="9"/>
  <c r="AF1811" i="9"/>
  <c r="AF1803" i="9"/>
  <c r="AF1796" i="9"/>
  <c r="AF1776" i="9"/>
  <c r="AF1736" i="9"/>
  <c r="AF1720" i="9"/>
  <c r="AF1619" i="9"/>
  <c r="AF1611" i="9"/>
  <c r="AF1581" i="9"/>
  <c r="AF1561" i="9"/>
  <c r="AF1516" i="9"/>
  <c r="AF1457" i="9"/>
  <c r="AF1449" i="9"/>
  <c r="AF1442" i="9"/>
  <c r="AF1422" i="9"/>
  <c r="AF1373" i="9"/>
  <c r="AF1285" i="9"/>
  <c r="AF1222" i="9"/>
  <c r="AF1214" i="9"/>
  <c r="AF1191" i="9"/>
  <c r="AF1128" i="9"/>
  <c r="AF1133" i="9"/>
  <c r="AF1078" i="9"/>
  <c r="AF1061" i="9"/>
  <c r="AF1022" i="9"/>
  <c r="AF936" i="9"/>
  <c r="AF908" i="9"/>
  <c r="AF759" i="9"/>
  <c r="AF1147" i="9"/>
  <c r="AF1132" i="9"/>
  <c r="AF1106" i="9"/>
  <c r="AF1081" i="9"/>
  <c r="AF978" i="9"/>
  <c r="AF911" i="9"/>
  <c r="AF596" i="9"/>
  <c r="AF1979" i="9"/>
  <c r="AF1963" i="9"/>
  <c r="AF1947" i="9"/>
  <c r="AF1933" i="9"/>
  <c r="AF1929" i="9"/>
  <c r="AF1915" i="9"/>
  <c r="AF1909" i="9"/>
  <c r="AF1892" i="9"/>
  <c r="AF1859" i="9"/>
  <c r="AF1839" i="9"/>
  <c r="AF1837" i="9"/>
  <c r="AF1826" i="9"/>
  <c r="AF1820" i="9"/>
  <c r="AF1818" i="9"/>
  <c r="AF1797" i="9"/>
  <c r="AF1790" i="9"/>
  <c r="AF1770" i="9"/>
  <c r="AF1764" i="9"/>
  <c r="AF1762" i="9"/>
  <c r="AF1753" i="9"/>
  <c r="AF1747" i="9"/>
  <c r="AF1730" i="9"/>
  <c r="AF1703" i="9"/>
  <c r="AF1697" i="9"/>
  <c r="AF1695" i="9"/>
  <c r="AF1674" i="9"/>
  <c r="AF1661" i="9"/>
  <c r="AF1657" i="9"/>
  <c r="AF1650" i="9"/>
  <c r="AF1634" i="9"/>
  <c r="AF1628" i="9"/>
  <c r="AF1626" i="9"/>
  <c r="AF1605" i="9"/>
  <c r="AF1591" i="9"/>
  <c r="AF1576" i="9"/>
  <c r="AF1559" i="9"/>
  <c r="AF1539" i="9"/>
  <c r="AF1533" i="9"/>
  <c r="AF1531" i="9"/>
  <c r="AF1522" i="9"/>
  <c r="AF1503" i="9"/>
  <c r="AF1472" i="9"/>
  <c r="AF1466" i="9"/>
  <c r="AF1464" i="9"/>
  <c r="AF1443" i="9"/>
  <c r="AF1436" i="9"/>
  <c r="AF1416" i="9"/>
  <c r="AF1410" i="9"/>
  <c r="AF1408" i="9"/>
  <c r="AF1401" i="9"/>
  <c r="AF1325" i="9"/>
  <c r="AF1309" i="9"/>
  <c r="AF1306" i="9"/>
  <c r="AF1289" i="9"/>
  <c r="AF966" i="9"/>
  <c r="AF924" i="9"/>
  <c r="AF891" i="9"/>
  <c r="AF799" i="9"/>
  <c r="AF791" i="9"/>
  <c r="AF772" i="9"/>
  <c r="AF695" i="9"/>
  <c r="AF1990" i="9"/>
  <c r="AF1974" i="9"/>
  <c r="AF1958" i="9"/>
  <c r="AF1942" i="9"/>
  <c r="AF1941" i="9"/>
  <c r="AF1928" i="9"/>
  <c r="AF1924" i="9"/>
  <c r="AF1890" i="9"/>
  <c r="AF1881" i="9"/>
  <c r="AF1873" i="9"/>
  <c r="AF1872" i="9"/>
  <c r="AF1857" i="9"/>
  <c r="AF1852" i="9"/>
  <c r="AF1787" i="9"/>
  <c r="AF1781" i="9"/>
  <c r="AF1750" i="9"/>
  <c r="AF1728" i="9"/>
  <c r="AF1719" i="9"/>
  <c r="AF1669" i="9"/>
  <c r="AF1649" i="9"/>
  <c r="AF1645" i="9"/>
  <c r="AF1600" i="9"/>
  <c r="AF1585" i="9"/>
  <c r="AF1574" i="9"/>
  <c r="AF1569" i="9"/>
  <c r="AF1556" i="9"/>
  <c r="AF1550" i="9"/>
  <c r="AF1515" i="9"/>
  <c r="AF1500" i="9"/>
  <c r="AF1494" i="9"/>
  <c r="AF1433" i="9"/>
  <c r="AF1427" i="9"/>
  <c r="AF1385" i="9"/>
  <c r="AF1317" i="9"/>
  <c r="AF1296" i="9"/>
  <c r="AF1276" i="9"/>
  <c r="AF1240" i="9"/>
  <c r="AF1218" i="9"/>
  <c r="AF1169" i="9"/>
  <c r="AF1102" i="9"/>
  <c r="AF1032" i="9"/>
  <c r="AF1011" i="9"/>
  <c r="AF827" i="9"/>
  <c r="AF821" i="9"/>
  <c r="AF769" i="9"/>
  <c r="F19" i="11"/>
  <c r="F18" i="11"/>
  <c r="B24" i="4" l="1"/>
  <c r="C24" i="4"/>
  <c r="D24" i="4"/>
  <c r="B124" i="4" a="1"/>
  <c r="B124" i="4" s="1"/>
  <c r="C124" i="4" a="1"/>
  <c r="C124" i="4" s="1"/>
  <c r="D124" i="4" a="1"/>
  <c r="D124" i="4" s="1"/>
  <c r="C111" i="4" a="1"/>
  <c r="C111" i="4" s="1"/>
  <c r="D111" i="4" a="1"/>
  <c r="D111" i="4" s="1"/>
  <c r="B111" i="4" a="1"/>
  <c r="B111" i="4" s="1"/>
  <c r="D93" i="4" a="1"/>
  <c r="D93" i="4" s="1"/>
  <c r="C93" i="4" a="1"/>
  <c r="C93" i="4" s="1"/>
  <c r="B93" i="4" a="1"/>
  <c r="B93" i="4" s="1"/>
  <c r="D109" i="4" a="1"/>
  <c r="D109" i="4" s="1"/>
  <c r="B109" i="4" a="1"/>
  <c r="B109" i="4" s="1"/>
  <c r="C109" i="4" a="1"/>
  <c r="C109" i="4" s="1"/>
  <c r="D61" i="4" a="1"/>
  <c r="D61" i="4" s="1"/>
  <c r="B61" i="4" a="1"/>
  <c r="B61" i="4" s="1"/>
  <c r="C61" i="4" a="1"/>
  <c r="C61" i="4" s="1"/>
  <c r="B52" i="4" a="1"/>
  <c r="B52" i="4" s="1"/>
  <c r="C52" i="4" a="1"/>
  <c r="C52" i="4" s="1"/>
  <c r="D52" i="4" a="1"/>
  <c r="D52" i="4" s="1"/>
  <c r="D67" i="4" a="1"/>
  <c r="D67" i="4" s="1"/>
  <c r="B67" i="4" a="1"/>
  <c r="B67" i="4" s="1"/>
  <c r="C67" i="4" a="1"/>
  <c r="C67" i="4" s="1"/>
  <c r="D66" i="4" a="1"/>
  <c r="D66" i="4" s="1"/>
  <c r="B66" i="4" a="1"/>
  <c r="B66" i="4" s="1"/>
  <c r="C66" i="4" a="1"/>
  <c r="C66" i="4" s="1"/>
  <c r="C35" i="4" a="1"/>
  <c r="C35" i="4" s="1"/>
  <c r="D35" i="4" a="1"/>
  <c r="D35" i="4" s="1"/>
  <c r="B35" i="4" a="1"/>
  <c r="B35" i="4" s="1"/>
  <c r="D30" i="4" a="1"/>
  <c r="D30" i="4" s="1"/>
  <c r="B30" i="4" a="1"/>
  <c r="B30" i="4" s="1"/>
  <c r="C30" i="4" a="1"/>
  <c r="C30" i="4" s="1"/>
  <c r="B107" i="4" a="1"/>
  <c r="B107" i="4" s="1"/>
  <c r="C107" i="4" a="1"/>
  <c r="C107" i="4" s="1"/>
  <c r="D107" i="4" a="1"/>
  <c r="D107" i="4" s="1"/>
  <c r="C95" i="4" a="1"/>
  <c r="C95" i="4" s="1"/>
  <c r="D95" i="4" a="1"/>
  <c r="D95" i="4" s="1"/>
  <c r="B95" i="4" a="1"/>
  <c r="B95" i="4" s="1"/>
  <c r="C36" i="4" a="1"/>
  <c r="C36" i="4" s="1"/>
  <c r="D36" i="4" a="1"/>
  <c r="D36" i="4" s="1"/>
  <c r="B36" i="4" a="1"/>
  <c r="B36" i="4" s="1"/>
  <c r="D85" i="4" a="1"/>
  <c r="D85" i="4" s="1"/>
  <c r="B85" i="4" a="1"/>
  <c r="B85" i="4" s="1"/>
  <c r="C85" i="4" a="1"/>
  <c r="C85" i="4" s="1"/>
  <c r="B58" i="4" a="1"/>
  <c r="B58" i="4" s="1"/>
  <c r="C58" i="4" a="1"/>
  <c r="C58" i="4" s="1"/>
  <c r="D58" i="4" a="1"/>
  <c r="D58" i="4" s="1"/>
  <c r="C133" i="4" a="1"/>
  <c r="C133" i="4" s="1"/>
  <c r="D133" i="4" a="1"/>
  <c r="D133" i="4" s="1"/>
  <c r="B133" i="4" a="1"/>
  <c r="B133" i="4" s="1"/>
  <c r="B98" i="4" a="1"/>
  <c r="B98" i="4" s="1"/>
  <c r="C98" i="4" a="1"/>
  <c r="C98" i="4" s="1"/>
  <c r="D98" i="4" a="1"/>
  <c r="D98" i="4" s="1"/>
  <c r="D103" i="4" a="1"/>
  <c r="D103" i="4" s="1"/>
  <c r="B103" i="4" a="1"/>
  <c r="B103" i="4" s="1"/>
  <c r="C103" i="4" a="1"/>
  <c r="C103" i="4" s="1"/>
  <c r="B79" i="4" a="1"/>
  <c r="B79" i="4" s="1"/>
  <c r="C79" i="4" a="1"/>
  <c r="C79" i="4" s="1"/>
  <c r="D79" i="4" a="1"/>
  <c r="D79" i="4" s="1"/>
  <c r="B59" i="4" a="1"/>
  <c r="B59" i="4" s="1"/>
  <c r="C59" i="4" a="1"/>
  <c r="C59" i="4" s="1"/>
  <c r="D59" i="4" a="1"/>
  <c r="D59" i="4" s="1"/>
  <c r="C148" i="4" a="1"/>
  <c r="C148" i="4" s="1"/>
  <c r="E148" i="4" a="1"/>
  <c r="E148" i="4" s="1"/>
  <c r="D148" i="4" a="1"/>
  <c r="D148" i="4" s="1"/>
  <c r="B148" i="4" a="1"/>
  <c r="B148" i="4" s="1"/>
  <c r="C141" i="4" a="1"/>
  <c r="C141" i="4" s="1"/>
  <c r="D141" i="4" a="1"/>
  <c r="D141" i="4" s="1"/>
  <c r="B141" i="4" a="1"/>
  <c r="B141" i="4" s="1"/>
  <c r="D120" i="4" a="1"/>
  <c r="D120" i="4" s="1"/>
  <c r="B120" i="4" a="1"/>
  <c r="B120" i="4" s="1"/>
  <c r="C120" i="4" a="1"/>
  <c r="C120" i="4" s="1"/>
  <c r="D89" i="4" a="1"/>
  <c r="D89" i="4" s="1"/>
  <c r="B89" i="4" a="1"/>
  <c r="B89" i="4" s="1"/>
  <c r="C89" i="4" a="1"/>
  <c r="C89" i="4" s="1"/>
  <c r="B75" i="4" a="1"/>
  <c r="B75" i="4" s="1"/>
  <c r="C75" i="4" a="1"/>
  <c r="C75" i="4" s="1"/>
  <c r="D75" i="4" a="1"/>
  <c r="D75" i="4" s="1"/>
  <c r="B37" i="4" a="1"/>
  <c r="B37" i="4" s="1"/>
  <c r="C37" i="4" a="1"/>
  <c r="C37" i="4" s="1"/>
  <c r="D37" i="4" a="1"/>
  <c r="D37" i="4" s="1"/>
  <c r="B72" i="4" a="1"/>
  <c r="B72" i="4" s="1"/>
  <c r="C72" i="4" a="1"/>
  <c r="C72" i="4" s="1"/>
  <c r="D72" i="4" a="1"/>
  <c r="D72" i="4" s="1"/>
  <c r="C96" i="4" a="1"/>
  <c r="C96" i="4" s="1"/>
  <c r="B96" i="4" a="1"/>
  <c r="B96" i="4" s="1"/>
  <c r="D96" i="4" a="1"/>
  <c r="D96" i="4" s="1"/>
  <c r="B138" i="4" a="1"/>
  <c r="B138" i="4" s="1"/>
  <c r="C138" i="4" a="1"/>
  <c r="C138" i="4" s="1"/>
  <c r="D138" i="4" a="1"/>
  <c r="D138" i="4" s="1"/>
  <c r="B105" i="4" a="1"/>
  <c r="B105" i="4" s="1"/>
  <c r="C105" i="4" a="1"/>
  <c r="C105" i="4" s="1"/>
  <c r="D105" i="4" a="1"/>
  <c r="D105" i="4" s="1"/>
  <c r="B39" i="4" a="1"/>
  <c r="B39" i="4" s="1"/>
  <c r="C39" i="4" a="1"/>
  <c r="C39" i="4" s="1"/>
  <c r="D39" i="4" a="1"/>
  <c r="D39" i="4" s="1"/>
  <c r="D46" i="4" a="1"/>
  <c r="D46" i="4" s="1"/>
  <c r="B46" i="4" a="1"/>
  <c r="B46" i="4" s="1"/>
  <c r="C46" i="4" a="1"/>
  <c r="C46" i="4" s="1"/>
  <c r="D65" i="4" a="1"/>
  <c r="D65" i="4" s="1"/>
  <c r="B65" i="4" a="1"/>
  <c r="B65" i="4" s="1"/>
  <c r="C65" i="4" a="1"/>
  <c r="C65" i="4" s="1"/>
  <c r="C33" i="4" a="1"/>
  <c r="C33" i="4" s="1"/>
  <c r="D33" i="4" a="1"/>
  <c r="D33" i="4" s="1"/>
  <c r="B33" i="4" a="1"/>
  <c r="B33" i="4" s="1"/>
  <c r="D29" i="4" a="1"/>
  <c r="D29" i="4" s="1"/>
  <c r="B29" i="4" a="1"/>
  <c r="B29" i="4" s="1"/>
  <c r="C29" i="4" a="1"/>
  <c r="C29" i="4" s="1"/>
  <c r="D104" i="4" a="1"/>
  <c r="D104" i="4" s="1"/>
  <c r="B104" i="4" a="1"/>
  <c r="B104" i="4" s="1"/>
  <c r="C104" i="4" a="1"/>
  <c r="C104" i="4" s="1"/>
  <c r="D101" i="4" a="1"/>
  <c r="D101" i="4" s="1"/>
  <c r="B101" i="4" a="1"/>
  <c r="B101" i="4" s="1"/>
  <c r="C101" i="4" a="1"/>
  <c r="C101" i="4" s="1"/>
  <c r="B127" i="4" a="1"/>
  <c r="B127" i="4" s="1"/>
  <c r="C127" i="4" a="1"/>
  <c r="C127" i="4" s="1"/>
  <c r="D127" i="4" a="1"/>
  <c r="D127" i="4" s="1"/>
  <c r="D90" i="4" a="1"/>
  <c r="D90" i="4" s="1"/>
  <c r="B90" i="4" a="1"/>
  <c r="B90" i="4" s="1"/>
  <c r="C90" i="4" a="1"/>
  <c r="C90" i="4" s="1"/>
  <c r="D88" i="4" a="1"/>
  <c r="D88" i="4" s="1"/>
  <c r="B88" i="4" a="1"/>
  <c r="B88" i="4" s="1"/>
  <c r="C88" i="4" a="1"/>
  <c r="C88" i="4" s="1"/>
  <c r="B83" i="4" a="1"/>
  <c r="B83" i="4" s="1"/>
  <c r="C83" i="4" a="1"/>
  <c r="C83" i="4" s="1"/>
  <c r="D83" i="4" a="1"/>
  <c r="D83" i="4" s="1"/>
  <c r="B53" i="4" a="1"/>
  <c r="B53" i="4" s="1"/>
  <c r="C53" i="4" a="1"/>
  <c r="C53" i="4" s="1"/>
  <c r="D53" i="4" a="1"/>
  <c r="D53" i="4" s="1"/>
  <c r="C48" i="4" a="1"/>
  <c r="C48" i="4" s="1"/>
  <c r="D48" i="4" a="1"/>
  <c r="D48" i="4" s="1"/>
  <c r="B48" i="4" a="1"/>
  <c r="B48" i="4" s="1"/>
  <c r="D146" i="4" a="1"/>
  <c r="D146" i="4" s="1"/>
  <c r="B146" i="4" a="1"/>
  <c r="B146" i="4" s="1"/>
  <c r="C146" i="4" a="1"/>
  <c r="C146" i="4" s="1"/>
  <c r="C144" i="4" a="1"/>
  <c r="C144" i="4" s="1"/>
  <c r="B144" i="4" a="1"/>
  <c r="B144" i="4" s="1"/>
  <c r="D144" i="4" a="1"/>
  <c r="D144" i="4" s="1"/>
  <c r="B117" i="4" a="1"/>
  <c r="B117" i="4" s="1"/>
  <c r="D117" i="4" a="1"/>
  <c r="D117" i="4" s="1"/>
  <c r="C117" i="4" a="1"/>
  <c r="C117" i="4" s="1"/>
  <c r="B106" i="4" a="1"/>
  <c r="B106" i="4" s="1"/>
  <c r="C106" i="4" a="1"/>
  <c r="C106" i="4" s="1"/>
  <c r="D106" i="4" a="1"/>
  <c r="D106" i="4" s="1"/>
  <c r="B97" i="4" a="1"/>
  <c r="B97" i="4" s="1"/>
  <c r="C97" i="4" a="1"/>
  <c r="C97" i="4" s="1"/>
  <c r="D97" i="4" a="1"/>
  <c r="D97" i="4" s="1"/>
  <c r="B80" i="4" a="1"/>
  <c r="B80" i="4" s="1"/>
  <c r="C80" i="4" a="1"/>
  <c r="C80" i="4" s="1"/>
  <c r="D80" i="4" a="1"/>
  <c r="D80" i="4" s="1"/>
  <c r="B42" i="4" a="1"/>
  <c r="B42" i="4" s="1"/>
  <c r="C42" i="4" a="1"/>
  <c r="C42" i="4" s="1"/>
  <c r="D42" i="4" a="1"/>
  <c r="D42" i="4" s="1"/>
  <c r="D131" i="4" a="1"/>
  <c r="D131" i="4" s="1"/>
  <c r="B131" i="4" a="1"/>
  <c r="B131" i="4" s="1"/>
  <c r="C131" i="4" a="1"/>
  <c r="C131" i="4" s="1"/>
  <c r="B136" i="4" a="1"/>
  <c r="B136" i="4" s="1"/>
  <c r="C136" i="4" a="1"/>
  <c r="C136" i="4" s="1"/>
  <c r="D136" i="4" a="1"/>
  <c r="D136" i="4" s="1"/>
  <c r="D108" i="4" a="1"/>
  <c r="D108" i="4" s="1"/>
  <c r="B108" i="4" a="1"/>
  <c r="B108" i="4" s="1"/>
  <c r="C108" i="4" a="1"/>
  <c r="C108" i="4" s="1"/>
  <c r="B119" i="4" a="1"/>
  <c r="B119" i="4" s="1"/>
  <c r="C119" i="4" a="1"/>
  <c r="C119" i="4" s="1"/>
  <c r="D119" i="4" a="1"/>
  <c r="D119" i="4" s="1"/>
  <c r="B135" i="4" a="1"/>
  <c r="B135" i="4" s="1"/>
  <c r="D135" i="4" a="1"/>
  <c r="D135" i="4" s="1"/>
  <c r="C135" i="4" a="1"/>
  <c r="C135" i="4" s="1"/>
  <c r="C114" i="4" a="1"/>
  <c r="C114" i="4" s="1"/>
  <c r="D114" i="4" a="1"/>
  <c r="D114" i="4" s="1"/>
  <c r="B114" i="4" a="1"/>
  <c r="B114" i="4" s="1"/>
  <c r="B82" i="4" a="1"/>
  <c r="B82" i="4" s="1"/>
  <c r="C82" i="4" a="1"/>
  <c r="C82" i="4" s="1"/>
  <c r="D82" i="4" a="1"/>
  <c r="D82" i="4" s="1"/>
  <c r="D44" i="4" a="1"/>
  <c r="D44" i="4" s="1"/>
  <c r="B44" i="4" a="1"/>
  <c r="B44" i="4" s="1"/>
  <c r="C44" i="4" a="1"/>
  <c r="C44" i="4" s="1"/>
  <c r="B57" i="4" a="1"/>
  <c r="B57" i="4" s="1"/>
  <c r="C57" i="4" a="1"/>
  <c r="C57" i="4" s="1"/>
  <c r="D57" i="4" a="1"/>
  <c r="D57" i="4" s="1"/>
  <c r="B116" i="4" a="1"/>
  <c r="B116" i="4" s="1"/>
  <c r="C116" i="4" a="1"/>
  <c r="C116" i="4" s="1"/>
  <c r="D116" i="4" a="1"/>
  <c r="D116" i="4" s="1"/>
  <c r="C149" i="4" a="1"/>
  <c r="C149" i="4" s="1"/>
  <c r="D149" i="4" a="1"/>
  <c r="D149" i="4" s="1"/>
  <c r="E149" i="4" a="1"/>
  <c r="E149" i="4" s="1"/>
  <c r="B149" i="4" a="1"/>
  <c r="B149" i="4" s="1"/>
  <c r="D147" i="4" a="1"/>
  <c r="D147" i="4" s="1"/>
  <c r="B147" i="4" a="1"/>
  <c r="B147" i="4" s="1"/>
  <c r="C147" i="4" a="1"/>
  <c r="C147" i="4" s="1"/>
  <c r="E147" i="4" a="1"/>
  <c r="E147" i="4" s="1"/>
  <c r="B126" i="4" a="1"/>
  <c r="B126" i="4" s="1"/>
  <c r="C126" i="4" a="1"/>
  <c r="C126" i="4" s="1"/>
  <c r="D126" i="4" a="1"/>
  <c r="D126" i="4" s="1"/>
  <c r="C132" i="4" a="1"/>
  <c r="C132" i="4" s="1"/>
  <c r="D132" i="4" a="1"/>
  <c r="D132" i="4" s="1"/>
  <c r="B132" i="4" a="1"/>
  <c r="B132" i="4" s="1"/>
  <c r="B77" i="4" a="1"/>
  <c r="B77" i="4" s="1"/>
  <c r="D77" i="4" a="1"/>
  <c r="D77" i="4" s="1"/>
  <c r="C77" i="4" a="1"/>
  <c r="C77" i="4" s="1"/>
  <c r="D86" i="4" a="1"/>
  <c r="D86" i="4" s="1"/>
  <c r="B86" i="4" a="1"/>
  <c r="B86" i="4" s="1"/>
  <c r="C86" i="4" a="1"/>
  <c r="C86" i="4" s="1"/>
  <c r="B73" i="4" a="1"/>
  <c r="B73" i="4" s="1"/>
  <c r="C73" i="4" a="1"/>
  <c r="C73" i="4" s="1"/>
  <c r="D73" i="4" a="1"/>
  <c r="D73" i="4" s="1"/>
  <c r="C34" i="4" a="1"/>
  <c r="C34" i="4" s="1"/>
  <c r="D34" i="4" a="1"/>
  <c r="D34" i="4" s="1"/>
  <c r="B34" i="4" a="1"/>
  <c r="B34" i="4" s="1"/>
  <c r="D26" i="4" a="1"/>
  <c r="D26" i="4" s="1"/>
  <c r="B26" i="4" a="1"/>
  <c r="B26" i="4" s="1"/>
  <c r="C26" i="4" a="1"/>
  <c r="C26" i="4" s="1"/>
  <c r="D27" i="4" a="1"/>
  <c r="D27" i="4" s="1"/>
  <c r="B27" i="4" a="1"/>
  <c r="B27" i="4" s="1"/>
  <c r="C27" i="4" a="1"/>
  <c r="C27" i="4" s="1"/>
  <c r="C134" i="4" a="1"/>
  <c r="C134" i="4" s="1"/>
  <c r="D134" i="4" a="1"/>
  <c r="D134" i="4" s="1"/>
  <c r="B134" i="4" a="1"/>
  <c r="B134" i="4" s="1"/>
  <c r="C123" i="4" a="1"/>
  <c r="C123" i="4" s="1"/>
  <c r="D123" i="4" a="1"/>
  <c r="D123" i="4" s="1"/>
  <c r="B123" i="4" a="1"/>
  <c r="B123" i="4" s="1"/>
  <c r="D102" i="4" a="1"/>
  <c r="D102" i="4" s="1"/>
  <c r="B102" i="4" a="1"/>
  <c r="B102" i="4" s="1"/>
  <c r="C102" i="4" a="1"/>
  <c r="C102" i="4" s="1"/>
  <c r="B84" i="4" a="1"/>
  <c r="B84" i="4" s="1"/>
  <c r="C84" i="4" a="1"/>
  <c r="C84" i="4" s="1"/>
  <c r="D84" i="4" a="1"/>
  <c r="D84" i="4" s="1"/>
  <c r="B81" i="4" a="1"/>
  <c r="B81" i="4" s="1"/>
  <c r="C81" i="4" a="1"/>
  <c r="C81" i="4" s="1"/>
  <c r="D81" i="4" a="1"/>
  <c r="D81" i="4" s="1"/>
  <c r="B51" i="4" a="1"/>
  <c r="B51" i="4" s="1"/>
  <c r="C51" i="4" a="1"/>
  <c r="C51" i="4" s="1"/>
  <c r="D51" i="4" a="1"/>
  <c r="D51" i="4" s="1"/>
  <c r="D47" i="4" a="1"/>
  <c r="D47" i="4" s="1"/>
  <c r="C47" i="4" a="1"/>
  <c r="C47" i="4" s="1"/>
  <c r="B47" i="4" a="1"/>
  <c r="B47" i="4" s="1"/>
  <c r="C32" i="4" a="1"/>
  <c r="C32" i="4" s="1"/>
  <c r="D32" i="4" a="1"/>
  <c r="D32" i="4" s="1"/>
  <c r="B32" i="4" a="1"/>
  <c r="B32" i="4" s="1"/>
  <c r="B129" i="4" a="1"/>
  <c r="B129" i="4" s="1"/>
  <c r="C129" i="4" a="1"/>
  <c r="C129" i="4" s="1"/>
  <c r="D129" i="4" a="1"/>
  <c r="D129" i="4" s="1"/>
  <c r="D121" i="4" a="1"/>
  <c r="D121" i="4" s="1"/>
  <c r="C121" i="4" a="1"/>
  <c r="C121" i="4" s="1"/>
  <c r="B121" i="4" a="1"/>
  <c r="B121" i="4" s="1"/>
  <c r="C142" i="4" a="1"/>
  <c r="C142" i="4" s="1"/>
  <c r="D142" i="4" a="1"/>
  <c r="D142" i="4" s="1"/>
  <c r="B142" i="4" a="1"/>
  <c r="B142" i="4" s="1"/>
  <c r="D139" i="4" a="1"/>
  <c r="D139" i="4" s="1"/>
  <c r="B139" i="4" a="1"/>
  <c r="B139" i="4" s="1"/>
  <c r="C139" i="4" a="1"/>
  <c r="C139" i="4" s="1"/>
  <c r="C110" i="4" a="1"/>
  <c r="C110" i="4" s="1"/>
  <c r="D110" i="4" a="1"/>
  <c r="D110" i="4" s="1"/>
  <c r="B110" i="4" a="1"/>
  <c r="B110" i="4" s="1"/>
  <c r="B78" i="4" a="1"/>
  <c r="B78" i="4" s="1"/>
  <c r="C78" i="4" a="1"/>
  <c r="C78" i="4" s="1"/>
  <c r="D78" i="4" a="1"/>
  <c r="D78" i="4" s="1"/>
  <c r="D68" i="4" a="1"/>
  <c r="D68" i="4" s="1"/>
  <c r="B68" i="4" a="1"/>
  <c r="B68" i="4" s="1"/>
  <c r="C68" i="4" a="1"/>
  <c r="C68" i="4" s="1"/>
  <c r="C49" i="4" a="1"/>
  <c r="C49" i="4" s="1"/>
  <c r="D49" i="4" a="1"/>
  <c r="D49" i="4" s="1"/>
  <c r="B49" i="4" a="1"/>
  <c r="B49" i="4" s="1"/>
  <c r="C50" i="4" a="1"/>
  <c r="C50" i="4" s="1"/>
  <c r="B50" i="4" a="1"/>
  <c r="B50" i="4" s="1"/>
  <c r="D50" i="4" a="1"/>
  <c r="D50" i="4" s="1"/>
  <c r="C113" i="4" a="1"/>
  <c r="C113" i="4" s="1"/>
  <c r="D113" i="4" a="1"/>
  <c r="D113" i="4" s="1"/>
  <c r="B113" i="4" a="1"/>
  <c r="B113" i="4" s="1"/>
  <c r="B128" i="4" a="1"/>
  <c r="B128" i="4" s="1"/>
  <c r="D128" i="4" a="1"/>
  <c r="D128" i="4" s="1"/>
  <c r="C128" i="4" a="1"/>
  <c r="C128" i="4" s="1"/>
  <c r="C112" i="4" a="1"/>
  <c r="C112" i="4" s="1"/>
  <c r="D112" i="4" a="1"/>
  <c r="D112" i="4" s="1"/>
  <c r="B112" i="4" a="1"/>
  <c r="B112" i="4" s="1"/>
  <c r="B76" i="4" a="1"/>
  <c r="B76" i="4" s="1"/>
  <c r="C76" i="4" a="1"/>
  <c r="C76" i="4" s="1"/>
  <c r="D76" i="4" a="1"/>
  <c r="D76" i="4" s="1"/>
  <c r="D69" i="4" a="1"/>
  <c r="D69" i="4" s="1"/>
  <c r="B69" i="4" a="1"/>
  <c r="B69" i="4" s="1"/>
  <c r="C69" i="4" a="1"/>
  <c r="C69" i="4" s="1"/>
  <c r="B41" i="4" a="1"/>
  <c r="B41" i="4" s="1"/>
  <c r="C41" i="4" a="1"/>
  <c r="C41" i="4" s="1"/>
  <c r="D41" i="4" a="1"/>
  <c r="D41" i="4" s="1"/>
  <c r="D145" i="4" a="1"/>
  <c r="D145" i="4" s="1"/>
  <c r="B145" i="4" a="1"/>
  <c r="B145" i="4" s="1"/>
  <c r="C145" i="4" a="1"/>
  <c r="C145" i="4" s="1"/>
  <c r="B118" i="4" a="1"/>
  <c r="B118" i="4" s="1"/>
  <c r="C118" i="4" a="1"/>
  <c r="C118" i="4" s="1"/>
  <c r="D118" i="4" a="1"/>
  <c r="D118" i="4" s="1"/>
  <c r="D100" i="4" a="1"/>
  <c r="D100" i="4" s="1"/>
  <c r="C100" i="4" a="1"/>
  <c r="C100" i="4" s="1"/>
  <c r="B100" i="4" a="1"/>
  <c r="B100" i="4" s="1"/>
  <c r="D130" i="4" a="1"/>
  <c r="D130" i="4" s="1"/>
  <c r="B130" i="4" a="1"/>
  <c r="B130" i="4" s="1"/>
  <c r="C130" i="4" a="1"/>
  <c r="C130" i="4" s="1"/>
  <c r="B74" i="4" a="1"/>
  <c r="B74" i="4" s="1"/>
  <c r="C74" i="4" a="1"/>
  <c r="C74" i="4" s="1"/>
  <c r="D74" i="4" a="1"/>
  <c r="D74" i="4" s="1"/>
  <c r="C70" i="4" a="1"/>
  <c r="C70" i="4" s="1"/>
  <c r="D70" i="4" a="1"/>
  <c r="D70" i="4" s="1"/>
  <c r="B70" i="4" a="1"/>
  <c r="B70" i="4" s="1"/>
  <c r="D63" i="4" a="1"/>
  <c r="D63" i="4" s="1"/>
  <c r="B63" i="4" a="1"/>
  <c r="B63" i="4" s="1"/>
  <c r="C63" i="4" a="1"/>
  <c r="C63" i="4" s="1"/>
  <c r="D28" i="4" a="1"/>
  <c r="D28" i="4" s="1"/>
  <c r="C28" i="4" a="1"/>
  <c r="C28" i="4" s="1"/>
  <c r="B28" i="4" a="1"/>
  <c r="B28" i="4" s="1"/>
  <c r="B55" i="4" a="1"/>
  <c r="B55" i="4" s="1"/>
  <c r="C55" i="4" a="1"/>
  <c r="C55" i="4" s="1"/>
  <c r="D55" i="4" a="1"/>
  <c r="D55" i="4" s="1"/>
  <c r="B38" i="4" a="1"/>
  <c r="B38" i="4" s="1"/>
  <c r="C38" i="4" a="1"/>
  <c r="C38" i="4" s="1"/>
  <c r="D38" i="4" a="1"/>
  <c r="D38" i="4" s="1"/>
  <c r="C143" i="4" a="1"/>
  <c r="C143" i="4" s="1"/>
  <c r="D143" i="4" a="1"/>
  <c r="D143" i="4" s="1"/>
  <c r="B143" i="4" a="1"/>
  <c r="B143" i="4" s="1"/>
  <c r="C115" i="4" a="1"/>
  <c r="C115" i="4" s="1"/>
  <c r="D115" i="4" a="1"/>
  <c r="D115" i="4" s="1"/>
  <c r="B115" i="4" a="1"/>
  <c r="B115" i="4" s="1"/>
  <c r="D99" i="4" a="1"/>
  <c r="D99" i="4" s="1"/>
  <c r="B99" i="4" a="1"/>
  <c r="B99" i="4" s="1"/>
  <c r="C99" i="4" a="1"/>
  <c r="C99" i="4" s="1"/>
  <c r="C31" i="4" a="1"/>
  <c r="C31" i="4" s="1"/>
  <c r="D31" i="4" a="1"/>
  <c r="D31" i="4" s="1"/>
  <c r="B31" i="4" a="1"/>
  <c r="B31" i="4" s="1"/>
  <c r="D91" i="4" a="1"/>
  <c r="D91" i="4" s="1"/>
  <c r="B91" i="4" a="1"/>
  <c r="B91" i="4" s="1"/>
  <c r="C91" i="4" a="1"/>
  <c r="C91" i="4" s="1"/>
  <c r="D62" i="4" a="1"/>
  <c r="D62" i="4" s="1"/>
  <c r="B62" i="4" a="1"/>
  <c r="B62" i="4" s="1"/>
  <c r="C62" i="4" a="1"/>
  <c r="C62" i="4" s="1"/>
  <c r="D45" i="4" a="1"/>
  <c r="D45" i="4" s="1"/>
  <c r="B45" i="4" a="1"/>
  <c r="B45" i="4" s="1"/>
  <c r="C45" i="4" a="1"/>
  <c r="C45" i="4" s="1"/>
  <c r="D25" i="4" a="1"/>
  <c r="D25" i="4" s="1"/>
  <c r="B25" i="4" a="1"/>
  <c r="B25" i="4" s="1"/>
  <c r="C25" i="4" a="1"/>
  <c r="C25" i="4" s="1"/>
  <c r="B137" i="4" a="1"/>
  <c r="B137" i="4" s="1"/>
  <c r="C137" i="4" a="1"/>
  <c r="C137" i="4" s="1"/>
  <c r="D137" i="4" a="1"/>
  <c r="D137" i="4" s="1"/>
  <c r="C71" i="4" a="1"/>
  <c r="C71" i="4" s="1"/>
  <c r="B71" i="4" a="1"/>
  <c r="B71" i="4" s="1"/>
  <c r="D71" i="4" a="1"/>
  <c r="D71" i="4" s="1"/>
  <c r="B125" i="4" a="1"/>
  <c r="B125" i="4" s="1"/>
  <c r="C125" i="4" a="1"/>
  <c r="C125" i="4" s="1"/>
  <c r="D125" i="4" a="1"/>
  <c r="D125" i="4" s="1"/>
  <c r="D92" i="4" a="1"/>
  <c r="D92" i="4" s="1"/>
  <c r="B92" i="4" a="1"/>
  <c r="B92" i="4" s="1"/>
  <c r="C92" i="4" a="1"/>
  <c r="C92" i="4" s="1"/>
  <c r="C122" i="4" a="1"/>
  <c r="C122" i="4" s="1"/>
  <c r="D122" i="4" a="1"/>
  <c r="D122" i="4" s="1"/>
  <c r="B122" i="4" a="1"/>
  <c r="B122" i="4" s="1"/>
  <c r="B40" i="4" a="1"/>
  <c r="B40" i="4" s="1"/>
  <c r="C40" i="4" a="1"/>
  <c r="C40" i="4" s="1"/>
  <c r="D40" i="4" a="1"/>
  <c r="D40" i="4" s="1"/>
  <c r="D60" i="4" a="1"/>
  <c r="D60" i="4" s="1"/>
  <c r="B60" i="4" a="1"/>
  <c r="B60" i="4" s="1"/>
  <c r="C60" i="4" a="1"/>
  <c r="C60" i="4" s="1"/>
  <c r="B54" i="4" a="1"/>
  <c r="B54" i="4" s="1"/>
  <c r="C54" i="4" a="1"/>
  <c r="C54" i="4" s="1"/>
  <c r="D54" i="4" a="1"/>
  <c r="D54" i="4" s="1"/>
  <c r="B43" i="4" a="1"/>
  <c r="B43" i="4" s="1"/>
  <c r="C43" i="4" a="1"/>
  <c r="C43" i="4" s="1"/>
  <c r="D43" i="4" a="1"/>
  <c r="D43" i="4" s="1"/>
  <c r="D87" i="4" a="1"/>
  <c r="D87" i="4" s="1"/>
  <c r="B87" i="4" a="1"/>
  <c r="B87" i="4" s="1"/>
  <c r="C87" i="4" a="1"/>
  <c r="C87" i="4" s="1"/>
  <c r="C140" i="4" a="1"/>
  <c r="C140" i="4" s="1"/>
  <c r="D140" i="4" a="1"/>
  <c r="D140" i="4" s="1"/>
  <c r="B140" i="4" a="1"/>
  <c r="B140" i="4" s="1"/>
  <c r="D94" i="4" a="1"/>
  <c r="D94" i="4" s="1"/>
  <c r="B94" i="4" a="1"/>
  <c r="B94" i="4" s="1"/>
  <c r="C94" i="4" a="1"/>
  <c r="C94" i="4" s="1"/>
  <c r="D64" i="4" a="1"/>
  <c r="D64" i="4" s="1"/>
  <c r="B64" i="4" a="1"/>
  <c r="B64" i="4" s="1"/>
  <c r="C64" i="4" a="1"/>
  <c r="C64" i="4" s="1"/>
  <c r="B56" i="4" a="1"/>
  <c r="B56" i="4" s="1"/>
  <c r="C56" i="4" a="1"/>
  <c r="C56" i="4" s="1"/>
  <c r="D56" i="4" a="1"/>
  <c r="D56" i="4" s="1"/>
  <c r="Y742" i="9"/>
  <c r="Y737" i="9"/>
  <c r="Y738" i="9"/>
  <c r="T780" i="9"/>
  <c r="Y780" i="9" s="1"/>
  <c r="Y741" i="9"/>
  <c r="T629" i="9"/>
  <c r="T750" i="9"/>
  <c r="Y750" i="9" s="1"/>
  <c r="T664" i="9"/>
  <c r="T826" i="9"/>
  <c r="Y826" i="9" s="1"/>
  <c r="T667" i="9"/>
  <c r="T782" i="9"/>
  <c r="Y782" i="9" s="1"/>
  <c r="Y700" i="9"/>
  <c r="Y1952" i="9"/>
  <c r="AC1952" i="9" s="1"/>
  <c r="T627" i="9"/>
  <c r="T626" i="9"/>
  <c r="T625" i="9"/>
  <c r="T665" i="9"/>
  <c r="T680" i="9"/>
  <c r="T712" i="9"/>
  <c r="Y712" i="9" s="1"/>
  <c r="T751" i="9"/>
  <c r="Y751" i="9" s="1"/>
  <c r="T781" i="9"/>
  <c r="Y781" i="9" s="1"/>
  <c r="T825" i="9"/>
  <c r="Y825" i="9" s="1"/>
  <c r="T783" i="9"/>
  <c r="Y783" i="9" s="1"/>
  <c r="T628" i="9"/>
  <c r="T666" i="9"/>
  <c r="T713" i="9"/>
  <c r="Y713" i="9" s="1"/>
  <c r="T752" i="9"/>
  <c r="Y752" i="9" s="1"/>
  <c r="T852" i="9"/>
  <c r="Y852" i="9" s="1"/>
  <c r="T828" i="9"/>
  <c r="Y828" i="9" s="1"/>
  <c r="T749" i="9"/>
  <c r="Y749" i="9" s="1"/>
  <c r="T663" i="9"/>
  <c r="T864" i="9"/>
  <c r="T851" i="9"/>
  <c r="Y851" i="9" s="1"/>
  <c r="T714" i="9"/>
  <c r="Y714" i="9" s="1"/>
  <c r="T829" i="9"/>
  <c r="Y829" i="9" s="1"/>
  <c r="T853" i="9"/>
  <c r="Y853" i="9" s="1"/>
  <c r="T827" i="9"/>
  <c r="Y827" i="9" s="1"/>
  <c r="T748" i="9"/>
  <c r="Y748" i="9" s="1"/>
  <c r="T795" i="9"/>
  <c r="Y795" i="9" s="1"/>
  <c r="T710" i="9"/>
  <c r="Y710" i="9" s="1"/>
  <c r="AL19" i="7"/>
  <c r="AL18" i="7"/>
  <c r="AL17" i="7"/>
  <c r="AN19" i="7"/>
  <c r="CB19" i="7" s="1"/>
  <c r="AN18" i="7"/>
  <c r="AN17" i="7"/>
  <c r="X651" i="9"/>
  <c r="Y651" i="9" s="1"/>
  <c r="X659" i="9"/>
  <c r="Y659" i="9" s="1"/>
  <c r="Y703" i="9"/>
  <c r="X672" i="9"/>
  <c r="Y672" i="9" s="1"/>
  <c r="X665" i="9"/>
  <c r="X643" i="9"/>
  <c r="Y643" i="9" s="1"/>
  <c r="X640" i="9"/>
  <c r="Y640" i="9" s="1"/>
  <c r="X657" i="9"/>
  <c r="Y657" i="9" s="1"/>
  <c r="X648" i="9"/>
  <c r="Y648" i="9" s="1"/>
  <c r="Y758" i="9"/>
  <c r="X673" i="9"/>
  <c r="Y673" i="9" s="1"/>
  <c r="X670" i="9"/>
  <c r="Y670" i="9" s="1"/>
  <c r="X669" i="9"/>
  <c r="Y669" i="9" s="1"/>
  <c r="X660" i="9"/>
  <c r="Y660" i="9" s="1"/>
  <c r="X653" i="9"/>
  <c r="Y653" i="9" s="1"/>
  <c r="X663" i="9"/>
  <c r="X656" i="9"/>
  <c r="Y656" i="9" s="1"/>
  <c r="X649" i="9"/>
  <c r="Y649" i="9" s="1"/>
  <c r="X645" i="9"/>
  <c r="Y645" i="9" s="1"/>
  <c r="X638" i="9"/>
  <c r="Y638" i="9" s="1"/>
  <c r="X668" i="9"/>
  <c r="Y668" i="9" s="1"/>
  <c r="X652" i="9"/>
  <c r="Y652" i="9" s="1"/>
  <c r="X642" i="9"/>
  <c r="Y642" i="9" s="1"/>
  <c r="X644" i="9"/>
  <c r="Y644" i="9" s="1"/>
  <c r="X646" i="9"/>
  <c r="Y646" i="9" s="1"/>
  <c r="X636" i="9"/>
  <c r="Y636" i="9" s="1"/>
  <c r="X650" i="9"/>
  <c r="Y650" i="9" s="1"/>
  <c r="X671" i="9"/>
  <c r="Y671" i="9" s="1"/>
  <c r="X658" i="9"/>
  <c r="Y658" i="9" s="1"/>
  <c r="X655" i="9"/>
  <c r="Y655" i="9" s="1"/>
  <c r="X664" i="9"/>
  <c r="X666" i="9"/>
  <c r="Y1970" i="9"/>
  <c r="AC1970" i="9" s="1"/>
  <c r="X639" i="9"/>
  <c r="Y639" i="9" s="1"/>
  <c r="X641" i="9"/>
  <c r="Y641" i="9" s="1"/>
  <c r="X647" i="9"/>
  <c r="Y647" i="9" s="1"/>
  <c r="X654" i="9"/>
  <c r="Y654" i="9" s="1"/>
  <c r="X667" i="9"/>
  <c r="X661" i="9"/>
  <c r="Y661" i="9" s="1"/>
  <c r="X637" i="9"/>
  <c r="Y637" i="9" s="1"/>
  <c r="X662" i="9"/>
  <c r="Y662" i="9" s="1"/>
  <c r="X674" i="9"/>
  <c r="Y674" i="9" s="1"/>
  <c r="Y720" i="9"/>
  <c r="Y691" i="9"/>
  <c r="Y1955" i="9"/>
  <c r="AC1955" i="9" s="1"/>
  <c r="Y1951" i="9"/>
  <c r="AC1951" i="9" s="1"/>
  <c r="Y1950" i="9"/>
  <c r="AC1950" i="9" s="1"/>
  <c r="Y1956" i="9"/>
  <c r="AC1956" i="9" s="1"/>
  <c r="X675" i="9"/>
  <c r="Y675" i="9" s="1"/>
  <c r="X682" i="9"/>
  <c r="Y682" i="9" s="1"/>
  <c r="X681" i="9"/>
  <c r="Y681" i="9" s="1"/>
  <c r="Y797" i="9"/>
  <c r="AC1965" i="9"/>
  <c r="AC1964" i="9"/>
  <c r="AC1966" i="9"/>
  <c r="Y729" i="9"/>
  <c r="Y747" i="9"/>
  <c r="X677" i="9"/>
  <c r="Y677" i="9" s="1"/>
  <c r="X680" i="9"/>
  <c r="X679" i="9"/>
  <c r="Y679" i="9" s="1"/>
  <c r="X676" i="9"/>
  <c r="Y676" i="9" s="1"/>
  <c r="X678" i="9"/>
  <c r="Y678" i="9" s="1"/>
  <c r="X1967" i="9"/>
  <c r="Y1967" i="9" s="1"/>
  <c r="X1953" i="9"/>
  <c r="Y1953" i="9" s="1"/>
  <c r="AC1953" i="9" s="1"/>
  <c r="X1968" i="9"/>
  <c r="Y1968" i="9" s="1"/>
  <c r="X1954" i="9"/>
  <c r="Y1954" i="9" s="1"/>
  <c r="AC1954" i="9" s="1"/>
  <c r="Y757" i="9"/>
  <c r="CB17" i="7"/>
  <c r="BZ18" i="7"/>
  <c r="D45" i="8" s="1"/>
  <c r="D22" i="3" s="1"/>
  <c r="BZ17" i="7"/>
  <c r="D44" i="8" s="1"/>
  <c r="BZ19" i="7"/>
  <c r="D46" i="8" s="1"/>
  <c r="D23" i="3" s="1"/>
  <c r="Y792" i="9"/>
  <c r="Y733" i="9"/>
  <c r="Y739" i="9"/>
  <c r="Y769" i="9"/>
  <c r="Y704" i="9"/>
  <c r="Y768" i="9"/>
  <c r="Y772" i="9"/>
  <c r="Y698" i="9"/>
  <c r="Y824" i="9"/>
  <c r="Y736" i="9"/>
  <c r="Y693" i="9"/>
  <c r="Y734" i="9"/>
  <c r="Y793" i="9"/>
  <c r="Y697" i="9"/>
  <c r="Y711" i="9"/>
  <c r="Y815" i="9"/>
  <c r="Y702" i="9"/>
  <c r="Y701" i="9"/>
  <c r="Y770" i="9"/>
  <c r="Y735" i="9"/>
  <c r="Y732" i="9"/>
  <c r="Y767" i="9"/>
  <c r="Y775" i="9"/>
  <c r="Y740" i="9"/>
  <c r="Y814" i="9"/>
  <c r="Y699" i="9"/>
  <c r="Y791" i="9"/>
  <c r="Y694" i="9"/>
  <c r="Y834" i="9"/>
  <c r="Y709" i="9"/>
  <c r="Y719" i="9"/>
  <c r="Y788" i="9"/>
  <c r="Y731" i="9"/>
  <c r="Y774" i="9"/>
  <c r="Y696" i="9"/>
  <c r="Y765" i="9"/>
  <c r="Y695" i="9"/>
  <c r="Y813" i="9"/>
  <c r="Y771" i="9"/>
  <c r="Y773" i="9"/>
  <c r="W599" i="9"/>
  <c r="Y599" i="9" s="1"/>
  <c r="W602" i="9"/>
  <c r="Y602" i="9" s="1"/>
  <c r="W604" i="9"/>
  <c r="Y604" i="9" s="1"/>
  <c r="W605" i="9"/>
  <c r="Y605" i="9" s="1"/>
  <c r="W600" i="9"/>
  <c r="Y600" i="9" s="1"/>
  <c r="W601" i="9"/>
  <c r="Y601" i="9" s="1"/>
  <c r="W603" i="9"/>
  <c r="Y603" i="9" s="1"/>
  <c r="W598" i="9"/>
  <c r="Y598" i="9" s="1"/>
  <c r="W607" i="9"/>
  <c r="Y607" i="9" s="1"/>
  <c r="W609" i="9"/>
  <c r="Y609" i="9" s="1"/>
  <c r="W610" i="9"/>
  <c r="Y610" i="9" s="1"/>
  <c r="W611" i="9"/>
  <c r="Y611" i="9" s="1"/>
  <c r="W613" i="9"/>
  <c r="Y613" i="9" s="1"/>
  <c r="W616" i="9"/>
  <c r="Y616" i="9" s="1"/>
  <c r="W618" i="9"/>
  <c r="Y618" i="9" s="1"/>
  <c r="W619" i="9"/>
  <c r="Y619" i="9" s="1"/>
  <c r="W608" i="9"/>
  <c r="Y608" i="9" s="1"/>
  <c r="W612" i="9"/>
  <c r="Y612" i="9" s="1"/>
  <c r="W617" i="9"/>
  <c r="Y617" i="9" s="1"/>
  <c r="W606" i="9"/>
  <c r="Y606" i="9" s="1"/>
  <c r="W620" i="9"/>
  <c r="Y620" i="9" s="1"/>
  <c r="W622" i="9"/>
  <c r="Y622" i="9" s="1"/>
  <c r="W623" i="9"/>
  <c r="Y623" i="9" s="1"/>
  <c r="W624" i="9"/>
  <c r="Y624" i="9" s="1"/>
  <c r="W621" i="9"/>
  <c r="Y621" i="9" s="1"/>
  <c r="W625" i="9"/>
  <c r="W627" i="9"/>
  <c r="W628" i="9"/>
  <c r="W629" i="9"/>
  <c r="W630" i="9"/>
  <c r="Y630" i="9" s="1"/>
  <c r="W632" i="9"/>
  <c r="Y632" i="9" s="1"/>
  <c r="W633" i="9"/>
  <c r="Y633" i="9" s="1"/>
  <c r="W634" i="9"/>
  <c r="Y634" i="9" s="1"/>
  <c r="W626" i="9"/>
  <c r="W631" i="9"/>
  <c r="Y631" i="9" s="1"/>
  <c r="W635" i="9"/>
  <c r="Y635" i="9" s="1"/>
  <c r="W614" i="9"/>
  <c r="Y614" i="9" s="1"/>
  <c r="W615" i="9"/>
  <c r="Y615" i="9" s="1"/>
  <c r="Y730" i="9"/>
  <c r="Y789" i="9"/>
  <c r="Y685" i="9"/>
  <c r="Y805" i="9"/>
  <c r="Y799" i="9"/>
  <c r="Y818" i="9"/>
  <c r="Y810" i="9"/>
  <c r="Y784" i="9"/>
  <c r="Y785" i="9"/>
  <c r="Y763" i="9"/>
  <c r="Y725" i="9"/>
  <c r="Y794" i="9"/>
  <c r="Y776" i="9"/>
  <c r="Y849" i="9"/>
  <c r="Y842" i="9"/>
  <c r="Y838" i="9"/>
  <c r="Y766" i="9"/>
  <c r="Y724" i="9"/>
  <c r="Y683" i="9"/>
  <c r="Y817" i="9"/>
  <c r="Y804" i="9"/>
  <c r="Y823" i="9"/>
  <c r="Y831" i="9"/>
  <c r="Y833" i="9"/>
  <c r="Y816" i="9"/>
  <c r="Y809" i="9"/>
  <c r="Y803" i="9"/>
  <c r="Y801" i="9"/>
  <c r="Y753" i="9"/>
  <c r="Y716" i="9"/>
  <c r="Y718" i="9"/>
  <c r="Y762" i="9"/>
  <c r="Y728" i="9"/>
  <c r="Y687" i="9"/>
  <c r="Y690" i="9"/>
  <c r="Y688" i="9"/>
  <c r="Y746" i="9"/>
  <c r="Y708" i="9"/>
  <c r="Y705" i="9"/>
  <c r="Y841" i="9"/>
  <c r="Y845" i="9"/>
  <c r="Y846" i="9"/>
  <c r="Y840" i="9"/>
  <c r="Y856" i="9"/>
  <c r="Y855" i="9"/>
  <c r="Y837" i="9"/>
  <c r="Y779" i="9"/>
  <c r="W858" i="9"/>
  <c r="Y858" i="9" s="1"/>
  <c r="W860" i="9"/>
  <c r="Y860" i="9" s="1"/>
  <c r="W862" i="9"/>
  <c r="Y862" i="9" s="1"/>
  <c r="W864" i="9"/>
  <c r="W865" i="9"/>
  <c r="Y865" i="9" s="1"/>
  <c r="W866" i="9"/>
  <c r="Y866" i="9" s="1"/>
  <c r="W861" i="9"/>
  <c r="Y861" i="9" s="1"/>
  <c r="W859" i="9"/>
  <c r="Y859" i="9" s="1"/>
  <c r="W863" i="9"/>
  <c r="Y863" i="9" s="1"/>
  <c r="Y760" i="9"/>
  <c r="Y723" i="9"/>
  <c r="Y822" i="9"/>
  <c r="Y806" i="9"/>
  <c r="Y832" i="9"/>
  <c r="Y807" i="9"/>
  <c r="Y800" i="9"/>
  <c r="Y786" i="9"/>
  <c r="Y796" i="9"/>
  <c r="Y755" i="9"/>
  <c r="Y756" i="9"/>
  <c r="Y754" i="9"/>
  <c r="Y717" i="9"/>
  <c r="Y790" i="9"/>
  <c r="Y689" i="9"/>
  <c r="Y726" i="9"/>
  <c r="Y778" i="9"/>
  <c r="Y745" i="9"/>
  <c r="Y836" i="9"/>
  <c r="Y857" i="9"/>
  <c r="Y839" i="9"/>
  <c r="Y848" i="9"/>
  <c r="Y692" i="9"/>
  <c r="Y759" i="9"/>
  <c r="Y761" i="9"/>
  <c r="Y722" i="9"/>
  <c r="Y684" i="9"/>
  <c r="Y721" i="9"/>
  <c r="Y686" i="9"/>
  <c r="Y835" i="9"/>
  <c r="Y820" i="9"/>
  <c r="Y812" i="9"/>
  <c r="Y808" i="9"/>
  <c r="Y802" i="9"/>
  <c r="Y830" i="9"/>
  <c r="Y821" i="9"/>
  <c r="Y819" i="9"/>
  <c r="Y811" i="9"/>
  <c r="Y798" i="9"/>
  <c r="Y715" i="9"/>
  <c r="Y727" i="9"/>
  <c r="Y764" i="9"/>
  <c r="Y787" i="9"/>
  <c r="Y777" i="9"/>
  <c r="Y744" i="9"/>
  <c r="Y707" i="9"/>
  <c r="Y743" i="9"/>
  <c r="Y706" i="9"/>
  <c r="Y854" i="9"/>
  <c r="Y850" i="9"/>
  <c r="Y843" i="9"/>
  <c r="Y847" i="9"/>
  <c r="Y844" i="9"/>
  <c r="CB18" i="7"/>
  <c r="Y666" i="9" l="1"/>
  <c r="Y664" i="9"/>
  <c r="Y629" i="9"/>
  <c r="Y667" i="9"/>
  <c r="Y626" i="9"/>
  <c r="Y663" i="9"/>
  <c r="Y665" i="9"/>
  <c r="Y628" i="9"/>
  <c r="Y627" i="9"/>
  <c r="Y864" i="9"/>
  <c r="Y680" i="9"/>
  <c r="Y625" i="9"/>
  <c r="AC1968" i="9"/>
  <c r="AC1967" i="9"/>
  <c r="J44" i="8"/>
  <c r="D21" i="3"/>
  <c r="J46" i="8"/>
  <c r="J45" i="8"/>
  <c r="Y597" i="9"/>
  <c r="AC597" i="9" s="1"/>
  <c r="Y528" i="9"/>
  <c r="AC528" i="9" s="1"/>
  <c r="Y413" i="9"/>
  <c r="AC413" i="9" s="1"/>
  <c r="AC866" i="9"/>
  <c r="AC1942" i="9"/>
  <c r="AC328" i="9"/>
  <c r="AC1404" i="9"/>
  <c r="AC1673" i="9"/>
  <c r="T478" i="9" l="1"/>
  <c r="T510" i="9"/>
  <c r="T440" i="9"/>
  <c r="T581" i="9"/>
  <c r="T555" i="9"/>
  <c r="T393" i="9"/>
  <c r="T355" i="9"/>
  <c r="T580" i="9"/>
  <c r="T508" i="9"/>
  <c r="T594" i="9"/>
  <c r="T552" i="9"/>
  <c r="T525" i="9"/>
  <c r="T475" i="9"/>
  <c r="T554" i="9"/>
  <c r="T509" i="9"/>
  <c r="T474" i="9"/>
  <c r="T439" i="9"/>
  <c r="T352" i="9"/>
  <c r="T392" i="9"/>
  <c r="T437" i="9"/>
  <c r="T410" i="9"/>
  <c r="T553" i="9"/>
  <c r="T438" i="9"/>
  <c r="T389" i="9"/>
  <c r="T354" i="9"/>
  <c r="T579" i="9"/>
  <c r="T551" i="9"/>
  <c r="T507" i="9"/>
  <c r="T477" i="9"/>
  <c r="T436" i="9"/>
  <c r="T351" i="9"/>
  <c r="T476" i="9"/>
  <c r="T390" i="9"/>
  <c r="T391" i="9"/>
  <c r="T353" i="9"/>
  <c r="T576" i="9"/>
  <c r="T549" i="9"/>
  <c r="T544" i="9"/>
  <c r="T502" i="9"/>
  <c r="T434" i="9"/>
  <c r="T429" i="9"/>
  <c r="T592" i="9"/>
  <c r="T577" i="9"/>
  <c r="T547" i="9"/>
  <c r="T523" i="9"/>
  <c r="T504" i="9"/>
  <c r="T473" i="9"/>
  <c r="T432" i="9"/>
  <c r="T408" i="9"/>
  <c r="T578" i="9"/>
  <c r="T575" i="9"/>
  <c r="T546" i="9"/>
  <c r="T505" i="9"/>
  <c r="T501" i="9"/>
  <c r="T472" i="9"/>
  <c r="T467" i="9"/>
  <c r="T545" i="9"/>
  <c r="T543" i="9"/>
  <c r="T503" i="9"/>
  <c r="T469" i="9"/>
  <c r="T344" i="9"/>
  <c r="T384" i="9"/>
  <c r="T348" i="9"/>
  <c r="T470" i="9"/>
  <c r="T435" i="9"/>
  <c r="T468" i="9"/>
  <c r="T431" i="9"/>
  <c r="T388" i="9"/>
  <c r="T387" i="9"/>
  <c r="T381" i="9"/>
  <c r="T346" i="9"/>
  <c r="T550" i="9"/>
  <c r="T593" i="9"/>
  <c r="T471" i="9"/>
  <c r="T466" i="9"/>
  <c r="T430" i="9"/>
  <c r="T409" i="9"/>
  <c r="T385" i="9"/>
  <c r="T350" i="9"/>
  <c r="T383" i="9"/>
  <c r="T345" i="9"/>
  <c r="T349" i="9"/>
  <c r="T343" i="9"/>
  <c r="T506" i="9"/>
  <c r="T548" i="9"/>
  <c r="T524" i="9"/>
  <c r="T433" i="9"/>
  <c r="T428" i="9"/>
  <c r="T347" i="9"/>
  <c r="T382" i="9"/>
  <c r="T386" i="9"/>
  <c r="AC144" i="9" l="1"/>
  <c r="AC259" i="9"/>
  <c r="AC1385" i="9" l="1"/>
  <c r="AC1382" i="9"/>
  <c r="AC1384" i="9"/>
  <c r="AC1192" i="9"/>
  <c r="AC1189" i="9"/>
  <c r="AC1210" i="9"/>
  <c r="Y581" i="9"/>
  <c r="AC581" i="9" s="1"/>
  <c r="Y555" i="9"/>
  <c r="AC555" i="9" s="1"/>
  <c r="Y510" i="9"/>
  <c r="AC510" i="9" s="1"/>
  <c r="Y478" i="9"/>
  <c r="AC478" i="9" s="1"/>
  <c r="Y440" i="9"/>
  <c r="AC440" i="9" s="1"/>
  <c r="Y393" i="9"/>
  <c r="AC393" i="9" s="1"/>
  <c r="Y355" i="9"/>
  <c r="AC355" i="9" s="1"/>
  <c r="AC1374" i="9"/>
  <c r="AC1223" i="9"/>
  <c r="AC1174" i="9"/>
  <c r="AC1387" i="9"/>
  <c r="AC1925" i="9"/>
  <c r="AC1822" i="9"/>
  <c r="AC1782" i="9"/>
  <c r="AC1736" i="9"/>
  <c r="Y587" i="9"/>
  <c r="AC587" i="9" s="1"/>
  <c r="Y565" i="9"/>
  <c r="AC565" i="9" s="1"/>
  <c r="Y518" i="9"/>
  <c r="AC518" i="9" s="1"/>
  <c r="Y488" i="9"/>
  <c r="AC488" i="9" s="1"/>
  <c r="Y450" i="9"/>
  <c r="AC450" i="9" s="1"/>
  <c r="Y403" i="9"/>
  <c r="AC403" i="9" s="1"/>
  <c r="Y365" i="9"/>
  <c r="AC365" i="9" s="1"/>
  <c r="AC1285" i="9"/>
  <c r="AC1200" i="9"/>
  <c r="AC1785" i="9"/>
  <c r="AC1823" i="9"/>
  <c r="Y589" i="9"/>
  <c r="AC589" i="9" s="1"/>
  <c r="Y568" i="9"/>
  <c r="AC568" i="9" s="1"/>
  <c r="Y567" i="9"/>
  <c r="AC567" i="9" s="1"/>
  <c r="Y532" i="9"/>
  <c r="AC532" i="9" s="1"/>
  <c r="Y531" i="9"/>
  <c r="AC531" i="9" s="1"/>
  <c r="Y530" i="9"/>
  <c r="AC530" i="9" s="1"/>
  <c r="Y529" i="9"/>
  <c r="AC529" i="9" s="1"/>
  <c r="Y520" i="9"/>
  <c r="AC520" i="9" s="1"/>
  <c r="Y492" i="9"/>
  <c r="AC492" i="9" s="1"/>
  <c r="Y491" i="9"/>
  <c r="AC491" i="9" s="1"/>
  <c r="Y490" i="9"/>
  <c r="AC490" i="9" s="1"/>
  <c r="Y455" i="9"/>
  <c r="AC455" i="9" s="1"/>
  <c r="Y454" i="9"/>
  <c r="AC454" i="9" s="1"/>
  <c r="Y453" i="9"/>
  <c r="AC453" i="9" s="1"/>
  <c r="Y452" i="9"/>
  <c r="AC452" i="9" s="1"/>
  <c r="Y417" i="9"/>
  <c r="AC417" i="9" s="1"/>
  <c r="Y416" i="9"/>
  <c r="AC416" i="9" s="1"/>
  <c r="Y415" i="9"/>
  <c r="AC415" i="9" s="1"/>
  <c r="Y414" i="9"/>
  <c r="AC414" i="9" s="1"/>
  <c r="Y405" i="9"/>
  <c r="AC405" i="9" s="1"/>
  <c r="Y370" i="9"/>
  <c r="AC370" i="9" s="1"/>
  <c r="Y369" i="9"/>
  <c r="AC369" i="9" s="1"/>
  <c r="Y368" i="9"/>
  <c r="AC368" i="9" s="1"/>
  <c r="Y367" i="9"/>
  <c r="AC367" i="9" s="1"/>
  <c r="Y332" i="9"/>
  <c r="AC332" i="9" s="1"/>
  <c r="Y331" i="9"/>
  <c r="AC331" i="9" s="1"/>
  <c r="Y330" i="9"/>
  <c r="AC330" i="9" s="1"/>
  <c r="Y329" i="9"/>
  <c r="AC329" i="9" s="1"/>
  <c r="AC1397" i="9"/>
  <c r="AC1302" i="9"/>
  <c r="AC1300" i="9"/>
  <c r="AC1377" i="9"/>
  <c r="AC1265" i="9"/>
  <c r="AC1935" i="9"/>
  <c r="AC1840" i="9"/>
  <c r="AC1763" i="9"/>
  <c r="Y571" i="9"/>
  <c r="AC571" i="9" s="1"/>
  <c r="Y537" i="9"/>
  <c r="AC537" i="9" s="1"/>
  <c r="Y496" i="9"/>
  <c r="AC496" i="9" s="1"/>
  <c r="Y460" i="9"/>
  <c r="AC460" i="9" s="1"/>
  <c r="Y422" i="9"/>
  <c r="AC422" i="9" s="1"/>
  <c r="Y375" i="9"/>
  <c r="AC375" i="9" s="1"/>
  <c r="Y337" i="9"/>
  <c r="AC337" i="9" s="1"/>
  <c r="AC1329" i="9"/>
  <c r="AC1307" i="9"/>
  <c r="AC1381" i="9"/>
  <c r="AC1271" i="9"/>
  <c r="AC1234" i="9"/>
  <c r="AC1867" i="9"/>
  <c r="AC1771" i="9"/>
  <c r="AC1725" i="9"/>
  <c r="AC1722" i="9"/>
  <c r="AC1752" i="9"/>
  <c r="AC129" i="9"/>
  <c r="AC128" i="9"/>
  <c r="AC127" i="9"/>
  <c r="AC91" i="9"/>
  <c r="AC89" i="9"/>
  <c r="AC87" i="9"/>
  <c r="AC211" i="9"/>
  <c r="AC173" i="9"/>
  <c r="AC126" i="9"/>
  <c r="AC315" i="9"/>
  <c r="AC313" i="9"/>
  <c r="AC291" i="9"/>
  <c r="AC290" i="9"/>
  <c r="AC289" i="9"/>
  <c r="AC287" i="9"/>
  <c r="AC245" i="9"/>
  <c r="AC244" i="9"/>
  <c r="AC242" i="9"/>
  <c r="AC214" i="9"/>
  <c r="AC213" i="9"/>
  <c r="AC212" i="9"/>
  <c r="AC210" i="9"/>
  <c r="AC176" i="9"/>
  <c r="AC175" i="9"/>
  <c r="AC174" i="9"/>
  <c r="AC172" i="9"/>
  <c r="AC125" i="9"/>
  <c r="AC90" i="9"/>
  <c r="AC288" i="9"/>
  <c r="AC257" i="9"/>
  <c r="AC243" i="9"/>
  <c r="AC326" i="9"/>
  <c r="AC314" i="9"/>
  <c r="AC142" i="9"/>
  <c r="AC88" i="9"/>
  <c r="Y595" i="9"/>
  <c r="AC595" i="9" s="1"/>
  <c r="Y584" i="9"/>
  <c r="AC584" i="9" s="1"/>
  <c r="Y583" i="9"/>
  <c r="AC583" i="9" s="1"/>
  <c r="Y582" i="9"/>
  <c r="AC582" i="9" s="1"/>
  <c r="Y560" i="9"/>
  <c r="AC560" i="9" s="1"/>
  <c r="Y559" i="9"/>
  <c r="AC559" i="9" s="1"/>
  <c r="Y558" i="9"/>
  <c r="AC558" i="9" s="1"/>
  <c r="Y557" i="9"/>
  <c r="AC557" i="9" s="1"/>
  <c r="Y556" i="9"/>
  <c r="AC556" i="9" s="1"/>
  <c r="Y526" i="9"/>
  <c r="AC526" i="9" s="1"/>
  <c r="Y512" i="9"/>
  <c r="AC512" i="9" s="1"/>
  <c r="Y483" i="9"/>
  <c r="AC483" i="9" s="1"/>
  <c r="Y482" i="9"/>
  <c r="AC482" i="9" s="1"/>
  <c r="Y481" i="9"/>
  <c r="AC481" i="9" s="1"/>
  <c r="Y480" i="9"/>
  <c r="AC480" i="9" s="1"/>
  <c r="Y479" i="9"/>
  <c r="AC479" i="9" s="1"/>
  <c r="Y445" i="9"/>
  <c r="AC445" i="9" s="1"/>
  <c r="Y444" i="9"/>
  <c r="AC444" i="9" s="1"/>
  <c r="Y443" i="9"/>
  <c r="AC443" i="9" s="1"/>
  <c r="Y442" i="9"/>
  <c r="AC442" i="9" s="1"/>
  <c r="Y441" i="9"/>
  <c r="AC441" i="9" s="1"/>
  <c r="Y411" i="9"/>
  <c r="AC411" i="9" s="1"/>
  <c r="Y398" i="9"/>
  <c r="AC398" i="9" s="1"/>
  <c r="Y397" i="9"/>
  <c r="AC397" i="9" s="1"/>
  <c r="Y396" i="9"/>
  <c r="AC396" i="9" s="1"/>
  <c r="Y395" i="9"/>
  <c r="AC395" i="9" s="1"/>
  <c r="Y394" i="9"/>
  <c r="AC394" i="9" s="1"/>
  <c r="Y360" i="9"/>
  <c r="AC360" i="9" s="1"/>
  <c r="Y359" i="9"/>
  <c r="AC359" i="9" s="1"/>
  <c r="Y358" i="9"/>
  <c r="AC358" i="9" s="1"/>
  <c r="Y357" i="9"/>
  <c r="AC357" i="9" s="1"/>
  <c r="Y356" i="9"/>
  <c r="AC356" i="9" s="1"/>
  <c r="Y514" i="9"/>
  <c r="AC514" i="9" s="1"/>
  <c r="Y513" i="9"/>
  <c r="AC513" i="9" s="1"/>
  <c r="Y511" i="9"/>
  <c r="AC511" i="9" s="1"/>
  <c r="AC1393" i="9"/>
  <c r="AC1323" i="9"/>
  <c r="AC1392" i="9"/>
  <c r="AC1255" i="9"/>
  <c r="AC1208" i="9"/>
  <c r="AC1862" i="9"/>
  <c r="AC1861" i="9"/>
  <c r="Y588" i="9"/>
  <c r="AC588" i="9" s="1"/>
  <c r="Y566" i="9"/>
  <c r="AC566" i="9" s="1"/>
  <c r="Y519" i="9"/>
  <c r="AC519" i="9" s="1"/>
  <c r="Y489" i="9"/>
  <c r="AC489" i="9" s="1"/>
  <c r="Y451" i="9"/>
  <c r="AC451" i="9" s="1"/>
  <c r="Y404" i="9"/>
  <c r="AC404" i="9" s="1"/>
  <c r="Y366" i="9"/>
  <c r="AC366" i="9" s="1"/>
  <c r="Y594" i="9"/>
  <c r="AC594" i="9" s="1"/>
  <c r="Y580" i="9"/>
  <c r="AC580" i="9" s="1"/>
  <c r="Y579" i="9"/>
  <c r="AC579" i="9" s="1"/>
  <c r="Y554" i="9"/>
  <c r="AC554" i="9" s="1"/>
  <c r="Y553" i="9"/>
  <c r="AC553" i="9" s="1"/>
  <c r="Y552" i="9"/>
  <c r="AC552" i="9" s="1"/>
  <c r="Y551" i="9"/>
  <c r="AC551" i="9" s="1"/>
  <c r="Y525" i="9"/>
  <c r="AC525" i="9" s="1"/>
  <c r="Y509" i="9"/>
  <c r="AC509" i="9" s="1"/>
  <c r="Y507" i="9"/>
  <c r="AC507" i="9" s="1"/>
  <c r="Y477" i="9"/>
  <c r="AC477" i="9" s="1"/>
  <c r="Y476" i="9"/>
  <c r="AC476" i="9" s="1"/>
  <c r="Y475" i="9"/>
  <c r="AC475" i="9" s="1"/>
  <c r="Y474" i="9"/>
  <c r="AC474" i="9" s="1"/>
  <c r="Y439" i="9"/>
  <c r="AC439" i="9" s="1"/>
  <c r="Y438" i="9"/>
  <c r="AC438" i="9" s="1"/>
  <c r="Y437" i="9"/>
  <c r="AC437" i="9" s="1"/>
  <c r="Y436" i="9"/>
  <c r="AC436" i="9" s="1"/>
  <c r="Y410" i="9"/>
  <c r="AC410" i="9" s="1"/>
  <c r="Y392" i="9"/>
  <c r="AC392" i="9" s="1"/>
  <c r="Y391" i="9"/>
  <c r="AC391" i="9" s="1"/>
  <c r="Y390" i="9"/>
  <c r="AC390" i="9" s="1"/>
  <c r="Y389" i="9"/>
  <c r="AC389" i="9" s="1"/>
  <c r="Y354" i="9"/>
  <c r="AC354" i="9" s="1"/>
  <c r="Y353" i="9"/>
  <c r="AC353" i="9" s="1"/>
  <c r="Y352" i="9"/>
  <c r="AC352" i="9" s="1"/>
  <c r="Y351" i="9"/>
  <c r="AC351" i="9" s="1"/>
  <c r="Y508" i="9"/>
  <c r="AC508" i="9" s="1"/>
  <c r="AC1748" i="9"/>
  <c r="AC1913" i="9"/>
  <c r="AC1865" i="9"/>
  <c r="AC1836" i="9"/>
  <c r="AC1762" i="9"/>
  <c r="AC1714" i="9"/>
  <c r="Y590" i="9"/>
  <c r="AC590" i="9" s="1"/>
  <c r="Y570" i="9"/>
  <c r="AC570" i="9" s="1"/>
  <c r="Y569" i="9"/>
  <c r="AC569" i="9" s="1"/>
  <c r="Y536" i="9"/>
  <c r="AC536" i="9" s="1"/>
  <c r="Y535" i="9"/>
  <c r="AC535" i="9" s="1"/>
  <c r="Y534" i="9"/>
  <c r="AC534" i="9" s="1"/>
  <c r="Y533" i="9"/>
  <c r="AC533" i="9" s="1"/>
  <c r="Y521" i="9"/>
  <c r="AC521" i="9" s="1"/>
  <c r="Y495" i="9"/>
  <c r="AC495" i="9" s="1"/>
  <c r="Y493" i="9"/>
  <c r="AC493" i="9" s="1"/>
  <c r="Y459" i="9"/>
  <c r="AC459" i="9" s="1"/>
  <c r="Y458" i="9"/>
  <c r="AC458" i="9" s="1"/>
  <c r="Y457" i="9"/>
  <c r="AC457" i="9" s="1"/>
  <c r="Y456" i="9"/>
  <c r="AC456" i="9" s="1"/>
  <c r="Y421" i="9"/>
  <c r="AC421" i="9" s="1"/>
  <c r="Y420" i="9"/>
  <c r="AC420" i="9" s="1"/>
  <c r="Y419" i="9"/>
  <c r="AC419" i="9" s="1"/>
  <c r="Y418" i="9"/>
  <c r="AC418" i="9" s="1"/>
  <c r="Y406" i="9"/>
  <c r="AC406" i="9" s="1"/>
  <c r="Y374" i="9"/>
  <c r="AC374" i="9" s="1"/>
  <c r="Y373" i="9"/>
  <c r="AC373" i="9" s="1"/>
  <c r="Y372" i="9"/>
  <c r="AC372" i="9" s="1"/>
  <c r="Y371" i="9"/>
  <c r="AC371" i="9" s="1"/>
  <c r="Y336" i="9"/>
  <c r="AC336" i="9" s="1"/>
  <c r="Y335" i="9"/>
  <c r="AC335" i="9" s="1"/>
  <c r="Y334" i="9"/>
  <c r="AC334" i="9" s="1"/>
  <c r="Y333" i="9"/>
  <c r="AC333" i="9" s="1"/>
  <c r="Y494" i="9"/>
  <c r="AC494" i="9" s="1"/>
  <c r="AC1303" i="9"/>
  <c r="AC1378" i="9"/>
  <c r="AC1182" i="9"/>
  <c r="AC1720" i="9"/>
  <c r="AC111" i="9"/>
  <c r="AC107" i="9"/>
  <c r="AC155" i="9"/>
  <c r="AC138" i="9"/>
  <c r="AC305" i="9"/>
  <c r="AC303" i="9"/>
  <c r="AC273" i="9"/>
  <c r="AC272" i="9"/>
  <c r="AC271" i="9"/>
  <c r="AC269" i="9"/>
  <c r="AC231" i="9"/>
  <c r="AC230" i="9"/>
  <c r="AC228" i="9"/>
  <c r="AC196" i="9"/>
  <c r="AC195" i="9"/>
  <c r="AC194" i="9"/>
  <c r="AC192" i="9"/>
  <c r="AC158" i="9"/>
  <c r="AC157" i="9"/>
  <c r="AC156" i="9"/>
  <c r="AC154" i="9"/>
  <c r="AC110" i="9"/>
  <c r="AC109" i="9"/>
  <c r="AC73" i="9"/>
  <c r="AC72" i="9"/>
  <c r="AC71" i="9"/>
  <c r="AC69" i="9"/>
  <c r="AC193" i="9"/>
  <c r="AC270" i="9"/>
  <c r="AC253" i="9"/>
  <c r="AC108" i="9"/>
  <c r="AC70" i="9"/>
  <c r="AC322" i="9"/>
  <c r="AC304" i="9"/>
  <c r="AC229" i="9"/>
  <c r="Y591" i="9"/>
  <c r="AC591" i="9" s="1"/>
  <c r="Y574" i="9"/>
  <c r="AC574" i="9" s="1"/>
  <c r="Y573" i="9"/>
  <c r="AC573" i="9" s="1"/>
  <c r="Y572" i="9"/>
  <c r="AC572" i="9" s="1"/>
  <c r="Y542" i="9"/>
  <c r="AC542" i="9" s="1"/>
  <c r="Y541" i="9"/>
  <c r="AC541" i="9" s="1"/>
  <c r="Y540" i="9"/>
  <c r="AC540" i="9" s="1"/>
  <c r="Y539" i="9"/>
  <c r="AC539" i="9" s="1"/>
  <c r="Y538" i="9"/>
  <c r="AC538" i="9" s="1"/>
  <c r="Y522" i="9"/>
  <c r="AC522" i="9" s="1"/>
  <c r="Y498" i="9"/>
  <c r="AC498" i="9" s="1"/>
  <c r="Y465" i="9"/>
  <c r="AC465" i="9" s="1"/>
  <c r="Y464" i="9"/>
  <c r="AC464" i="9" s="1"/>
  <c r="Y463" i="9"/>
  <c r="AC463" i="9" s="1"/>
  <c r="Y462" i="9"/>
  <c r="AC462" i="9" s="1"/>
  <c r="Y461" i="9"/>
  <c r="AC461" i="9" s="1"/>
  <c r="Y427" i="9"/>
  <c r="AC427" i="9" s="1"/>
  <c r="Y426" i="9"/>
  <c r="AC426" i="9" s="1"/>
  <c r="Y425" i="9"/>
  <c r="AC425" i="9" s="1"/>
  <c r="Y424" i="9"/>
  <c r="AC424" i="9" s="1"/>
  <c r="Y423" i="9"/>
  <c r="AC423" i="9" s="1"/>
  <c r="Y407" i="9"/>
  <c r="AC407" i="9" s="1"/>
  <c r="Y380" i="9"/>
  <c r="AC380" i="9" s="1"/>
  <c r="Y379" i="9"/>
  <c r="AC379" i="9" s="1"/>
  <c r="Y378" i="9"/>
  <c r="AC378" i="9" s="1"/>
  <c r="Y377" i="9"/>
  <c r="AC377" i="9" s="1"/>
  <c r="Y376" i="9"/>
  <c r="AC376" i="9" s="1"/>
  <c r="Y342" i="9"/>
  <c r="AC342" i="9" s="1"/>
  <c r="Y341" i="9"/>
  <c r="AC341" i="9" s="1"/>
  <c r="Y340" i="9"/>
  <c r="AC340" i="9" s="1"/>
  <c r="Y339" i="9"/>
  <c r="AC339" i="9" s="1"/>
  <c r="Y338" i="9"/>
  <c r="AC338" i="9" s="1"/>
  <c r="Y500" i="9"/>
  <c r="AC500" i="9" s="1"/>
  <c r="Y499" i="9"/>
  <c r="AC499" i="9" s="1"/>
  <c r="Y497" i="9"/>
  <c r="AC497" i="9" s="1"/>
  <c r="AC1402" i="9"/>
  <c r="AC1389" i="9"/>
  <c r="AC1333" i="9"/>
  <c r="AC1321" i="9"/>
  <c r="AC1391" i="9"/>
  <c r="AC1390" i="9"/>
  <c r="AC1288" i="9"/>
  <c r="AC1251" i="9"/>
  <c r="AC1218" i="9"/>
  <c r="AC1205" i="9"/>
  <c r="AC1203" i="9"/>
  <c r="AC1202" i="9"/>
  <c r="AC1204" i="9"/>
  <c r="AC1201" i="9"/>
  <c r="AC1927" i="9"/>
  <c r="AC1827" i="9"/>
  <c r="AC1742" i="9"/>
  <c r="Y596" i="9"/>
  <c r="AC596" i="9" s="1"/>
  <c r="Y586" i="9"/>
  <c r="AC586" i="9" s="1"/>
  <c r="Y585" i="9"/>
  <c r="AC585" i="9" s="1"/>
  <c r="Y564" i="9"/>
  <c r="AC564" i="9" s="1"/>
  <c r="Y563" i="9"/>
  <c r="AC563" i="9" s="1"/>
  <c r="Y562" i="9"/>
  <c r="AC562" i="9" s="1"/>
  <c r="Y561" i="9"/>
  <c r="AC561" i="9" s="1"/>
  <c r="Y527" i="9"/>
  <c r="AC527" i="9" s="1"/>
  <c r="Y517" i="9"/>
  <c r="AC517" i="9" s="1"/>
  <c r="Y516" i="9"/>
  <c r="AC516" i="9" s="1"/>
  <c r="Y515" i="9"/>
  <c r="AC515" i="9" s="1"/>
  <c r="Y487" i="9"/>
  <c r="AC487" i="9" s="1"/>
  <c r="Y486" i="9"/>
  <c r="AC486" i="9" s="1"/>
  <c r="Y485" i="9"/>
  <c r="AC485" i="9" s="1"/>
  <c r="Y484" i="9"/>
  <c r="AC484" i="9" s="1"/>
  <c r="Y449" i="9"/>
  <c r="AC449" i="9" s="1"/>
  <c r="Y448" i="9"/>
  <c r="AC448" i="9" s="1"/>
  <c r="Y447" i="9"/>
  <c r="AC447" i="9" s="1"/>
  <c r="Y446" i="9"/>
  <c r="AC446" i="9" s="1"/>
  <c r="Y412" i="9"/>
  <c r="AC412" i="9" s="1"/>
  <c r="Y402" i="9"/>
  <c r="AC402" i="9" s="1"/>
  <c r="Y401" i="9"/>
  <c r="AC401" i="9" s="1"/>
  <c r="Y400" i="9"/>
  <c r="AC400" i="9" s="1"/>
  <c r="Y399" i="9"/>
  <c r="AC399" i="9" s="1"/>
  <c r="Y364" i="9"/>
  <c r="AC364" i="9" s="1"/>
  <c r="Y363" i="9"/>
  <c r="AC363" i="9" s="1"/>
  <c r="Y362" i="9"/>
  <c r="AC362" i="9" s="1"/>
  <c r="Y361" i="9"/>
  <c r="AC361" i="9" s="1"/>
  <c r="AC1395" i="9"/>
  <c r="AC1211" i="9"/>
  <c r="AC1933" i="9"/>
  <c r="AC1864" i="9"/>
  <c r="AC1172" i="9"/>
  <c r="AC1171" i="9"/>
  <c r="AC1170" i="9"/>
  <c r="AC1168" i="9"/>
  <c r="AC1166" i="9"/>
  <c r="AC1163" i="9"/>
  <c r="AC1162" i="9"/>
  <c r="AC1160" i="9"/>
  <c r="AC1155" i="9"/>
  <c r="AC1153" i="9"/>
  <c r="AC1150" i="9"/>
  <c r="AC1144" i="9"/>
  <c r="AC1142" i="9"/>
  <c r="AC1137" i="9"/>
  <c r="AC1136" i="9"/>
  <c r="AC1159" i="9"/>
  <c r="AC1157" i="9"/>
  <c r="AC1156" i="9"/>
  <c r="AC1154" i="9"/>
  <c r="AC1151" i="9"/>
  <c r="AC1149" i="9"/>
  <c r="AC1148" i="9"/>
  <c r="AC1147" i="9"/>
  <c r="AC1145" i="9"/>
  <c r="AC1141" i="9"/>
  <c r="AC1139" i="9"/>
  <c r="AC1138" i="9"/>
  <c r="AC1710" i="9"/>
  <c r="AC1702" i="9"/>
  <c r="AC1699" i="9"/>
  <c r="AC1698" i="9"/>
  <c r="AC1696" i="9"/>
  <c r="AC1687" i="9"/>
  <c r="AC1685" i="9"/>
  <c r="AC1691" i="9"/>
  <c r="AC1690" i="9"/>
  <c r="AC1688" i="9"/>
  <c r="AC1684" i="9"/>
  <c r="AC1681" i="9"/>
  <c r="AC1678" i="9"/>
  <c r="AC1373" i="9"/>
  <c r="AC1372" i="9"/>
  <c r="AC1371" i="9"/>
  <c r="AC1370" i="9"/>
  <c r="AC1369" i="9"/>
  <c r="AC1368" i="9"/>
  <c r="AC1367" i="9"/>
  <c r="AC1366" i="9"/>
  <c r="AC1365" i="9"/>
  <c r="AC1363" i="9"/>
  <c r="AC1362" i="9"/>
  <c r="AC1360" i="9"/>
  <c r="AC1359" i="9"/>
  <c r="AC1357" i="9"/>
  <c r="AC1356" i="9"/>
  <c r="AC1355" i="9"/>
  <c r="AC1354" i="9"/>
  <c r="AC1353" i="9"/>
  <c r="AC1351" i="9"/>
  <c r="AC1350" i="9"/>
  <c r="AC1349" i="9"/>
  <c r="AC1348" i="9"/>
  <c r="AC1347" i="9"/>
  <c r="AC1345" i="9"/>
  <c r="AC1344" i="9"/>
  <c r="AC1341" i="9"/>
  <c r="AC1339" i="9"/>
  <c r="AC1338" i="9"/>
  <c r="AC1336" i="9"/>
  <c r="AC1910" i="9"/>
  <c r="AC1898" i="9"/>
  <c r="AC1896" i="9"/>
  <c r="AC1893" i="9"/>
  <c r="AC1891" i="9"/>
  <c r="AC1890" i="9"/>
  <c r="AC1888" i="9"/>
  <c r="AC1882" i="9"/>
  <c r="AC1881" i="9"/>
  <c r="AC1880" i="9"/>
  <c r="AC1911" i="9"/>
  <c r="AC1902" i="9"/>
  <c r="AC1909" i="9"/>
  <c r="AC1900" i="9"/>
  <c r="AC1335" i="9"/>
  <c r="AC1873" i="9"/>
  <c r="AC1220" i="9"/>
  <c r="AC1758" i="9"/>
  <c r="AC1875" i="9" l="1"/>
  <c r="AC1674" i="9"/>
  <c r="AC1695" i="9"/>
  <c r="AC1756" i="9"/>
  <c r="AC1740" i="9"/>
  <c r="AC1287" i="9"/>
  <c r="AC1229" i="9"/>
  <c r="AC1797" i="9"/>
  <c r="AC1745" i="9"/>
  <c r="AC1744" i="9"/>
  <c r="AC1791" i="9"/>
  <c r="AC1872" i="9"/>
  <c r="AC1806" i="9"/>
  <c r="AC1184" i="9"/>
  <c r="AC1717" i="9"/>
  <c r="AC1839" i="9"/>
  <c r="AC1914" i="9"/>
  <c r="AC1264" i="9"/>
  <c r="AC1783" i="9"/>
  <c r="AC1737" i="9"/>
  <c r="AC1854" i="9"/>
  <c r="AC1196" i="9"/>
  <c r="AC1245" i="9"/>
  <c r="AC1332" i="9"/>
  <c r="AC1727" i="9"/>
  <c r="AC1726" i="9"/>
  <c r="AC1814" i="9"/>
  <c r="AC1754" i="9"/>
  <c r="AC1779" i="9"/>
  <c r="AC1818" i="9"/>
  <c r="AC1847" i="9"/>
  <c r="AC1849" i="9"/>
  <c r="AC1191" i="9"/>
  <c r="AC1238" i="9"/>
  <c r="AC1275" i="9"/>
  <c r="AC1242" i="9"/>
  <c r="AC1277" i="9"/>
  <c r="AC1330" i="9"/>
  <c r="AC1400" i="9"/>
  <c r="AC133" i="9"/>
  <c r="AC132" i="9"/>
  <c r="AC130" i="9"/>
  <c r="AC95" i="9"/>
  <c r="AC131" i="9"/>
  <c r="AC316" i="9"/>
  <c r="AC295" i="9"/>
  <c r="AC294" i="9"/>
  <c r="AC292" i="9"/>
  <c r="AC248" i="9"/>
  <c r="AC246" i="9"/>
  <c r="AC218" i="9"/>
  <c r="AC217" i="9"/>
  <c r="AC215" i="9"/>
  <c r="AC180" i="9"/>
  <c r="AC179" i="9"/>
  <c r="AC177" i="9"/>
  <c r="AC94" i="9"/>
  <c r="AC92" i="9"/>
  <c r="AC216" i="9"/>
  <c r="AC293" i="9"/>
  <c r="AC258" i="9"/>
  <c r="AC178" i="9"/>
  <c r="AC327" i="9"/>
  <c r="AC317" i="9"/>
  <c r="AC247" i="9"/>
  <c r="AC143" i="9"/>
  <c r="AC93" i="9"/>
  <c r="AC296" i="9"/>
  <c r="AC249" i="9"/>
  <c r="AC219" i="9"/>
  <c r="AC181" i="9"/>
  <c r="AC134" i="9"/>
  <c r="AC96" i="9"/>
  <c r="AC318" i="9"/>
  <c r="AC1663" i="9"/>
  <c r="AC1564" i="9"/>
  <c r="AC1526" i="9"/>
  <c r="AC1479" i="9"/>
  <c r="AC1647" i="9"/>
  <c r="AC1536" i="9"/>
  <c r="AC1498" i="9"/>
  <c r="AC1451" i="9"/>
  <c r="AC1670" i="9"/>
  <c r="AC1656" i="9"/>
  <c r="AC1655" i="9"/>
  <c r="AC1553" i="9"/>
  <c r="AC1552" i="9"/>
  <c r="AC1551" i="9"/>
  <c r="AC1550" i="9"/>
  <c r="AC1515" i="9"/>
  <c r="AC1514" i="9"/>
  <c r="AC1513" i="9"/>
  <c r="AC1512" i="9"/>
  <c r="AC1468" i="9"/>
  <c r="AC1467" i="9"/>
  <c r="AC1466" i="9"/>
  <c r="AC1465" i="9"/>
  <c r="AC1906" i="9"/>
  <c r="AC1876" i="9"/>
  <c r="AC1883" i="9"/>
  <c r="AC1886" i="9"/>
  <c r="AC1889" i="9"/>
  <c r="AC1894" i="9"/>
  <c r="AC1908" i="9"/>
  <c r="AC1340" i="9"/>
  <c r="AC1343" i="9"/>
  <c r="AC1346" i="9"/>
  <c r="AC1352" i="9"/>
  <c r="AC1358" i="9"/>
  <c r="AC1361" i="9"/>
  <c r="AC1364" i="9"/>
  <c r="AC1709" i="9"/>
  <c r="AC1675" i="9"/>
  <c r="AC1682" i="9"/>
  <c r="AC1676" i="9"/>
  <c r="AC1683" i="9"/>
  <c r="AC1697" i="9"/>
  <c r="AC1703" i="9"/>
  <c r="AC1707" i="9"/>
  <c r="AC1711" i="9"/>
  <c r="AC1708" i="9"/>
  <c r="AC1143" i="9"/>
  <c r="AC1152" i="9"/>
  <c r="AC1158" i="9"/>
  <c r="AC1164" i="9"/>
  <c r="AC1749" i="9"/>
  <c r="AC1796" i="9"/>
  <c r="AC1258" i="9"/>
  <c r="AC1326" i="9"/>
  <c r="AC1788" i="9"/>
  <c r="AC1826" i="9"/>
  <c r="AC1859" i="9"/>
  <c r="AC1252" i="9"/>
  <c r="AC1289" i="9"/>
  <c r="AC1805" i="9"/>
  <c r="AC1267" i="9"/>
  <c r="AC1760" i="9"/>
  <c r="AC1761" i="9"/>
  <c r="AC1800" i="9"/>
  <c r="AC1912" i="9"/>
  <c r="AC1795" i="9"/>
  <c r="AC1833" i="9"/>
  <c r="AC1932" i="9"/>
  <c r="AC1830" i="9"/>
  <c r="AC1747" i="9"/>
  <c r="AC1793" i="9"/>
  <c r="AC1794" i="9"/>
  <c r="AC1829" i="9"/>
  <c r="AC1931" i="9"/>
  <c r="AC1254" i="9"/>
  <c r="AC1256" i="9"/>
  <c r="AC1291" i="9"/>
  <c r="AC1334" i="9"/>
  <c r="AC1809" i="9"/>
  <c r="AC1770" i="9"/>
  <c r="AC1808" i="9"/>
  <c r="AC1769" i="9"/>
  <c r="AC1844" i="9"/>
  <c r="AC1917" i="9"/>
  <c r="AC1183" i="9"/>
  <c r="AC1185" i="9"/>
  <c r="AC1214" i="9"/>
  <c r="AC1231" i="9"/>
  <c r="AC1230" i="9"/>
  <c r="AC1272" i="9"/>
  <c r="AC1379" i="9"/>
  <c r="AC1751" i="9"/>
  <c r="AC1766" i="9"/>
  <c r="AC1801" i="9"/>
  <c r="AC1866" i="9"/>
  <c r="AC1213" i="9"/>
  <c r="AC1225" i="9"/>
  <c r="AC1266" i="9"/>
  <c r="AC1301" i="9"/>
  <c r="AC1376" i="9"/>
  <c r="AC1388" i="9"/>
  <c r="AC1317" i="9"/>
  <c r="AC1821" i="9"/>
  <c r="AC1735" i="9"/>
  <c r="AC1820" i="9"/>
  <c r="AC1853" i="9"/>
  <c r="AC1870" i="9"/>
  <c r="AC1198" i="9"/>
  <c r="AC1199" i="9"/>
  <c r="AC1197" i="9"/>
  <c r="AC1246" i="9"/>
  <c r="AC1281" i="9"/>
  <c r="AC1244" i="9"/>
  <c r="AC1386" i="9"/>
  <c r="AC1401" i="9"/>
  <c r="AC1177" i="9"/>
  <c r="AC1224" i="9"/>
  <c r="AC1259" i="9"/>
  <c r="AC1297" i="9"/>
  <c r="AC1299" i="9"/>
  <c r="AC1732" i="9"/>
  <c r="AC1729" i="9"/>
  <c r="AC1730" i="9"/>
  <c r="AC1753" i="9"/>
  <c r="AC1776" i="9"/>
  <c r="AC1817" i="9"/>
  <c r="AC1850" i="9"/>
  <c r="AC1922" i="9"/>
  <c r="AC1938" i="9"/>
  <c r="AC1325" i="9"/>
  <c r="AC1193" i="9"/>
  <c r="AC1195" i="9"/>
  <c r="AC1276" i="9"/>
  <c r="AC1274" i="9"/>
  <c r="AC1279" i="9"/>
  <c r="AC1383" i="9"/>
  <c r="AC1311" i="9"/>
  <c r="AC1313" i="9"/>
  <c r="AC1399" i="9"/>
  <c r="Y593" i="9"/>
  <c r="AC593" i="9" s="1"/>
  <c r="Y592" i="9"/>
  <c r="AC592" i="9" s="1"/>
  <c r="Y578" i="9"/>
  <c r="AC578" i="9" s="1"/>
  <c r="Y577" i="9"/>
  <c r="AC577" i="9" s="1"/>
  <c r="Y576" i="9"/>
  <c r="AC576" i="9" s="1"/>
  <c r="Y575" i="9"/>
  <c r="AC575" i="9" s="1"/>
  <c r="Y550" i="9"/>
  <c r="AC550" i="9" s="1"/>
  <c r="Y549" i="9"/>
  <c r="AC549" i="9" s="1"/>
  <c r="Y548" i="9"/>
  <c r="AC548" i="9" s="1"/>
  <c r="Y547" i="9"/>
  <c r="AC547" i="9" s="1"/>
  <c r="Y546" i="9"/>
  <c r="AC546" i="9" s="1"/>
  <c r="Y545" i="9"/>
  <c r="AC545" i="9" s="1"/>
  <c r="Y544" i="9"/>
  <c r="AC544" i="9" s="1"/>
  <c r="Y543" i="9"/>
  <c r="AC543" i="9" s="1"/>
  <c r="Y524" i="9"/>
  <c r="AC524" i="9" s="1"/>
  <c r="Y523" i="9"/>
  <c r="AC523" i="9" s="1"/>
  <c r="Y505" i="9"/>
  <c r="AC505" i="9" s="1"/>
  <c r="Y503" i="9"/>
  <c r="AC503" i="9" s="1"/>
  <c r="Y501" i="9"/>
  <c r="AC501" i="9" s="1"/>
  <c r="Y473" i="9"/>
  <c r="AC473" i="9" s="1"/>
  <c r="Y472" i="9"/>
  <c r="AC472" i="9" s="1"/>
  <c r="Y471" i="9"/>
  <c r="AC471" i="9" s="1"/>
  <c r="Y470" i="9"/>
  <c r="AC470" i="9" s="1"/>
  <c r="Y469" i="9"/>
  <c r="AC469" i="9" s="1"/>
  <c r="Y468" i="9"/>
  <c r="AC468" i="9" s="1"/>
  <c r="Y467" i="9"/>
  <c r="AC467" i="9" s="1"/>
  <c r="Y466" i="9"/>
  <c r="AC466" i="9" s="1"/>
  <c r="Y435" i="9"/>
  <c r="AC435" i="9" s="1"/>
  <c r="Y434" i="9"/>
  <c r="AC434" i="9" s="1"/>
  <c r="Y433" i="9"/>
  <c r="AC433" i="9" s="1"/>
  <c r="Y432" i="9"/>
  <c r="AC432" i="9" s="1"/>
  <c r="Y431" i="9"/>
  <c r="AC431" i="9" s="1"/>
  <c r="Y430" i="9"/>
  <c r="AC430" i="9" s="1"/>
  <c r="Y429" i="9"/>
  <c r="AC429" i="9" s="1"/>
  <c r="Y428" i="9"/>
  <c r="AC428" i="9" s="1"/>
  <c r="Y409" i="9"/>
  <c r="AC409" i="9" s="1"/>
  <c r="Y408" i="9"/>
  <c r="AC408" i="9" s="1"/>
  <c r="Y388" i="9"/>
  <c r="AC388" i="9" s="1"/>
  <c r="Y387" i="9"/>
  <c r="AC387" i="9" s="1"/>
  <c r="Y386" i="9"/>
  <c r="AC386" i="9" s="1"/>
  <c r="Y385" i="9"/>
  <c r="AC385" i="9" s="1"/>
  <c r="Y384" i="9"/>
  <c r="AC384" i="9" s="1"/>
  <c r="Y383" i="9"/>
  <c r="AC383" i="9" s="1"/>
  <c r="Y382" i="9"/>
  <c r="AC382" i="9" s="1"/>
  <c r="Y381" i="9"/>
  <c r="AC381" i="9" s="1"/>
  <c r="Y350" i="9"/>
  <c r="AC350" i="9" s="1"/>
  <c r="Y349" i="9"/>
  <c r="AC349" i="9" s="1"/>
  <c r="Y348" i="9"/>
  <c r="AC348" i="9" s="1"/>
  <c r="Y347" i="9"/>
  <c r="AC347" i="9" s="1"/>
  <c r="Y346" i="9"/>
  <c r="AC346" i="9" s="1"/>
  <c r="Y345" i="9"/>
  <c r="AC345" i="9" s="1"/>
  <c r="Y344" i="9"/>
  <c r="AC344" i="9" s="1"/>
  <c r="Y343" i="9"/>
  <c r="AC343" i="9" s="1"/>
  <c r="Y506" i="9"/>
  <c r="AC506" i="9" s="1"/>
  <c r="Y504" i="9"/>
  <c r="AC504" i="9" s="1"/>
  <c r="Y502" i="9"/>
  <c r="AC502" i="9" s="1"/>
  <c r="AC1650" i="9"/>
  <c r="AC1541" i="9"/>
  <c r="AC1503" i="9"/>
  <c r="AC1456" i="9"/>
  <c r="AC1604" i="9"/>
  <c r="AC1441" i="9"/>
  <c r="AC1430" i="9"/>
  <c r="AC1429" i="9"/>
  <c r="AC1428" i="9"/>
  <c r="AC1427" i="9"/>
  <c r="AC1418" i="9"/>
  <c r="AC1413" i="9"/>
  <c r="AC1666" i="9"/>
  <c r="AC1646" i="9"/>
  <c r="AC1645" i="9"/>
  <c r="AC1597" i="9"/>
  <c r="AC1535" i="9"/>
  <c r="AC1534" i="9"/>
  <c r="AC1533" i="9"/>
  <c r="AC1532" i="9"/>
  <c r="AC1497" i="9"/>
  <c r="AC1496" i="9"/>
  <c r="AC1495" i="9"/>
  <c r="AC1494" i="9"/>
  <c r="AC1450" i="9"/>
  <c r="AC1449" i="9"/>
  <c r="AC1448" i="9"/>
  <c r="AC1447" i="9"/>
  <c r="AC1907" i="9"/>
  <c r="AC1878" i="9"/>
  <c r="AC1884" i="9"/>
  <c r="AC1899" i="9"/>
  <c r="AC1901" i="9"/>
  <c r="AC1705" i="9"/>
  <c r="AC1677" i="9"/>
  <c r="AC1679" i="9"/>
  <c r="AC1692" i="9"/>
  <c r="AC1700" i="9"/>
  <c r="AC1165" i="9"/>
  <c r="AC1167" i="9"/>
  <c r="AC1834" i="9"/>
  <c r="AC1739" i="9"/>
  <c r="AC1741" i="9"/>
  <c r="AC1786" i="9"/>
  <c r="AC1790" i="9"/>
  <c r="AC1828" i="9"/>
  <c r="AC1787" i="9"/>
  <c r="AC1856" i="9"/>
  <c r="AC1928" i="9"/>
  <c r="AC1249" i="9"/>
  <c r="AC1248" i="9"/>
  <c r="AC1290" i="9"/>
  <c r="AC1318" i="9"/>
  <c r="AC1320" i="9"/>
  <c r="AC1767" i="9"/>
  <c r="AC1916" i="9"/>
  <c r="AC1750" i="9"/>
  <c r="AC1798" i="9"/>
  <c r="AC1712" i="9"/>
  <c r="AC1799" i="9"/>
  <c r="AC1837" i="9"/>
  <c r="AC1831" i="9"/>
  <c r="AC1832" i="9"/>
  <c r="AC1757" i="9"/>
  <c r="AC1930" i="9"/>
  <c r="AC1206" i="9"/>
  <c r="AC1209" i="9"/>
  <c r="AC1292" i="9"/>
  <c r="AC1293" i="9"/>
  <c r="AC1403" i="9"/>
  <c r="AC1724" i="9"/>
  <c r="AC1772" i="9"/>
  <c r="AC1810" i="9"/>
  <c r="AC1807" i="9"/>
  <c r="AC1842" i="9"/>
  <c r="AC1845" i="9"/>
  <c r="AC1918" i="9"/>
  <c r="AC1186" i="9"/>
  <c r="AC1187" i="9"/>
  <c r="AC1232" i="9"/>
  <c r="AC1268" i="9"/>
  <c r="AC1304" i="9"/>
  <c r="AC1306" i="9"/>
  <c r="AC1380" i="9"/>
  <c r="AC1716" i="9"/>
  <c r="AC1765" i="9"/>
  <c r="AC1803" i="9"/>
  <c r="AC1764" i="9"/>
  <c r="AC1804" i="9"/>
  <c r="AC1915" i="9"/>
  <c r="AC1178" i="9"/>
  <c r="AC1227" i="9"/>
  <c r="AC1328" i="9"/>
  <c r="AC1755" i="9"/>
  <c r="AC1781" i="9"/>
  <c r="AC1939" i="9"/>
  <c r="AC1283" i="9"/>
  <c r="AC1282" i="9"/>
  <c r="AC1314" i="9"/>
  <c r="AC1316" i="9"/>
  <c r="AC1175" i="9"/>
  <c r="AC1176" i="9"/>
  <c r="AC1212" i="9"/>
  <c r="AC1222" i="9"/>
  <c r="AC1261" i="9"/>
  <c r="AC1396" i="9"/>
  <c r="AC1298" i="9"/>
  <c r="AC1375" i="9"/>
  <c r="AC1731" i="9"/>
  <c r="AC1778" i="9"/>
  <c r="AC1728" i="9"/>
  <c r="AC1773" i="9"/>
  <c r="AC1733" i="9"/>
  <c r="AC1774" i="9"/>
  <c r="AC1777" i="9"/>
  <c r="AC1775" i="9"/>
  <c r="AC1813" i="9"/>
  <c r="AC1848" i="9"/>
  <c r="AC1869" i="9"/>
  <c r="AC1920" i="9"/>
  <c r="AC1923" i="9"/>
  <c r="AC1937" i="9"/>
  <c r="AC1257" i="9"/>
  <c r="AC1295" i="9"/>
  <c r="AC1394" i="9"/>
  <c r="AC1194" i="9"/>
  <c r="AC1190" i="9"/>
  <c r="AC1216" i="9"/>
  <c r="AC1235" i="9"/>
  <c r="AC1240" i="9"/>
  <c r="AC1239" i="9"/>
  <c r="AC1280" i="9"/>
  <c r="AC1308" i="9"/>
  <c r="AC1310" i="9"/>
  <c r="AC1312" i="9"/>
  <c r="AC124" i="9"/>
  <c r="AC312" i="9"/>
  <c r="AC286" i="9"/>
  <c r="AC209" i="9"/>
  <c r="AC171" i="9"/>
  <c r="AC241" i="9"/>
  <c r="AC86" i="9"/>
  <c r="AC1489" i="9"/>
  <c r="AC1664" i="9"/>
  <c r="AC1565" i="9"/>
  <c r="AC1527" i="9"/>
  <c r="AC1480" i="9"/>
  <c r="AC1657" i="9"/>
  <c r="AC1554" i="9"/>
  <c r="AC1516" i="9"/>
  <c r="AC1469" i="9"/>
  <c r="AC119" i="9"/>
  <c r="AC116" i="9"/>
  <c r="AC113" i="9"/>
  <c r="AC81" i="9"/>
  <c r="AC75" i="9"/>
  <c r="AC159" i="9"/>
  <c r="AC323" i="9"/>
  <c r="AC308" i="9"/>
  <c r="AC307" i="9"/>
  <c r="AC281" i="9"/>
  <c r="AC280" i="9"/>
  <c r="AC278" i="9"/>
  <c r="AC275" i="9"/>
  <c r="AC254" i="9"/>
  <c r="AC237" i="9"/>
  <c r="AC235" i="9"/>
  <c r="AC233" i="9"/>
  <c r="AC204" i="9"/>
  <c r="AC203" i="9"/>
  <c r="AC201" i="9"/>
  <c r="AC198" i="9"/>
  <c r="AC166" i="9"/>
  <c r="AC165" i="9"/>
  <c r="AC163" i="9"/>
  <c r="AC160" i="9"/>
  <c r="AC139" i="9"/>
  <c r="AC118" i="9"/>
  <c r="AC80" i="9"/>
  <c r="AC78" i="9"/>
  <c r="AC202" i="9"/>
  <c r="AC199" i="9"/>
  <c r="AC140" i="9"/>
  <c r="AC112" i="9"/>
  <c r="AC79" i="9"/>
  <c r="AC76" i="9"/>
  <c r="AC279" i="9"/>
  <c r="AC277" i="9"/>
  <c r="AC276" i="9"/>
  <c r="AC274" i="9"/>
  <c r="AC255" i="9"/>
  <c r="AC236" i="9"/>
  <c r="AC197" i="9"/>
  <c r="AC162" i="9"/>
  <c r="AC161" i="9"/>
  <c r="AC115" i="9"/>
  <c r="AC114" i="9"/>
  <c r="AC324" i="9"/>
  <c r="AC309" i="9"/>
  <c r="AC306" i="9"/>
  <c r="AC234" i="9"/>
  <c r="AC232" i="9"/>
  <c r="AC200" i="9"/>
  <c r="AC164" i="9"/>
  <c r="AC117" i="9"/>
  <c r="AC77" i="9"/>
  <c r="AC74" i="9"/>
  <c r="AC65" i="9"/>
  <c r="AC190" i="9"/>
  <c r="AC187" i="9"/>
  <c r="AC149" i="9"/>
  <c r="AC104" i="9"/>
  <c r="AC102" i="9"/>
  <c r="AC321" i="9"/>
  <c r="AC301" i="9"/>
  <c r="AC265" i="9"/>
  <c r="AC252" i="9"/>
  <c r="AC225" i="9"/>
  <c r="AC188" i="9"/>
  <c r="AC150" i="9"/>
  <c r="AC137" i="9"/>
  <c r="AC103" i="9"/>
  <c r="AC152" i="9"/>
  <c r="AC151" i="9"/>
  <c r="AC105" i="9"/>
  <c r="AC267" i="9"/>
  <c r="AC266" i="9"/>
  <c r="AC264" i="9"/>
  <c r="AC189" i="9"/>
  <c r="AC67" i="9"/>
  <c r="AC66" i="9"/>
  <c r="AC300" i="9"/>
  <c r="AC226" i="9"/>
  <c r="AC224" i="9"/>
  <c r="AC64" i="9"/>
  <c r="AC191" i="9"/>
  <c r="AC302" i="9"/>
  <c r="AC68" i="9"/>
  <c r="AC268" i="9"/>
  <c r="AC153" i="9"/>
  <c r="AC227" i="9"/>
  <c r="AC106" i="9"/>
  <c r="AC1672" i="9"/>
  <c r="AC1662" i="9"/>
  <c r="AC1661" i="9"/>
  <c r="AC1603" i="9"/>
  <c r="AC1563" i="9"/>
  <c r="AC1562" i="9"/>
  <c r="AC1561" i="9"/>
  <c r="AC1560" i="9"/>
  <c r="AC1525" i="9"/>
  <c r="AC1524" i="9"/>
  <c r="AC1523" i="9"/>
  <c r="AC1522" i="9"/>
  <c r="AC1488" i="9"/>
  <c r="AC1476" i="9"/>
  <c r="AC1477" i="9"/>
  <c r="AC1478" i="9"/>
  <c r="AC1475" i="9"/>
  <c r="AC1654" i="9"/>
  <c r="AC1653" i="9"/>
  <c r="AC1669" i="9"/>
  <c r="AC1600" i="9"/>
  <c r="AC1549" i="9"/>
  <c r="AC1548" i="9"/>
  <c r="AC1547" i="9"/>
  <c r="AC1546" i="9"/>
  <c r="AC1511" i="9"/>
  <c r="AC1510" i="9"/>
  <c r="AC1509" i="9"/>
  <c r="AC1508" i="9"/>
  <c r="AC1485" i="9"/>
  <c r="AC1464" i="9"/>
  <c r="AC1463" i="9"/>
  <c r="AC1462" i="9"/>
  <c r="AC1461" i="9"/>
  <c r="AC83" i="9"/>
  <c r="AC207" i="9"/>
  <c r="AC325" i="9"/>
  <c r="AC311" i="9"/>
  <c r="AC283" i="9"/>
  <c r="AC256" i="9"/>
  <c r="AC239" i="9"/>
  <c r="AC206" i="9"/>
  <c r="AC168" i="9"/>
  <c r="AC141" i="9"/>
  <c r="AC121" i="9"/>
  <c r="AC205" i="9"/>
  <c r="AC170" i="9"/>
  <c r="AC167" i="9"/>
  <c r="AC123" i="9"/>
  <c r="AC122" i="9"/>
  <c r="AC120" i="9"/>
  <c r="AC84" i="9"/>
  <c r="AC82" i="9"/>
  <c r="AC285" i="9"/>
  <c r="AC284" i="9"/>
  <c r="AC282" i="9"/>
  <c r="AC169" i="9"/>
  <c r="AC310" i="9"/>
  <c r="AC240" i="9"/>
  <c r="AC238" i="9"/>
  <c r="AC208" i="9"/>
  <c r="AC85" i="9"/>
  <c r="AC101" i="9"/>
  <c r="AC98" i="9"/>
  <c r="AC63" i="9"/>
  <c r="AC298" i="9"/>
  <c r="AC263" i="9"/>
  <c r="AC262" i="9"/>
  <c r="AC260" i="9"/>
  <c r="AC223" i="9"/>
  <c r="AC221" i="9"/>
  <c r="AC186" i="9"/>
  <c r="AC185" i="9"/>
  <c r="AC183" i="9"/>
  <c r="AC148" i="9"/>
  <c r="AC147" i="9"/>
  <c r="AC145" i="9"/>
  <c r="AC100" i="9"/>
  <c r="AC62" i="9"/>
  <c r="AC60" i="9"/>
  <c r="AC184" i="9"/>
  <c r="AC146" i="9"/>
  <c r="AC136" i="9"/>
  <c r="AC99" i="9"/>
  <c r="AC261" i="9"/>
  <c r="AC251" i="9"/>
  <c r="AC320" i="9"/>
  <c r="AC299" i="9"/>
  <c r="AC222" i="9"/>
  <c r="AC61" i="9"/>
  <c r="AC319" i="9"/>
  <c r="AC220" i="9"/>
  <c r="AC97" i="9"/>
  <c r="AC297" i="9"/>
  <c r="AC250" i="9"/>
  <c r="AC182" i="9"/>
  <c r="AC135" i="9"/>
  <c r="AC1642" i="9"/>
  <c r="AC1641" i="9"/>
  <c r="AC1640" i="9"/>
  <c r="AC1639" i="9"/>
  <c r="AC1638" i="9"/>
  <c r="AC1637" i="9"/>
  <c r="AC1631" i="9"/>
  <c r="AC1630" i="9"/>
  <c r="AC1629" i="9"/>
  <c r="AC1628" i="9"/>
  <c r="AC1627" i="9"/>
  <c r="AC1626" i="9"/>
  <c r="AC1625" i="9"/>
  <c r="AC1624" i="9"/>
  <c r="AC1623" i="9"/>
  <c r="AC1618" i="9"/>
  <c r="AC1613" i="9"/>
  <c r="AC1612" i="9"/>
  <c r="AC1611" i="9"/>
  <c r="AC1610" i="9"/>
  <c r="AC1609" i="9"/>
  <c r="AC1671" i="9"/>
  <c r="AC1658" i="9"/>
  <c r="AC1660" i="9"/>
  <c r="AC1659" i="9"/>
  <c r="AC1602" i="9"/>
  <c r="AC1590" i="9"/>
  <c r="AC1589" i="9"/>
  <c r="AC1588" i="9"/>
  <c r="AC1587" i="9"/>
  <c r="AC1559" i="9"/>
  <c r="AC1558" i="9"/>
  <c r="AC1557" i="9"/>
  <c r="AC1556" i="9"/>
  <c r="AC1555" i="9"/>
  <c r="AC1521" i="9"/>
  <c r="AC1520" i="9"/>
  <c r="AC1519" i="9"/>
  <c r="AC1518" i="9"/>
  <c r="AC1517" i="9"/>
  <c r="AC1487" i="9"/>
  <c r="AC1473" i="9"/>
  <c r="AC1470" i="9"/>
  <c r="AC1471" i="9"/>
  <c r="AC1474" i="9"/>
  <c r="AC1472" i="9"/>
  <c r="AC1644" i="9"/>
  <c r="AC1643" i="9"/>
  <c r="AC1665" i="9"/>
  <c r="AC1596" i="9"/>
  <c r="AC1568" i="9"/>
  <c r="AC1567" i="9"/>
  <c r="AC1566" i="9"/>
  <c r="AC1531" i="9"/>
  <c r="AC1530" i="9"/>
  <c r="AC1529" i="9"/>
  <c r="AC1528" i="9"/>
  <c r="AC1493" i="9"/>
  <c r="AC1492" i="9"/>
  <c r="AC1491" i="9"/>
  <c r="AC1490" i="9"/>
  <c r="AC1446" i="9"/>
  <c r="AC1445" i="9"/>
  <c r="AC1444" i="9"/>
  <c r="AC1443" i="9"/>
  <c r="AC1481" i="9"/>
  <c r="AC1903" i="9"/>
  <c r="AC1905" i="9"/>
  <c r="AC1874" i="9"/>
  <c r="AC1877" i="9"/>
  <c r="AC1879" i="9"/>
  <c r="AC1885" i="9"/>
  <c r="AC1887" i="9"/>
  <c r="AC1892" i="9"/>
  <c r="AC1895" i="9"/>
  <c r="AC1897" i="9"/>
  <c r="AC1904" i="9"/>
  <c r="AC1337" i="9"/>
  <c r="AC1342" i="9"/>
  <c r="AC1680" i="9"/>
  <c r="AC1693" i="9"/>
  <c r="AC1706" i="9"/>
  <c r="AC1686" i="9"/>
  <c r="AC1689" i="9"/>
  <c r="AC1694" i="9"/>
  <c r="AC1701" i="9"/>
  <c r="AC1704" i="9"/>
  <c r="AC1140" i="9"/>
  <c r="AC1146" i="9"/>
  <c r="AC1161" i="9"/>
  <c r="AC1169" i="9"/>
  <c r="AC1173" i="9"/>
  <c r="AC1296" i="9"/>
  <c r="AC1743" i="9"/>
  <c r="AC1789" i="9"/>
  <c r="AC1824" i="9"/>
  <c r="AC1825" i="9"/>
  <c r="AC1858" i="9"/>
  <c r="AC1857" i="9"/>
  <c r="AC1871" i="9"/>
  <c r="AC1929" i="9"/>
  <c r="AC1940" i="9"/>
  <c r="AC1250" i="9"/>
  <c r="AC1286" i="9"/>
  <c r="AC1319" i="9"/>
  <c r="AC1841" i="9"/>
  <c r="AC1713" i="9"/>
  <c r="AC1715" i="9"/>
  <c r="AC1759" i="9"/>
  <c r="AC1835" i="9"/>
  <c r="AC1934" i="9"/>
  <c r="AC1863" i="9"/>
  <c r="AC1746" i="9"/>
  <c r="AC1792" i="9"/>
  <c r="AC1860" i="9"/>
  <c r="AC1941" i="9"/>
  <c r="AC1207" i="9"/>
  <c r="AC1219" i="9"/>
  <c r="AC1253" i="9"/>
  <c r="AC1294" i="9"/>
  <c r="AC1322" i="9"/>
  <c r="AC1324" i="9"/>
  <c r="AC1721" i="9"/>
  <c r="AC1723" i="9"/>
  <c r="AC1768" i="9"/>
  <c r="AC1843" i="9"/>
  <c r="AC1919" i="9"/>
  <c r="AC1936" i="9"/>
  <c r="AC1269" i="9"/>
  <c r="AC1233" i="9"/>
  <c r="AC1270" i="9"/>
  <c r="AC1305" i="9"/>
  <c r="AC1398" i="9"/>
  <c r="AC1718" i="9"/>
  <c r="AC1719" i="9"/>
  <c r="AC1802" i="9"/>
  <c r="AC1838" i="9"/>
  <c r="AC1180" i="9"/>
  <c r="AC1181" i="9"/>
  <c r="AC1179" i="9"/>
  <c r="AC1228" i="9"/>
  <c r="AC1263" i="9"/>
  <c r="AC1226" i="9"/>
  <c r="AC1738" i="9"/>
  <c r="AC1855" i="9"/>
  <c r="AC1926" i="9"/>
  <c r="AC1247" i="9"/>
  <c r="AC1734" i="9"/>
  <c r="AC1784" i="9"/>
  <c r="AC1819" i="9"/>
  <c r="AC1852" i="9"/>
  <c r="AC1924" i="9"/>
  <c r="AC1217" i="9"/>
  <c r="AC1243" i="9"/>
  <c r="AC1284" i="9"/>
  <c r="AC1315" i="9"/>
  <c r="AC1260" i="9"/>
  <c r="AC1221" i="9"/>
  <c r="AC1262" i="9"/>
  <c r="AC1327" i="9"/>
  <c r="AC1816" i="9"/>
  <c r="AC1811" i="9"/>
  <c r="AC1812" i="9"/>
  <c r="AC1780" i="9"/>
  <c r="AC1815" i="9"/>
  <c r="AC1846" i="9"/>
  <c r="AC1851" i="9"/>
  <c r="AC1868" i="9"/>
  <c r="AC1921" i="9"/>
  <c r="AC1188" i="9"/>
  <c r="AC1215" i="9"/>
  <c r="AC1237" i="9"/>
  <c r="AC1273" i="9"/>
  <c r="AC1278" i="9"/>
  <c r="AC1236" i="9"/>
  <c r="AC1241" i="9"/>
  <c r="AC1309" i="9"/>
  <c r="AC1331" i="9"/>
  <c r="AC1607" i="9" l="1"/>
  <c r="AC1614" i="9"/>
  <c r="AC1617" i="9"/>
  <c r="AC1620" i="9"/>
  <c r="AC1632" i="9"/>
  <c r="AC1635" i="9"/>
  <c r="AC1458" i="9"/>
  <c r="AC1542" i="9"/>
  <c r="AC1545" i="9"/>
  <c r="AC1580" i="9"/>
  <c r="AC1582" i="9"/>
  <c r="AC1652" i="9"/>
  <c r="AC1592" i="9"/>
  <c r="AC1482" i="9"/>
  <c r="AC1405" i="9"/>
  <c r="AC1408" i="9"/>
  <c r="AC1410" i="9"/>
  <c r="AC1416" i="9"/>
  <c r="AC1423" i="9"/>
  <c r="AC1426" i="9"/>
  <c r="AC1434" i="9"/>
  <c r="AC1436" i="9"/>
  <c r="AC1437" i="9"/>
  <c r="AC1440" i="9"/>
  <c r="AC1483" i="9"/>
  <c r="AC1501" i="9"/>
  <c r="AC1576" i="9"/>
  <c r="AC1598" i="9"/>
  <c r="AC1486" i="9"/>
  <c r="AC1583" i="9"/>
  <c r="AC1585" i="9"/>
  <c r="AC843" i="9"/>
  <c r="AC797" i="9"/>
  <c r="AC611" i="9"/>
  <c r="AC1615" i="9"/>
  <c r="AC1621" i="9"/>
  <c r="AC1633" i="9"/>
  <c r="AC1459" i="9"/>
  <c r="AC1484" i="9"/>
  <c r="AC1504" i="9"/>
  <c r="AC1507" i="9"/>
  <c r="AC1543" i="9"/>
  <c r="AC1577" i="9"/>
  <c r="AC1579" i="9"/>
  <c r="AC1581" i="9"/>
  <c r="AC1595" i="9"/>
  <c r="AC1406" i="9"/>
  <c r="AC1411" i="9"/>
  <c r="AC1419" i="9"/>
  <c r="AC1422" i="9"/>
  <c r="AC1424" i="9"/>
  <c r="AC1431" i="9"/>
  <c r="AC1438" i="9"/>
  <c r="AC1442" i="9"/>
  <c r="AC1452" i="9"/>
  <c r="AC1455" i="9"/>
  <c r="AC1537" i="9"/>
  <c r="AC1540" i="9"/>
  <c r="AC1649" i="9"/>
  <c r="AC1667" i="9"/>
  <c r="AC1648" i="9"/>
  <c r="AC1584" i="9"/>
  <c r="AC1594" i="9"/>
  <c r="AC1605" i="9"/>
  <c r="AC1608" i="9"/>
  <c r="AC1616" i="9"/>
  <c r="AC1634" i="9"/>
  <c r="AC1636" i="9"/>
  <c r="AC1505" i="9"/>
  <c r="AC1544" i="9"/>
  <c r="AC1578" i="9"/>
  <c r="AC1668" i="9"/>
  <c r="AC1651" i="9"/>
  <c r="AC1586" i="9"/>
  <c r="AC1569" i="9"/>
  <c r="AC1571" i="9"/>
  <c r="AC1407" i="9"/>
  <c r="AC1414" i="9"/>
  <c r="AC1417" i="9"/>
  <c r="AC1420" i="9"/>
  <c r="AC1425" i="9"/>
  <c r="AC1432" i="9"/>
  <c r="AC1435" i="9"/>
  <c r="AC1439" i="9"/>
  <c r="AC1453" i="9"/>
  <c r="AC1499" i="9"/>
  <c r="AC1502" i="9"/>
  <c r="AC1538" i="9"/>
  <c r="AC1573" i="9"/>
  <c r="AC1575" i="9"/>
  <c r="AC1601" i="9"/>
  <c r="AC1572" i="9"/>
  <c r="AC864" i="9"/>
  <c r="AC853" i="9"/>
  <c r="AC852" i="9"/>
  <c r="AC851" i="9"/>
  <c r="AC795" i="9"/>
  <c r="AC667" i="9"/>
  <c r="AC666" i="9"/>
  <c r="AC665" i="9"/>
  <c r="AC664" i="9"/>
  <c r="AC663" i="9"/>
  <c r="AC1606" i="9"/>
  <c r="AC1619" i="9"/>
  <c r="AC1622" i="9"/>
  <c r="AC1457" i="9"/>
  <c r="AC1460" i="9"/>
  <c r="AC1506" i="9"/>
  <c r="AC1599" i="9"/>
  <c r="AC1591" i="9"/>
  <c r="AC1593" i="9"/>
  <c r="AC1570" i="9"/>
  <c r="AC1409" i="9"/>
  <c r="AC1412" i="9"/>
  <c r="AC1415" i="9"/>
  <c r="AC1421" i="9"/>
  <c r="AC1433" i="9"/>
  <c r="AC1454" i="9"/>
  <c r="AC1500" i="9"/>
  <c r="AC1539" i="9"/>
  <c r="AC1574" i="9"/>
  <c r="AC682" i="9" l="1"/>
  <c r="E70" i="4" s="1" a="1"/>
  <c r="E70" i="4" s="1"/>
  <c r="AC862" i="9"/>
  <c r="AC861" i="9"/>
  <c r="AC847" i="9"/>
  <c r="AC846" i="9"/>
  <c r="AC845" i="9"/>
  <c r="AC844" i="9"/>
  <c r="AC793" i="9"/>
  <c r="AC792" i="9"/>
  <c r="AC742" i="9"/>
  <c r="E130" i="4" s="1" a="1"/>
  <c r="E130" i="4" s="1"/>
  <c r="AC741" i="9"/>
  <c r="E129" i="4" s="1" a="1"/>
  <c r="E129" i="4" s="1"/>
  <c r="AC740" i="9"/>
  <c r="E128" i="4" s="1" a="1"/>
  <c r="E128" i="4" s="1"/>
  <c r="AC739" i="9"/>
  <c r="E127" i="4" s="1" a="1"/>
  <c r="E127" i="4" s="1"/>
  <c r="AC738" i="9"/>
  <c r="E126" i="4" s="1" a="1"/>
  <c r="E126" i="4" s="1"/>
  <c r="AC737" i="9"/>
  <c r="E125" i="4" s="1" a="1"/>
  <c r="E125" i="4" s="1"/>
  <c r="AC736" i="9"/>
  <c r="E124" i="4" s="1" a="1"/>
  <c r="E124" i="4" s="1"/>
  <c r="AC735" i="9"/>
  <c r="E123" i="4" s="1" a="1"/>
  <c r="E123" i="4" s="1"/>
  <c r="AC704" i="9"/>
  <c r="E92" i="4" s="1" a="1"/>
  <c r="E92" i="4" s="1"/>
  <c r="AC703" i="9"/>
  <c r="AC702" i="9"/>
  <c r="E90" i="4" s="1" a="1"/>
  <c r="E90" i="4" s="1"/>
  <c r="AC701" i="9"/>
  <c r="AC700" i="9"/>
  <c r="E88" i="4" s="1" a="1"/>
  <c r="E88" i="4" s="1"/>
  <c r="AC699" i="9"/>
  <c r="E87" i="4" s="1" a="1"/>
  <c r="E87" i="4" s="1"/>
  <c r="AC698" i="9"/>
  <c r="AC697" i="9"/>
  <c r="AC678" i="9"/>
  <c r="AC677" i="9"/>
  <c r="AC657" i="9"/>
  <c r="AC656" i="9"/>
  <c r="AC655" i="9"/>
  <c r="AC654" i="9"/>
  <c r="AC653" i="9"/>
  <c r="AC652" i="9"/>
  <c r="AC651" i="9"/>
  <c r="AC650" i="9"/>
  <c r="AC711" i="9"/>
  <c r="E99" i="4" s="1" a="1"/>
  <c r="E99" i="4" s="1"/>
  <c r="AC750" i="9"/>
  <c r="E138" i="4" s="1" a="1"/>
  <c r="E138" i="4" s="1"/>
  <c r="AC752" i="9"/>
  <c r="E140" i="4" s="1" a="1"/>
  <c r="E140" i="4" s="1"/>
  <c r="AC637" i="9"/>
  <c r="AC721" i="9"/>
  <c r="E109" i="4" s="1" a="1"/>
  <c r="E109" i="4" s="1"/>
  <c r="AC724" i="9"/>
  <c r="E112" i="4" s="1" a="1"/>
  <c r="E112" i="4" s="1"/>
  <c r="AC706" i="9"/>
  <c r="E94" i="4" s="1" a="1"/>
  <c r="E94" i="4" s="1"/>
  <c r="AC745" i="9"/>
  <c r="E133" i="4" s="1" a="1"/>
  <c r="E133" i="4" s="1"/>
  <c r="AC849" i="9"/>
  <c r="AC662" i="9"/>
  <c r="AC857" i="9"/>
  <c r="AC599" i="9"/>
  <c r="AC604" i="9"/>
  <c r="AC612" i="9"/>
  <c r="AC615" i="9"/>
  <c r="AC617" i="9"/>
  <c r="AC622" i="9"/>
  <c r="AC624" i="9"/>
  <c r="AC631" i="9"/>
  <c r="AC635" i="9"/>
  <c r="AC642" i="9"/>
  <c r="AC675" i="9"/>
  <c r="AC687" i="9"/>
  <c r="AC690" i="9"/>
  <c r="E78" i="4" s="1" a="1"/>
  <c r="E78" i="4" s="1"/>
  <c r="AC726" i="9"/>
  <c r="E114" i="4" s="1" a="1"/>
  <c r="E114" i="4" s="1"/>
  <c r="AC838" i="9"/>
  <c r="AC716" i="9"/>
  <c r="E104" i="4" s="1" a="1"/>
  <c r="E104" i="4" s="1"/>
  <c r="AC755" i="9"/>
  <c r="E143" i="4" s="1" a="1"/>
  <c r="E143" i="4" s="1"/>
  <c r="AC855" i="9"/>
  <c r="AC693" i="9"/>
  <c r="AC732" i="9"/>
  <c r="E120" i="4" s="1" a="1"/>
  <c r="E120" i="4" s="1"/>
  <c r="AC734" i="9"/>
  <c r="E122" i="4" s="1" a="1"/>
  <c r="E122" i="4" s="1"/>
  <c r="AC842" i="9"/>
  <c r="AC840" i="9"/>
  <c r="AC729" i="9"/>
  <c r="E117" i="4" s="1" a="1"/>
  <c r="E117" i="4" s="1"/>
  <c r="AC691" i="9"/>
  <c r="E79" i="4" s="1" a="1"/>
  <c r="E79" i="4" s="1"/>
  <c r="AC644" i="9"/>
  <c r="AC606" i="9"/>
  <c r="AC712" i="9"/>
  <c r="E100" i="4" s="1" a="1"/>
  <c r="E100" i="4" s="1"/>
  <c r="AC714" i="9"/>
  <c r="E102" i="4" s="1" a="1"/>
  <c r="E102" i="4" s="1"/>
  <c r="AC638" i="9"/>
  <c r="AC674" i="9"/>
  <c r="AC683" i="9"/>
  <c r="E71" i="4" s="1" a="1"/>
  <c r="E71" i="4" s="1"/>
  <c r="AC686" i="9"/>
  <c r="AC722" i="9"/>
  <c r="E110" i="4" s="1" a="1"/>
  <c r="E110" i="4" s="1"/>
  <c r="AC836" i="9"/>
  <c r="AC672" i="9"/>
  <c r="AC658" i="9"/>
  <c r="AC661" i="9"/>
  <c r="AC707" i="9"/>
  <c r="E95" i="4" s="1" a="1"/>
  <c r="E95" i="4" s="1"/>
  <c r="AC794" i="9"/>
  <c r="AC863" i="9"/>
  <c r="AC747" i="9"/>
  <c r="E135" i="4" s="1" a="1"/>
  <c r="E135" i="4" s="1"/>
  <c r="AC850" i="9"/>
  <c r="AC720" i="9"/>
  <c r="E108" i="4" s="1" a="1"/>
  <c r="E108" i="4" s="1"/>
  <c r="AC758" i="9"/>
  <c r="E146" i="4" s="1" a="1"/>
  <c r="E146" i="4" s="1"/>
  <c r="AC600" i="9"/>
  <c r="AC607" i="9"/>
  <c r="AC610" i="9"/>
  <c r="AC613" i="9"/>
  <c r="AC618" i="9"/>
  <c r="AC625" i="9"/>
  <c r="AC628" i="9"/>
  <c r="AC632" i="9"/>
  <c r="AC634" i="9"/>
  <c r="AC688" i="9"/>
  <c r="E76" i="4" s="1" a="1"/>
  <c r="E76" i="4" s="1"/>
  <c r="AC727" i="9"/>
  <c r="E115" i="4" s="1" a="1"/>
  <c r="E115" i="4" s="1"/>
  <c r="AC839" i="9"/>
  <c r="AC668" i="9"/>
  <c r="AC671" i="9"/>
  <c r="AC717" i="9"/>
  <c r="E105" i="4" s="1" a="1"/>
  <c r="E105" i="4" s="1"/>
  <c r="AC796" i="9"/>
  <c r="AC865" i="9"/>
  <c r="AC645" i="9"/>
  <c r="AC648" i="9"/>
  <c r="AC694" i="9"/>
  <c r="AC696" i="9"/>
  <c r="AC791" i="9"/>
  <c r="AC860" i="9"/>
  <c r="AC835" i="9"/>
  <c r="AC834" i="9"/>
  <c r="AC833" i="9"/>
  <c r="AC832" i="9"/>
  <c r="AC831" i="9"/>
  <c r="AC830" i="9"/>
  <c r="AC829" i="9"/>
  <c r="AC828" i="9"/>
  <c r="AC827" i="9"/>
  <c r="AC826" i="9"/>
  <c r="AC825" i="9"/>
  <c r="AC824" i="9"/>
  <c r="AC823" i="9"/>
  <c r="AC822" i="9"/>
  <c r="AC821" i="9"/>
  <c r="AC820" i="9"/>
  <c r="AC819" i="9"/>
  <c r="AC818" i="9"/>
  <c r="AC817" i="9"/>
  <c r="AC816" i="9"/>
  <c r="AC815" i="9"/>
  <c r="AC814" i="9"/>
  <c r="AC813" i="9"/>
  <c r="AC812" i="9"/>
  <c r="AC811" i="9"/>
  <c r="AC810" i="9"/>
  <c r="AC809" i="9"/>
  <c r="AC808" i="9"/>
  <c r="AC807" i="9"/>
  <c r="AC806" i="9"/>
  <c r="AC805" i="9"/>
  <c r="AC804" i="9"/>
  <c r="AC803" i="9"/>
  <c r="AC802" i="9"/>
  <c r="AC801" i="9"/>
  <c r="AC800" i="9"/>
  <c r="AC799" i="9"/>
  <c r="AC798" i="9"/>
  <c r="AC748" i="9"/>
  <c r="E136" i="4" s="1" a="1"/>
  <c r="E136" i="4" s="1"/>
  <c r="AC751" i="9"/>
  <c r="E139" i="4" s="1" a="1"/>
  <c r="E139" i="4" s="1"/>
  <c r="AC684" i="9"/>
  <c r="E72" i="4" s="1" a="1"/>
  <c r="E72" i="4" s="1"/>
  <c r="AC723" i="9"/>
  <c r="E111" i="4" s="1" a="1"/>
  <c r="E111" i="4" s="1"/>
  <c r="AC837" i="9"/>
  <c r="AC757" i="9"/>
  <c r="E145" i="4" s="1" a="1"/>
  <c r="E145" i="4" s="1"/>
  <c r="AC856" i="9"/>
  <c r="AC659" i="9"/>
  <c r="AC743" i="9"/>
  <c r="E131" i="4" s="1" a="1"/>
  <c r="E131" i="4" s="1"/>
  <c r="AC746" i="9"/>
  <c r="E134" i="4" s="1" a="1"/>
  <c r="E134" i="4" s="1"/>
  <c r="AC709" i="9"/>
  <c r="E97" i="4" s="1" a="1"/>
  <c r="E97" i="4" s="1"/>
  <c r="AC602" i="9"/>
  <c r="AC605" i="9"/>
  <c r="AC608" i="9"/>
  <c r="AC614" i="9"/>
  <c r="AC620" i="9"/>
  <c r="AC623" i="9"/>
  <c r="AC626" i="9"/>
  <c r="AC640" i="9"/>
  <c r="AC643" i="9"/>
  <c r="AC689" i="9"/>
  <c r="E77" i="4" s="1" a="1"/>
  <c r="E77" i="4" s="1"/>
  <c r="AC790" i="9"/>
  <c r="AC859" i="9"/>
  <c r="AC669" i="9"/>
  <c r="E57" i="4" s="1" a="1"/>
  <c r="E57" i="4" s="1"/>
  <c r="AC753" i="9"/>
  <c r="E141" i="4" s="1" a="1"/>
  <c r="E141" i="4" s="1"/>
  <c r="AC756" i="9"/>
  <c r="E144" i="4" s="1" a="1"/>
  <c r="E144" i="4" s="1"/>
  <c r="AC646" i="9"/>
  <c r="AC730" i="9"/>
  <c r="E118" i="4" s="1" a="1"/>
  <c r="E118" i="4" s="1"/>
  <c r="AC733" i="9"/>
  <c r="E121" i="4" s="1" a="1"/>
  <c r="E121" i="4" s="1"/>
  <c r="AC788" i="9"/>
  <c r="AC785" i="9"/>
  <c r="AC783" i="9"/>
  <c r="AC781" i="9"/>
  <c r="AC779" i="9"/>
  <c r="AC777" i="9"/>
  <c r="AC769" i="9"/>
  <c r="AC767" i="9"/>
  <c r="AC764" i="9"/>
  <c r="AC763" i="9"/>
  <c r="AC762" i="9"/>
  <c r="AC761" i="9"/>
  <c r="AC760" i="9"/>
  <c r="AC759" i="9"/>
  <c r="AC680" i="9"/>
  <c r="E68" i="4" s="1" a="1"/>
  <c r="E68" i="4" s="1"/>
  <c r="AC710" i="9"/>
  <c r="E98" i="4" s="1" a="1"/>
  <c r="E98" i="4" s="1"/>
  <c r="AC713" i="9"/>
  <c r="E101" i="4" s="1" a="1"/>
  <c r="E101" i="4" s="1"/>
  <c r="AC749" i="9"/>
  <c r="E137" i="4" s="1" a="1"/>
  <c r="E137" i="4" s="1"/>
  <c r="AC780" i="9"/>
  <c r="AC782" i="9"/>
  <c r="AC636" i="9"/>
  <c r="AC639" i="9"/>
  <c r="AC685" i="9"/>
  <c r="E73" i="4" s="1" a="1"/>
  <c r="E73" i="4" s="1"/>
  <c r="AC789" i="9"/>
  <c r="E54" i="4" s="1" a="1"/>
  <c r="E54" i="4" s="1"/>
  <c r="AC858" i="9"/>
  <c r="AC719" i="9"/>
  <c r="E107" i="4" s="1" a="1"/>
  <c r="E107" i="4" s="1"/>
  <c r="AC787" i="9"/>
  <c r="E52" i="4" s="1" a="1"/>
  <c r="E52" i="4" s="1"/>
  <c r="AC660" i="9"/>
  <c r="AC679" i="9"/>
  <c r="AC705" i="9"/>
  <c r="E93" i="4" s="1" a="1"/>
  <c r="E93" i="4" s="1"/>
  <c r="AC708" i="9"/>
  <c r="E96" i="4" s="1" a="1"/>
  <c r="E96" i="4" s="1"/>
  <c r="AC744" i="9"/>
  <c r="E132" i="4" s="1" a="1"/>
  <c r="E132" i="4" s="1"/>
  <c r="AC776" i="9"/>
  <c r="AC778" i="9"/>
  <c r="AC848" i="9"/>
  <c r="AC673" i="9"/>
  <c r="E61" i="4" s="1" a="1"/>
  <c r="E61" i="4" s="1"/>
  <c r="AC598" i="9"/>
  <c r="AC601" i="9"/>
  <c r="AC603" i="9"/>
  <c r="AC609" i="9"/>
  <c r="AC616" i="9"/>
  <c r="AC619" i="9"/>
  <c r="AC621" i="9"/>
  <c r="AC627" i="9"/>
  <c r="AC629" i="9"/>
  <c r="AC630" i="9"/>
  <c r="AC633" i="9"/>
  <c r="AC641" i="9"/>
  <c r="AC725" i="9"/>
  <c r="E113" i="4" s="1" a="1"/>
  <c r="E113" i="4" s="1"/>
  <c r="AC728" i="9"/>
  <c r="E116" i="4" s="1" a="1"/>
  <c r="E116" i="4" s="1"/>
  <c r="AC670" i="9"/>
  <c r="E58" i="4" s="1" a="1"/>
  <c r="E58" i="4" s="1"/>
  <c r="AC681" i="9"/>
  <c r="E69" i="4" s="1" a="1"/>
  <c r="E69" i="4" s="1"/>
  <c r="AC715" i="9"/>
  <c r="E103" i="4" s="1" a="1"/>
  <c r="E103" i="4" s="1"/>
  <c r="AC718" i="9"/>
  <c r="E106" i="4" s="1" a="1"/>
  <c r="E106" i="4" s="1"/>
  <c r="AC754" i="9"/>
  <c r="E142" i="4" s="1" a="1"/>
  <c r="E142" i="4" s="1"/>
  <c r="AC784" i="9"/>
  <c r="AC786" i="9"/>
  <c r="E51" i="4" s="1" a="1"/>
  <c r="E51" i="4" s="1"/>
  <c r="AC854" i="9"/>
  <c r="AC647" i="9"/>
  <c r="AC649" i="9"/>
  <c r="AC676" i="9"/>
  <c r="E64" i="4" s="1" a="1"/>
  <c r="E64" i="4" s="1"/>
  <c r="AC692" i="9"/>
  <c r="E80" i="4" s="1" a="1"/>
  <c r="E80" i="4" s="1"/>
  <c r="AC695" i="9"/>
  <c r="E83" i="4" s="1" a="1"/>
  <c r="E83" i="4" s="1"/>
  <c r="AC731" i="9"/>
  <c r="E119" i="4" s="1" a="1"/>
  <c r="E119" i="4" s="1"/>
  <c r="AC766" i="9"/>
  <c r="AC768" i="9"/>
  <c r="AC841" i="9"/>
  <c r="E84" i="4" l="1" a="1"/>
  <c r="E84" i="4" s="1"/>
  <c r="E86" i="4" a="1"/>
  <c r="E86" i="4" s="1"/>
  <c r="E82" i="4" a="1"/>
  <c r="E82" i="4" s="1"/>
  <c r="E74" i="4" a="1"/>
  <c r="E74" i="4" s="1"/>
  <c r="E65" i="4" a="1"/>
  <c r="E65" i="4" s="1"/>
  <c r="E91" i="4" a="1"/>
  <c r="E91" i="4" s="1"/>
  <c r="E67" i="4" a="1"/>
  <c r="E67" i="4" s="1"/>
  <c r="E75" i="4" a="1"/>
  <c r="E75" i="4" s="1"/>
  <c r="E66" i="4" a="1"/>
  <c r="E66" i="4" s="1"/>
  <c r="E62" i="4" a="1"/>
  <c r="E62" i="4" s="1"/>
  <c r="E81" i="4" a="1"/>
  <c r="E81" i="4" s="1"/>
  <c r="E63" i="4" a="1"/>
  <c r="E63" i="4" s="1"/>
  <c r="E85" i="4" a="1"/>
  <c r="E85" i="4" s="1"/>
  <c r="E89" i="4" a="1"/>
  <c r="E89" i="4" s="1"/>
  <c r="E27" i="4" a="1"/>
  <c r="E27" i="4" s="1"/>
  <c r="E53" i="4" a="1"/>
  <c r="E53" i="4" s="1"/>
  <c r="E55" i="4" a="1"/>
  <c r="E55" i="4" s="1"/>
  <c r="E60" i="4" a="1"/>
  <c r="E60" i="4" s="1"/>
  <c r="E29" i="4" a="1"/>
  <c r="E29" i="4" s="1"/>
  <c r="E48" i="4" a="1"/>
  <c r="E48" i="4" s="1"/>
  <c r="E59" i="4" a="1"/>
  <c r="E59" i="4" s="1"/>
  <c r="E34" i="4" a="1"/>
  <c r="E34" i="4" s="1"/>
  <c r="E28" i="4" a="1"/>
  <c r="E28" i="4" s="1"/>
  <c r="E46" i="4" a="1"/>
  <c r="E46" i="4" s="1"/>
  <c r="E42" i="4" a="1"/>
  <c r="E42" i="4" s="1"/>
  <c r="E43" i="4" a="1"/>
  <c r="E43" i="4" s="1"/>
  <c r="E33" i="4" a="1"/>
  <c r="E33" i="4" s="1"/>
  <c r="E50" i="4" a="1"/>
  <c r="E50" i="4" s="1"/>
  <c r="E44" i="4" a="1"/>
  <c r="E44" i="4" s="1"/>
  <c r="E31" i="4" a="1"/>
  <c r="E31" i="4" s="1"/>
  <c r="E47" i="4" a="1"/>
  <c r="E47" i="4" s="1"/>
  <c r="E56" i="4" a="1"/>
  <c r="E56" i="4" s="1"/>
  <c r="E49" i="4" a="1"/>
  <c r="E49" i="4" s="1"/>
  <c r="E26" i="4" a="1"/>
  <c r="E26" i="4" s="1"/>
  <c r="E32" i="4" a="1"/>
  <c r="E32" i="4" s="1"/>
  <c r="E41" i="4" a="1"/>
  <c r="E41" i="4" s="1"/>
  <c r="E45" i="4" a="1"/>
  <c r="E45" i="4" s="1"/>
  <c r="AC771" i="9"/>
  <c r="E36" i="4" s="1" a="1"/>
  <c r="E36" i="4" s="1"/>
  <c r="AC765" i="9"/>
  <c r="E30" i="4" s="1" a="1"/>
  <c r="E30" i="4" s="1"/>
  <c r="AC773" i="9"/>
  <c r="E38" i="4" s="1" a="1"/>
  <c r="E38" i="4" s="1"/>
  <c r="AC775" i="9"/>
  <c r="E40" i="4" s="1" a="1"/>
  <c r="E40" i="4" s="1"/>
  <c r="AC770" i="9"/>
  <c r="E35" i="4" s="1" a="1"/>
  <c r="E35" i="4" s="1"/>
  <c r="AC772" i="9"/>
  <c r="E37" i="4" s="1" a="1"/>
  <c r="E37" i="4" s="1"/>
  <c r="AC774" i="9"/>
  <c r="E39" i="4" s="1" a="1"/>
  <c r="E39" i="4" s="1"/>
  <c r="E24" i="4" l="1"/>
  <c r="E25" i="4" a="1"/>
  <c r="E25" i="4" s="1"/>
  <c r="F24" i="4" l="1"/>
  <c r="H27" i="4" s="1" a="1"/>
  <c r="H27" i="4" s="1"/>
  <c r="G34" i="4" l="1" a="1"/>
  <c r="G34" i="4" s="1"/>
  <c r="H115" i="4" a="1"/>
  <c r="H115" i="4" s="1"/>
  <c r="G87" i="4" a="1"/>
  <c r="G87" i="4" s="1"/>
  <c r="G112" i="4" a="1"/>
  <c r="G112" i="4" s="1"/>
  <c r="H35" i="4" a="1"/>
  <c r="H35" i="4" s="1"/>
  <c r="H42" i="4" a="1"/>
  <c r="H42" i="4" s="1"/>
  <c r="G110" i="4" a="1"/>
  <c r="G110" i="4" s="1"/>
  <c r="H145" i="4" a="1"/>
  <c r="H145" i="4" s="1"/>
  <c r="G71" i="4" a="1"/>
  <c r="G71" i="4" s="1"/>
  <c r="G42" i="4" a="1"/>
  <c r="G42" i="4" s="1"/>
  <c r="H51" i="4" a="1"/>
  <c r="H51" i="4" s="1"/>
  <c r="H82" i="4" a="1"/>
  <c r="H82" i="4" s="1"/>
  <c r="G134" i="4" a="1"/>
  <c r="G134" i="4" s="1"/>
  <c r="G46" i="4" a="1"/>
  <c r="G46" i="4" s="1"/>
  <c r="G66" i="4" a="1"/>
  <c r="G66" i="4" s="1"/>
  <c r="H90" i="4" a="1"/>
  <c r="H90" i="4" s="1"/>
  <c r="G95" i="4" a="1"/>
  <c r="G95" i="4" s="1"/>
  <c r="H53" i="4" a="1"/>
  <c r="H53" i="4" s="1"/>
  <c r="G111" i="4" a="1"/>
  <c r="G111" i="4" s="1"/>
  <c r="H67" i="4" a="1"/>
  <c r="H67" i="4" s="1"/>
  <c r="H26" i="4" a="1"/>
  <c r="H26" i="4" s="1"/>
  <c r="G39" i="4" a="1"/>
  <c r="G39" i="4" s="1"/>
  <c r="G102" i="4" a="1"/>
  <c r="G102" i="4" s="1"/>
  <c r="H107" i="4" a="1"/>
  <c r="H107" i="4" s="1"/>
  <c r="H117" i="4" a="1"/>
  <c r="H117" i="4" s="1"/>
  <c r="G45" i="4" a="1"/>
  <c r="G45" i="4" s="1"/>
  <c r="H59" i="4" a="1"/>
  <c r="H59" i="4" s="1"/>
  <c r="G50" i="4" a="1"/>
  <c r="G50" i="4" s="1"/>
  <c r="H74" i="4" a="1"/>
  <c r="H74" i="4" s="1"/>
  <c r="G55" i="4" a="1"/>
  <c r="G55" i="4" s="1"/>
  <c r="G44" i="4" a="1"/>
  <c r="G44" i="4" s="1"/>
  <c r="G142" i="4" a="1"/>
  <c r="G142" i="4" s="1"/>
  <c r="H147" i="4" a="1"/>
  <c r="H147" i="4" s="1"/>
  <c r="H129" i="4" a="1"/>
  <c r="H129" i="4" s="1"/>
  <c r="G48" i="4" a="1"/>
  <c r="G48" i="4" s="1"/>
  <c r="H110" i="4" a="1"/>
  <c r="H110" i="4" s="1"/>
  <c r="H139" i="4" a="1"/>
  <c r="H139" i="4" s="1"/>
  <c r="H83" i="4" a="1"/>
  <c r="H83" i="4" s="1"/>
  <c r="H31" i="4" a="1"/>
  <c r="H31" i="4" s="1"/>
  <c r="H89" i="4" a="1"/>
  <c r="H89" i="4" s="1"/>
  <c r="H39" i="4" a="1"/>
  <c r="H39" i="4" s="1"/>
  <c r="G54" i="4" a="1"/>
  <c r="G54" i="4" s="1"/>
  <c r="G53" i="4" a="1"/>
  <c r="G53" i="4" s="1"/>
  <c r="G64" i="4" a="1"/>
  <c r="G64" i="4" s="1"/>
  <c r="H80" i="4" a="1"/>
  <c r="H80" i="4" s="1"/>
  <c r="H43" i="4" a="1"/>
  <c r="H43" i="4" s="1"/>
  <c r="G26" i="4" a="1"/>
  <c r="G26" i="4" s="1"/>
  <c r="G58" i="4" a="1"/>
  <c r="G58" i="4" s="1"/>
  <c r="H58" i="4" a="1"/>
  <c r="H58" i="4" s="1"/>
  <c r="H98" i="4" a="1"/>
  <c r="H98" i="4" s="1"/>
  <c r="G79" i="4" a="1"/>
  <c r="G79" i="4" s="1"/>
  <c r="G78" i="4" a="1"/>
  <c r="G78" i="4" s="1"/>
  <c r="G118" i="4" a="1"/>
  <c r="G118" i="4" s="1"/>
  <c r="G36" i="4" a="1"/>
  <c r="G36" i="4" s="1"/>
  <c r="H79" i="4" a="1"/>
  <c r="H79" i="4" s="1"/>
  <c r="H123" i="4" a="1"/>
  <c r="H123" i="4" s="1"/>
  <c r="H70" i="4" a="1"/>
  <c r="H70" i="4" s="1"/>
  <c r="G124" i="4" a="1"/>
  <c r="G124" i="4" s="1"/>
  <c r="H149" i="4" a="1"/>
  <c r="H149" i="4" s="1"/>
  <c r="G89" i="4" a="1"/>
  <c r="G89" i="4" s="1"/>
  <c r="H63" i="4" a="1"/>
  <c r="H63" i="4" s="1"/>
  <c r="H34" i="4" a="1"/>
  <c r="H34" i="4" s="1"/>
  <c r="H36" i="4" a="1"/>
  <c r="H36" i="4" s="1"/>
  <c r="H25" i="4" a="1"/>
  <c r="H25" i="4" s="1"/>
  <c r="G35" i="4" a="1"/>
  <c r="G35" i="4" s="1"/>
  <c r="G94" i="4" a="1"/>
  <c r="G94" i="4" s="1"/>
  <c r="G126" i="4" a="1"/>
  <c r="G126" i="4" s="1"/>
  <c r="H84" i="4" a="1"/>
  <c r="H84" i="4" s="1"/>
  <c r="H95" i="4" a="1"/>
  <c r="H95" i="4" s="1"/>
  <c r="H131" i="4" a="1"/>
  <c r="H131" i="4" s="1"/>
  <c r="H99" i="4" a="1"/>
  <c r="H99" i="4" s="1"/>
  <c r="G140" i="4" a="1"/>
  <c r="G140" i="4" s="1"/>
  <c r="H101" i="4" a="1"/>
  <c r="H101" i="4" s="1"/>
  <c r="H114" i="4" a="1"/>
  <c r="H114" i="4" s="1"/>
  <c r="H71" i="4" a="1"/>
  <c r="H71" i="4" s="1"/>
  <c r="H50" i="4" a="1"/>
  <c r="H50" i="4" s="1"/>
  <c r="H52" i="4" a="1"/>
  <c r="H52" i="4" s="1"/>
  <c r="H41" i="4" a="1"/>
  <c r="H41" i="4" s="1"/>
  <c r="G109" i="4" a="1"/>
  <c r="G109" i="4" s="1"/>
  <c r="H122" i="4" a="1"/>
  <c r="H122" i="4" s="1"/>
  <c r="H47" i="4" a="1"/>
  <c r="H47" i="4" s="1"/>
  <c r="G30" i="4" a="1"/>
  <c r="G30" i="4" s="1"/>
  <c r="G62" i="4" a="1"/>
  <c r="G62" i="4" s="1"/>
  <c r="G29" i="4" a="1"/>
  <c r="G29" i="4" s="1"/>
  <c r="G69" i="4" a="1"/>
  <c r="G69" i="4" s="1"/>
  <c r="H60" i="4" a="1"/>
  <c r="H60" i="4" s="1"/>
  <c r="G76" i="4" a="1"/>
  <c r="G76" i="4" s="1"/>
  <c r="H73" i="4" a="1"/>
  <c r="H73" i="4" s="1"/>
  <c r="H96" i="4" a="1"/>
  <c r="H96" i="4" s="1"/>
  <c r="G149" i="4" a="1"/>
  <c r="G149" i="4" s="1"/>
  <c r="G139" i="4" a="1"/>
  <c r="G139" i="4" s="1"/>
  <c r="H138" i="4" a="1"/>
  <c r="H138" i="4" s="1"/>
  <c r="H55" i="4" a="1"/>
  <c r="H55" i="4" s="1"/>
  <c r="G38" i="4" a="1"/>
  <c r="G38" i="4" s="1"/>
  <c r="G70" i="4" a="1"/>
  <c r="G70" i="4" s="1"/>
  <c r="G37" i="4" a="1"/>
  <c r="G37" i="4" s="1"/>
  <c r="H28" i="4" a="1"/>
  <c r="H28" i="4" s="1"/>
  <c r="H68" i="4" a="1"/>
  <c r="H68" i="4" s="1"/>
  <c r="G92" i="4" a="1"/>
  <c r="G92" i="4" s="1"/>
  <c r="H81" i="4" a="1"/>
  <c r="H81" i="4" s="1"/>
  <c r="H128" i="4" a="1"/>
  <c r="H128" i="4" s="1"/>
  <c r="G24" i="4" a="1"/>
  <c r="G24" i="4" s="1"/>
  <c r="H46" i="4" a="1"/>
  <c r="H46" i="4" s="1"/>
  <c r="H136" i="4" a="1"/>
  <c r="H136" i="4" s="1"/>
  <c r="G27" i="4" a="1"/>
  <c r="G27" i="4" s="1"/>
  <c r="G61" i="4" a="1"/>
  <c r="G61" i="4" s="1"/>
  <c r="H44" i="4" a="1"/>
  <c r="H44" i="4" s="1"/>
  <c r="G32" i="4" a="1"/>
  <c r="G32" i="4" s="1"/>
  <c r="G84" i="4" a="1"/>
  <c r="G84" i="4" s="1"/>
  <c r="H57" i="4" a="1"/>
  <c r="H57" i="4" s="1"/>
  <c r="H97" i="4" a="1"/>
  <c r="H97" i="4" s="1"/>
  <c r="H112" i="4" a="1"/>
  <c r="H112" i="4" s="1"/>
  <c r="G67" i="4" a="1"/>
  <c r="G67" i="4" s="1"/>
  <c r="G135" i="4" a="1"/>
  <c r="G135" i="4" s="1"/>
  <c r="G90" i="4" a="1"/>
  <c r="G90" i="4" s="1"/>
  <c r="G117" i="4" a="1"/>
  <c r="G117" i="4" s="1"/>
  <c r="H113" i="4" a="1"/>
  <c r="H113" i="4" s="1"/>
  <c r="H78" i="4" a="1"/>
  <c r="H78" i="4" s="1"/>
  <c r="G133" i="4" a="1"/>
  <c r="G133" i="4" s="1"/>
  <c r="G119" i="4" a="1"/>
  <c r="G119" i="4" s="1"/>
  <c r="G96" i="4" a="1"/>
  <c r="G96" i="4" s="1"/>
  <c r="H104" i="4" a="1"/>
  <c r="H104" i="4" s="1"/>
  <c r="H144" i="4" a="1"/>
  <c r="H144" i="4" s="1"/>
  <c r="G101" i="4" a="1"/>
  <c r="G101" i="4" s="1"/>
  <c r="G141" i="4" a="1"/>
  <c r="G141" i="4" s="1"/>
  <c r="H142" i="4" a="1"/>
  <c r="H142" i="4" s="1"/>
  <c r="H40" i="4" a="1"/>
  <c r="H40" i="4" s="1"/>
  <c r="H102" i="4" a="1"/>
  <c r="H102" i="4" s="1"/>
  <c r="G97" i="4" a="1"/>
  <c r="G97" i="4" s="1"/>
  <c r="G115" i="4" a="1"/>
  <c r="G115" i="4" s="1"/>
  <c r="H33" i="4" a="1"/>
  <c r="H33" i="4" s="1"/>
  <c r="H49" i="4" a="1"/>
  <c r="H49" i="4" s="1"/>
  <c r="H125" i="4" a="1"/>
  <c r="H125" i="4" s="1"/>
  <c r="G136" i="4" a="1"/>
  <c r="G136" i="4" s="1"/>
  <c r="G33" i="4" a="1"/>
  <c r="G33" i="4" s="1"/>
  <c r="G138" i="4" a="1"/>
  <c r="G138" i="4" s="1"/>
  <c r="H120" i="4" a="1"/>
  <c r="H120" i="4" s="1"/>
  <c r="G52" i="4" a="1"/>
  <c r="G52" i="4" s="1"/>
  <c r="G85" i="4" a="1"/>
  <c r="G85" i="4" s="1"/>
  <c r="G125" i="4" a="1"/>
  <c r="G125" i="4" s="1"/>
  <c r="G74" i="4" a="1"/>
  <c r="G74" i="4" s="1"/>
  <c r="H126" i="4" a="1"/>
  <c r="H126" i="4" s="1"/>
  <c r="G43" i="4" a="1"/>
  <c r="G43" i="4" s="1"/>
  <c r="G147" i="4" a="1"/>
  <c r="G147" i="4" s="1"/>
  <c r="H72" i="4" a="1"/>
  <c r="H72" i="4" s="1"/>
  <c r="H94" i="4" a="1"/>
  <c r="H94" i="4" s="1"/>
  <c r="G68" i="4" a="1"/>
  <c r="G68" i="4" s="1"/>
  <c r="G98" i="4" a="1"/>
  <c r="G98" i="4" s="1"/>
  <c r="G25" i="4" a="1"/>
  <c r="G25" i="4" s="1"/>
  <c r="G72" i="4" a="1"/>
  <c r="G72" i="4" s="1"/>
  <c r="G65" i="4" a="1"/>
  <c r="G65" i="4" s="1"/>
  <c r="G73" i="4" a="1"/>
  <c r="G73" i="4" s="1"/>
  <c r="H32" i="4" a="1"/>
  <c r="H32" i="4" s="1"/>
  <c r="H124" i="4" a="1"/>
  <c r="H124" i="4" s="1"/>
  <c r="G120" i="4" a="1"/>
  <c r="G120" i="4" s="1"/>
  <c r="G57" i="4" a="1"/>
  <c r="G57" i="4" s="1"/>
  <c r="G88" i="4" a="1"/>
  <c r="G88" i="4" s="1"/>
  <c r="G40" i="4" a="1"/>
  <c r="G40" i="4" s="1"/>
  <c r="H56" i="4" a="1"/>
  <c r="H56" i="4" s="1"/>
  <c r="G83" i="4" a="1"/>
  <c r="G83" i="4" s="1"/>
  <c r="H140" i="4" a="1"/>
  <c r="H140" i="4" s="1"/>
  <c r="H48" i="4" a="1"/>
  <c r="H48" i="4" s="1"/>
  <c r="G47" i="4" a="1"/>
  <c r="G47" i="4" s="1"/>
  <c r="G56" i="4" a="1"/>
  <c r="G56" i="4" s="1"/>
  <c r="G49" i="4" a="1"/>
  <c r="G49" i="4" s="1"/>
  <c r="G28" i="4" a="1"/>
  <c r="G28" i="4" s="1"/>
  <c r="H85" i="4" a="1"/>
  <c r="H85" i="4" s="1"/>
  <c r="G146" i="4" a="1"/>
  <c r="G146" i="4" s="1"/>
  <c r="G41" i="4" a="1"/>
  <c r="G41" i="4" s="1"/>
  <c r="G80" i="4" a="1"/>
  <c r="G80" i="4" s="1"/>
  <c r="H64" i="4" a="1"/>
  <c r="H64" i="4" s="1"/>
  <c r="G86" i="4" a="1"/>
  <c r="G86" i="4" s="1"/>
  <c r="H30" i="4" a="1"/>
  <c r="H30" i="4" s="1"/>
  <c r="H77" i="4" a="1"/>
  <c r="H77" i="4" s="1"/>
  <c r="G63" i="4" a="1"/>
  <c r="G63" i="4" s="1"/>
  <c r="G106" i="4" a="1"/>
  <c r="G106" i="4" s="1"/>
  <c r="H66" i="4" a="1"/>
  <c r="H66" i="4" s="1"/>
  <c r="H88" i="4" a="1"/>
  <c r="H88" i="4" s="1"/>
  <c r="G75" i="4" a="1"/>
  <c r="G75" i="4" s="1"/>
  <c r="H37" i="4" a="1"/>
  <c r="H37" i="4" s="1"/>
  <c r="G122" i="4" a="1"/>
  <c r="G122" i="4" s="1"/>
  <c r="H65" i="4" a="1"/>
  <c r="H65" i="4" s="1"/>
  <c r="H108" i="4" a="1"/>
  <c r="H108" i="4" s="1"/>
  <c r="G91" i="4" a="1"/>
  <c r="G91" i="4" s="1"/>
  <c r="H92" i="4" a="1"/>
  <c r="H92" i="4" s="1"/>
  <c r="H86" i="4" a="1"/>
  <c r="H86" i="4" s="1"/>
  <c r="G100" i="4" a="1"/>
  <c r="G100" i="4" s="1"/>
  <c r="H91" i="4" a="1"/>
  <c r="H91" i="4" s="1"/>
  <c r="H76" i="4" a="1"/>
  <c r="H76" i="4" s="1"/>
  <c r="G60" i="4" a="1"/>
  <c r="G60" i="4" s="1"/>
  <c r="G108" i="4" a="1"/>
  <c r="G108" i="4" s="1"/>
  <c r="H132" i="4" a="1"/>
  <c r="H132" i="4" s="1"/>
  <c r="H106" i="4" a="1"/>
  <c r="H106" i="4" s="1"/>
  <c r="G99" i="4" a="1"/>
  <c r="G99" i="4" s="1"/>
  <c r="G77" i="4" a="1"/>
  <c r="G77" i="4" s="1"/>
  <c r="G51" i="4" a="1"/>
  <c r="G51" i="4" s="1"/>
  <c r="H118" i="4" a="1"/>
  <c r="H118" i="4" s="1"/>
  <c r="G114" i="4" a="1"/>
  <c r="G114" i="4" s="1"/>
  <c r="G31" i="4" a="1"/>
  <c r="G31" i="4" s="1"/>
  <c r="G105" i="4" a="1"/>
  <c r="G105" i="4" s="1"/>
  <c r="H87" i="4" a="1"/>
  <c r="H87" i="4" s="1"/>
  <c r="G129" i="4" a="1"/>
  <c r="G129" i="4" s="1"/>
  <c r="H38" i="4" a="1"/>
  <c r="H38" i="4" s="1"/>
  <c r="G128" i="4" a="1"/>
  <c r="G128" i="4" s="1"/>
  <c r="G130" i="4" a="1"/>
  <c r="G130" i="4" s="1"/>
  <c r="H100" i="4" a="1"/>
  <c r="H100" i="4" s="1"/>
  <c r="G121" i="4" a="1"/>
  <c r="G121" i="4" s="1"/>
  <c r="H111" i="4" a="1"/>
  <c r="H111" i="4" s="1"/>
  <c r="H62" i="4" a="1"/>
  <c r="H62" i="4" s="1"/>
  <c r="G104" i="4" a="1"/>
  <c r="G104" i="4" s="1"/>
  <c r="H143" i="4" a="1"/>
  <c r="H143" i="4" s="1"/>
  <c r="H116" i="4" a="1"/>
  <c r="H116" i="4" s="1"/>
  <c r="H127" i="4" a="1"/>
  <c r="H127" i="4" s="1"/>
  <c r="G93" i="4" a="1"/>
  <c r="G93" i="4" s="1"/>
  <c r="H119" i="4" a="1"/>
  <c r="H119" i="4" s="1"/>
  <c r="H134" i="4" a="1"/>
  <c r="H134" i="4" s="1"/>
  <c r="H133" i="4" a="1"/>
  <c r="H133" i="4" s="1"/>
  <c r="H103" i="4" a="1"/>
  <c r="H103" i="4" s="1"/>
  <c r="H146" i="4" a="1"/>
  <c r="H146" i="4" s="1"/>
  <c r="H93" i="4" a="1"/>
  <c r="H93" i="4" s="1"/>
  <c r="G113" i="4" a="1"/>
  <c r="G113" i="4" s="1"/>
  <c r="G145" i="4" a="1"/>
  <c r="G145" i="4" s="1"/>
  <c r="H109" i="4" a="1"/>
  <c r="H109" i="4" s="1"/>
  <c r="H69" i="4" a="1"/>
  <c r="H69" i="4" s="1"/>
  <c r="G132" i="4" a="1"/>
  <c r="G132" i="4" s="1"/>
  <c r="H137" i="4" a="1"/>
  <c r="H137" i="4" s="1"/>
  <c r="H148" i="4" a="1"/>
  <c r="H148" i="4" s="1"/>
  <c r="G116" i="4" a="1"/>
  <c r="G116" i="4" s="1"/>
  <c r="G137" i="4" a="1"/>
  <c r="G137" i="4" s="1"/>
  <c r="H29" i="4" a="1"/>
  <c r="H29" i="4" s="1"/>
  <c r="G123" i="4" a="1"/>
  <c r="G123" i="4" s="1"/>
  <c r="G107" i="4" a="1"/>
  <c r="G107" i="4" s="1"/>
  <c r="H130" i="4" a="1"/>
  <c r="H130" i="4" s="1"/>
  <c r="H135" i="4" a="1"/>
  <c r="H135" i="4" s="1"/>
  <c r="G148" i="4" a="1"/>
  <c r="G148" i="4" s="1"/>
  <c r="H54" i="4" a="1"/>
  <c r="H54" i="4" s="1"/>
  <c r="H141" i="4" a="1"/>
  <c r="H141" i="4" s="1"/>
  <c r="G103" i="4" a="1"/>
  <c r="G103" i="4" s="1"/>
  <c r="G127" i="4" a="1"/>
  <c r="G127" i="4" s="1"/>
  <c r="G143" i="4" a="1"/>
  <c r="G143" i="4" s="1"/>
  <c r="G82" i="4" a="1"/>
  <c r="G82" i="4" s="1"/>
  <c r="G81" i="4" a="1"/>
  <c r="G81" i="4" s="1"/>
  <c r="H105" i="4" a="1"/>
  <c r="H105" i="4" s="1"/>
  <c r="G59" i="4" a="1"/>
  <c r="G59" i="4" s="1"/>
  <c r="H75" i="4" a="1"/>
  <c r="H75" i="4" s="1"/>
  <c r="H121" i="4" a="1"/>
  <c r="H121" i="4" s="1"/>
  <c r="H45" i="4" a="1"/>
  <c r="H45" i="4" s="1"/>
  <c r="G131" i="4" a="1"/>
  <c r="G131" i="4" s="1"/>
  <c r="H61" i="4" a="1"/>
  <c r="H61" i="4" s="1"/>
  <c r="H24" i="4" a="1"/>
  <c r="H24" i="4" s="1"/>
  <c r="G144" i="4" a="1"/>
  <c r="G144" i="4" s="1"/>
  <c r="K49" i="4" l="1"/>
  <c r="J49" i="4" s="1"/>
  <c r="K84" i="4"/>
  <c r="I84" i="4" s="1"/>
  <c r="K31" i="4"/>
  <c r="I31" i="4" s="1"/>
  <c r="K127" i="4"/>
  <c r="I127" i="4" s="1"/>
  <c r="K128" i="4"/>
  <c r="J128" i="4" s="1"/>
  <c r="K26" i="4"/>
  <c r="I26" i="4" s="1"/>
  <c r="K64" i="4"/>
  <c r="I64" i="4" s="1"/>
  <c r="K149" i="4"/>
  <c r="I149" i="4" s="1"/>
  <c r="K136" i="4"/>
  <c r="J136" i="4" s="1"/>
  <c r="K86" i="4"/>
  <c r="J86" i="4" s="1"/>
  <c r="K78" i="4"/>
  <c r="I78" i="4" s="1"/>
  <c r="K35" i="4"/>
  <c r="J35" i="4" s="1"/>
  <c r="K140" i="4"/>
  <c r="J140" i="4" s="1"/>
  <c r="K95" i="4"/>
  <c r="J95" i="4" s="1"/>
  <c r="K71" i="4"/>
  <c r="J71" i="4" s="1"/>
  <c r="K73" i="4"/>
  <c r="I73" i="4" s="1"/>
  <c r="K129" i="4"/>
  <c r="J129" i="4" s="1"/>
  <c r="K44" i="4"/>
  <c r="J44" i="4" s="1"/>
  <c r="K107" i="4"/>
  <c r="I107" i="4" s="1"/>
  <c r="K37" i="4"/>
  <c r="J37" i="4" s="1"/>
  <c r="K102" i="4"/>
  <c r="J102" i="4" s="1"/>
  <c r="K47" i="4"/>
  <c r="I47" i="4" s="1"/>
  <c r="K29" i="4"/>
  <c r="I29" i="4" s="1"/>
  <c r="K96" i="4"/>
  <c r="J96" i="4" s="1"/>
  <c r="K130" i="4"/>
  <c r="I130" i="4" s="1"/>
  <c r="K40" i="4"/>
  <c r="J40" i="4" s="1"/>
  <c r="K116" i="4"/>
  <c r="I116" i="4" s="1"/>
  <c r="K126" i="4"/>
  <c r="I126" i="4" s="1"/>
  <c r="K82" i="4"/>
  <c r="I82" i="4" s="1"/>
  <c r="K110" i="4"/>
  <c r="J110" i="4" s="1"/>
  <c r="K144" i="4"/>
  <c r="I144" i="4" s="1"/>
  <c r="K57" i="4"/>
  <c r="I57" i="4" s="1"/>
  <c r="K48" i="4"/>
  <c r="I48" i="4" s="1"/>
  <c r="K34" i="4"/>
  <c r="I34" i="4" s="1"/>
  <c r="K111" i="4"/>
  <c r="I111" i="4" s="1"/>
  <c r="K117" i="4"/>
  <c r="J117" i="4" s="1"/>
  <c r="K54" i="4"/>
  <c r="I54" i="4" s="1"/>
  <c r="K75" i="4"/>
  <c r="I75" i="4" s="1"/>
  <c r="K74" i="4"/>
  <c r="I74" i="4" s="1"/>
  <c r="K93" i="4"/>
  <c r="J93" i="4" s="1"/>
  <c r="K105" i="4"/>
  <c r="J105" i="4" s="1"/>
  <c r="K134" i="4"/>
  <c r="J134" i="4" s="1"/>
  <c r="K125" i="4"/>
  <c r="I125" i="4" s="1"/>
  <c r="K87" i="4"/>
  <c r="J87" i="4" s="1"/>
  <c r="K88" i="4"/>
  <c r="J88" i="4" s="1"/>
  <c r="K112" i="4"/>
  <c r="I112" i="4" s="1"/>
  <c r="K46" i="4"/>
  <c r="J46" i="4" s="1"/>
  <c r="K142" i="4"/>
  <c r="I142" i="4" s="1"/>
  <c r="K137" i="4"/>
  <c r="J137" i="4" s="1"/>
  <c r="K42" i="4"/>
  <c r="J42" i="4" s="1"/>
  <c r="K83" i="4"/>
  <c r="J83" i="4" s="1"/>
  <c r="K120" i="4"/>
  <c r="J120" i="4" s="1"/>
  <c r="K77" i="4"/>
  <c r="J77" i="4" s="1"/>
  <c r="K62" i="4"/>
  <c r="J62" i="4" s="1"/>
  <c r="K28" i="4"/>
  <c r="J28" i="4" s="1"/>
  <c r="K50" i="4"/>
  <c r="J50" i="4" s="1"/>
  <c r="K68" i="4"/>
  <c r="I68" i="4" s="1"/>
  <c r="K79" i="4"/>
  <c r="J79" i="4" s="1"/>
  <c r="K146" i="4"/>
  <c r="I146" i="4" s="1"/>
  <c r="K135" i="4"/>
  <c r="J135" i="4" s="1"/>
  <c r="K106" i="4"/>
  <c r="J106" i="4" s="1"/>
  <c r="K100" i="4"/>
  <c r="J100" i="4" s="1"/>
  <c r="K45" i="4"/>
  <c r="I45" i="4" s="1"/>
  <c r="K72" i="4"/>
  <c r="J72" i="4" s="1"/>
  <c r="K55" i="4"/>
  <c r="J55" i="4" s="1"/>
  <c r="K145" i="4"/>
  <c r="J145" i="4" s="1"/>
  <c r="K58" i="4"/>
  <c r="J58" i="4" s="1"/>
  <c r="K91" i="4"/>
  <c r="I91" i="4" s="1"/>
  <c r="K124" i="4"/>
  <c r="J124" i="4" s="1"/>
  <c r="K81" i="4"/>
  <c r="J81" i="4" s="1"/>
  <c r="K70" i="4"/>
  <c r="I70" i="4" s="1"/>
  <c r="K32" i="4"/>
  <c r="I32" i="4" s="1"/>
  <c r="K121" i="4"/>
  <c r="I121" i="4" s="1"/>
  <c r="K147" i="4"/>
  <c r="I147" i="4" s="1"/>
  <c r="K101" i="4"/>
  <c r="J101" i="4" s="1"/>
  <c r="K131" i="4"/>
  <c r="I131" i="4" s="1"/>
  <c r="K39" i="4"/>
  <c r="J39" i="4" s="1"/>
  <c r="K92" i="4"/>
  <c r="J92" i="4" s="1"/>
  <c r="K52" i="4"/>
  <c r="J52" i="4" s="1"/>
  <c r="K109" i="4"/>
  <c r="J109" i="4" s="1"/>
  <c r="K65" i="4"/>
  <c r="J65" i="4" s="1"/>
  <c r="K139" i="4"/>
  <c r="I139" i="4" s="1"/>
  <c r="K25" i="4"/>
  <c r="J25" i="4" s="1"/>
  <c r="K104" i="4"/>
  <c r="J104" i="4" s="1"/>
  <c r="K53" i="4"/>
  <c r="I53" i="4" s="1"/>
  <c r="K30" i="4"/>
  <c r="I30" i="4" s="1"/>
  <c r="K59" i="4"/>
  <c r="I59" i="4" s="1"/>
  <c r="K69" i="4"/>
  <c r="I69" i="4" s="1"/>
  <c r="K36" i="4"/>
  <c r="I36" i="4" s="1"/>
  <c r="K133" i="4"/>
  <c r="I133" i="4" s="1"/>
  <c r="K114" i="4"/>
  <c r="J114" i="4" s="1"/>
  <c r="K119" i="4"/>
  <c r="J119" i="4" s="1"/>
  <c r="K148" i="4"/>
  <c r="I148" i="4" s="1"/>
  <c r="K66" i="4"/>
  <c r="J66" i="4" s="1"/>
  <c r="K94" i="4"/>
  <c r="I94" i="4" s="1"/>
  <c r="K56" i="4"/>
  <c r="J56" i="4" s="1"/>
  <c r="K118" i="4"/>
  <c r="I118" i="4" s="1"/>
  <c r="K113" i="4"/>
  <c r="I113" i="4" s="1"/>
  <c r="K143" i="4"/>
  <c r="I143" i="4" s="1"/>
  <c r="K41" i="4"/>
  <c r="I41" i="4" s="1"/>
  <c r="K108" i="4"/>
  <c r="I108" i="4" s="1"/>
  <c r="K61" i="4"/>
  <c r="J61" i="4" s="1"/>
  <c r="K38" i="4"/>
  <c r="J38" i="4" s="1"/>
  <c r="K63" i="4"/>
  <c r="I63" i="4" s="1"/>
  <c r="K99" i="4"/>
  <c r="I99" i="4" s="1"/>
  <c r="K138" i="4"/>
  <c r="J138" i="4" s="1"/>
  <c r="K115" i="4"/>
  <c r="I115" i="4" s="1"/>
  <c r="K24" i="4"/>
  <c r="I24" i="4" s="1"/>
  <c r="K27" i="4"/>
  <c r="I27" i="4" s="1"/>
  <c r="K85" i="4"/>
  <c r="J85" i="4" s="1"/>
  <c r="K67" i="4"/>
  <c r="J67" i="4" s="1"/>
  <c r="K141" i="4"/>
  <c r="I141" i="4" s="1"/>
  <c r="K122" i="4"/>
  <c r="I122" i="4" s="1"/>
  <c r="K123" i="4"/>
  <c r="I123" i="4" s="1"/>
  <c r="K80" i="4"/>
  <c r="J80" i="4" s="1"/>
  <c r="K76" i="4"/>
  <c r="J76" i="4" s="1"/>
  <c r="K98" i="4"/>
  <c r="I98" i="4" s="1"/>
  <c r="K60" i="4"/>
  <c r="J60" i="4" s="1"/>
  <c r="K43" i="4"/>
  <c r="I43" i="4" s="1"/>
  <c r="K90" i="4"/>
  <c r="J90" i="4" s="1"/>
  <c r="K51" i="4"/>
  <c r="I51" i="4" s="1"/>
  <c r="K33" i="4"/>
  <c r="I33" i="4" s="1"/>
  <c r="K97" i="4"/>
  <c r="J97" i="4" s="1"/>
  <c r="K103" i="4"/>
  <c r="J103" i="4" s="1"/>
  <c r="K132" i="4"/>
  <c r="I132" i="4" s="1"/>
  <c r="K89" i="4"/>
  <c r="I89" i="4" s="1"/>
  <c r="J31" i="4"/>
  <c r="J130" i="4"/>
  <c r="J54" i="4"/>
  <c r="I49" i="4"/>
  <c r="J64" i="4"/>
  <c r="I137" i="4"/>
  <c r="I55" i="4"/>
  <c r="J36" i="4"/>
  <c r="I44" i="4" l="1"/>
  <c r="I140" i="4"/>
  <c r="I102" i="4"/>
  <c r="I77" i="4"/>
  <c r="J48" i="4"/>
  <c r="J82" i="4"/>
  <c r="I129" i="4"/>
  <c r="I62" i="4"/>
  <c r="I79" i="4"/>
  <c r="I42" i="4"/>
  <c r="I110" i="4"/>
  <c r="J112" i="4"/>
  <c r="I100" i="4"/>
  <c r="I134" i="4"/>
  <c r="J75" i="4"/>
  <c r="J121" i="4"/>
  <c r="J131" i="4"/>
  <c r="J78" i="4"/>
  <c r="J68" i="4"/>
  <c r="I88" i="4"/>
  <c r="I106" i="4"/>
  <c r="I124" i="4"/>
  <c r="J84" i="4"/>
  <c r="I86" i="4"/>
  <c r="I105" i="4"/>
  <c r="J26" i="4"/>
  <c r="I65" i="4"/>
  <c r="I60" i="4"/>
  <c r="J111" i="4"/>
  <c r="I138" i="4"/>
  <c r="J89" i="4"/>
  <c r="J149" i="4"/>
  <c r="I52" i="4"/>
  <c r="J33" i="4"/>
  <c r="J108" i="4"/>
  <c r="I39" i="4"/>
  <c r="I83" i="4"/>
  <c r="J125" i="4"/>
  <c r="J127" i="4"/>
  <c r="I101" i="4"/>
  <c r="J74" i="4"/>
  <c r="I35" i="4"/>
  <c r="J43" i="4"/>
  <c r="J32" i="4"/>
  <c r="I135" i="4"/>
  <c r="J113" i="4"/>
  <c r="J139" i="4"/>
  <c r="J27" i="4"/>
  <c r="J122" i="4"/>
  <c r="J132" i="4"/>
  <c r="I37" i="4"/>
  <c r="J57" i="4"/>
  <c r="I76" i="4"/>
  <c r="J118" i="4"/>
  <c r="J63" i="4"/>
  <c r="J51" i="4"/>
  <c r="I38" i="4"/>
  <c r="J53" i="4"/>
  <c r="J148" i="4"/>
  <c r="I87" i="4"/>
  <c r="I93" i="4"/>
  <c r="J99" i="4"/>
  <c r="J98" i="4"/>
  <c r="I104" i="4"/>
  <c r="J24" i="4"/>
  <c r="I109" i="4"/>
  <c r="I117" i="4"/>
  <c r="I96" i="4"/>
  <c r="I50" i="4"/>
  <c r="J142" i="4"/>
  <c r="J141" i="4"/>
  <c r="J91" i="4"/>
  <c r="J69" i="4"/>
  <c r="J73" i="4"/>
  <c r="I128" i="4"/>
  <c r="J126" i="4"/>
  <c r="I103" i="4"/>
  <c r="J41" i="4"/>
  <c r="I119" i="4"/>
  <c r="I56" i="4"/>
  <c r="I72" i="4"/>
  <c r="I120" i="4"/>
  <c r="I136" i="4"/>
  <c r="I90" i="4"/>
  <c r="I85" i="4"/>
  <c r="J70" i="4"/>
  <c r="I58" i="4"/>
  <c r="I114" i="4"/>
  <c r="J59" i="4"/>
  <c r="J143" i="4"/>
  <c r="J30" i="4"/>
  <c r="I66" i="4"/>
  <c r="I92" i="4"/>
  <c r="I95" i="4"/>
  <c r="J45" i="4"/>
  <c r="I81" i="4"/>
  <c r="I25" i="4"/>
  <c r="J47" i="4"/>
  <c r="I40" i="4"/>
  <c r="J144" i="4"/>
  <c r="J107" i="4"/>
  <c r="I71" i="4"/>
  <c r="J29" i="4"/>
  <c r="I80" i="4"/>
  <c r="J146" i="4"/>
  <c r="I46" i="4"/>
  <c r="J116" i="4"/>
  <c r="J115" i="4"/>
  <c r="I61" i="4"/>
  <c r="I28" i="4"/>
  <c r="J94" i="4"/>
  <c r="J147" i="4"/>
  <c r="J34" i="4"/>
  <c r="J133" i="4"/>
  <c r="I145" i="4"/>
  <c r="I67" i="4"/>
  <c r="J123" i="4"/>
  <c r="I97" i="4"/>
</calcChain>
</file>

<file path=xl/comments1.xml><?xml version="1.0" encoding="utf-8"?>
<comments xmlns="http://schemas.openxmlformats.org/spreadsheetml/2006/main">
  <authors>
    <author>Kathrin Volkart</author>
    <author>Volkart Kathrin Andrea</author>
  </authors>
  <commentList>
    <comment ref="C2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from Steve Pye (UCL)</t>
        </r>
      </text>
    </comment>
    <comment ref="D2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from Steve Pye (UCL)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from Kathrin Volkart (PSI)
Yearly average CHF/EUR 2010
http://fxtop.com
</t>
        </r>
      </text>
    </comment>
    <comment ref="F2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from Kathrin Volkart (PSI)
Yearly average US$/EUR 2000
http://fxtop.com
</t>
        </r>
      </text>
    </comment>
    <comment ref="F34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IRENA (2012)</t>
        </r>
      </text>
    </comment>
    <comment ref="C44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from Steve Pye (UCL)</t>
        </r>
      </text>
    </comment>
    <comment ref="D44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from Kathrin Volkart (PSI)
Eurostat (2016)
Gross domestic product at market prices
Euro Area (19 countries)</t>
        </r>
      </text>
    </comment>
    <comment ref="B65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from Martin Densing (PSI)</t>
        </r>
      </text>
    </comment>
  </commentList>
</comments>
</file>

<file path=xl/comments2.xml><?xml version="1.0" encoding="utf-8"?>
<comments xmlns="http://schemas.openxmlformats.org/spreadsheetml/2006/main">
  <authors>
    <author>Kathrin Volkart</author>
    <author>Volkart Kathrin Andrea</author>
  </authors>
  <commentList>
    <comment ref="J1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L1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J1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L1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J19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L19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J2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L2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AD2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90% capture rate assumed</t>
        </r>
      </text>
    </comment>
    <comment ref="AF2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90% capture rate assumed</t>
        </r>
      </text>
    </comment>
    <comment ref="J2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L2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J2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L2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</t>
        </r>
      </text>
    </comment>
    <comment ref="AH2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based on "Medium centralized biomass gasification"</t>
        </r>
      </text>
    </comment>
    <comment ref="AP2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based on "Medium centralized biomass gasification"</t>
        </r>
      </text>
    </comment>
    <comment ref="J24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L24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J25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
Santos (2015)</t>
        </r>
      </text>
    </comment>
    <comment ref="L25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
Santos (2015)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
Santos (2015)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Dodds &amp; McDowall (2012)
Santos (2015)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J2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L2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Gül (2008)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H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X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Z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B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H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J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P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R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T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V2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F4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H4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J4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L4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J49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L49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J50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L50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F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H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R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X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Z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B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H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J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P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R5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F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H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R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T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V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X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Z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B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H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J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P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R5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F6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H6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F6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H6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F69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H69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H70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L70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P70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T70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X70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Z70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AB70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AP70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assumtption</t>
        </r>
      </text>
    </comment>
    <comment ref="AR70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AT70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AV70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N71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P71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AT71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AV71" authorId="1">
      <text>
        <r>
          <rPr>
            <b/>
            <sz val="9"/>
            <color indexed="81"/>
            <rFont val="Tahoma"/>
            <family val="2"/>
          </rPr>
          <t>Volkart Kathrin Andrea: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F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H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R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V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X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Z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B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H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J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P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R7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F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H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R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T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V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X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Z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B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H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J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P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AR73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 to avoid errors</t>
        </r>
      </text>
    </comment>
    <comment ref="J11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L11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N11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P117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J11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L11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N11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P118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J119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L119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J12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L121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J12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  <comment ref="L122" authorId="0">
      <text>
        <r>
          <rPr>
            <b/>
            <sz val="9"/>
            <color indexed="81"/>
            <rFont val="Tahoma"/>
            <family val="2"/>
          </rPr>
          <t>Kathrin Volkart:</t>
        </r>
        <r>
          <rPr>
            <sz val="9"/>
            <color indexed="81"/>
            <rFont val="Tahoma"/>
            <family val="2"/>
          </rPr>
          <t xml:space="preserve">
assumption</t>
        </r>
      </text>
    </comment>
  </commentList>
</comments>
</file>

<file path=xl/comments3.xml><?xml version="1.0" encoding="utf-8"?>
<comments xmlns="http://schemas.openxmlformats.org/spreadsheetml/2006/main">
  <authors>
    <author>RDM</author>
    <author>Rocco2</author>
  </authors>
  <commentList>
    <comment ref="Z28" authorId="0">
      <text>
        <r>
          <rPr>
            <b/>
            <sz val="9"/>
            <color indexed="81"/>
            <rFont val="Tahoma"/>
            <family val="2"/>
          </rPr>
          <t>RDM:</t>
        </r>
        <r>
          <rPr>
            <sz val="9"/>
            <color indexed="81"/>
            <rFont val="Tahoma"/>
            <family val="2"/>
          </rPr>
          <t xml:space="preserve">
http://www.apren.pt/fotos/editor2/ewea_annual_statistics_2014.pdf</t>
        </r>
      </text>
    </comment>
    <comment ref="AO49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Russia</t>
        </r>
      </text>
    </comment>
    <comment ref="AO50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Morocco</t>
        </r>
      </text>
    </comment>
    <comment ref="AO54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Ukraine</t>
        </r>
      </text>
    </comment>
    <comment ref="AO58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belarus Russia</t>
        </r>
      </text>
    </comment>
    <comment ref="AO60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66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Ukraine</t>
        </r>
      </text>
    </comment>
    <comment ref="K79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Russia</t>
        </r>
      </text>
    </comment>
    <comment ref="L79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Morocco</t>
        </r>
      </text>
    </comment>
    <comment ref="M79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Russia</t>
        </r>
      </text>
    </comment>
    <comment ref="P79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Ukraine</t>
        </r>
      </text>
    </comment>
    <comment ref="T79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Belarus</t>
        </r>
      </text>
    </comment>
    <comment ref="V79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Russia</t>
        </r>
      </text>
    </comment>
    <comment ref="AB79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Ukraine</t>
        </r>
      </text>
    </comment>
    <comment ref="AE79" authorId="1">
      <text>
        <r>
          <rPr>
            <b/>
            <sz val="9"/>
            <color indexed="81"/>
            <rFont val="Tahoma"/>
            <family val="2"/>
          </rPr>
          <t>Rocco2:</t>
        </r>
        <r>
          <rPr>
            <sz val="9"/>
            <color indexed="81"/>
            <rFont val="Tahoma"/>
            <family val="2"/>
          </rPr>
          <t xml:space="preserve">
Ukraine</t>
        </r>
      </text>
    </comment>
  </commentList>
</comments>
</file>

<file path=xl/sharedStrings.xml><?xml version="1.0" encoding="utf-8"?>
<sst xmlns="http://schemas.openxmlformats.org/spreadsheetml/2006/main" count="22957" uniqueCount="578">
  <si>
    <t>(1) Introduction</t>
  </si>
  <si>
    <t>This workbook contains the merit ranking tool for the INSIGHT_E Policy Report No.6.</t>
  </si>
  <si>
    <t>↓ INSIGHT_E Project</t>
  </si>
  <si>
    <t>↓ Policy Report No.6</t>
  </si>
  <si>
    <t>↓ Instructions</t>
  </si>
  <si>
    <t>↓ Abbreviations</t>
  </si>
  <si>
    <t>↓ Technologies</t>
  </si>
  <si>
    <t>↓ Merits</t>
  </si>
  <si>
    <t>↓ Key assumptions</t>
  </si>
  <si>
    <t>INSIGHT_E Project</t>
  </si>
  <si>
    <t>↑ back to the top</t>
  </si>
  <si>
    <t>INSIGHT_E is a multidisciplinary energy think tank which provides the European Commission and other energy stakeholders</t>
  </si>
  <si>
    <t>with advice on policy options and assesses their potential impact.</t>
  </si>
  <si>
    <t>Website</t>
  </si>
  <si>
    <t>www.insightenergy.org</t>
  </si>
  <si>
    <t>Contact</t>
  </si>
  <si>
    <t>info@insightenergy.org</t>
  </si>
  <si>
    <t>Policy Report No.6</t>
  </si>
  <si>
    <t>The present merit ranking tool complements the Policy Report No.6 on "Assessments of the merit of different hydrogen and</t>
  </si>
  <si>
    <t>fuel cell pathways for energy applications".</t>
  </si>
  <si>
    <t>The goal of the tool is the exploration of the merits of fuel cell and hydrogen pathways under different boundary conditions.</t>
  </si>
  <si>
    <t>Instructions for the use of the merit ranking tool</t>
  </si>
  <si>
    <t>(1) Gain an overview of the addressed FCH technologies and pathways</t>
  </si>
  <si>
    <t>(2) Gain an overview of the merits selected for the assessment of the FCH technologies and pathways</t>
  </si>
  <si>
    <t>(3) Make assumptions on key parameters</t>
  </si>
  <si>
    <t>(4) Compare the addressed FCH technologies based on the selected merits</t>
  </si>
  <si>
    <t>(5) Compare the addressed FCH pathways based on the selected merits</t>
  </si>
  <si>
    <t>Abbreviations</t>
  </si>
  <si>
    <t>CCS</t>
  </si>
  <si>
    <t>Carbon Capture and Storage</t>
  </si>
  <si>
    <t>CO2</t>
  </si>
  <si>
    <t>Carbon Dioxide</t>
  </si>
  <si>
    <t>FCH</t>
  </si>
  <si>
    <t>Fuel Cell and Hydrogen</t>
  </si>
  <si>
    <t>H2</t>
  </si>
  <si>
    <t>Hydrogen</t>
  </si>
  <si>
    <t>MCFC</t>
  </si>
  <si>
    <t>Molten Carbonate Fuel Cell</t>
  </si>
  <si>
    <t>PAFC</t>
  </si>
  <si>
    <t>Phosphoric Acid Fuel Cell</t>
  </si>
  <si>
    <t>PEMFC</t>
  </si>
  <si>
    <t>Polymer Elecrolyte Membrane Fuel Cell</t>
  </si>
  <si>
    <t>SOFC</t>
  </si>
  <si>
    <t>Solid Oxide Fuel Cell</t>
  </si>
  <si>
    <t>TRL</t>
  </si>
  <si>
    <t>Technology Readiness Level</t>
  </si>
  <si>
    <t>Technologies</t>
  </si>
  <si>
    <t>→ Overview</t>
  </si>
  <si>
    <t>Hydrogen production</t>
  </si>
  <si>
    <t>Large centralized electrolysis</t>
  </si>
  <si>
    <t>x</t>
  </si>
  <si>
    <t>Medium centralized electrolysis</t>
  </si>
  <si>
    <t>Small decentralized electrolysis</t>
  </si>
  <si>
    <t>Medium centralized biomass gasification</t>
  </si>
  <si>
    <t>Medium centralized biomass gasification w/ CCS</t>
  </si>
  <si>
    <t>Small decentralized biomass gasification</t>
  </si>
  <si>
    <t xml:space="preserve">Large centralized biomass steam reforming </t>
  </si>
  <si>
    <t>Large centralized natural gas steam reforming</t>
  </si>
  <si>
    <t>Small centralized natural gas steam reforming</t>
  </si>
  <si>
    <t>Medium decentralized natural gas steam reforming</t>
  </si>
  <si>
    <t>Small decentralized natural gas steam reforming</t>
  </si>
  <si>
    <t>Hydrogen storage</t>
  </si>
  <si>
    <t>Underground storage</t>
  </si>
  <si>
    <t>No storage</t>
  </si>
  <si>
    <t>Hydrogen T&amp;D</t>
  </si>
  <si>
    <t>Methanation</t>
  </si>
  <si>
    <t>Onsite</t>
  </si>
  <si>
    <t>FCH applications</t>
  </si>
  <si>
    <t>Industrial boiler</t>
  </si>
  <si>
    <t>Counterfactual</t>
  </si>
  <si>
    <t>technologies</t>
  </si>
  <si>
    <t>Merits</t>
  </si>
  <si>
    <t>Levelized cost</t>
  </si>
  <si>
    <t>Sum of annual costs per useful energy, includes capital cost, O&amp;M cost and fuel cost (incl. CO2 price)</t>
  </si>
  <si>
    <t>[€2014 / useful output]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</si>
  <si>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</t>
    </r>
  </si>
  <si>
    <r>
      <t>[kg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/ useful output]</t>
    </r>
  </si>
  <si>
    <t>Marginal abatement cost</t>
  </si>
  <si>
    <t>Maturity</t>
  </si>
  <si>
    <t>[EU TRL 1-9]</t>
  </si>
  <si>
    <t>Flexibility</t>
  </si>
  <si>
    <t>[%]</t>
  </si>
  <si>
    <t>Public acceptability</t>
  </si>
  <si>
    <t>Assumptions on key parameters</t>
  </si>
  <si>
    <t>Time period</t>
  </si>
  <si>
    <t>2020-30</t>
  </si>
  <si>
    <t></t>
  </si>
  <si>
    <t>Interest rate</t>
  </si>
  <si>
    <t>Wholesale electricity price</t>
  </si>
  <si>
    <r>
      <t>€2014/MWh</t>
    </r>
    <r>
      <rPr>
        <vertAlign val="subscript"/>
        <sz val="11"/>
        <color theme="1"/>
        <rFont val="Calibri"/>
        <family val="2"/>
        <scheme val="minor"/>
      </rPr>
      <t>e</t>
    </r>
  </si>
  <si>
    <t>Wholesale natural gas price</t>
  </si>
  <si>
    <r>
      <t>€2014/GJ</t>
    </r>
    <r>
      <rPr>
        <vertAlign val="subscript"/>
        <sz val="11"/>
        <color theme="1"/>
        <rFont val="Calibri"/>
        <family val="2"/>
        <scheme val="minor"/>
      </rPr>
      <t>th</t>
    </r>
  </si>
  <si>
    <t>Wholesale biomass price</t>
  </si>
  <si>
    <t>Wholesale hydrogen price</t>
  </si>
  <si>
    <r>
      <t>CO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 xml:space="preserve"> price</t>
    </r>
  </si>
  <si>
    <r>
      <t>€2014/t CO</t>
    </r>
    <r>
      <rPr>
        <vertAlign val="subscript"/>
        <sz val="11"/>
        <color theme="1"/>
        <rFont val="Calibri"/>
        <family val="2"/>
        <scheme val="minor"/>
      </rPr>
      <t>2</t>
    </r>
  </si>
  <si>
    <r>
      <t>Electricity mix CO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 xml:space="preserve"> intensity</t>
    </r>
  </si>
  <si>
    <r>
      <t>g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/kWh</t>
    </r>
    <r>
      <rPr>
        <vertAlign val="subscript"/>
        <sz val="11"/>
        <color theme="1"/>
        <rFont val="Calibri"/>
        <family val="2"/>
        <scheme val="minor"/>
      </rPr>
      <t>e</t>
    </r>
  </si>
  <si>
    <r>
      <t>H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 xml:space="preserve"> use in the other sectors</t>
    </r>
  </si>
  <si>
    <t>-</t>
  </si>
  <si>
    <t>TRL threshold</t>
  </si>
  <si>
    <t>(Energy system) Input parameters</t>
  </si>
  <si>
    <t>Medium term</t>
  </si>
  <si>
    <t>Maximum Export capacity (NTC)</t>
  </si>
  <si>
    <t>GW</t>
  </si>
  <si>
    <t>System Peak Demand</t>
  </si>
  <si>
    <t>Variable Renewable Capacity</t>
  </si>
  <si>
    <t>Availability factor (average) of VR generators</t>
  </si>
  <si>
    <t>VR share over the System Peak Demand</t>
  </si>
  <si>
    <t>Long term</t>
  </si>
  <si>
    <t>Default</t>
  </si>
  <si>
    <t>(2) Overview of the addressed FCH technologies and pathways</t>
  </si>
  <si>
    <t>Electricity</t>
  </si>
  <si>
    <t>Hydrogen turbine</t>
  </si>
  <si>
    <t>Grid electricity</t>
  </si>
  <si>
    <t>Centralized gas storage</t>
  </si>
  <si>
    <t>Liquid hydrogen truck</t>
  </si>
  <si>
    <t>Biomass</t>
  </si>
  <si>
    <t>Medium centralized gasification</t>
  </si>
  <si>
    <t>w/o CCS</t>
  </si>
  <si>
    <t>Industrial heat</t>
  </si>
  <si>
    <t>w/ CCS</t>
  </si>
  <si>
    <t>Hydrogen transmission &amp; distribution pipeline</t>
  </si>
  <si>
    <t>Small decentralized gasification</t>
  </si>
  <si>
    <t>Large centralized steam reforming</t>
  </si>
  <si>
    <t>Blending in gas pipeline</t>
  </si>
  <si>
    <t>Onsite / Back-up power</t>
  </si>
  <si>
    <t>Natural gas</t>
  </si>
  <si>
    <t>Hydrogen distribution pipeline</t>
  </si>
  <si>
    <t>Small centralized steam reforming</t>
  </si>
  <si>
    <t>Distributed gas storage</t>
  </si>
  <si>
    <t>Medium decentralized steam reforming</t>
  </si>
  <si>
    <t>Building heat</t>
  </si>
  <si>
    <t>Small decentralized steam reforming</t>
  </si>
  <si>
    <t>(3) Comparison of the FCH technologies</t>
  </si>
  <si>
    <t>↓ H2 production technologies</t>
  </si>
  <si>
    <t>↓ H2 storage technologies</t>
  </si>
  <si>
    <t>↓ H2 transport technologies</t>
  </si>
  <si>
    <t>↓ FCH technologies for heat</t>
  </si>
  <si>
    <t>↓ FCH technologies for power</t>
  </si>
  <si>
    <r>
      <t>Comparison of H</t>
    </r>
    <r>
      <rPr>
        <b/>
        <vertAlign val="subscript"/>
        <sz val="18"/>
        <color theme="1"/>
        <rFont val="Calibri"/>
        <family val="2"/>
        <scheme val="minor"/>
      </rPr>
      <t>2</t>
    </r>
    <r>
      <rPr>
        <b/>
        <sz val="18"/>
        <color theme="1"/>
        <rFont val="Calibri"/>
        <family val="2"/>
        <scheme val="minor"/>
      </rPr>
      <t xml:space="preserve"> production technologies</t>
    </r>
  </si>
  <si>
    <t>Levelized cost [€/kg H2]</t>
  </si>
  <si>
    <t>Technology</t>
  </si>
  <si>
    <t>Merit</t>
  </si>
  <si>
    <t>Value</t>
  </si>
  <si>
    <t>Current assumptions</t>
  </si>
  <si>
    <t>Electricity price</t>
  </si>
  <si>
    <t>Natural gas price</t>
  </si>
  <si>
    <t>Biomass price</t>
  </si>
  <si>
    <t>Hydrogen price</t>
  </si>
  <si>
    <t>CO2 price</t>
  </si>
  <si>
    <t>Electricity mix</t>
  </si>
  <si>
    <t>Hydrogen use in other sectors</t>
  </si>
  <si>
    <t>Public acceptance</t>
  </si>
  <si>
    <r>
      <t>Comparison of H</t>
    </r>
    <r>
      <rPr>
        <b/>
        <vertAlign val="subscript"/>
        <sz val="18"/>
        <color theme="1"/>
        <rFont val="Calibri"/>
        <family val="2"/>
        <scheme val="minor"/>
      </rPr>
      <t>2</t>
    </r>
    <r>
      <rPr>
        <b/>
        <sz val="18"/>
        <color theme="1"/>
        <rFont val="Calibri"/>
        <family val="2"/>
        <scheme val="minor"/>
      </rPr>
      <t xml:space="preserve"> storage technologies</t>
    </r>
  </si>
  <si>
    <t>Central gas storage</t>
  </si>
  <si>
    <r>
      <t>Comparison of H</t>
    </r>
    <r>
      <rPr>
        <b/>
        <vertAlign val="subscript"/>
        <sz val="18"/>
        <color theme="1"/>
        <rFont val="Calibri"/>
        <family val="2"/>
        <scheme val="minor"/>
      </rPr>
      <t>2</t>
    </r>
    <r>
      <rPr>
        <b/>
        <sz val="18"/>
        <color theme="1"/>
        <rFont val="Calibri"/>
        <family val="2"/>
        <scheme val="minor"/>
      </rPr>
      <t xml:space="preserve"> transport technologies</t>
    </r>
  </si>
  <si>
    <t>Blending in natural gas pipeline</t>
  </si>
  <si>
    <t>Comparison of FCH technologies for heat</t>
  </si>
  <si>
    <t>Levelized cost [€/MJ heat]</t>
  </si>
  <si>
    <t>Comparison of FCH technologies for power</t>
  </si>
  <si>
    <t>Levelized cost [€/kWh]</t>
  </si>
  <si>
    <t>Hydrogen turbine (OC)</t>
  </si>
  <si>
    <t>Hydrogen turbine (CC)</t>
  </si>
  <si>
    <t>Prime power H2 fuel cell</t>
  </si>
  <si>
    <t>Prime power natural gas fuel cell</t>
  </si>
  <si>
    <t>(4) Comparison of the FCH pathways</t>
  </si>
  <si>
    <t>Energy service</t>
  </si>
  <si>
    <t>Pathway</t>
  </si>
  <si>
    <t>count</t>
  </si>
  <si>
    <t>value below average</t>
  </si>
  <si>
    <t>value above average</t>
  </si>
  <si>
    <t>average</t>
  </si>
  <si>
    <t>H2 generation</t>
  </si>
  <si>
    <t>Natural gas production</t>
  </si>
  <si>
    <t>H2 storage</t>
  </si>
  <si>
    <t>NO_STRG</t>
  </si>
  <si>
    <t>Natural gas storage</t>
  </si>
  <si>
    <t>H2 transport</t>
  </si>
  <si>
    <t>LQ_TRUCK</t>
  </si>
  <si>
    <t>Natural gas transport</t>
  </si>
  <si>
    <t>FCH application</t>
  </si>
  <si>
    <t>Assumptions for the drop-down lists</t>
  </si>
  <si>
    <t>Time frame</t>
  </si>
  <si>
    <t>Decade</t>
  </si>
  <si>
    <t>2040-50</t>
  </si>
  <si>
    <t>Interst rate</t>
  </si>
  <si>
    <t>Energy prices</t>
  </si>
  <si>
    <r>
      <t>€/MWh</t>
    </r>
    <r>
      <rPr>
        <vertAlign val="subscript"/>
        <sz val="11"/>
        <color theme="1"/>
        <rFont val="Calibri"/>
        <family val="2"/>
        <scheme val="minor"/>
      </rPr>
      <t>e</t>
    </r>
  </si>
  <si>
    <t>FCH JU(2015) - "untrapped potential" / "patchy progress"</t>
  </si>
  <si>
    <t>FCH JU(2015) - "distributed systems"</t>
  </si>
  <si>
    <t>FCH JU(2015) - assumption</t>
  </si>
  <si>
    <r>
      <t>€/GJ</t>
    </r>
    <r>
      <rPr>
        <vertAlign val="subscript"/>
        <sz val="11"/>
        <color theme="1"/>
        <rFont val="Calibri"/>
        <family val="2"/>
        <scheme val="minor"/>
      </rPr>
      <t>th</t>
    </r>
  </si>
  <si>
    <t>FCH JU(2015) - "untrapped potential"</t>
  </si>
  <si>
    <t>assumption</t>
  </si>
  <si>
    <t>FCH JU(2015) - "patchy progress" / "distributed systems"</t>
  </si>
  <si>
    <t>Carbon tax</t>
  </si>
  <si>
    <r>
      <t>€/t CO</t>
    </r>
    <r>
      <rPr>
        <vertAlign val="subscript"/>
        <sz val="11"/>
        <color theme="1"/>
        <rFont val="Calibri"/>
        <family val="2"/>
        <scheme val="minor"/>
      </rPr>
      <t>2</t>
    </r>
  </si>
  <si>
    <r>
      <t>€/t CO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/>
    </r>
  </si>
  <si>
    <t>FCH JU(2015) - "patchy progress"</t>
  </si>
  <si>
    <r>
      <t>€/t CO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/>
    </r>
  </si>
  <si>
    <t>Carbon intensity</t>
  </si>
  <si>
    <r>
      <t>g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-eq/kWh</t>
    </r>
    <r>
      <rPr>
        <vertAlign val="subscript"/>
        <sz val="11"/>
        <color theme="1"/>
        <rFont val="Calibri"/>
        <family val="2"/>
        <scheme val="minor"/>
      </rPr>
      <t>e</t>
    </r>
  </si>
  <si>
    <t>Mature technologies</t>
  </si>
  <si>
    <r>
      <t>Energy system wide H</t>
    </r>
    <r>
      <rPr>
        <b/>
        <vertAlign val="subscript"/>
        <sz val="18"/>
        <color theme="1"/>
        <rFont val="Calibri"/>
        <family val="2"/>
        <scheme val="minor"/>
      </rPr>
      <t>2</t>
    </r>
    <r>
      <rPr>
        <b/>
        <sz val="18"/>
        <color theme="1"/>
        <rFont val="Calibri"/>
        <family val="2"/>
        <scheme val="minor"/>
      </rPr>
      <t xml:space="preserve"> production volumes</t>
    </r>
  </si>
  <si>
    <t>Hydrogen use in the other sectors</t>
  </si>
  <si>
    <t>Energy services</t>
  </si>
  <si>
    <t>Types</t>
  </si>
  <si>
    <t>[1 kWh]</t>
  </si>
  <si>
    <t>[1 MJ heat]</t>
  </si>
  <si>
    <t>Merits 1 (H2 production)</t>
  </si>
  <si>
    <t>CO2 emissions [kg CO2/kg H2]</t>
  </si>
  <si>
    <t>Maturity [TRL]</t>
  </si>
  <si>
    <t>Flexibility [%]</t>
  </si>
  <si>
    <t>Merits 2 (H2 storage and T&amp;D)</t>
  </si>
  <si>
    <t>Merits 3 (FCH techn. for heat)</t>
  </si>
  <si>
    <t>Direct CO2 emissions [kg CO2/MJ heat]</t>
  </si>
  <si>
    <t>Merits 4 (FCH techn. for power)</t>
  </si>
  <si>
    <t>Direct CO2 emissions [kg CO2/kWh]</t>
  </si>
  <si>
    <t>Unit conversions</t>
  </si>
  <si>
    <t>Energy content</t>
  </si>
  <si>
    <t>H2 (LHV)</t>
  </si>
  <si>
    <t>MJ/kg</t>
  </si>
  <si>
    <t>H2 (HHV)</t>
  </si>
  <si>
    <t>natural gas (LHV)</t>
  </si>
  <si>
    <t>ecoinvent (2000)</t>
  </si>
  <si>
    <t>wood (LHV)</t>
  </si>
  <si>
    <r>
      <t>CO</t>
    </r>
    <r>
      <rPr>
        <b/>
        <vertAlign val="subscript"/>
        <sz val="18"/>
        <color theme="1"/>
        <rFont val="Calibri"/>
        <family val="2"/>
        <scheme val="minor"/>
      </rPr>
      <t>2</t>
    </r>
    <r>
      <rPr>
        <b/>
        <sz val="18"/>
        <color theme="1"/>
        <rFont val="Calibri"/>
        <family val="2"/>
        <scheme val="minor"/>
      </rPr>
      <t xml:space="preserve"> emission factors</t>
    </r>
  </si>
  <si>
    <t>kg/MJ</t>
  </si>
  <si>
    <t>Currency conversion</t>
  </si>
  <si>
    <t>$ in £</t>
  </si>
  <si>
    <t>€ in £</t>
  </si>
  <si>
    <t>CHF in €</t>
  </si>
  <si>
    <t>Deflator</t>
  </si>
  <si>
    <t>£ in £</t>
  </si>
  <si>
    <t>€ in €</t>
  </si>
  <si>
    <t>Other factors</t>
  </si>
  <si>
    <t>Weighting start year</t>
  </si>
  <si>
    <t>Input data and merit calculations</t>
  </si>
  <si>
    <t>xx.xx</t>
  </si>
  <si>
    <t>?</t>
  </si>
  <si>
    <t>missing value</t>
  </si>
  <si>
    <t>Raw input data</t>
  </si>
  <si>
    <t>Unit conversion</t>
  </si>
  <si>
    <t>Hydrogen generation</t>
  </si>
  <si>
    <t>Initial dataset provided by PSI</t>
  </si>
  <si>
    <t>Primary reference</t>
  </si>
  <si>
    <t>Reference capacity</t>
  </si>
  <si>
    <t>Efficiency</t>
  </si>
  <si>
    <t>Availability</t>
  </si>
  <si>
    <t>Life time</t>
  </si>
  <si>
    <t>CAPEX</t>
  </si>
  <si>
    <t>OPEX</t>
  </si>
  <si>
    <t>Fuel cost</t>
  </si>
  <si>
    <t>Fuel cost (incl. CO2 price)</t>
  </si>
  <si>
    <t>Sgobbi et al. (2015)</t>
  </si>
  <si>
    <t>MW</t>
  </si>
  <si>
    <t>yr</t>
  </si>
  <si>
    <t>€2010/kW</t>
  </si>
  <si>
    <t>€2010/GJ</t>
  </si>
  <si>
    <t>€2014/MWh</t>
  </si>
  <si>
    <t>g CO2 / kWhe</t>
  </si>
  <si>
    <t>%</t>
  </si>
  <si>
    <t>Index (1-5; 1=easy, 5=difficult)</t>
  </si>
  <si>
    <t>€2014/kW</t>
  </si>
  <si>
    <t>€2014/kg H2</t>
  </si>
  <si>
    <t>n/a</t>
  </si>
  <si>
    <t>kg CO2/kg H2</t>
  </si>
  <si>
    <t>€2014/GJ</t>
  </si>
  <si>
    <t>kg CO2/MJ fuel</t>
  </si>
  <si>
    <t>kg CO2/MJ H2</t>
  </si>
  <si>
    <t>€2014/kg H4</t>
  </si>
  <si>
    <t>kg CO2/kg H3</t>
  </si>
  <si>
    <t>not considered</t>
  </si>
  <si>
    <t>High pressure electrolysis (PEMWE)</t>
  </si>
  <si>
    <t>GMM model (EU31)</t>
  </si>
  <si>
    <t>$2000/kW</t>
  </si>
  <si>
    <t>$2010/GJ</t>
  </si>
  <si>
    <t>€2014/GJ H2</t>
  </si>
  <si>
    <t>High Temperature electrolysis (SOEC)</t>
  </si>
  <si>
    <t>Nuclear high temperature reactor</t>
  </si>
  <si>
    <t>Nuclear high pressure reactor</t>
  </si>
  <si>
    <t>Large-scale SMR w/ CCS</t>
  </si>
  <si>
    <t>Large-scale coal gasification w/o CCS</t>
  </si>
  <si>
    <t>Large-scale coal gasification w/ CCS</t>
  </si>
  <si>
    <t>Large-scale petroleum gasification w/o CCS</t>
  </si>
  <si>
    <t>Small-scale gasoline gasification w/ CCS (100 kg H2/day)</t>
  </si>
  <si>
    <t>Initial dataset provided by E4SMA</t>
  </si>
  <si>
    <t>€2014/kg H3</t>
  </si>
  <si>
    <t>Bulk liquid storage</t>
  </si>
  <si>
    <t>Bulk solid storage</t>
  </si>
  <si>
    <t>Large-scale methanation (PtM)</t>
  </si>
  <si>
    <t>n.a.</t>
  </si>
  <si>
    <t>Small-scale methanation (PtM)</t>
  </si>
  <si>
    <t>Gül (2008), Tab.33</t>
  </si>
  <si>
    <t>kgH2/truck</t>
  </si>
  <si>
    <t>$2000/GJ</t>
  </si>
  <si>
    <t>On-site liquefaction + refuelling liquid to liquid (TRA use)</t>
  </si>
  <si>
    <t>€2010/GJyr</t>
  </si>
  <si>
    <t>Refuelling gas to gas (TRA use)</t>
  </si>
  <si>
    <t>Compression + transmission pipeline + liquefaction + bulk liquid storage + short distance road transport + refuelling liquid to liquid (TRA use)</t>
  </si>
  <si>
    <t>Compression + transmission pipeline + distribution pipeline + refuelling gas to gas (TRA use)</t>
  </si>
  <si>
    <t>Compression + centralised H2 underground storage + transmission pipeline + liquefaction + bulk liquid storage + short distance road transport + refuelling liquid to liquid  (TRA use)</t>
  </si>
  <si>
    <t>Compression + centralised H2 underground storage + transmission pipeline + distribution pipeline + refuelling gas to gas (TRA use)</t>
  </si>
  <si>
    <t>FCH Applications</t>
  </si>
  <si>
    <t>Initial dataset provided by UCL</t>
  </si>
  <si>
    <t>AEA (2012)</t>
  </si>
  <si>
    <t>kg CO2/MJ</t>
  </si>
  <si>
    <t>€2014/MJ</t>
  </si>
  <si>
    <t>FCH JU (2015)</t>
  </si>
  <si>
    <t>DOE (2009)</t>
  </si>
  <si>
    <t>€2014/kWh</t>
  </si>
  <si>
    <t>kg CO2/kWh</t>
  </si>
  <si>
    <t>H2 blend in gas supply for heating in buildings</t>
  </si>
  <si>
    <t>Index (Interval scale)</t>
  </si>
  <si>
    <t>100% H2 for heating in buildings</t>
  </si>
  <si>
    <t>€2014 per household</t>
  </si>
  <si>
    <t>100% H2 - District level for heating in buildings</t>
  </si>
  <si>
    <t>Kannan (2014)</t>
  </si>
  <si>
    <t>y</t>
  </si>
  <si>
    <t>CHF2010/kW</t>
  </si>
  <si>
    <t>multi-house</t>
  </si>
  <si>
    <t>Simoes (2013)</t>
  </si>
  <si>
    <t>Technology Assessment: Database</t>
  </si>
  <si>
    <t>H2 production technologies</t>
  </si>
  <si>
    <t>Helper 1</t>
  </si>
  <si>
    <t>Helper 2</t>
  </si>
  <si>
    <t>Helper 3</t>
  </si>
  <si>
    <t>Direct CO2 emissions [kg CO2/kg H2]</t>
  </si>
  <si>
    <t>CO2 emissions</t>
  </si>
  <si>
    <t>H2 storage technologies</t>
  </si>
  <si>
    <t>H2 transport technologies</t>
  </si>
  <si>
    <t>Isolated</t>
  </si>
  <si>
    <t>Relative interconnection capacity &lt;.05</t>
  </si>
  <si>
    <t>Low interconnection</t>
  </si>
  <si>
    <t>Relative interconnection capacity &lt;.1</t>
  </si>
  <si>
    <t>Well interconected</t>
  </si>
  <si>
    <t>Relative interconnection capacity &lt;.2</t>
  </si>
  <si>
    <t>Very well interconnected</t>
  </si>
  <si>
    <t>Relative interconnection capacity &gt;.2</t>
  </si>
  <si>
    <t>Key output</t>
  </si>
  <si>
    <t>GWh</t>
  </si>
  <si>
    <t>Relative interconnection capacity (NTC export) / SDM</t>
  </si>
  <si>
    <t>MAX Export Capacity</t>
  </si>
  <si>
    <t>Installed capacity</t>
  </si>
  <si>
    <t>Actual VR CAP</t>
  </si>
  <si>
    <t>Hyp: VR installed capacity (GW)</t>
  </si>
  <si>
    <t>Availability (average)</t>
  </si>
  <si>
    <t>Hyp: VR theoretical production (GWh)</t>
  </si>
  <si>
    <t>Hyp: VR theoretical curtailment (%)</t>
  </si>
  <si>
    <t>Hyp: VR theoretical MAX curtailment (GWh)</t>
  </si>
  <si>
    <t>A/B</t>
  </si>
  <si>
    <t>(GW)</t>
  </si>
  <si>
    <t>Ratio</t>
  </si>
  <si>
    <t>XYZ</t>
  </si>
  <si>
    <t>Example</t>
  </si>
  <si>
    <t>DE</t>
  </si>
  <si>
    <t>ES</t>
  </si>
  <si>
    <t>IE</t>
  </si>
  <si>
    <t>IT</t>
  </si>
  <si>
    <t>UK</t>
  </si>
  <si>
    <t>NTC in GW</t>
  </si>
  <si>
    <t>To</t>
  </si>
  <si>
    <t>AT</t>
  </si>
  <si>
    <t>BE</t>
  </si>
  <si>
    <t>BG</t>
  </si>
  <si>
    <t>CH</t>
  </si>
  <si>
    <t>CY</t>
  </si>
  <si>
    <t>CZ</t>
  </si>
  <si>
    <t>DK</t>
  </si>
  <si>
    <t>EE</t>
  </si>
  <si>
    <t>FI</t>
  </si>
  <si>
    <t>FR</t>
  </si>
  <si>
    <t>GR</t>
  </si>
  <si>
    <t>HU</t>
  </si>
  <si>
    <t>IS</t>
  </si>
  <si>
    <t>LT</t>
  </si>
  <si>
    <t>LU</t>
  </si>
  <si>
    <t>LV</t>
  </si>
  <si>
    <t>MT</t>
  </si>
  <si>
    <t>NL</t>
  </si>
  <si>
    <t>NO</t>
  </si>
  <si>
    <t>PL</t>
  </si>
  <si>
    <t>PT</t>
  </si>
  <si>
    <t>RO</t>
  </si>
  <si>
    <t>SE</t>
  </si>
  <si>
    <t>SI</t>
  </si>
  <si>
    <t>SK</t>
  </si>
  <si>
    <t>AL</t>
  </si>
  <si>
    <t>BH</t>
  </si>
  <si>
    <t>HR</t>
  </si>
  <si>
    <t>ME</t>
  </si>
  <si>
    <t>MK</t>
  </si>
  <si>
    <t>RS</t>
  </si>
  <si>
    <t>XK</t>
  </si>
  <si>
    <t>Others</t>
  </si>
  <si>
    <t>Max Export Cap</t>
  </si>
  <si>
    <t>From</t>
  </si>
  <si>
    <t>Max Import cap</t>
  </si>
  <si>
    <r>
      <t xml:space="preserve">Indicative values for </t>
    </r>
    <r>
      <rPr>
        <sz val="11"/>
        <color rgb="FFFF0000"/>
        <rFont val="Calibri"/>
        <family val="2"/>
        <scheme val="minor"/>
      </rPr>
      <t>Net Transfer Capacities (NTC)</t>
    </r>
    <r>
      <rPr>
        <sz val="11"/>
        <color theme="1"/>
        <rFont val="Calibri"/>
        <family val="2"/>
        <scheme val="minor"/>
      </rPr>
      <t xml:space="preserve"> in Continental Europe</t>
    </r>
  </si>
  <si>
    <t>Winter 2010/11, working day, peak hours (non-binding values)</t>
  </si>
  <si>
    <t>Most recent values!</t>
  </si>
  <si>
    <t>Pathway Assessment: Database</t>
  </si>
  <si>
    <t>H2 Storage</t>
  </si>
  <si>
    <t>H2 Transport</t>
  </si>
  <si>
    <t>H2 Technology</t>
  </si>
  <si>
    <t>Energy Service</t>
  </si>
  <si>
    <t xml:space="preserve">
                                                                                                  To…
From..</t>
  </si>
  <si>
    <t>To …  successors</t>
  </si>
  <si>
    <t>H2 Procuction</t>
  </si>
  <si>
    <t>From …  predecessors</t>
  </si>
  <si>
    <t>All potential pathways</t>
  </si>
  <si>
    <t>N=</t>
  </si>
  <si>
    <t>&gt;&gt;&gt; Pathways</t>
  </si>
  <si>
    <t>&gt;&gt;&gt; Merits</t>
  </si>
  <si>
    <t>&gt;&gt; Possible combinations</t>
  </si>
  <si>
    <t>&gt;&gt;&gt; Technology lookup</t>
  </si>
  <si>
    <t>Energy supply</t>
  </si>
  <si>
    <t>H2 production</t>
  </si>
  <si>
    <t>H2 T&amp;D</t>
  </si>
  <si>
    <t>End-use technology</t>
  </si>
  <si>
    <t>Sector</t>
  </si>
  <si>
    <t>Type</t>
  </si>
  <si>
    <t>Matrix 1</t>
  </si>
  <si>
    <t>Matrix 2</t>
  </si>
  <si>
    <t>Matrix 3</t>
  </si>
  <si>
    <t>Matrix 4</t>
  </si>
  <si>
    <t>path?</t>
  </si>
  <si>
    <t>String 1</t>
  </si>
  <si>
    <t>String 2</t>
  </si>
  <si>
    <t>String 3</t>
  </si>
  <si>
    <t>String 4</t>
  </si>
  <si>
    <t>Industry</t>
  </si>
  <si>
    <t>Power</t>
  </si>
  <si>
    <t>Residential</t>
  </si>
  <si>
    <t>&gt;&gt;&gt; Pathway merit calculations/lookup</t>
  </si>
  <si>
    <t>&gt;&gt;&gt; Data for graph</t>
  </si>
  <si>
    <t>Heat appl.</t>
  </si>
  <si>
    <t>Power appl.</t>
  </si>
  <si>
    <t>Merit of the pathway</t>
  </si>
  <si>
    <t>Natural gas turbine (CC)</t>
  </si>
  <si>
    <t>Gas engine</t>
  </si>
  <si>
    <t xml:space="preserve">Natural gas turbine (OC) </t>
  </si>
  <si>
    <t>Gas-fired industrial boiler</t>
  </si>
  <si>
    <t>Gas-fired residential boiler</t>
  </si>
  <si>
    <t>Natural gas pathway (dummy)</t>
  </si>
  <si>
    <t>Gas-fired District-CHP (heat)</t>
  </si>
  <si>
    <t>Gas-fired District-CHP (power)</t>
  </si>
  <si>
    <t>H2_FC_PWR</t>
  </si>
  <si>
    <t>NG_FC_PWR</t>
  </si>
  <si>
    <t>US$ in €</t>
  </si>
  <si>
    <t>kg CO2/kg H1</t>
  </si>
  <si>
    <t>low H2 use in other sectors</t>
  </si>
  <si>
    <t>high H2 use in other sectors</t>
  </si>
  <si>
    <t>IRENA (2012)</t>
  </si>
  <si>
    <t>Low</t>
  </si>
  <si>
    <t>High</t>
  </si>
  <si>
    <t>Overall Installed Capacity</t>
  </si>
  <si>
    <t>http://www.ipcc-nggip.iges.or.jp/public/2006gl/pdf/2_Volume2/V2_2_Ch2_Stationary_Combustion.pdf</t>
  </si>
  <si>
    <t>http://eere.energy.gov/</t>
  </si>
  <si>
    <t>available with high H2 use in other sectors</t>
  </si>
  <si>
    <t>also available  with low H2 use in other sectors</t>
  </si>
  <si>
    <t>g CO2/kWhe</t>
  </si>
  <si>
    <t>€2014/kW-yr</t>
  </si>
  <si>
    <t>own calculations (ca. 0.9 €/kg H2)</t>
  </si>
  <si>
    <t>own calculations (ca. 7.2 €/kg H2)</t>
  </si>
  <si>
    <t>€2010/GJ/yr</t>
  </si>
  <si>
    <t>€2014/GJ/yr</t>
  </si>
  <si>
    <t>CO2 emissions [kg CO2/MJ heat]</t>
  </si>
  <si>
    <t>CO2 emissions [kg CO2/kWh]</t>
  </si>
  <si>
    <t>Hydrogen transport and distribution</t>
  </si>
  <si>
    <t>Energy source</t>
  </si>
  <si>
    <t>H2_DSTRB_P</t>
  </si>
  <si>
    <t>H2_T&amp;D_P</t>
  </si>
  <si>
    <t>H2_BLND_NG_P</t>
  </si>
  <si>
    <t>H2_IND_BOIL_HEAT</t>
  </si>
  <si>
    <t>H2_FC_mCHP_HEAT</t>
  </si>
  <si>
    <t>NG_FC_mCHP_HEAT</t>
  </si>
  <si>
    <t>H2_FC_DCHP_HEAT</t>
  </si>
  <si>
    <t>NG_FC_DCHP_HEAT</t>
  </si>
  <si>
    <t>H2_FC_mCHP_PWR</t>
  </si>
  <si>
    <t>NG_FC_mCHP_PWR</t>
  </si>
  <si>
    <t>H2_FC_DCHP_PWR</t>
  </si>
  <si>
    <t>NG_FC_DCHP_PWR</t>
  </si>
  <si>
    <t>H2_OCGT_PWR</t>
  </si>
  <si>
    <t>H2_CCGT_PWR</t>
  </si>
  <si>
    <t>ELCTRLYZ_LRG_C</t>
  </si>
  <si>
    <t>ELCTRLYZ_MED_C</t>
  </si>
  <si>
    <t>ELCTRLYZ_SML_D</t>
  </si>
  <si>
    <t>BIO_SR_LRG_C</t>
  </si>
  <si>
    <t>NG_SR_LRG_C</t>
  </si>
  <si>
    <t>NG_SR_SML_C</t>
  </si>
  <si>
    <t>NG_SR_MED_D</t>
  </si>
  <si>
    <t>NG_SR_SML_D</t>
  </si>
  <si>
    <t>[NG_STRG]</t>
  </si>
  <si>
    <t>[NG_PROD]</t>
  </si>
  <si>
    <t>[NG_TRNSP]</t>
  </si>
  <si>
    <t>[NG_IND_BOIL_HEAT]</t>
  </si>
  <si>
    <t>[NG_RES_BOIL_HEAT]</t>
  </si>
  <si>
    <t>[NG_DCHP_HEAT]</t>
  </si>
  <si>
    <t>[NG_ICE_PWR]</t>
  </si>
  <si>
    <t>[NG_DCHP_PWR]</t>
  </si>
  <si>
    <t>D_GAS_STRG</t>
  </si>
  <si>
    <t>C_GAS_STRG</t>
  </si>
  <si>
    <t>C_UNDRGRND_STRG</t>
  </si>
  <si>
    <t>ONSITE_USE</t>
  </si>
  <si>
    <t>METHANATION</t>
  </si>
  <si>
    <t>BIO_GSF_SML_D</t>
  </si>
  <si>
    <t>BIO_GSF_CCS_MED_C</t>
  </si>
  <si>
    <t>BIO_GSF_MED_C</t>
  </si>
  <si>
    <t>KEMA (2013)</t>
  </si>
  <si>
    <t>€2011/kW</t>
  </si>
  <si>
    <t>€/kW/yr</t>
  </si>
  <si>
    <t>€2011/GJ</t>
  </si>
  <si>
    <t>€2014/t CO2</t>
  </si>
  <si>
    <t>Public acceptability [0%=low, 100%=high]</t>
  </si>
  <si>
    <t>% (0%=low, 100%=high)</t>
  </si>
  <si>
    <t>Marginal abatement cost [€/t CO2]</t>
  </si>
  <si>
    <t>[NG_OCGT_PWR]</t>
  </si>
  <si>
    <t>[NG_CCGT_PWR]</t>
  </si>
  <si>
    <r>
      <t>Ratio of the difference of the levelized energy cost and the difference in the direct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for the FCH technology and its counterfactual technology</t>
    </r>
  </si>
  <si>
    <t>EU</t>
  </si>
  <si>
    <t>European Union</t>
  </si>
  <si>
    <t>CC</t>
  </si>
  <si>
    <t>Combined Cycle</t>
  </si>
  <si>
    <t>OC</t>
  </si>
  <si>
    <t>Open Cycle</t>
  </si>
  <si>
    <t>CHP</t>
  </si>
  <si>
    <t>Combined Heat and Power</t>
  </si>
  <si>
    <t>T&amp;D</t>
  </si>
  <si>
    <t>Transport &amp; Distribution</t>
  </si>
  <si>
    <t>[% reduction of curtailment]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</si>
  <si>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emitted from the H2 production and FCH or counterfactural application</t>
    </r>
  </si>
  <si>
    <t>Coverage of the technologies with codes and standards</t>
  </si>
  <si>
    <t>Regulatory coverage</t>
  </si>
  <si>
    <t>Average public perception</t>
  </si>
  <si>
    <t>VR</t>
  </si>
  <si>
    <t>Variable Renewables</t>
  </si>
  <si>
    <t>NTC</t>
  </si>
  <si>
    <t>Net Transfer Capacity</t>
  </si>
  <si>
    <t>Regulatory coverage [%]</t>
  </si>
  <si>
    <t>Mitigation of variable renewable generation curtailment</t>
  </si>
  <si>
    <t>Ordinal scale indicator for the maturity of the technology</t>
  </si>
  <si>
    <t>Micro-CHP with H2 fuel cell (heat)</t>
  </si>
  <si>
    <t>FC Micro-CHP with natural gas fuel cell (heat)</t>
  </si>
  <si>
    <t>FC District-CHP with H2 fuel cell (heat)</t>
  </si>
  <si>
    <t>FC District-CHP with natural gas fuel cell (heat)</t>
  </si>
  <si>
    <t>Micro-CHP with H2 fuel cell (power)</t>
  </si>
  <si>
    <t>Micro-CHP with natural gas fuel cell (power)</t>
  </si>
  <si>
    <t>District-CHP with H2 fuel cell (power)</t>
  </si>
  <si>
    <t>District-CHP with natural gas fuel cell (power)</t>
  </si>
  <si>
    <t>District-CHP with natural gas fuel cell (heat)</t>
  </si>
  <si>
    <t>District-CHP with H2 fuel cell (heat)</t>
  </si>
  <si>
    <t>Micro-CHP with natural gas fuel cell (heat)</t>
  </si>
  <si>
    <t>District-CHP with natural gas fuel cell  (heat)</t>
  </si>
  <si>
    <t>Micro-CHP with H2 fuel cell  (power)</t>
  </si>
  <si>
    <t>Micro-CHP with natural gas fuel cell  (power)</t>
  </si>
  <si>
    <t>Prime power FC</t>
  </si>
  <si>
    <t>Micro-CHP with FC</t>
  </si>
  <si>
    <t>District-CHP with FC</t>
  </si>
  <si>
    <t>FC</t>
  </si>
  <si>
    <t>Fuel Cell</t>
  </si>
  <si>
    <t>default</t>
  </si>
  <si>
    <t>... the technology characteristics</t>
  </si>
  <si>
    <t>... the levelized capital cost</t>
  </si>
  <si>
    <t>... the levelized fuel cost</t>
  </si>
  <si>
    <t>... the technology selection</t>
  </si>
  <si>
    <t>... the flexibility</t>
  </si>
  <si>
    <t>... the public acceptability</t>
  </si>
  <si>
    <t>altering the default value changes ...</t>
  </si>
  <si>
    <t>Industrial H2 boiler</t>
  </si>
  <si>
    <t>Gas-fired Industrial boiler</t>
  </si>
  <si>
    <t>FCH technologies for power (w/o fuel cost)</t>
  </si>
  <si>
    <t>FCH technologies for heat (w/o fuel cost)</t>
  </si>
  <si>
    <t>FCH technologies for heat (w/ fuel cost)</t>
  </si>
  <si>
    <t>FCH technologies for power (w/ fuel cost)</t>
  </si>
  <si>
    <t>€2014*MJ H2/(MJ heat *kg H2)</t>
  </si>
  <si>
    <r>
      <t>... the CO</t>
    </r>
    <r>
      <rPr>
        <i/>
        <vertAlign val="subscript"/>
        <sz val="11"/>
        <color theme="0" tint="-0.499984740745262"/>
        <rFont val="Calibri"/>
        <family val="2"/>
        <scheme val="minor"/>
      </rPr>
      <t>2</t>
    </r>
    <r>
      <rPr>
        <i/>
        <sz val="11"/>
        <color theme="0" tint="-0.499984740745262"/>
        <rFont val="Calibri"/>
        <family val="2"/>
        <scheme val="minor"/>
      </rPr>
      <t xml:space="preserve"> emission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</si>
</sst>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%"/>
    <numFmt numFmtId="165" formatCode="0.0"/>
    <numFmt numFmtId="166" formatCode="0.000"/>
    <numFmt numFmtId="167" formatCode="0.0000"/>
    <numFmt numFmtId="168" formatCode="[$€-2]\ #,##0;[Red]\-[$€-2]\ #,##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24"/>
      <color rgb="FFFF0000"/>
      <name val="Calibri"/>
      <family val="2"/>
      <scheme val="minor"/>
    </font>
    <font>
      <b/>
      <i/>
      <sz val="24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8"/>
      <color theme="0" tint="-0.499984740745262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0" tint="-0.34998626667073579"/>
      <name val="Wingdings 3"/>
      <family val="1"/>
      <charset val="2"/>
    </font>
    <font>
      <b/>
      <vertAlign val="subscript"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i/>
      <sz val="18"/>
      <name val="Calibri"/>
      <family val="2"/>
      <scheme val="minor"/>
    </font>
    <font>
      <i/>
      <sz val="11"/>
      <name val="Calibri"/>
      <family val="2"/>
      <scheme val="minor"/>
    </font>
    <font>
      <b/>
      <vertAlign val="subscript"/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4"/>
      <name val="Calibri"/>
      <family val="2"/>
      <scheme val="minor"/>
    </font>
    <font>
      <b/>
      <i/>
      <sz val="24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indexed="63"/>
      <name val="Arial"/>
      <family val="2"/>
    </font>
    <font>
      <b/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u/>
      <sz val="11"/>
      <color theme="0" tint="-0.499984740745262"/>
      <name val="Calibri"/>
      <family val="2"/>
      <scheme val="minor"/>
    </font>
    <font>
      <i/>
      <vertAlign val="subscript"/>
      <sz val="11"/>
      <color theme="0" tint="-0.499984740745262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theme="4"/>
      </right>
      <top/>
      <bottom/>
      <diagonal/>
    </border>
    <border>
      <left/>
      <right style="medium">
        <color theme="9"/>
      </right>
      <top/>
      <bottom/>
      <diagonal/>
    </border>
    <border>
      <left/>
      <right style="medium">
        <color theme="6"/>
      </right>
      <top/>
      <bottom/>
      <diagonal/>
    </border>
    <border>
      <left/>
      <right style="medium">
        <color theme="7"/>
      </right>
      <top/>
      <bottom/>
      <diagonal/>
    </border>
    <border>
      <left/>
      <right style="medium">
        <color theme="5"/>
      </right>
      <top/>
      <bottom/>
      <diagonal/>
    </border>
    <border>
      <left/>
      <right style="medium">
        <color theme="0" tint="-0.2499465926084170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2" tint="-0.499984740745262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492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Alignment="1">
      <alignment horizontal="left" indent="2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3" fillId="0" borderId="0" xfId="0" applyFont="1" applyAlignment="1">
      <alignment horizontal="left" indent="2"/>
    </xf>
    <xf numFmtId="0" fontId="8" fillId="0" borderId="0" xfId="0" applyFont="1" applyAlignment="1">
      <alignment vertical="center"/>
    </xf>
    <xf numFmtId="0" fontId="13" fillId="0" borderId="0" xfId="0" applyFont="1"/>
    <xf numFmtId="0" fontId="3" fillId="0" borderId="0" xfId="0" applyFont="1"/>
    <xf numFmtId="0" fontId="0" fillId="0" borderId="0" xfId="0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16" fillId="3" borderId="1" xfId="0" applyFont="1" applyFill="1" applyBorder="1"/>
    <xf numFmtId="0" fontId="0" fillId="0" borderId="0" xfId="0" applyBorder="1"/>
    <xf numFmtId="0" fontId="0" fillId="0" borderId="0" xfId="0" applyFont="1" applyBorder="1"/>
    <xf numFmtId="0" fontId="4" fillId="0" borderId="0" xfId="0" applyFont="1" applyBorder="1"/>
    <xf numFmtId="0" fontId="14" fillId="0" borderId="0" xfId="0" applyFont="1"/>
    <xf numFmtId="0" fontId="9" fillId="0" borderId="0" xfId="2"/>
    <xf numFmtId="0" fontId="0" fillId="2" borderId="0" xfId="0" applyFont="1" applyFill="1" applyBorder="1" applyAlignment="1">
      <alignment vertical="center"/>
    </xf>
    <xf numFmtId="0" fontId="0" fillId="0" borderId="0" xfId="0" applyFont="1" applyFill="1" applyBorder="1"/>
    <xf numFmtId="0" fontId="19" fillId="0" borderId="0" xfId="0" applyFont="1"/>
    <xf numFmtId="0" fontId="0" fillId="2" borderId="0" xfId="0" applyFont="1" applyFill="1" applyBorder="1"/>
    <xf numFmtId="0" fontId="20" fillId="0" borderId="0" xfId="0" applyFont="1"/>
    <xf numFmtId="0" fontId="21" fillId="0" borderId="0" xfId="0" applyFont="1"/>
    <xf numFmtId="0" fontId="14" fillId="0" borderId="0" xfId="0" applyFont="1" applyBorder="1"/>
    <xf numFmtId="0" fontId="14" fillId="4" borderId="2" xfId="0" applyFont="1" applyFill="1" applyBorder="1"/>
    <xf numFmtId="0" fontId="14" fillId="5" borderId="3" xfId="0" applyFont="1" applyFill="1" applyBorder="1"/>
    <xf numFmtId="0" fontId="14" fillId="7" borderId="4" xfId="0" applyFont="1" applyFill="1" applyBorder="1"/>
    <xf numFmtId="0" fontId="14" fillId="4" borderId="0" xfId="0" applyFont="1" applyFill="1" applyBorder="1" applyAlignment="1">
      <alignment wrapText="1"/>
    </xf>
    <xf numFmtId="0" fontId="14" fillId="8" borderId="3" xfId="0" applyFont="1" applyFill="1" applyBorder="1"/>
    <xf numFmtId="0" fontId="14" fillId="5" borderId="5" xfId="0" applyFont="1" applyFill="1" applyBorder="1"/>
    <xf numFmtId="0" fontId="14" fillId="7" borderId="2" xfId="0" applyFont="1" applyFill="1" applyBorder="1"/>
    <xf numFmtId="0" fontId="14" fillId="8" borderId="6" xfId="0" applyFont="1" applyFill="1" applyBorder="1"/>
    <xf numFmtId="0" fontId="14" fillId="4" borderId="0" xfId="0" applyFont="1" applyFill="1" applyBorder="1"/>
    <xf numFmtId="0" fontId="14" fillId="7" borderId="6" xfId="0" applyFont="1" applyFill="1" applyBorder="1"/>
    <xf numFmtId="0" fontId="14" fillId="5" borderId="7" xfId="0" applyFont="1" applyFill="1" applyBorder="1"/>
    <xf numFmtId="0" fontId="14" fillId="8" borderId="7" xfId="0" applyFont="1" applyFill="1" applyBorder="1"/>
    <xf numFmtId="0" fontId="14" fillId="7" borderId="8" xfId="0" applyFont="1" applyFill="1" applyBorder="1"/>
    <xf numFmtId="0" fontId="22" fillId="0" borderId="0" xfId="0" applyFont="1" applyBorder="1" applyAlignment="1">
      <alignment wrapText="1"/>
    </xf>
    <xf numFmtId="0" fontId="14" fillId="8" borderId="5" xfId="0" applyFont="1" applyFill="1" applyBorder="1"/>
    <xf numFmtId="0" fontId="0" fillId="0" borderId="0" xfId="0" applyAlignment="1">
      <alignment horizontal="left" vertical="center" indent="1"/>
    </xf>
    <xf numFmtId="0" fontId="3" fillId="4" borderId="0" xfId="0" applyFont="1" applyFill="1"/>
    <xf numFmtId="2" fontId="0" fillId="0" borderId="0" xfId="0" applyNumberFormat="1"/>
    <xf numFmtId="0" fontId="0" fillId="4" borderId="0" xfId="0" applyFill="1"/>
    <xf numFmtId="0" fontId="0" fillId="4" borderId="0" xfId="0" applyFont="1" applyFill="1" applyAlignment="1">
      <alignment horizontal="right"/>
    </xf>
    <xf numFmtId="9" fontId="0" fillId="4" borderId="0" xfId="0" applyNumberFormat="1" applyFill="1"/>
    <xf numFmtId="0" fontId="0" fillId="4" borderId="0" xfId="0" applyFill="1" applyAlignment="1">
      <alignment horizontal="right"/>
    </xf>
    <xf numFmtId="1" fontId="0" fillId="0" borderId="0" xfId="0" applyNumberForma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vertical="top"/>
    </xf>
    <xf numFmtId="0" fontId="0" fillId="0" borderId="0" xfId="0" applyFont="1" applyAlignment="1">
      <alignment vertical="top"/>
    </xf>
    <xf numFmtId="2" fontId="0" fillId="4" borderId="0" xfId="0" applyNumberFormat="1" applyFill="1"/>
    <xf numFmtId="0" fontId="18" fillId="0" borderId="0" xfId="0" applyFont="1"/>
    <xf numFmtId="0" fontId="0" fillId="0" borderId="0" xfId="0" applyFont="1" applyFill="1" applyBorder="1" applyAlignment="1">
      <alignment vertical="top"/>
    </xf>
    <xf numFmtId="0" fontId="0" fillId="0" borderId="0" xfId="0" applyFill="1"/>
    <xf numFmtId="0" fontId="0" fillId="0" borderId="0" xfId="0" applyAlignment="1">
      <alignment horizontal="right"/>
    </xf>
    <xf numFmtId="9" fontId="0" fillId="0" borderId="0" xfId="1" applyFont="1" applyAlignment="1">
      <alignment horizontal="right"/>
    </xf>
    <xf numFmtId="2" fontId="0" fillId="0" borderId="0" xfId="0" applyNumberFormat="1" applyAlignment="1">
      <alignment vertical="center" wrapText="1"/>
    </xf>
    <xf numFmtId="0" fontId="5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27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2" fillId="0" borderId="0" xfId="0" applyFont="1" applyFill="1" applyAlignment="1">
      <alignment horizontal="right" vertical="top"/>
    </xf>
    <xf numFmtId="0" fontId="14" fillId="9" borderId="0" xfId="0" applyFont="1" applyFill="1" applyAlignment="1">
      <alignment horizontal="right" vertical="top"/>
    </xf>
    <xf numFmtId="0" fontId="10" fillId="0" borderId="9" xfId="0" applyFont="1" applyBorder="1" applyAlignment="1">
      <alignment vertical="top"/>
    </xf>
    <xf numFmtId="0" fontId="20" fillId="0" borderId="10" xfId="0" applyFont="1" applyBorder="1" applyAlignment="1">
      <alignment vertical="top"/>
    </xf>
    <xf numFmtId="0" fontId="20" fillId="0" borderId="9" xfId="0" applyFont="1" applyBorder="1" applyAlignment="1">
      <alignment vertical="top"/>
    </xf>
    <xf numFmtId="0" fontId="20" fillId="0" borderId="10" xfId="0" applyFont="1" applyFill="1" applyBorder="1" applyAlignment="1">
      <alignment vertical="top"/>
    </xf>
    <xf numFmtId="0" fontId="20" fillId="0" borderId="9" xfId="0" applyFont="1" applyFill="1" applyBorder="1" applyAlignment="1">
      <alignment vertical="top"/>
    </xf>
    <xf numFmtId="0" fontId="10" fillId="0" borderId="0" xfId="0" applyFont="1" applyAlignment="1">
      <alignment vertical="top"/>
    </xf>
    <xf numFmtId="0" fontId="14" fillId="0" borderId="11" xfId="0" applyFont="1" applyBorder="1" applyAlignment="1">
      <alignment vertical="top"/>
    </xf>
    <xf numFmtId="0" fontId="14" fillId="0" borderId="11" xfId="0" applyFont="1" applyFill="1" applyBorder="1" applyAlignment="1">
      <alignment vertical="top"/>
    </xf>
    <xf numFmtId="0" fontId="14" fillId="0" borderId="0" xfId="0" applyFont="1" applyFill="1" applyAlignment="1">
      <alignment vertical="top"/>
    </xf>
    <xf numFmtId="0" fontId="28" fillId="0" borderId="0" xfId="0" applyFont="1" applyAlignment="1">
      <alignment vertical="top"/>
    </xf>
    <xf numFmtId="0" fontId="29" fillId="0" borderId="11" xfId="0" applyFont="1" applyBorder="1" applyAlignment="1">
      <alignment vertical="top"/>
    </xf>
    <xf numFmtId="0" fontId="29" fillId="0" borderId="0" xfId="0" applyFont="1" applyAlignment="1">
      <alignment vertical="top"/>
    </xf>
    <xf numFmtId="0" fontId="29" fillId="0" borderId="0" xfId="0" applyFont="1" applyAlignment="1">
      <alignment vertical="top" wrapText="1"/>
    </xf>
    <xf numFmtId="0" fontId="29" fillId="0" borderId="11" xfId="0" applyFont="1" applyFill="1" applyBorder="1" applyAlignment="1">
      <alignment vertical="top"/>
    </xf>
    <xf numFmtId="0" fontId="29" fillId="0" borderId="0" xfId="0" applyFont="1" applyFill="1" applyAlignment="1">
      <alignment vertical="top" wrapText="1"/>
    </xf>
    <xf numFmtId="0" fontId="29" fillId="0" borderId="0" xfId="0" applyFont="1" applyFill="1" applyAlignment="1">
      <alignment vertical="top"/>
    </xf>
    <xf numFmtId="2" fontId="14" fillId="0" borderId="0" xfId="0" applyNumberFormat="1" applyFont="1" applyFill="1" applyAlignment="1">
      <alignment vertical="top"/>
    </xf>
    <xf numFmtId="0" fontId="3" fillId="0" borderId="0" xfId="0" applyFont="1" applyAlignment="1">
      <alignment vertical="top"/>
    </xf>
    <xf numFmtId="0" fontId="30" fillId="0" borderId="11" xfId="0" applyFont="1" applyBorder="1" applyAlignment="1">
      <alignment vertical="top"/>
    </xf>
    <xf numFmtId="0" fontId="30" fillId="0" borderId="0" xfId="0" applyFont="1" applyAlignment="1">
      <alignment horizontal="left" vertical="top"/>
    </xf>
    <xf numFmtId="0" fontId="30" fillId="0" borderId="0" xfId="0" applyFont="1" applyAlignment="1">
      <alignment horizontal="right" vertical="top"/>
    </xf>
    <xf numFmtId="0" fontId="30" fillId="0" borderId="0" xfId="0" applyFont="1" applyAlignment="1">
      <alignment vertical="top"/>
    </xf>
    <xf numFmtId="0" fontId="30" fillId="0" borderId="0" xfId="0" applyFont="1" applyFill="1" applyAlignment="1">
      <alignment vertical="top"/>
    </xf>
    <xf numFmtId="0" fontId="30" fillId="0" borderId="11" xfId="0" applyFont="1" applyFill="1" applyBorder="1" applyAlignment="1">
      <alignment vertical="top"/>
    </xf>
    <xf numFmtId="0" fontId="30" fillId="0" borderId="0" xfId="0" applyFont="1" applyFill="1" applyBorder="1" applyAlignment="1">
      <alignment vertical="top"/>
    </xf>
    <xf numFmtId="0" fontId="3" fillId="0" borderId="0" xfId="0" applyFont="1" applyAlignment="1">
      <alignment vertical="top" wrapText="1"/>
    </xf>
    <xf numFmtId="0" fontId="3" fillId="0" borderId="9" xfId="0" applyFont="1" applyBorder="1" applyAlignment="1">
      <alignment vertical="top"/>
    </xf>
    <xf numFmtId="0" fontId="30" fillId="0" borderId="10" xfId="0" applyFont="1" applyBorder="1" applyAlignment="1">
      <alignment vertical="top" wrapText="1"/>
    </xf>
    <xf numFmtId="0" fontId="30" fillId="0" borderId="9" xfId="0" applyFont="1" applyBorder="1" applyAlignment="1">
      <alignment vertical="top" wrapText="1"/>
    </xf>
    <xf numFmtId="0" fontId="30" fillId="0" borderId="9" xfId="0" applyFont="1" applyBorder="1" applyAlignment="1">
      <alignment horizontal="left" vertical="top" wrapText="1"/>
    </xf>
    <xf numFmtId="0" fontId="14" fillId="0" borderId="9" xfId="0" applyFont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vertical="top" wrapText="1"/>
    </xf>
    <xf numFmtId="0" fontId="14" fillId="0" borderId="9" xfId="0" applyFont="1" applyBorder="1" applyAlignment="1">
      <alignment vertical="top" wrapText="1"/>
    </xf>
    <xf numFmtId="0" fontId="14" fillId="0" borderId="10" xfId="0" applyFont="1" applyBorder="1" applyAlignment="1">
      <alignment horizontal="left" vertical="top" wrapText="1"/>
    </xf>
    <xf numFmtId="0" fontId="14" fillId="0" borderId="10" xfId="0" applyFont="1" applyFill="1" applyBorder="1" applyAlignment="1">
      <alignment horizontal="left" vertical="top" wrapText="1"/>
    </xf>
    <xf numFmtId="0" fontId="30" fillId="0" borderId="9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vertical="top"/>
    </xf>
    <xf numFmtId="0" fontId="14" fillId="0" borderId="0" xfId="0" applyFont="1" applyFill="1" applyAlignment="1">
      <alignment horizontal="right" vertical="top"/>
    </xf>
    <xf numFmtId="0" fontId="14" fillId="0" borderId="0" xfId="0" applyFont="1" applyFill="1" applyAlignment="1">
      <alignment horizontal="left" vertical="top"/>
    </xf>
    <xf numFmtId="2" fontId="2" fillId="0" borderId="0" xfId="0" applyNumberFormat="1" applyFont="1" applyFill="1" applyAlignment="1">
      <alignment vertical="top"/>
    </xf>
    <xf numFmtId="0" fontId="2" fillId="0" borderId="0" xfId="0" applyFont="1" applyFill="1" applyAlignment="1">
      <alignment vertical="top"/>
    </xf>
    <xf numFmtId="1" fontId="14" fillId="0" borderId="0" xfId="0" applyNumberFormat="1" applyFont="1" applyFill="1" applyAlignment="1">
      <alignment vertical="top"/>
    </xf>
    <xf numFmtId="2" fontId="14" fillId="0" borderId="0" xfId="0" applyNumberFormat="1" applyFont="1" applyFill="1" applyAlignment="1">
      <alignment horizontal="right" vertical="top"/>
    </xf>
    <xf numFmtId="165" fontId="14" fillId="0" borderId="0" xfId="0" applyNumberFormat="1" applyFont="1" applyFill="1" applyAlignment="1">
      <alignment horizontal="right" vertical="top"/>
    </xf>
    <xf numFmtId="1" fontId="14" fillId="0" borderId="11" xfId="0" applyNumberFormat="1" applyFont="1" applyFill="1" applyBorder="1" applyAlignment="1">
      <alignment vertical="top"/>
    </xf>
    <xf numFmtId="2" fontId="14" fillId="0" borderId="12" xfId="0" applyNumberFormat="1" applyFont="1" applyFill="1" applyBorder="1" applyAlignment="1">
      <alignment vertical="top"/>
    </xf>
    <xf numFmtId="2" fontId="14" fillId="0" borderId="11" xfId="0" applyNumberFormat="1" applyFont="1" applyFill="1" applyBorder="1" applyAlignment="1">
      <alignment vertical="top"/>
    </xf>
    <xf numFmtId="2" fontId="14" fillId="0" borderId="0" xfId="0" applyNumberFormat="1" applyFont="1" applyFill="1" applyBorder="1" applyAlignment="1">
      <alignment vertical="top"/>
    </xf>
    <xf numFmtId="0" fontId="14" fillId="10" borderId="0" xfId="0" applyFont="1" applyFill="1" applyAlignment="1">
      <alignment horizontal="right" vertical="top"/>
    </xf>
    <xf numFmtId="0" fontId="14" fillId="10" borderId="0" xfId="0" applyFont="1" applyFill="1" applyAlignment="1">
      <alignment horizontal="left" vertical="top"/>
    </xf>
    <xf numFmtId="164" fontId="14" fillId="0" borderId="0" xfId="0" applyNumberFormat="1" applyFont="1" applyFill="1" applyAlignment="1">
      <alignment vertical="top"/>
    </xf>
    <xf numFmtId="0" fontId="14" fillId="0" borderId="0" xfId="0" applyNumberFormat="1" applyFont="1" applyFill="1" applyAlignment="1">
      <alignment vertical="top"/>
    </xf>
    <xf numFmtId="0" fontId="14" fillId="0" borderId="0" xfId="0" applyFont="1" applyFill="1"/>
    <xf numFmtId="1" fontId="14" fillId="0" borderId="0" xfId="0" applyNumberFormat="1" applyFont="1" applyFill="1" applyAlignment="1">
      <alignment horizontal="right" vertical="top"/>
    </xf>
    <xf numFmtId="2" fontId="2" fillId="0" borderId="0" xfId="0" applyNumberFormat="1" applyFont="1" applyFill="1" applyAlignment="1">
      <alignment horizontal="right" vertical="top"/>
    </xf>
    <xf numFmtId="2" fontId="14" fillId="0" borderId="0" xfId="0" applyNumberFormat="1" applyFont="1" applyFill="1"/>
    <xf numFmtId="0" fontId="0" fillId="0" borderId="0" xfId="0" applyFont="1" applyFill="1"/>
    <xf numFmtId="2" fontId="14" fillId="0" borderId="0" xfId="0" applyNumberFormat="1" applyFont="1" applyAlignment="1">
      <alignment vertical="top"/>
    </xf>
    <xf numFmtId="1" fontId="2" fillId="0" borderId="0" xfId="0" applyNumberFormat="1" applyFont="1" applyFill="1" applyAlignment="1">
      <alignment horizontal="right" vertical="top"/>
    </xf>
    <xf numFmtId="1" fontId="14" fillId="9" borderId="0" xfId="0" applyNumberFormat="1" applyFont="1" applyFill="1" applyAlignment="1">
      <alignment horizontal="right" vertical="top"/>
    </xf>
    <xf numFmtId="0" fontId="14" fillId="0" borderId="0" xfId="0" applyNumberFormat="1" applyFont="1" applyFill="1" applyAlignment="1">
      <alignment horizontal="right" vertical="top"/>
    </xf>
    <xf numFmtId="0" fontId="2" fillId="0" borderId="0" xfId="0" applyFont="1" applyFill="1"/>
    <xf numFmtId="1" fontId="14" fillId="0" borderId="0" xfId="0" applyNumberFormat="1" applyFont="1" applyFill="1"/>
    <xf numFmtId="0" fontId="14" fillId="0" borderId="0" xfId="0" applyFont="1" applyFill="1" applyAlignment="1">
      <alignment horizontal="right"/>
    </xf>
    <xf numFmtId="165" fontId="2" fillId="0" borderId="0" xfId="0" applyNumberFormat="1" applyFont="1" applyFill="1" applyAlignment="1">
      <alignment horizontal="right" vertical="top"/>
    </xf>
    <xf numFmtId="0" fontId="14" fillId="0" borderId="11" xfId="0" applyFont="1" applyFill="1" applyBorder="1" applyAlignment="1">
      <alignment horizontal="right" vertical="top"/>
    </xf>
    <xf numFmtId="2" fontId="14" fillId="0" borderId="11" xfId="0" applyNumberFormat="1" applyFont="1" applyFill="1" applyBorder="1" applyAlignment="1">
      <alignment horizontal="right" vertical="top"/>
    </xf>
    <xf numFmtId="2" fontId="14" fillId="0" borderId="0" xfId="0" applyNumberFormat="1" applyFont="1" applyFill="1" applyBorder="1" applyAlignment="1">
      <alignment horizontal="right" vertical="top"/>
    </xf>
    <xf numFmtId="0" fontId="4" fillId="0" borderId="0" xfId="0" applyFont="1" applyFill="1" applyAlignment="1">
      <alignment vertical="top"/>
    </xf>
    <xf numFmtId="0" fontId="4" fillId="0" borderId="11" xfId="0" applyFont="1" applyFill="1" applyBorder="1" applyAlignment="1">
      <alignment vertical="top"/>
    </xf>
    <xf numFmtId="0" fontId="4" fillId="0" borderId="0" xfId="0" applyFont="1" applyFill="1" applyAlignment="1">
      <alignment horizontal="right" vertical="top"/>
    </xf>
    <xf numFmtId="0" fontId="4" fillId="0" borderId="0" xfId="0" applyFont="1" applyFill="1" applyAlignment="1">
      <alignment horizontal="left" vertical="top"/>
    </xf>
    <xf numFmtId="2" fontId="4" fillId="0" borderId="0" xfId="0" applyNumberFormat="1" applyFont="1" applyFill="1" applyAlignment="1">
      <alignment vertical="top"/>
    </xf>
    <xf numFmtId="1" fontId="4" fillId="0" borderId="0" xfId="0" applyNumberFormat="1" applyFont="1" applyFill="1" applyAlignment="1">
      <alignment vertical="top"/>
    </xf>
    <xf numFmtId="2" fontId="4" fillId="0" borderId="0" xfId="0" applyNumberFormat="1" applyFont="1" applyFill="1" applyAlignment="1">
      <alignment horizontal="right" vertical="top"/>
    </xf>
    <xf numFmtId="0" fontId="4" fillId="0" borderId="0" xfId="0" applyFont="1" applyFill="1" applyAlignment="1">
      <alignment horizontal="right"/>
    </xf>
    <xf numFmtId="0" fontId="4" fillId="0" borderId="0" xfId="0" applyFont="1" applyFill="1"/>
    <xf numFmtId="165" fontId="4" fillId="0" borderId="0" xfId="0" applyNumberFormat="1" applyFont="1" applyFill="1" applyAlignment="1">
      <alignment horizontal="right" vertical="top"/>
    </xf>
    <xf numFmtId="1" fontId="4" fillId="0" borderId="11" xfId="0" applyNumberFormat="1" applyFont="1" applyFill="1" applyBorder="1" applyAlignment="1">
      <alignment vertical="top"/>
    </xf>
    <xf numFmtId="2" fontId="4" fillId="0" borderId="11" xfId="0" applyNumberFormat="1" applyFont="1" applyFill="1" applyBorder="1" applyAlignment="1">
      <alignment vertical="top"/>
    </xf>
    <xf numFmtId="0" fontId="4" fillId="0" borderId="0" xfId="0" applyFont="1" applyFill="1" applyAlignment="1">
      <alignment vertical="top" wrapText="1"/>
    </xf>
    <xf numFmtId="0" fontId="31" fillId="0" borderId="0" xfId="0" applyFont="1" applyFill="1" applyAlignment="1">
      <alignment horizontal="right" vertical="top"/>
    </xf>
    <xf numFmtId="0" fontId="31" fillId="0" borderId="0" xfId="0" applyFont="1" applyFill="1" applyAlignment="1">
      <alignment horizontal="left" vertical="top"/>
    </xf>
    <xf numFmtId="0" fontId="4" fillId="0" borderId="11" xfId="0" applyFont="1" applyFill="1" applyBorder="1" applyAlignment="1">
      <alignment horizontal="left" vertical="top"/>
    </xf>
    <xf numFmtId="1" fontId="4" fillId="0" borderId="0" xfId="0" applyNumberFormat="1" applyFont="1" applyFill="1" applyAlignment="1">
      <alignment horizontal="right" vertical="top"/>
    </xf>
    <xf numFmtId="0" fontId="4" fillId="0" borderId="11" xfId="0" applyFont="1" applyFill="1" applyBorder="1"/>
    <xf numFmtId="166" fontId="4" fillId="0" borderId="0" xfId="0" applyNumberFormat="1" applyFont="1" applyFill="1" applyAlignment="1">
      <alignment horizontal="right" vertical="top"/>
    </xf>
    <xf numFmtId="0" fontId="32" fillId="0" borderId="0" xfId="0" applyFont="1" applyFill="1" applyAlignment="1">
      <alignment vertical="top" wrapText="1"/>
    </xf>
    <xf numFmtId="0" fontId="22" fillId="0" borderId="11" xfId="0" applyFont="1" applyFill="1" applyBorder="1" applyAlignment="1">
      <alignment vertical="top"/>
    </xf>
    <xf numFmtId="0" fontId="22" fillId="0" borderId="0" xfId="0" applyFont="1" applyFill="1" applyAlignment="1">
      <alignment horizontal="right" vertical="top"/>
    </xf>
    <xf numFmtId="0" fontId="22" fillId="0" borderId="0" xfId="0" applyFont="1" applyFill="1" applyAlignment="1">
      <alignment horizontal="left" vertical="top"/>
    </xf>
    <xf numFmtId="2" fontId="22" fillId="0" borderId="0" xfId="0" applyNumberFormat="1" applyFont="1" applyFill="1" applyAlignment="1">
      <alignment vertical="top"/>
    </xf>
    <xf numFmtId="0" fontId="22" fillId="0" borderId="0" xfId="0" applyFont="1" applyFill="1" applyAlignment="1">
      <alignment vertical="top"/>
    </xf>
    <xf numFmtId="1" fontId="22" fillId="0" borderId="0" xfId="0" applyNumberFormat="1" applyFont="1" applyFill="1" applyAlignment="1">
      <alignment vertical="top"/>
    </xf>
    <xf numFmtId="2" fontId="22" fillId="0" borderId="0" xfId="0" applyNumberFormat="1" applyFont="1" applyFill="1" applyAlignment="1">
      <alignment horizontal="right" vertical="top"/>
    </xf>
    <xf numFmtId="166" fontId="22" fillId="0" borderId="0" xfId="0" applyNumberFormat="1" applyFont="1" applyFill="1" applyAlignment="1">
      <alignment horizontal="right" vertical="top"/>
    </xf>
    <xf numFmtId="1" fontId="22" fillId="0" borderId="11" xfId="0" applyNumberFormat="1" applyFont="1" applyFill="1" applyBorder="1" applyAlignment="1">
      <alignment vertical="top"/>
    </xf>
    <xf numFmtId="2" fontId="22" fillId="0" borderId="11" xfId="0" applyNumberFormat="1" applyFont="1" applyFill="1" applyBorder="1" applyAlignment="1">
      <alignment vertical="top"/>
    </xf>
    <xf numFmtId="0" fontId="32" fillId="0" borderId="0" xfId="0" applyFont="1" applyFill="1" applyAlignment="1">
      <alignment vertical="top"/>
    </xf>
    <xf numFmtId="167" fontId="14" fillId="0" borderId="0" xfId="0" applyNumberFormat="1" applyFont="1" applyFill="1" applyAlignment="1">
      <alignment vertical="top"/>
    </xf>
    <xf numFmtId="167" fontId="14" fillId="0" borderId="0" xfId="0" applyNumberFormat="1" applyFont="1" applyAlignment="1">
      <alignment vertical="top"/>
    </xf>
    <xf numFmtId="166" fontId="14" fillId="0" borderId="0" xfId="0" applyNumberFormat="1" applyFont="1" applyFill="1" applyAlignment="1">
      <alignment horizontal="right" vertical="top"/>
    </xf>
    <xf numFmtId="0" fontId="14" fillId="0" borderId="0" xfId="0" applyFont="1" applyAlignment="1">
      <alignment horizontal="right" vertical="top" wrapText="1"/>
    </xf>
    <xf numFmtId="0" fontId="14" fillId="0" borderId="0" xfId="0" applyFont="1" applyAlignment="1">
      <alignment vertical="top" wrapText="1"/>
    </xf>
    <xf numFmtId="0" fontId="14" fillId="0" borderId="0" xfId="0" applyFont="1" applyFill="1" applyAlignment="1">
      <alignment vertical="top" wrapText="1"/>
    </xf>
    <xf numFmtId="0" fontId="14" fillId="0" borderId="11" xfId="0" applyFont="1" applyFill="1" applyBorder="1" applyAlignment="1">
      <alignment vertical="top" wrapText="1"/>
    </xf>
    <xf numFmtId="0" fontId="32" fillId="0" borderId="0" xfId="0" applyFont="1" applyAlignment="1">
      <alignment vertical="top"/>
    </xf>
    <xf numFmtId="0" fontId="32" fillId="0" borderId="0" xfId="0" applyFont="1" applyAlignment="1">
      <alignment vertical="top" wrapText="1"/>
    </xf>
    <xf numFmtId="0" fontId="0" fillId="0" borderId="9" xfId="0" applyFont="1" applyBorder="1" applyAlignment="1">
      <alignment vertical="top"/>
    </xf>
    <xf numFmtId="0" fontId="0" fillId="0" borderId="0" xfId="0" applyFont="1" applyAlignment="1">
      <alignment vertical="top" wrapText="1"/>
    </xf>
    <xf numFmtId="0" fontId="14" fillId="9" borderId="0" xfId="0" applyFont="1" applyFill="1" applyAlignment="1">
      <alignment horizontal="left" vertical="top"/>
    </xf>
    <xf numFmtId="2" fontId="14" fillId="0" borderId="12" xfId="0" applyNumberFormat="1" applyFont="1" applyFill="1" applyBorder="1" applyAlignment="1">
      <alignment horizontal="right" vertical="top"/>
    </xf>
    <xf numFmtId="11" fontId="14" fillId="0" borderId="11" xfId="0" applyNumberFormat="1" applyFont="1" applyFill="1" applyBorder="1" applyAlignment="1">
      <alignment horizontal="right" vertical="top"/>
    </xf>
    <xf numFmtId="11" fontId="14" fillId="0" borderId="0" xfId="0" applyNumberFormat="1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1" fillId="0" borderId="0" xfId="0" applyFont="1" applyFill="1" applyAlignment="1">
      <alignment vertical="top"/>
    </xf>
    <xf numFmtId="0" fontId="19" fillId="0" borderId="0" xfId="0" applyFont="1" applyFill="1" applyAlignment="1">
      <alignment vertical="top"/>
    </xf>
    <xf numFmtId="2" fontId="14" fillId="0" borderId="0" xfId="0" applyNumberFormat="1" applyFont="1" applyBorder="1" applyAlignment="1">
      <alignment horizontal="right" vertical="top" wrapText="1"/>
    </xf>
    <xf numFmtId="0" fontId="14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right" vertical="top" wrapText="1"/>
    </xf>
    <xf numFmtId="0" fontId="14" fillId="0" borderId="0" xfId="0" applyFont="1" applyFill="1" applyBorder="1" applyAlignment="1">
      <alignment horizontal="right" vertical="top" wrapText="1"/>
    </xf>
    <xf numFmtId="2" fontId="14" fillId="0" borderId="11" xfId="0" applyNumberFormat="1" applyFont="1" applyBorder="1" applyAlignment="1">
      <alignment horizontal="right" vertical="top" wrapText="1"/>
    </xf>
    <xf numFmtId="0" fontId="14" fillId="0" borderId="11" xfId="0" applyFont="1" applyBorder="1" applyAlignment="1">
      <alignment vertical="top" wrapText="1"/>
    </xf>
    <xf numFmtId="0" fontId="14" fillId="0" borderId="0" xfId="0" applyFont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2" fontId="2" fillId="0" borderId="0" xfId="0" applyNumberFormat="1" applyFont="1" applyBorder="1" applyAlignment="1">
      <alignment horizontal="right" vertical="top" wrapText="1"/>
    </xf>
    <xf numFmtId="1" fontId="2" fillId="0" borderId="0" xfId="0" applyNumberFormat="1" applyFont="1" applyBorder="1" applyAlignment="1">
      <alignment horizontal="right" vertical="top" wrapText="1"/>
    </xf>
    <xf numFmtId="0" fontId="14" fillId="0" borderId="0" xfId="0" applyFont="1" applyBorder="1" applyAlignment="1">
      <alignment horizontal="right" vertical="top"/>
    </xf>
    <xf numFmtId="0" fontId="2" fillId="0" borderId="0" xfId="0" applyFont="1" applyBorder="1" applyAlignment="1">
      <alignment horizontal="right" vertical="top"/>
    </xf>
    <xf numFmtId="0" fontId="2" fillId="0" borderId="0" xfId="0" applyFont="1" applyBorder="1" applyAlignment="1">
      <alignment horizontal="right" vertical="top" wrapText="1"/>
    </xf>
    <xf numFmtId="0" fontId="30" fillId="0" borderId="0" xfId="0" applyFont="1" applyBorder="1" applyAlignment="1">
      <alignment vertical="top" wrapText="1"/>
    </xf>
    <xf numFmtId="0" fontId="30" fillId="0" borderId="0" xfId="0" applyFont="1" applyBorder="1" applyAlignment="1">
      <alignment horizontal="left" vertical="top" wrapText="1"/>
    </xf>
    <xf numFmtId="0" fontId="14" fillId="0" borderId="0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vertical="top" wrapText="1"/>
    </xf>
    <xf numFmtId="0" fontId="14" fillId="0" borderId="0" xfId="0" applyFont="1" applyBorder="1" applyAlignment="1">
      <alignment vertical="top" wrapText="1"/>
    </xf>
    <xf numFmtId="0" fontId="14" fillId="0" borderId="11" xfId="0" applyFont="1" applyBorder="1" applyAlignment="1">
      <alignment horizontal="left" vertical="top" wrapText="1"/>
    </xf>
    <xf numFmtId="0" fontId="14" fillId="0" borderId="11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vertical="top"/>
    </xf>
    <xf numFmtId="0" fontId="4" fillId="0" borderId="11" xfId="0" applyFont="1" applyFill="1" applyBorder="1" applyAlignment="1">
      <alignment vertical="top" wrapText="1"/>
    </xf>
    <xf numFmtId="0" fontId="33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11" xfId="0" applyFont="1" applyFill="1" applyBorder="1" applyAlignment="1">
      <alignment horizontal="left" vertical="top" wrapText="1"/>
    </xf>
    <xf numFmtId="0" fontId="19" fillId="0" borderId="0" xfId="0" applyFont="1" applyAlignment="1">
      <alignment vertical="top"/>
    </xf>
    <xf numFmtId="0" fontId="22" fillId="0" borderId="11" xfId="0" applyFont="1" applyBorder="1" applyAlignment="1">
      <alignment vertical="top"/>
    </xf>
    <xf numFmtId="0" fontId="34" fillId="0" borderId="0" xfId="0" applyFont="1" applyAlignment="1">
      <alignment vertical="top"/>
    </xf>
    <xf numFmtId="0" fontId="34" fillId="0" borderId="0" xfId="0" applyFont="1" applyFill="1" applyAlignment="1">
      <alignment vertical="top"/>
    </xf>
    <xf numFmtId="0" fontId="34" fillId="0" borderId="11" xfId="0" applyFont="1" applyFill="1" applyBorder="1" applyAlignment="1">
      <alignment vertical="top"/>
    </xf>
    <xf numFmtId="0" fontId="35" fillId="0" borderId="0" xfId="0" applyFont="1" applyAlignment="1">
      <alignment vertical="top"/>
    </xf>
    <xf numFmtId="0" fontId="22" fillId="0" borderId="0" xfId="0" applyFont="1" applyAlignment="1">
      <alignment vertical="top" textRotation="90" wrapText="1"/>
    </xf>
    <xf numFmtId="0" fontId="14" fillId="0" borderId="13" xfId="0" applyFont="1" applyBorder="1" applyAlignment="1">
      <alignment vertical="top"/>
    </xf>
    <xf numFmtId="1" fontId="14" fillId="0" borderId="0" xfId="0" applyNumberFormat="1" applyFont="1" applyAlignment="1">
      <alignment vertical="top"/>
    </xf>
    <xf numFmtId="2" fontId="14" fillId="0" borderId="0" xfId="0" applyNumberFormat="1" applyFont="1" applyAlignment="1">
      <alignment horizontal="right" vertical="top"/>
    </xf>
    <xf numFmtId="1" fontId="14" fillId="0" borderId="0" xfId="0" applyNumberFormat="1" applyFont="1" applyFill="1" applyBorder="1" applyAlignment="1">
      <alignment vertical="top"/>
    </xf>
    <xf numFmtId="0" fontId="14" fillId="0" borderId="0" xfId="0" applyFont="1" applyFill="1" applyBorder="1" applyAlignment="1">
      <alignment vertical="top"/>
    </xf>
    <xf numFmtId="165" fontId="14" fillId="0" borderId="0" xfId="0" applyNumberFormat="1" applyFont="1" applyAlignment="1">
      <alignment vertical="top"/>
    </xf>
    <xf numFmtId="0" fontId="14" fillId="0" borderId="0" xfId="0" applyFont="1" applyAlignment="1">
      <alignment horizontal="right" vertical="top"/>
    </xf>
    <xf numFmtId="0" fontId="14" fillId="0" borderId="0" xfId="0" applyFont="1" applyAlignment="1">
      <alignment horizontal="left" vertical="top"/>
    </xf>
    <xf numFmtId="0" fontId="22" fillId="0" borderId="0" xfId="0" applyFont="1" applyAlignment="1">
      <alignment vertical="top" wrapText="1"/>
    </xf>
    <xf numFmtId="2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1" fontId="14" fillId="0" borderId="12" xfId="0" applyNumberFormat="1" applyFont="1" applyFill="1" applyBorder="1" applyAlignment="1">
      <alignment vertical="top"/>
    </xf>
    <xf numFmtId="0" fontId="26" fillId="0" borderId="0" xfId="0" applyFont="1"/>
    <xf numFmtId="0" fontId="27" fillId="0" borderId="0" xfId="0" applyFont="1"/>
    <xf numFmtId="164" fontId="0" fillId="0" borderId="0" xfId="1" applyNumberFormat="1" applyFont="1" applyAlignment="1">
      <alignment horizontal="right"/>
    </xf>
    <xf numFmtId="0" fontId="0" fillId="0" borderId="0" xfId="1" applyNumberFormat="1" applyFont="1" applyAlignment="1">
      <alignment horizontal="right"/>
    </xf>
    <xf numFmtId="165" fontId="0" fillId="0" borderId="0" xfId="1" applyNumberFormat="1" applyFont="1" applyAlignment="1">
      <alignment horizontal="right"/>
    </xf>
    <xf numFmtId="165" fontId="0" fillId="0" borderId="0" xfId="0" applyNumberFormat="1"/>
    <xf numFmtId="2" fontId="0" fillId="0" borderId="0" xfId="1" applyNumberFormat="1" applyFont="1" applyAlignment="1">
      <alignment horizontal="right"/>
    </xf>
    <xf numFmtId="1" fontId="0" fillId="0" borderId="0" xfId="1" applyNumberFormat="1" applyFont="1" applyAlignment="1">
      <alignment horizontal="right"/>
    </xf>
    <xf numFmtId="0" fontId="11" fillId="4" borderId="0" xfId="0" applyFont="1" applyFill="1"/>
    <xf numFmtId="0" fontId="0" fillId="0" borderId="14" xfId="0" applyBorder="1"/>
    <xf numFmtId="0" fontId="0" fillId="0" borderId="15" xfId="0" applyBorder="1"/>
    <xf numFmtId="0" fontId="0" fillId="0" borderId="15" xfId="0" applyBorder="1" applyAlignment="1">
      <alignment horizontal="right"/>
    </xf>
    <xf numFmtId="9" fontId="0" fillId="0" borderId="15" xfId="0" applyNumberFormat="1" applyBorder="1" applyAlignment="1">
      <alignment horizontal="center"/>
    </xf>
    <xf numFmtId="9" fontId="0" fillId="0" borderId="16" xfId="0" applyNumberFormat="1" applyBorder="1"/>
    <xf numFmtId="0" fontId="0" fillId="0" borderId="17" xfId="0" applyBorder="1"/>
    <xf numFmtId="10" fontId="0" fillId="0" borderId="0" xfId="0" applyNumberFormat="1" applyBorder="1"/>
    <xf numFmtId="10" fontId="0" fillId="0" borderId="2" xfId="0" applyNumberFormat="1" applyBorder="1"/>
    <xf numFmtId="0" fontId="0" fillId="0" borderId="18" xfId="0" applyBorder="1"/>
    <xf numFmtId="0" fontId="0" fillId="0" borderId="19" xfId="0" applyBorder="1"/>
    <xf numFmtId="10" fontId="0" fillId="0" borderId="19" xfId="0" applyNumberFormat="1" applyBorder="1"/>
    <xf numFmtId="10" fontId="0" fillId="0" borderId="20" xfId="0" applyNumberFormat="1" applyBorder="1"/>
    <xf numFmtId="2" fontId="3" fillId="11" borderId="21" xfId="0" applyNumberFormat="1" applyFont="1" applyFill="1" applyBorder="1"/>
    <xf numFmtId="0" fontId="0" fillId="0" borderId="12" xfId="0" applyBorder="1"/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0" fontId="3" fillId="0" borderId="22" xfId="0" applyFont="1" applyBorder="1"/>
    <xf numFmtId="2" fontId="3" fillId="0" borderId="22" xfId="0" applyNumberFormat="1" applyFont="1" applyBorder="1"/>
    <xf numFmtId="165" fontId="3" fillId="0" borderId="22" xfId="0" applyNumberFormat="1" applyFont="1" applyBorder="1"/>
    <xf numFmtId="2" fontId="3" fillId="12" borderId="22" xfId="0" applyNumberFormat="1" applyFont="1" applyFill="1" applyBorder="1"/>
    <xf numFmtId="165" fontId="3" fillId="12" borderId="22" xfId="0" applyNumberFormat="1" applyFont="1" applyFill="1" applyBorder="1"/>
    <xf numFmtId="164" fontId="3" fillId="0" borderId="22" xfId="1" applyNumberFormat="1" applyFont="1" applyBorder="1"/>
    <xf numFmtId="9" fontId="3" fillId="0" borderId="22" xfId="0" applyNumberFormat="1" applyFont="1" applyBorder="1"/>
    <xf numFmtId="0" fontId="3" fillId="12" borderId="22" xfId="0" applyFont="1" applyFill="1" applyBorder="1"/>
    <xf numFmtId="1" fontId="3" fillId="0" borderId="22" xfId="0" applyNumberFormat="1" applyFont="1" applyBorder="1"/>
    <xf numFmtId="164" fontId="3" fillId="0" borderId="22" xfId="0" applyNumberFormat="1" applyFont="1" applyBorder="1"/>
    <xf numFmtId="2" fontId="3" fillId="0" borderId="0" xfId="0" applyNumberFormat="1" applyFont="1"/>
    <xf numFmtId="164" fontId="0" fillId="0" borderId="0" xfId="1" applyNumberFormat="1" applyFont="1"/>
    <xf numFmtId="9" fontId="3" fillId="0" borderId="0" xfId="0" applyNumberFormat="1" applyFont="1"/>
    <xf numFmtId="9" fontId="0" fillId="0" borderId="0" xfId="0" applyNumberFormat="1"/>
    <xf numFmtId="2" fontId="0" fillId="0" borderId="0" xfId="0" applyNumberFormat="1" applyFont="1"/>
    <xf numFmtId="0" fontId="3" fillId="9" borderId="0" xfId="0" applyFont="1" applyFill="1"/>
    <xf numFmtId="2" fontId="0" fillId="9" borderId="0" xfId="0" applyNumberFormat="1" applyFill="1"/>
    <xf numFmtId="0" fontId="0" fillId="9" borderId="0" xfId="0" applyFill="1"/>
    <xf numFmtId="165" fontId="0" fillId="9" borderId="0" xfId="0" applyNumberFormat="1" applyFill="1"/>
    <xf numFmtId="165" fontId="3" fillId="9" borderId="0" xfId="0" applyNumberFormat="1" applyFont="1" applyFill="1"/>
    <xf numFmtId="2" fontId="3" fillId="9" borderId="0" xfId="0" applyNumberFormat="1" applyFont="1" applyFill="1"/>
    <xf numFmtId="164" fontId="0" fillId="9" borderId="0" xfId="1" applyNumberFormat="1" applyFont="1" applyFill="1"/>
    <xf numFmtId="9" fontId="3" fillId="9" borderId="0" xfId="0" applyNumberFormat="1" applyFont="1" applyFill="1"/>
    <xf numFmtId="1" fontId="0" fillId="9" borderId="0" xfId="0" applyNumberFormat="1" applyFill="1"/>
    <xf numFmtId="9" fontId="0" fillId="9" borderId="0" xfId="0" applyNumberFormat="1" applyFill="1"/>
    <xf numFmtId="2" fontId="0" fillId="9" borderId="0" xfId="0" applyNumberFormat="1" applyFont="1" applyFill="1"/>
    <xf numFmtId="0" fontId="3" fillId="13" borderId="0" xfId="0" applyFont="1" applyFill="1"/>
    <xf numFmtId="2" fontId="0" fillId="13" borderId="0" xfId="0" applyNumberFormat="1" applyFill="1"/>
    <xf numFmtId="0" fontId="0" fillId="13" borderId="0" xfId="0" applyFill="1"/>
    <xf numFmtId="165" fontId="0" fillId="13" borderId="0" xfId="0" applyNumberFormat="1" applyFill="1"/>
    <xf numFmtId="165" fontId="3" fillId="13" borderId="0" xfId="0" applyNumberFormat="1" applyFont="1" applyFill="1"/>
    <xf numFmtId="2" fontId="3" fillId="13" borderId="0" xfId="0" applyNumberFormat="1" applyFont="1" applyFill="1"/>
    <xf numFmtId="164" fontId="0" fillId="13" borderId="0" xfId="1" applyNumberFormat="1" applyFont="1" applyFill="1"/>
    <xf numFmtId="9" fontId="3" fillId="13" borderId="0" xfId="0" applyNumberFormat="1" applyFont="1" applyFill="1"/>
    <xf numFmtId="1" fontId="0" fillId="13" borderId="0" xfId="0" applyNumberFormat="1" applyFill="1"/>
    <xf numFmtId="9" fontId="0" fillId="13" borderId="0" xfId="0" applyNumberFormat="1" applyFill="1"/>
    <xf numFmtId="2" fontId="0" fillId="13" borderId="0" xfId="0" applyNumberFormat="1" applyFont="1" applyFill="1"/>
    <xf numFmtId="0" fontId="3" fillId="14" borderId="0" xfId="0" applyFont="1" applyFill="1"/>
    <xf numFmtId="2" fontId="0" fillId="14" borderId="0" xfId="0" applyNumberFormat="1" applyFill="1"/>
    <xf numFmtId="0" fontId="0" fillId="14" borderId="0" xfId="0" applyFill="1"/>
    <xf numFmtId="165" fontId="0" fillId="14" borderId="0" xfId="0" applyNumberFormat="1" applyFill="1"/>
    <xf numFmtId="165" fontId="3" fillId="14" borderId="0" xfId="0" applyNumberFormat="1" applyFont="1" applyFill="1"/>
    <xf numFmtId="2" fontId="3" fillId="14" borderId="0" xfId="0" applyNumberFormat="1" applyFont="1" applyFill="1"/>
    <xf numFmtId="164" fontId="0" fillId="14" borderId="0" xfId="1" applyNumberFormat="1" applyFont="1" applyFill="1"/>
    <xf numFmtId="9" fontId="3" fillId="14" borderId="0" xfId="0" applyNumberFormat="1" applyFont="1" applyFill="1"/>
    <xf numFmtId="1" fontId="0" fillId="14" borderId="0" xfId="0" applyNumberFormat="1" applyFill="1"/>
    <xf numFmtId="9" fontId="0" fillId="14" borderId="0" xfId="0" applyNumberFormat="1" applyFill="1"/>
    <xf numFmtId="2" fontId="0" fillId="14" borderId="0" xfId="0" applyNumberFormat="1" applyFont="1" applyFill="1"/>
    <xf numFmtId="0" fontId="3" fillId="15" borderId="0" xfId="0" applyFont="1" applyFill="1"/>
    <xf numFmtId="2" fontId="0" fillId="15" borderId="0" xfId="0" applyNumberFormat="1" applyFill="1"/>
    <xf numFmtId="0" fontId="0" fillId="15" borderId="0" xfId="0" applyFill="1"/>
    <xf numFmtId="165" fontId="0" fillId="15" borderId="0" xfId="0" applyNumberFormat="1" applyFill="1"/>
    <xf numFmtId="165" fontId="3" fillId="15" borderId="0" xfId="0" applyNumberFormat="1" applyFont="1" applyFill="1"/>
    <xf numFmtId="2" fontId="3" fillId="15" borderId="0" xfId="0" applyNumberFormat="1" applyFont="1" applyFill="1"/>
    <xf numFmtId="164" fontId="0" fillId="15" borderId="0" xfId="1" applyNumberFormat="1" applyFont="1" applyFill="1"/>
    <xf numFmtId="9" fontId="3" fillId="15" borderId="0" xfId="0" applyNumberFormat="1" applyFont="1" applyFill="1"/>
    <xf numFmtId="1" fontId="0" fillId="15" borderId="0" xfId="0" applyNumberFormat="1" applyFill="1"/>
    <xf numFmtId="9" fontId="0" fillId="15" borderId="0" xfId="0" applyNumberFormat="1" applyFont="1" applyFill="1"/>
    <xf numFmtId="2" fontId="0" fillId="15" borderId="0" xfId="0" applyNumberFormat="1" applyFont="1" applyFill="1"/>
    <xf numFmtId="165" fontId="0" fillId="4" borderId="0" xfId="0" applyNumberFormat="1" applyFill="1"/>
    <xf numFmtId="165" fontId="3" fillId="4" borderId="0" xfId="0" applyNumberFormat="1" applyFont="1" applyFill="1"/>
    <xf numFmtId="2" fontId="3" fillId="4" borderId="0" xfId="0" applyNumberFormat="1" applyFont="1" applyFill="1"/>
    <xf numFmtId="164" fontId="0" fillId="4" borderId="0" xfId="1" applyNumberFormat="1" applyFont="1" applyFill="1"/>
    <xf numFmtId="9" fontId="3" fillId="4" borderId="0" xfId="0" applyNumberFormat="1" applyFont="1" applyFill="1"/>
    <xf numFmtId="1" fontId="0" fillId="4" borderId="0" xfId="0" applyNumberFormat="1" applyFill="1"/>
    <xf numFmtId="9" fontId="0" fillId="4" borderId="0" xfId="0" applyNumberFormat="1" applyFont="1" applyFill="1"/>
    <xf numFmtId="2" fontId="0" fillId="4" borderId="0" xfId="0" applyNumberFormat="1" applyFont="1" applyFill="1"/>
    <xf numFmtId="0" fontId="0" fillId="0" borderId="0" xfId="0" applyNumberFormat="1" applyFill="1"/>
    <xf numFmtId="0" fontId="0" fillId="0" borderId="0" xfId="0" applyNumberFormat="1"/>
    <xf numFmtId="0" fontId="36" fillId="0" borderId="0" xfId="0" applyNumberFormat="1" applyFont="1" applyFill="1" applyBorder="1"/>
    <xf numFmtId="0" fontId="36" fillId="0" borderId="0" xfId="0" applyNumberFormat="1" applyFont="1" applyBorder="1" applyAlignment="1">
      <alignment horizontal="center"/>
    </xf>
    <xf numFmtId="0" fontId="36" fillId="0" borderId="0" xfId="0" applyNumberFormat="1" applyFont="1" applyFill="1" applyBorder="1" applyAlignment="1">
      <alignment horizontal="center"/>
    </xf>
    <xf numFmtId="0" fontId="37" fillId="0" borderId="0" xfId="0" applyNumberFormat="1" applyFont="1" applyAlignment="1">
      <alignment horizontal="center"/>
    </xf>
    <xf numFmtId="2" fontId="38" fillId="16" borderId="13" xfId="0" applyNumberFormat="1" applyFont="1" applyFill="1" applyBorder="1" applyAlignment="1">
      <alignment horizontal="center"/>
    </xf>
    <xf numFmtId="2" fontId="38" fillId="0" borderId="12" xfId="0" applyNumberFormat="1" applyFont="1" applyFill="1" applyBorder="1" applyAlignment="1">
      <alignment horizontal="center"/>
    </xf>
    <xf numFmtId="2" fontId="39" fillId="0" borderId="12" xfId="0" applyNumberFormat="1" applyFont="1" applyFill="1" applyBorder="1" applyAlignment="1">
      <alignment horizontal="center"/>
    </xf>
    <xf numFmtId="2" fontId="40" fillId="0" borderId="12" xfId="0" applyNumberFormat="1" applyFont="1" applyFill="1" applyBorder="1" applyAlignment="1">
      <alignment horizontal="center"/>
    </xf>
    <xf numFmtId="2" fontId="40" fillId="0" borderId="23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/>
    </xf>
    <xf numFmtId="2" fontId="0" fillId="0" borderId="24" xfId="0" applyNumberFormat="1" applyBorder="1"/>
    <xf numFmtId="2" fontId="38" fillId="0" borderId="11" xfId="0" applyNumberFormat="1" applyFont="1" applyFill="1" applyBorder="1" applyAlignment="1">
      <alignment horizontal="center"/>
    </xf>
    <xf numFmtId="2" fontId="38" fillId="16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2" fontId="39" fillId="0" borderId="0" xfId="0" applyNumberFormat="1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/>
    </xf>
    <xf numFmtId="2" fontId="40" fillId="0" borderId="25" xfId="0" applyNumberFormat="1" applyFont="1" applyBorder="1" applyAlignment="1">
      <alignment horizontal="center"/>
    </xf>
    <xf numFmtId="2" fontId="0" fillId="0" borderId="26" xfId="0" applyNumberFormat="1" applyBorder="1"/>
    <xf numFmtId="2" fontId="39" fillId="0" borderId="11" xfId="0" applyNumberFormat="1" applyFont="1" applyFill="1" applyBorder="1" applyAlignment="1">
      <alignment horizontal="center"/>
    </xf>
    <xf numFmtId="2" fontId="2" fillId="0" borderId="26" xfId="0" applyNumberFormat="1" applyFont="1" applyBorder="1"/>
    <xf numFmtId="2" fontId="38" fillId="0" borderId="0" xfId="0" applyNumberFormat="1" applyFont="1" applyFill="1" applyBorder="1"/>
    <xf numFmtId="2" fontId="2" fillId="0" borderId="26" xfId="0" quotePrefix="1" applyNumberFormat="1" applyFont="1" applyBorder="1" applyAlignment="1">
      <alignment horizontal="right"/>
    </xf>
    <xf numFmtId="2" fontId="40" fillId="0" borderId="11" xfId="0" applyNumberFormat="1" applyFont="1" applyFill="1" applyBorder="1" applyAlignment="1">
      <alignment horizontal="center"/>
    </xf>
    <xf numFmtId="2" fontId="41" fillId="16" borderId="0" xfId="0" applyNumberFormat="1" applyFont="1" applyFill="1" applyBorder="1" applyAlignment="1">
      <alignment horizontal="center"/>
    </xf>
    <xf numFmtId="2" fontId="40" fillId="0" borderId="25" xfId="0" applyNumberFormat="1" applyFont="1" applyFill="1" applyBorder="1" applyAlignment="1">
      <alignment horizontal="center"/>
    </xf>
    <xf numFmtId="2" fontId="40" fillId="16" borderId="0" xfId="0" applyNumberFormat="1" applyFont="1" applyFill="1" applyBorder="1" applyAlignment="1">
      <alignment horizontal="center"/>
    </xf>
    <xf numFmtId="2" fontId="40" fillId="0" borderId="10" xfId="0" applyNumberFormat="1" applyFont="1" applyFill="1" applyBorder="1" applyAlignment="1">
      <alignment horizontal="center"/>
    </xf>
    <xf numFmtId="2" fontId="40" fillId="0" borderId="9" xfId="0" applyNumberFormat="1" applyFont="1" applyFill="1" applyBorder="1" applyAlignment="1">
      <alignment horizontal="center"/>
    </xf>
    <xf numFmtId="2" fontId="40" fillId="16" borderId="27" xfId="0" applyNumberFormat="1" applyFont="1" applyFill="1" applyBorder="1" applyAlignment="1">
      <alignment horizontal="center"/>
    </xf>
    <xf numFmtId="2" fontId="0" fillId="0" borderId="28" xfId="0" applyNumberFormat="1" applyBorder="1"/>
    <xf numFmtId="2" fontId="0" fillId="0" borderId="29" xfId="0" applyNumberFormat="1" applyBorder="1"/>
    <xf numFmtId="2" fontId="0" fillId="0" borderId="22" xfId="0" applyNumberFormat="1" applyBorder="1"/>
    <xf numFmtId="2" fontId="2" fillId="0" borderId="22" xfId="0" applyNumberFormat="1" applyFont="1" applyBorder="1"/>
    <xf numFmtId="2" fontId="0" fillId="0" borderId="30" xfId="0" applyNumberFormat="1" applyBorder="1"/>
    <xf numFmtId="2" fontId="0" fillId="0" borderId="0" xfId="0" applyNumberFormat="1" applyBorder="1"/>
    <xf numFmtId="0" fontId="0" fillId="0" borderId="29" xfId="0" applyBorder="1"/>
    <xf numFmtId="0" fontId="0" fillId="0" borderId="22" xfId="0" applyBorder="1"/>
    <xf numFmtId="0" fontId="2" fillId="0" borderId="22" xfId="0" applyFont="1" applyBorder="1"/>
    <xf numFmtId="0" fontId="0" fillId="0" borderId="30" xfId="0" applyBorder="1"/>
    <xf numFmtId="17" fontId="0" fillId="0" borderId="0" xfId="0" applyNumberFormat="1"/>
    <xf numFmtId="0" fontId="26" fillId="0" borderId="0" xfId="0" applyFont="1" applyFill="1"/>
    <xf numFmtId="0" fontId="0" fillId="0" borderId="12" xfId="0" applyBorder="1" applyAlignment="1">
      <alignment vertic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vertical="center" wrapText="1"/>
    </xf>
    <xf numFmtId="0" fontId="0" fillId="0" borderId="9" xfId="0" applyBorder="1" applyAlignment="1">
      <alignment wrapText="1"/>
    </xf>
    <xf numFmtId="0" fontId="0" fillId="0" borderId="10" xfId="0" applyFont="1" applyBorder="1" applyAlignment="1">
      <alignment horizontal="left" textRotation="90" wrapText="1"/>
    </xf>
    <xf numFmtId="0" fontId="0" fillId="0" borderId="9" xfId="0" applyFont="1" applyBorder="1" applyAlignment="1">
      <alignment horizontal="left" textRotation="90" wrapText="1"/>
    </xf>
    <xf numFmtId="0" fontId="0" fillId="0" borderId="25" xfId="0" applyFont="1" applyBorder="1" applyAlignment="1">
      <alignment horizontal="left" textRotation="90" wrapText="1"/>
    </xf>
    <xf numFmtId="0" fontId="0" fillId="0" borderId="11" xfId="0" applyFont="1" applyBorder="1" applyAlignment="1">
      <alignment horizontal="left" textRotation="90" wrapText="1"/>
    </xf>
    <xf numFmtId="0" fontId="0" fillId="0" borderId="0" xfId="0" applyFont="1" applyBorder="1" applyAlignment="1">
      <alignment horizontal="left" textRotation="90" wrapText="1"/>
    </xf>
    <xf numFmtId="0" fontId="0" fillId="0" borderId="0" xfId="0" applyFont="1" applyFill="1" applyBorder="1" applyAlignment="1">
      <alignment horizontal="left" textRotation="90" wrapText="1"/>
    </xf>
    <xf numFmtId="0" fontId="0" fillId="0" borderId="25" xfId="0" applyFont="1" applyFill="1" applyBorder="1" applyAlignment="1">
      <alignment horizontal="left" textRotation="90" wrapText="1"/>
    </xf>
    <xf numFmtId="0" fontId="0" fillId="0" borderId="27" xfId="0" applyFont="1" applyBorder="1" applyAlignment="1">
      <alignment horizontal="left" textRotation="90" wrapText="1"/>
    </xf>
    <xf numFmtId="0" fontId="0" fillId="0" borderId="0" xfId="0" applyBorder="1" applyAlignment="1">
      <alignment textRotation="90" wrapText="1"/>
    </xf>
    <xf numFmtId="0" fontId="0" fillId="17" borderId="13" xfId="0" applyFill="1" applyBorder="1" applyAlignment="1">
      <alignment horizontal="center" vertical="center"/>
    </xf>
    <xf numFmtId="0" fontId="0" fillId="17" borderId="12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10" borderId="13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12" xfId="0" applyFill="1" applyBorder="1"/>
    <xf numFmtId="0" fontId="0" fillId="10" borderId="23" xfId="0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15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10" borderId="11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0" borderId="0" xfId="0" applyFill="1" applyBorder="1"/>
    <xf numFmtId="0" fontId="0" fillId="10" borderId="25" xfId="0" applyFill="1" applyBorder="1" applyAlignment="1">
      <alignment horizontal="center"/>
    </xf>
    <xf numFmtId="0" fontId="0" fillId="18" borderId="0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0" fontId="0" fillId="0" borderId="25" xfId="0" applyFont="1" applyFill="1" applyBorder="1" applyAlignment="1">
      <alignment vertical="top"/>
    </xf>
    <xf numFmtId="0" fontId="0" fillId="0" borderId="9" xfId="0" applyFont="1" applyFill="1" applyBorder="1" applyAlignment="1">
      <alignment vertical="top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19" borderId="27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0" borderId="9" xfId="0" applyFill="1" applyBorder="1"/>
    <xf numFmtId="0" fontId="0" fillId="10" borderId="27" xfId="0" applyFill="1" applyBorder="1" applyAlignment="1">
      <alignment horizontal="center"/>
    </xf>
    <xf numFmtId="0" fontId="0" fillId="18" borderId="11" xfId="0" applyFill="1" applyBorder="1" applyAlignment="1">
      <alignment horizontal="center" vertical="center"/>
    </xf>
    <xf numFmtId="0" fontId="0" fillId="0" borderId="9" xfId="0" applyFont="1" applyFill="1" applyBorder="1" applyAlignment="1"/>
    <xf numFmtId="0" fontId="0" fillId="0" borderId="12" xfId="0" applyFont="1" applyBorder="1" applyAlignment="1">
      <alignment vertical="top"/>
    </xf>
    <xf numFmtId="0" fontId="0" fillId="0" borderId="13" xfId="0" applyBorder="1" applyAlignment="1">
      <alignment horizontal="center" vertical="center"/>
    </xf>
    <xf numFmtId="0" fontId="0" fillId="18" borderId="12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18" borderId="25" xfId="0" applyFill="1" applyBorder="1" applyAlignment="1">
      <alignment horizontal="center" vertical="center"/>
    </xf>
    <xf numFmtId="0" fontId="0" fillId="0" borderId="0" xfId="0" applyFont="1" applyFill="1" applyBorder="1" applyAlignment="1"/>
    <xf numFmtId="0" fontId="0" fillId="18" borderId="10" xfId="0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top"/>
    </xf>
    <xf numFmtId="0" fontId="0" fillId="19" borderId="0" xfId="0" applyFill="1"/>
    <xf numFmtId="0" fontId="0" fillId="17" borderId="0" xfId="0" applyFill="1"/>
    <xf numFmtId="0" fontId="0" fillId="0" borderId="10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19" borderId="9" xfId="0" applyFill="1" applyBorder="1" applyAlignment="1">
      <alignment horizontal="center" vertical="center"/>
    </xf>
    <xf numFmtId="0" fontId="0" fillId="10" borderId="23" xfId="0" applyFill="1" applyBorder="1"/>
    <xf numFmtId="0" fontId="0" fillId="10" borderId="25" xfId="0" applyFill="1" applyBorder="1"/>
    <xf numFmtId="0" fontId="0" fillId="10" borderId="27" xfId="0" applyFill="1" applyBorder="1"/>
    <xf numFmtId="0" fontId="5" fillId="0" borderId="0" xfId="0" applyFont="1" applyFill="1"/>
    <xf numFmtId="0" fontId="11" fillId="0" borderId="0" xfId="0" applyFont="1" applyFill="1"/>
    <xf numFmtId="165" fontId="2" fillId="0" borderId="0" xfId="0" applyNumberFormat="1" applyFont="1" applyBorder="1" applyAlignment="1">
      <alignment horizontal="right" vertical="top" wrapText="1"/>
    </xf>
    <xf numFmtId="0" fontId="0" fillId="0" borderId="0" xfId="0" applyAlignment="1">
      <alignment textRotation="90" wrapText="1"/>
    </xf>
    <xf numFmtId="0" fontId="14" fillId="0" borderId="0" xfId="0" applyFont="1" applyFill="1" applyAlignment="1">
      <alignment vertical="top"/>
    </xf>
    <xf numFmtId="0" fontId="14" fillId="0" borderId="0" xfId="0" applyFont="1" applyFill="1" applyAlignment="1">
      <alignment horizontal="right" vertical="top"/>
    </xf>
    <xf numFmtId="0" fontId="14" fillId="5" borderId="5" xfId="0" applyFont="1" applyFill="1" applyBorder="1" applyAlignment="1">
      <alignment horizontal="left" indent="2"/>
    </xf>
    <xf numFmtId="0" fontId="14" fillId="5" borderId="3" xfId="0" applyFont="1" applyFill="1" applyBorder="1" applyAlignment="1">
      <alignment horizontal="left" indent="2"/>
    </xf>
    <xf numFmtId="0" fontId="14" fillId="5" borderId="7" xfId="0" applyFont="1" applyFill="1" applyBorder="1" applyAlignment="1">
      <alignment horizontal="left" indent="2"/>
    </xf>
    <xf numFmtId="0" fontId="14" fillId="6" borderId="5" xfId="0" applyFont="1" applyFill="1" applyBorder="1"/>
    <xf numFmtId="0" fontId="14" fillId="6" borderId="8" xfId="0" applyFont="1" applyFill="1" applyBorder="1"/>
    <xf numFmtId="0" fontId="14" fillId="6" borderId="31" xfId="0" applyFont="1" applyFill="1" applyBorder="1"/>
    <xf numFmtId="0" fontId="14" fillId="6" borderId="6" xfId="0" applyFont="1" applyFill="1" applyBorder="1"/>
    <xf numFmtId="0" fontId="14" fillId="6" borderId="4" xfId="0" applyFont="1" applyFill="1" applyBorder="1" applyAlignment="1">
      <alignment horizontal="left"/>
    </xf>
    <xf numFmtId="0" fontId="14" fillId="6" borderId="4" xfId="0" applyFont="1" applyFill="1" applyBorder="1"/>
    <xf numFmtId="0" fontId="0" fillId="0" borderId="0" xfId="0" applyFont="1" applyAlignment="1">
      <alignment horizontal="left" vertical="top" indent="2"/>
    </xf>
    <xf numFmtId="0" fontId="0" fillId="0" borderId="0" xfId="0" applyAlignment="1">
      <alignment horizontal="left"/>
    </xf>
    <xf numFmtId="2" fontId="14" fillId="0" borderId="13" xfId="0" applyNumberFormat="1" applyFont="1" applyFill="1" applyBorder="1" applyAlignment="1">
      <alignment horizontal="right" vertical="top"/>
    </xf>
    <xf numFmtId="0" fontId="42" fillId="0" borderId="0" xfId="0" applyFont="1" applyBorder="1"/>
    <xf numFmtId="0" fontId="42" fillId="0" borderId="22" xfId="0" applyFont="1" applyBorder="1"/>
    <xf numFmtId="168" fontId="14" fillId="0" borderId="0" xfId="0" applyNumberFormat="1" applyFont="1" applyFill="1" applyAlignment="1">
      <alignment horizontal="left" vertical="top"/>
    </xf>
    <xf numFmtId="0" fontId="14" fillId="0" borderId="0" xfId="0" applyFont="1" applyFill="1" applyBorder="1" applyAlignment="1">
      <alignment horizontal="right" vertical="top"/>
    </xf>
    <xf numFmtId="2" fontId="2" fillId="0" borderId="11" xfId="0" applyNumberFormat="1" applyFont="1" applyFill="1" applyBorder="1" applyAlignment="1">
      <alignment vertical="top"/>
    </xf>
    <xf numFmtId="2" fontId="2" fillId="0" borderId="0" xfId="0" applyNumberFormat="1" applyFont="1" applyFill="1" applyBorder="1" applyAlignment="1">
      <alignment vertical="top"/>
    </xf>
    <xf numFmtId="0" fontId="43" fillId="0" borderId="0" xfId="0" applyFont="1"/>
    <xf numFmtId="0" fontId="44" fillId="0" borderId="0" xfId="0" applyFont="1"/>
    <xf numFmtId="0" fontId="18" fillId="2" borderId="0" xfId="0" applyFont="1" applyFill="1" applyAlignment="1" applyProtection="1">
      <alignment horizontal="left" vertical="center" indent="2"/>
      <protection locked="0"/>
    </xf>
    <xf numFmtId="0" fontId="9" fillId="0" borderId="0" xfId="2" applyAlignment="1" applyProtection="1">
      <alignment horizontal="left" indent="2"/>
      <protection locked="0"/>
    </xf>
    <xf numFmtId="0" fontId="9" fillId="0" borderId="0" xfId="2" applyProtection="1">
      <protection locked="0"/>
    </xf>
    <xf numFmtId="0" fontId="9" fillId="0" borderId="0" xfId="2" applyAlignment="1" applyProtection="1">
      <alignment horizontal="right" vertical="center"/>
      <protection locked="0"/>
    </xf>
    <xf numFmtId="0" fontId="9" fillId="0" borderId="0" xfId="2" quotePrefix="1" applyProtection="1">
      <protection locked="0"/>
    </xf>
    <xf numFmtId="0" fontId="9" fillId="0" borderId="0" xfId="2" quotePrefix="1" applyAlignment="1" applyProtection="1">
      <alignment horizontal="left" indent="2"/>
      <protection locked="0"/>
    </xf>
    <xf numFmtId="0" fontId="0" fillId="0" borderId="0" xfId="0" applyProtection="1">
      <protection locked="0"/>
    </xf>
    <xf numFmtId="0" fontId="0" fillId="2" borderId="0" xfId="0" applyFont="1" applyFill="1" applyAlignment="1" applyProtection="1">
      <alignment horizontal="right" vertical="center"/>
      <protection locked="0"/>
    </xf>
    <xf numFmtId="9" fontId="0" fillId="2" borderId="0" xfId="1" applyFont="1" applyFill="1" applyAlignment="1" applyProtection="1">
      <alignment horizontal="right" vertical="center"/>
      <protection locked="0"/>
    </xf>
    <xf numFmtId="0" fontId="0" fillId="2" borderId="0" xfId="0" applyFont="1" applyFill="1" applyAlignment="1" applyProtection="1">
      <alignment vertical="center"/>
      <protection locked="0"/>
    </xf>
    <xf numFmtId="1" fontId="0" fillId="2" borderId="0" xfId="0" applyNumberFormat="1" applyFont="1" applyFill="1" applyAlignment="1" applyProtection="1">
      <alignment vertical="center"/>
      <protection locked="0"/>
    </xf>
    <xf numFmtId="9" fontId="0" fillId="2" borderId="0" xfId="1" applyFont="1" applyFill="1" applyBorder="1" applyAlignment="1" applyProtection="1">
      <alignment vertical="center"/>
      <protection locked="0"/>
    </xf>
    <xf numFmtId="9" fontId="0" fillId="2" borderId="0" xfId="1" applyFont="1" applyFill="1" applyBorder="1" applyProtection="1">
      <protection locked="0"/>
    </xf>
    <xf numFmtId="0" fontId="0" fillId="2" borderId="0" xfId="0" applyFont="1" applyFill="1" applyBorder="1" applyAlignment="1" applyProtection="1">
      <alignment vertical="center"/>
      <protection locked="0"/>
    </xf>
    <xf numFmtId="0" fontId="0" fillId="2" borderId="0" xfId="0" applyFont="1" applyFill="1" applyBorder="1" applyProtection="1">
      <protection locked="0"/>
    </xf>
    <xf numFmtId="0" fontId="18" fillId="2" borderId="0" xfId="0" applyFont="1" applyFill="1" applyAlignment="1" applyProtection="1">
      <alignment horizontal="left" indent="2"/>
      <protection locked="0"/>
    </xf>
    <xf numFmtId="0" fontId="0" fillId="0" borderId="0" xfId="0" applyProtection="1"/>
    <xf numFmtId="0" fontId="14" fillId="0" borderId="0" xfId="0" applyFont="1" applyProtection="1">
      <protection locked="0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2" xfId="0" applyBorder="1" applyAlignment="1"/>
    <xf numFmtId="0" fontId="0" fillId="0" borderId="23" xfId="0" applyBorder="1" applyAlignment="1"/>
    <xf numFmtId="0" fontId="0" fillId="0" borderId="12" xfId="0" applyBorder="1" applyAlignment="1">
      <alignment vertical="center" textRotation="90" wrapText="1"/>
    </xf>
    <xf numFmtId="0" fontId="0" fillId="0" borderId="0" xfId="0" applyAlignment="1">
      <alignment vertical="center" textRotation="90" wrapText="1"/>
    </xf>
    <xf numFmtId="0" fontId="0" fillId="0" borderId="0" xfId="0" applyBorder="1" applyAlignment="1">
      <alignment vertical="center" textRotation="90" wrapText="1"/>
    </xf>
    <xf numFmtId="0" fontId="0" fillId="0" borderId="9" xfId="0" applyBorder="1" applyAlignment="1">
      <alignment vertical="center" textRotation="90" wrapText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'(3) FCH technology assessment'!$B$66</c:f>
              <c:strCache>
                <c:ptCount val="1"/>
                <c:pt idx="0">
                  <c:v>Levelized cost [€/kg H2]</c:v>
                </c:pt>
              </c:strCache>
            </c:strRef>
          </c:tx>
          <c:invertIfNegative val="0"/>
          <c:cat>
            <c:strRef>
              <c:f>'(3) FCH technology assessment'!$B$69:$B$74</c:f>
              <c:strCache>
                <c:ptCount val="6"/>
                <c:pt idx="0">
                  <c:v>Hydrogen distribution pipeline</c:v>
                </c:pt>
                <c:pt idx="1">
                  <c:v>Blending in natural gas pipeline</c:v>
                </c:pt>
                <c:pt idx="2">
                  <c:v>Hydrogen transmission &amp; distribution pipeline</c:v>
                </c:pt>
                <c:pt idx="3">
                  <c:v>Liquid hydrogen truck</c:v>
                </c:pt>
                <c:pt idx="4">
                  <c:v>Methanation</c:v>
                </c:pt>
                <c:pt idx="5">
                  <c:v>Onsite</c:v>
                </c:pt>
              </c:strCache>
            </c:strRef>
          </c:cat>
          <c:val>
            <c:numRef>
              <c:f>'(3) FCH technology assessment'!$D$69:$D$74</c:f>
              <c:numCache>
                <c:formatCode>0.00</c:formatCode>
                <c:ptCount val="6"/>
                <c:pt idx="0">
                  <c:v>0.32488060673257818</c:v>
                </c:pt>
                <c:pt idx="1">
                  <c:v>0.18148932153689973</c:v>
                </c:pt>
                <c:pt idx="2">
                  <c:v>0.33767005075082657</c:v>
                </c:pt>
                <c:pt idx="3">
                  <c:v>2.2344604621435615</c:v>
                </c:pt>
                <c:pt idx="4">
                  <c:v>1.3603364450112079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9792"/>
        <c:axId val="6329472"/>
      </c:barChart>
      <c:catAx>
        <c:axId val="6929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6329472"/>
        <c:crosses val="autoZero"/>
        <c:auto val="1"/>
        <c:lblAlgn val="ctr"/>
        <c:lblOffset val="100"/>
        <c:noMultiLvlLbl val="0"/>
      </c:catAx>
      <c:valAx>
        <c:axId val="6329472"/>
        <c:scaling>
          <c:orientation val="minMax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69297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1885646495074367"/>
          <c:y val="0.14707267343749469"/>
          <c:w val="0.42655966379387217"/>
          <c:h val="0.740116492167209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'(3) FCH technology assessment'!$B$18</c:f>
              <c:strCache>
                <c:ptCount val="1"/>
                <c:pt idx="0">
                  <c:v>Levelized cost [€/kg H2]</c:v>
                </c:pt>
              </c:strCache>
            </c:strRef>
          </c:tx>
          <c:invertIfNegative val="0"/>
          <c:cat>
            <c:strRef>
              <c:f>'(3) FCH technology assessment'!$B$21:$B$31</c:f>
              <c:strCache>
                <c:ptCount val="11"/>
                <c:pt idx="0">
                  <c:v>Large centralized electrolysis</c:v>
                </c:pt>
                <c:pt idx="1">
                  <c:v>Medium centralized electrolysis</c:v>
                </c:pt>
                <c:pt idx="2">
                  <c:v>Small decentralized electrolysis</c:v>
                </c:pt>
                <c:pt idx="3">
                  <c:v>Medium centralized biomass gasification</c:v>
                </c:pt>
                <c:pt idx="4">
                  <c:v>Medium centralized biomass gasification w/ CCS</c:v>
                </c:pt>
                <c:pt idx="5">
                  <c:v>Small decentralized biomass gasification</c:v>
                </c:pt>
                <c:pt idx="6">
                  <c:v>Large centralized biomass steam reforming </c:v>
                </c:pt>
                <c:pt idx="7">
                  <c:v>Large centralized natural gas steam reforming</c:v>
                </c:pt>
                <c:pt idx="8">
                  <c:v>Small centralized natural gas steam reforming</c:v>
                </c:pt>
                <c:pt idx="9">
                  <c:v>Medium decentralized natural gas steam reforming</c:v>
                </c:pt>
                <c:pt idx="10">
                  <c:v>Small decentralized natural gas steam reforming</c:v>
                </c:pt>
              </c:strCache>
            </c:strRef>
          </c:cat>
          <c:val>
            <c:numRef>
              <c:f>'(3) FCH technology assessment'!$D$21:$D$31</c:f>
              <c:numCache>
                <c:formatCode>0.00</c:formatCode>
                <c:ptCount val="11"/>
                <c:pt idx="0">
                  <c:v>1.8708304725052733</c:v>
                </c:pt>
                <c:pt idx="1">
                  <c:v>1.9488933077151886</c:v>
                </c:pt>
                <c:pt idx="2">
                  <c:v>2.1773425559463213</c:v>
                </c:pt>
                <c:pt idx="3">
                  <c:v>1.2420378397594705</c:v>
                </c:pt>
                <c:pt idx="4">
                  <c:v>0.77573654376039736</c:v>
                </c:pt>
                <c:pt idx="5">
                  <c:v>2.0014004458664063</c:v>
                </c:pt>
                <c:pt idx="6">
                  <c:v>0.87737742768078397</c:v>
                </c:pt>
                <c:pt idx="7">
                  <c:v>4.3183598275787016</c:v>
                </c:pt>
                <c:pt idx="8">
                  <c:v>4.3868073570951305</c:v>
                </c:pt>
                <c:pt idx="9">
                  <c:v>4.6698886934539701</c:v>
                </c:pt>
                <c:pt idx="10">
                  <c:v>4.9521887780698144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7584"/>
        <c:axId val="6949120"/>
      </c:barChart>
      <c:catAx>
        <c:axId val="69475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949120"/>
        <c:crosses val="autoZero"/>
        <c:auto val="1"/>
        <c:lblAlgn val="ctr"/>
        <c:lblOffset val="100"/>
        <c:noMultiLvlLbl val="0"/>
      </c:catAx>
      <c:valAx>
        <c:axId val="6949120"/>
        <c:scaling>
          <c:orientation val="minMax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947584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'(3) FCH technology assessment'!$B$42</c:f>
              <c:strCache>
                <c:ptCount val="1"/>
                <c:pt idx="0">
                  <c:v>Levelized cost [€/kg H2]</c:v>
                </c:pt>
              </c:strCache>
            </c:strRef>
          </c:tx>
          <c:invertIfNegative val="0"/>
          <c:cat>
            <c:strRef>
              <c:f>'(3) FCH technology assessment'!$B$45:$B$48</c:f>
              <c:strCache>
                <c:ptCount val="4"/>
                <c:pt idx="0">
                  <c:v>Underground storage</c:v>
                </c:pt>
                <c:pt idx="1">
                  <c:v>Central gas storage</c:v>
                </c:pt>
                <c:pt idx="2">
                  <c:v>Distributed gas storage</c:v>
                </c:pt>
                <c:pt idx="3">
                  <c:v>No storage</c:v>
                </c:pt>
              </c:strCache>
            </c:strRef>
          </c:cat>
          <c:val>
            <c:numRef>
              <c:f>'(3) FCH technology assessment'!$D$45:$D$48</c:f>
              <c:numCache>
                <c:formatCode>0.00</c:formatCode>
                <c:ptCount val="4"/>
                <c:pt idx="0">
                  <c:v>1.2487610991343328E-2</c:v>
                </c:pt>
                <c:pt idx="1">
                  <c:v>6.2696063448273304E-2</c:v>
                </c:pt>
                <c:pt idx="2">
                  <c:v>0.11145966835248589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81504"/>
        <c:axId val="6983040"/>
      </c:barChart>
      <c:catAx>
        <c:axId val="69815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983040"/>
        <c:crosses val="autoZero"/>
        <c:auto val="1"/>
        <c:lblAlgn val="ctr"/>
        <c:lblOffset val="100"/>
        <c:noMultiLvlLbl val="0"/>
      </c:catAx>
      <c:valAx>
        <c:axId val="6983040"/>
        <c:scaling>
          <c:orientation val="minMax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98150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tx>
            <c:v>Conventional technologies</c:v>
          </c:tx>
          <c:spPr>
            <a:solidFill>
              <a:schemeClr val="accent6"/>
            </a:solidFill>
          </c:spPr>
          <c:invertIfNegative val="0"/>
          <c:cat>
            <c:strRef>
              <c:f>'(3) FCH technology assessment'!$B$117:$B$128</c:f>
              <c:strCache>
                <c:ptCount val="12"/>
                <c:pt idx="0">
                  <c:v>Hydrogen turbine (OC)</c:v>
                </c:pt>
                <c:pt idx="1">
                  <c:v>Hydrogen turbine (CC)</c:v>
                </c:pt>
                <c:pt idx="2">
                  <c:v>Prime power H2 fuel cell</c:v>
                </c:pt>
                <c:pt idx="3">
                  <c:v>Prime power natural gas fuel cell</c:v>
                </c:pt>
                <c:pt idx="4">
                  <c:v>Micro-CHP with H2 fuel cell (power)</c:v>
                </c:pt>
                <c:pt idx="5">
                  <c:v>Micro-CHP with natural gas fuel cell (power)</c:v>
                </c:pt>
                <c:pt idx="6">
                  <c:v>District-CHP with H2 fuel cell (power)</c:v>
                </c:pt>
                <c:pt idx="7">
                  <c:v>District-CHP with natural gas fuel cell (power)</c:v>
                </c:pt>
                <c:pt idx="8">
                  <c:v>Natural gas turbine (OC) </c:v>
                </c:pt>
                <c:pt idx="9">
                  <c:v>Natural gas turbine (CC)</c:v>
                </c:pt>
                <c:pt idx="10">
                  <c:v>Gas engine</c:v>
                </c:pt>
                <c:pt idx="11">
                  <c:v>Gas-fired District-CHP (power)</c:v>
                </c:pt>
              </c:strCache>
            </c:strRef>
          </c:cat>
          <c:val>
            <c:numRef>
              <c:f>'(3) FCH technology assessment'!$E$117:$E$128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>
                  <c:v>0.26418345189527337</c:v>
                </c:pt>
                <c:pt idx="9">
                  <c:v>0.19832164711691966</c:v>
                </c:pt>
                <c:pt idx="10">
                  <c:v>0.29734591207818223</c:v>
                </c:pt>
                <c:pt idx="11">
                  <c:v>0.24196536483800726</c:v>
                </c:pt>
              </c:numCache>
            </c:numRef>
          </c:val>
        </c:ser>
        <c:ser>
          <c:idx val="0"/>
          <c:order val="1"/>
          <c:tx>
            <c:v>FCH technologies</c:v>
          </c:tx>
          <c:invertIfNegative val="0"/>
          <c:cat>
            <c:strRef>
              <c:f>'(3) FCH technology assessment'!$B$117:$B$128</c:f>
              <c:strCache>
                <c:ptCount val="12"/>
                <c:pt idx="0">
                  <c:v>Hydrogen turbine (OC)</c:v>
                </c:pt>
                <c:pt idx="1">
                  <c:v>Hydrogen turbine (CC)</c:v>
                </c:pt>
                <c:pt idx="2">
                  <c:v>Prime power H2 fuel cell</c:v>
                </c:pt>
                <c:pt idx="3">
                  <c:v>Prime power natural gas fuel cell</c:v>
                </c:pt>
                <c:pt idx="4">
                  <c:v>Micro-CHP with H2 fuel cell (power)</c:v>
                </c:pt>
                <c:pt idx="5">
                  <c:v>Micro-CHP with natural gas fuel cell (power)</c:v>
                </c:pt>
                <c:pt idx="6">
                  <c:v>District-CHP with H2 fuel cell (power)</c:v>
                </c:pt>
                <c:pt idx="7">
                  <c:v>District-CHP with natural gas fuel cell (power)</c:v>
                </c:pt>
                <c:pt idx="8">
                  <c:v>Natural gas turbine (OC) </c:v>
                </c:pt>
                <c:pt idx="9">
                  <c:v>Natural gas turbine (CC)</c:v>
                </c:pt>
                <c:pt idx="10">
                  <c:v>Gas engine</c:v>
                </c:pt>
                <c:pt idx="11">
                  <c:v>Gas-fired District-CHP (power)</c:v>
                </c:pt>
              </c:strCache>
            </c:strRef>
          </c:cat>
          <c:val>
            <c:numRef>
              <c:f>'(3) FCH technology assessment'!$D$117:$D$128</c:f>
              <c:numCache>
                <c:formatCode>General</c:formatCode>
                <c:ptCount val="12"/>
                <c:pt idx="0">
                  <c:v>0.2693465051836762</c:v>
                </c:pt>
                <c:pt idx="1">
                  <c:v>0.39854653524833017</c:v>
                </c:pt>
                <c:pt idx="2">
                  <c:v>0.31957917791440077</c:v>
                </c:pt>
                <c:pt idx="3">
                  <c:v>0.29632088004206025</c:v>
                </c:pt>
                <c:pt idx="4">
                  <c:v>0.25571223688377626</c:v>
                </c:pt>
                <c:pt idx="5">
                  <c:v>0.24314740929756934</c:v>
                </c:pt>
                <c:pt idx="6">
                  <c:v>0.22987338450254557</c:v>
                </c:pt>
                <c:pt idx="7">
                  <c:v>0.21548996344991395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08256"/>
        <c:axId val="7009792"/>
      </c:barChart>
      <c:catAx>
        <c:axId val="70082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009792"/>
        <c:crosses val="autoZero"/>
        <c:auto val="1"/>
        <c:lblAlgn val="ctr"/>
        <c:lblOffset val="100"/>
        <c:noMultiLvlLbl val="0"/>
      </c:catAx>
      <c:valAx>
        <c:axId val="7009792"/>
        <c:scaling>
          <c:orientation val="minMax"/>
        </c:scaling>
        <c:delete val="0"/>
        <c:axPos val="b"/>
        <c:majorGridlines/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00825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tx>
            <c:v>Conventional technologies</c:v>
          </c:tx>
          <c:spPr>
            <a:solidFill>
              <a:schemeClr val="accent6"/>
            </a:solidFill>
          </c:spPr>
          <c:invertIfNegative val="0"/>
          <c:cat>
            <c:strRef>
              <c:f>'(3) FCH technology assessment'!$B$93:$B$100</c:f>
              <c:strCache>
                <c:ptCount val="8"/>
                <c:pt idx="0">
                  <c:v>Industrial H2 boiler</c:v>
                </c:pt>
                <c:pt idx="1">
                  <c:v>Micro-CHP with H2 fuel cell (heat)</c:v>
                </c:pt>
                <c:pt idx="2">
                  <c:v>Micro-CHP with natural gas fuel cell (heat)</c:v>
                </c:pt>
                <c:pt idx="3">
                  <c:v>District-CHP with H2 fuel cell (heat)</c:v>
                </c:pt>
                <c:pt idx="4">
                  <c:v>District-CHP with natural gas fuel cell (heat)</c:v>
                </c:pt>
                <c:pt idx="5">
                  <c:v>Gas-fired industrial boiler</c:v>
                </c:pt>
                <c:pt idx="6">
                  <c:v>Gas-fired residential boiler</c:v>
                </c:pt>
                <c:pt idx="7">
                  <c:v>Gas-fired District-CHP (heat)</c:v>
                </c:pt>
              </c:strCache>
            </c:strRef>
          </c:cat>
          <c:val>
            <c:numRef>
              <c:f>'(3) FCH technology assessment'!$E$93:$E$100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General">
                  <c:v>4.0142662471985696E-2</c:v>
                </c:pt>
                <c:pt idx="6" formatCode="General">
                  <c:v>3.9333221609246551E-2</c:v>
                </c:pt>
                <c:pt idx="7" formatCode="General">
                  <c:v>3.5867216016322818E-2</c:v>
                </c:pt>
              </c:numCache>
            </c:numRef>
          </c:val>
        </c:ser>
        <c:ser>
          <c:idx val="0"/>
          <c:order val="1"/>
          <c:tx>
            <c:v>FCH technologies</c:v>
          </c:tx>
          <c:invertIfNegative val="0"/>
          <c:cat>
            <c:strRef>
              <c:f>'(3) FCH technology assessment'!$B$93:$B$100</c:f>
              <c:strCache>
                <c:ptCount val="8"/>
                <c:pt idx="0">
                  <c:v>Industrial H2 boiler</c:v>
                </c:pt>
                <c:pt idx="1">
                  <c:v>Micro-CHP with H2 fuel cell (heat)</c:v>
                </c:pt>
                <c:pt idx="2">
                  <c:v>Micro-CHP with natural gas fuel cell (heat)</c:v>
                </c:pt>
                <c:pt idx="3">
                  <c:v>District-CHP with H2 fuel cell (heat)</c:v>
                </c:pt>
                <c:pt idx="4">
                  <c:v>District-CHP with natural gas fuel cell (heat)</c:v>
                </c:pt>
                <c:pt idx="5">
                  <c:v>Gas-fired industrial boiler</c:v>
                </c:pt>
                <c:pt idx="6">
                  <c:v>Gas-fired residential boiler</c:v>
                </c:pt>
                <c:pt idx="7">
                  <c:v>Gas-fired District-CHP (heat)</c:v>
                </c:pt>
              </c:strCache>
            </c:strRef>
          </c:cat>
          <c:val>
            <c:numRef>
              <c:f>'(3) FCH technology assessment'!$D$93:$D$100</c:f>
              <c:numCache>
                <c:formatCode>General</c:formatCode>
                <c:ptCount val="8"/>
                <c:pt idx="0">
                  <c:v>3.9225572980251873E-2</c:v>
                </c:pt>
                <c:pt idx="1">
                  <c:v>7.1031176912160071E-2</c:v>
                </c:pt>
                <c:pt idx="2">
                  <c:v>6.7540947027102588E-2</c:v>
                </c:pt>
                <c:pt idx="3">
                  <c:v>6.3853717917373765E-2</c:v>
                </c:pt>
                <c:pt idx="4">
                  <c:v>5.985832318053165E-2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347904"/>
        <c:axId val="36349440"/>
      </c:barChart>
      <c:catAx>
        <c:axId val="363479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6349440"/>
        <c:crosses val="autoZero"/>
        <c:auto val="1"/>
        <c:lblAlgn val="ctr"/>
        <c:lblOffset val="100"/>
        <c:noMultiLvlLbl val="0"/>
      </c:catAx>
      <c:valAx>
        <c:axId val="36349440"/>
        <c:scaling>
          <c:orientation val="minMax"/>
        </c:scaling>
        <c:delete val="0"/>
        <c:axPos val="b"/>
        <c:majorGridlines/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634790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7609459481547606"/>
          <c:y val="0.11547575747686704"/>
          <c:w val="0.48440639762419557"/>
          <c:h val="0.8054654036366011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'(4) FCH pathway assessment'!$I$23</c:f>
              <c:strCache>
                <c:ptCount val="1"/>
                <c:pt idx="0">
                  <c:v>value below average</c:v>
                </c:pt>
              </c:strCache>
            </c:strRef>
          </c:tx>
          <c:invertIfNegative val="0"/>
          <c:cat>
            <c:strRef>
              <c:f>[0]!Pathway</c:f>
              <c:strCache>
                <c:ptCount val="4"/>
                <c:pt idx="0">
                  <c:v>[NG_PROD]   →   [NG_STRG]   →   [NG_TRNSP]   →   NG_FC_DCHP_PWR</c:v>
                </c:pt>
                <c:pt idx="1">
                  <c:v>[NG_PROD]   →   [NG_STRG]   →   [NG_TRNSP]   →   [NG_OCGT_PWR]</c:v>
                </c:pt>
                <c:pt idx="2">
                  <c:v>[NG_PROD]   →   [NG_STRG]   →   [NG_TRNSP]   →   [NG_CCGT_PWR]</c:v>
                </c:pt>
                <c:pt idx="3">
                  <c:v>[NG_PROD]   →   [NG_STRG]   →   [NG_TRNSP]   →   [NG_DCHP_PWR]</c:v>
                </c:pt>
              </c:strCache>
            </c:strRef>
          </c:cat>
          <c:val>
            <c:numRef>
              <c:f>[0]!smaller</c:f>
              <c:numCache>
                <c:formatCode>General</c:formatCode>
                <c:ptCount val="4"/>
                <c:pt idx="0">
                  <c:v>0</c:v>
                </c:pt>
                <c:pt idx="1">
                  <c:v>7.5142118561940016E-2</c:v>
                </c:pt>
                <c:pt idx="2">
                  <c:v>5.8864925805444251E-2</c:v>
                </c:pt>
                <c:pt idx="3">
                  <c:v>7.0109607262249657E-2</c:v>
                </c:pt>
              </c:numCache>
            </c:numRef>
          </c:val>
        </c:ser>
        <c:ser>
          <c:idx val="1"/>
          <c:order val="1"/>
          <c:tx>
            <c:strRef>
              <c:f>'(4) FCH pathway assessment'!$J$23</c:f>
              <c:strCache>
                <c:ptCount val="1"/>
                <c:pt idx="0">
                  <c:v>value above average</c:v>
                </c:pt>
              </c:strCache>
            </c:strRef>
          </c:tx>
          <c:invertIfNegative val="0"/>
          <c:cat>
            <c:strRef>
              <c:f>[0]!Pathway</c:f>
              <c:strCache>
                <c:ptCount val="4"/>
                <c:pt idx="0">
                  <c:v>[NG_PROD]   →   [NG_STRG]   →   [NG_TRNSP]   →   NG_FC_DCHP_PWR</c:v>
                </c:pt>
                <c:pt idx="1">
                  <c:v>[NG_PROD]   →   [NG_STRG]   →   [NG_TRNSP]   →   [NG_OCGT_PWR]</c:v>
                </c:pt>
                <c:pt idx="2">
                  <c:v>[NG_PROD]   →   [NG_STRG]   →   [NG_TRNSP]   →   [NG_CCGT_PWR]</c:v>
                </c:pt>
                <c:pt idx="3">
                  <c:v>[NG_PROD]   →   [NG_STRG]   →   [NG_TRNSP]   →   [NG_DCHP_PWR]</c:v>
                </c:pt>
              </c:strCache>
            </c:strRef>
          </c:cat>
          <c:val>
            <c:numRef>
              <c:f>[0]!larger</c:f>
              <c:numCache>
                <c:formatCode>General</c:formatCode>
                <c:ptCount val="4"/>
                <c:pt idx="0">
                  <c:v>0.20618917397622977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744640"/>
        <c:axId val="59746176"/>
      </c:barChart>
      <c:scatterChart>
        <c:scatterStyle val="lineMarker"/>
        <c:varyColors val="0"/>
        <c:ser>
          <c:idx val="2"/>
          <c:order val="2"/>
          <c:tx>
            <c:strRef>
              <c:f>'(4) FCH pathway assessment'!$K$23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dash"/>
              </a:ln>
            </c:spPr>
          </c:dPt>
          <c:xVal>
            <c:numRef>
              <c:f>'(4) FCH pathway assessment'!$K$24:$K$25</c:f>
              <c:numCache>
                <c:formatCode>General</c:formatCode>
                <c:ptCount val="2"/>
                <c:pt idx="0">
                  <c:v>0.10257645640146593</c:v>
                </c:pt>
                <c:pt idx="1">
                  <c:v>0.10257645640146593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57696"/>
        <c:axId val="59747712"/>
      </c:scatterChart>
      <c:catAx>
        <c:axId val="59744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anchor="ctr" anchorCtr="1"/>
          <a:lstStyle/>
          <a:p>
            <a:pPr>
              <a:defRPr sz="1050"/>
            </a:pPr>
            <a:endParaRPr lang="en-US"/>
          </a:p>
        </c:txPr>
        <c:crossAx val="59746176"/>
        <c:crosses val="autoZero"/>
        <c:auto val="1"/>
        <c:lblAlgn val="ctr"/>
        <c:lblOffset val="100"/>
        <c:noMultiLvlLbl val="0"/>
      </c:catAx>
      <c:valAx>
        <c:axId val="59746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9744640"/>
        <c:crosses val="autoZero"/>
        <c:crossBetween val="between"/>
      </c:valAx>
      <c:valAx>
        <c:axId val="59747712"/>
        <c:scaling>
          <c:orientation val="minMax"/>
          <c:max val="1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59757696"/>
        <c:crosses val="max"/>
        <c:crossBetween val="midCat"/>
      </c:valAx>
      <c:valAx>
        <c:axId val="5975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747712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1773686909825927"/>
          <c:y val="3.7968675842429997E-3"/>
          <c:w val="0.64526249736024377"/>
          <c:h val="9.5633527455476999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'H2-FlexibilityCurtailment'!$F$4</c:f>
              <c:strCache>
                <c:ptCount val="1"/>
                <c:pt idx="0">
                  <c:v>Isolated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'H2-FlexibilityCurtailment'!$K$3:$O$3</c:f>
              <c:numCache>
                <c:formatCode>0%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'H2-FlexibilityCurtailment'!$K$4:$O$4</c:f>
              <c:numCache>
                <c:formatCode>0.00%</c:formatCode>
                <c:ptCount val="5"/>
                <c:pt idx="0">
                  <c:v>0.01</c:v>
                </c:pt>
                <c:pt idx="1">
                  <c:v>0.02</c:v>
                </c:pt>
                <c:pt idx="2">
                  <c:v>4.4999999999999998E-2</c:v>
                </c:pt>
                <c:pt idx="3">
                  <c:v>0.11</c:v>
                </c:pt>
                <c:pt idx="4">
                  <c:v>0.16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'H2-FlexibilityCurtailment'!$F$5</c:f>
              <c:strCache>
                <c:ptCount val="1"/>
                <c:pt idx="0">
                  <c:v>Low interconnection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'H2-FlexibilityCurtailment'!$K$3:$O$3</c:f>
              <c:numCache>
                <c:formatCode>0%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'H2-FlexibilityCurtailment'!$K$5:$O$5</c:f>
              <c:numCache>
                <c:formatCode>0.00%</c:formatCode>
                <c:ptCount val="5"/>
                <c:pt idx="0">
                  <c:v>5.0000000000000001E-3</c:v>
                </c:pt>
                <c:pt idx="1">
                  <c:v>0.01</c:v>
                </c:pt>
                <c:pt idx="2">
                  <c:v>0.02</c:v>
                </c:pt>
                <c:pt idx="3">
                  <c:v>0.04</c:v>
                </c:pt>
                <c:pt idx="4">
                  <c:v>7.4999999999999997E-2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'H2-FlexibilityCurtailment'!$F$6</c:f>
              <c:strCache>
                <c:ptCount val="1"/>
                <c:pt idx="0">
                  <c:v>Well interconected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'H2-FlexibilityCurtailment'!$K$3:$O$3</c:f>
              <c:numCache>
                <c:formatCode>0%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'H2-FlexibilityCurtailment'!$K$6:$O$6</c:f>
              <c:numCache>
                <c:formatCode>0.00%</c:formatCode>
                <c:ptCount val="5"/>
                <c:pt idx="0">
                  <c:v>0</c:v>
                </c:pt>
                <c:pt idx="1">
                  <c:v>5.0000000000000001E-4</c:v>
                </c:pt>
                <c:pt idx="2">
                  <c:v>1.4999999999999999E-2</c:v>
                </c:pt>
                <c:pt idx="3">
                  <c:v>0.03</c:v>
                </c:pt>
                <c:pt idx="4">
                  <c:v>0.05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'H2-FlexibilityCurtailment'!$F$7</c:f>
              <c:strCache>
                <c:ptCount val="1"/>
                <c:pt idx="0">
                  <c:v>Very well interconnected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'H2-FlexibilityCurtailment'!$K$3:$O$3</c:f>
              <c:numCache>
                <c:formatCode>0%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'H2-FlexibilityCurtailment'!$K$7:$O$7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5.0000000000000001E-4</c:v>
                </c:pt>
                <c:pt idx="3">
                  <c:v>1.4999999999999999E-2</c:v>
                </c:pt>
                <c:pt idx="4">
                  <c:v>3.5000000000000003E-2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15392"/>
        <c:axId val="143117312"/>
      </c:lineChart>
      <c:catAx>
        <c:axId val="143115392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117312"/>
        <c:crosses val="max"/>
        <c:auto val="1"/>
        <c:lblAlgn val="ctr"/>
        <c:lblOffset val="100"/>
        <c:noMultiLvlLbl val="0"/>
      </c:catAx>
      <c:valAx>
        <c:axId val="14311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11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203201</xdr:colOff>
      <xdr:row>1</xdr:row>
      <xdr:rowOff>9525</xdr:rowOff>
    </xdr:from>
    <xdr:to>
      <xdr:col>10</xdr:col>
      <xdr:colOff>609599</xdr:colOff>
      <xdr:row>5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801" y="200025"/>
          <a:ext cx="2235198" cy="83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18</xdr:row>
      <xdr:rowOff>6</xdr:rowOff>
    </xdr:from>
    <xdr:to>
      <xdr:col>5</xdr:col>
      <xdr:colOff>196453</xdr:colOff>
      <xdr:row>23</xdr:row>
      <xdr:rowOff>112060</xdr:rowOff>
    </xdr:to>
    <xdr:cxnSp macro="">
      <xdr:nvCxnSpPr>
        <xdr:cNvPr id="2" name="Elbow Connector 1"/>
        <xdr:cNvCxnSpPr/>
      </xdr:nvCxnSpPr>
      <xdr:spPr>
        <a:xfrm rot="5400000" flipH="1" flipV="1">
          <a:off x="4252250" y="3691606"/>
          <a:ext cx="1064554" cy="196453"/>
        </a:xfrm>
        <a:prstGeom prst="bentConnector3">
          <a:avLst>
            <a:gd name="adj1" fmla="val 1648"/>
          </a:avLst>
        </a:prstGeom>
        <a:ln w="19050">
          <a:solidFill>
            <a:schemeClr val="accent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5443</xdr:colOff>
      <xdr:row>11</xdr:row>
      <xdr:rowOff>97971</xdr:rowOff>
    </xdr:from>
    <xdr:to>
      <xdr:col>5</xdr:col>
      <xdr:colOff>0</xdr:colOff>
      <xdr:row>12</xdr:row>
      <xdr:rowOff>0</xdr:rowOff>
    </xdr:to>
    <xdr:cxnSp macro="">
      <xdr:nvCxnSpPr>
        <xdr:cNvPr id="3" name="Elbow Connector 2"/>
        <xdr:cNvCxnSpPr/>
      </xdr:nvCxnSpPr>
      <xdr:spPr>
        <a:xfrm>
          <a:off x="1396093" y="2022021"/>
          <a:ext cx="3290207" cy="92529"/>
        </a:xfrm>
        <a:prstGeom prst="bentConnector3">
          <a:avLst>
            <a:gd name="adj1" fmla="val 11730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783771</xdr:colOff>
      <xdr:row>11</xdr:row>
      <xdr:rowOff>97971</xdr:rowOff>
    </xdr:from>
    <xdr:to>
      <xdr:col>5</xdr:col>
      <xdr:colOff>0</xdr:colOff>
      <xdr:row>16</xdr:row>
      <xdr:rowOff>0</xdr:rowOff>
    </xdr:to>
    <xdr:cxnSp macro="">
      <xdr:nvCxnSpPr>
        <xdr:cNvPr id="4" name="Elbow Connector 3"/>
        <xdr:cNvCxnSpPr/>
      </xdr:nvCxnSpPr>
      <xdr:spPr>
        <a:xfrm>
          <a:off x="1393371" y="2022021"/>
          <a:ext cx="3292929" cy="854529"/>
        </a:xfrm>
        <a:prstGeom prst="bentConnector3">
          <a:avLst>
            <a:gd name="adj1" fmla="val 11695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783771</xdr:colOff>
      <xdr:row>11</xdr:row>
      <xdr:rowOff>97971</xdr:rowOff>
    </xdr:from>
    <xdr:to>
      <xdr:col>4</xdr:col>
      <xdr:colOff>2443843</xdr:colOff>
      <xdr:row>20</xdr:row>
      <xdr:rowOff>5443</xdr:rowOff>
    </xdr:to>
    <xdr:cxnSp macro="">
      <xdr:nvCxnSpPr>
        <xdr:cNvPr id="5" name="Elbow Connector 4"/>
        <xdr:cNvCxnSpPr/>
      </xdr:nvCxnSpPr>
      <xdr:spPr>
        <a:xfrm>
          <a:off x="1393371" y="2022021"/>
          <a:ext cx="3203122" cy="1621972"/>
        </a:xfrm>
        <a:prstGeom prst="bentConnector3">
          <a:avLst>
            <a:gd name="adj1" fmla="val 11630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27215</xdr:colOff>
      <xdr:row>23</xdr:row>
      <xdr:rowOff>81643</xdr:rowOff>
    </xdr:from>
    <xdr:to>
      <xdr:col>5</xdr:col>
      <xdr:colOff>19050</xdr:colOff>
      <xdr:row>24</xdr:row>
      <xdr:rowOff>0</xdr:rowOff>
    </xdr:to>
    <xdr:cxnSp macro="">
      <xdr:nvCxnSpPr>
        <xdr:cNvPr id="6" name="Elbow Connector 5"/>
        <xdr:cNvCxnSpPr/>
      </xdr:nvCxnSpPr>
      <xdr:spPr>
        <a:xfrm>
          <a:off x="1417865" y="4291693"/>
          <a:ext cx="3287485" cy="108857"/>
        </a:xfrm>
        <a:prstGeom prst="bentConnector3">
          <a:avLst>
            <a:gd name="adj1" fmla="val 11003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5443</xdr:colOff>
      <xdr:row>23</xdr:row>
      <xdr:rowOff>81643</xdr:rowOff>
    </xdr:from>
    <xdr:to>
      <xdr:col>5</xdr:col>
      <xdr:colOff>9525</xdr:colOff>
      <xdr:row>28</xdr:row>
      <xdr:rowOff>0</xdr:rowOff>
    </xdr:to>
    <xdr:cxnSp macro="">
      <xdr:nvCxnSpPr>
        <xdr:cNvPr id="7" name="Elbow Connector 6"/>
        <xdr:cNvCxnSpPr/>
      </xdr:nvCxnSpPr>
      <xdr:spPr>
        <a:xfrm>
          <a:off x="1396093" y="4291693"/>
          <a:ext cx="3299732" cy="870857"/>
        </a:xfrm>
        <a:prstGeom prst="bentConnector3">
          <a:avLst>
            <a:gd name="adj1" fmla="val 11574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5443</xdr:colOff>
      <xdr:row>23</xdr:row>
      <xdr:rowOff>81643</xdr:rowOff>
    </xdr:from>
    <xdr:to>
      <xdr:col>5</xdr:col>
      <xdr:colOff>9525</xdr:colOff>
      <xdr:row>31</xdr:row>
      <xdr:rowOff>1361</xdr:rowOff>
    </xdr:to>
    <xdr:cxnSp macro="">
      <xdr:nvCxnSpPr>
        <xdr:cNvPr id="8" name="Elbow Connector 7"/>
        <xdr:cNvCxnSpPr/>
      </xdr:nvCxnSpPr>
      <xdr:spPr>
        <a:xfrm>
          <a:off x="1396093" y="4291693"/>
          <a:ext cx="3299732" cy="1443718"/>
        </a:xfrm>
        <a:prstGeom prst="bentConnector3">
          <a:avLst>
            <a:gd name="adj1" fmla="val 11574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231321</xdr:colOff>
      <xdr:row>44</xdr:row>
      <xdr:rowOff>179295</xdr:rowOff>
    </xdr:from>
    <xdr:to>
      <xdr:col>14</xdr:col>
      <xdr:colOff>0</xdr:colOff>
      <xdr:row>47</xdr:row>
      <xdr:rowOff>122464</xdr:rowOff>
    </xdr:to>
    <xdr:cxnSp macro="">
      <xdr:nvCxnSpPr>
        <xdr:cNvPr id="9" name="Elbow Connector 8"/>
        <xdr:cNvCxnSpPr/>
      </xdr:nvCxnSpPr>
      <xdr:spPr>
        <a:xfrm flipV="1">
          <a:off x="11346996" y="8389845"/>
          <a:ext cx="1540329" cy="514669"/>
        </a:xfrm>
        <a:prstGeom prst="bentConnector3">
          <a:avLst>
            <a:gd name="adj1" fmla="val -443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5443</xdr:colOff>
      <xdr:row>34</xdr:row>
      <xdr:rowOff>92529</xdr:rowOff>
    </xdr:from>
    <xdr:to>
      <xdr:col>5</xdr:col>
      <xdr:colOff>0</xdr:colOff>
      <xdr:row>38</xdr:row>
      <xdr:rowOff>9525</xdr:rowOff>
    </xdr:to>
    <xdr:cxnSp macro="">
      <xdr:nvCxnSpPr>
        <xdr:cNvPr id="10" name="Elbow Connector 9"/>
        <xdr:cNvCxnSpPr/>
      </xdr:nvCxnSpPr>
      <xdr:spPr>
        <a:xfrm>
          <a:off x="1396093" y="6398079"/>
          <a:ext cx="3290207" cy="678996"/>
        </a:xfrm>
        <a:prstGeom prst="bentConnector3">
          <a:avLst>
            <a:gd name="adj1" fmla="val 11504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783771</xdr:colOff>
      <xdr:row>34</xdr:row>
      <xdr:rowOff>92529</xdr:rowOff>
    </xdr:from>
    <xdr:to>
      <xdr:col>5</xdr:col>
      <xdr:colOff>0</xdr:colOff>
      <xdr:row>41</xdr:row>
      <xdr:rowOff>9525</xdr:rowOff>
    </xdr:to>
    <xdr:cxnSp macro="">
      <xdr:nvCxnSpPr>
        <xdr:cNvPr id="11" name="Elbow Connector 10"/>
        <xdr:cNvCxnSpPr/>
      </xdr:nvCxnSpPr>
      <xdr:spPr>
        <a:xfrm>
          <a:off x="1393371" y="6398079"/>
          <a:ext cx="3292929" cy="1250496"/>
        </a:xfrm>
        <a:prstGeom prst="bentConnector3">
          <a:avLst>
            <a:gd name="adj1" fmla="val 11695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5443</xdr:colOff>
      <xdr:row>34</xdr:row>
      <xdr:rowOff>92529</xdr:rowOff>
    </xdr:from>
    <xdr:to>
      <xdr:col>5</xdr:col>
      <xdr:colOff>0</xdr:colOff>
      <xdr:row>44</xdr:row>
      <xdr:rowOff>1361</xdr:rowOff>
    </xdr:to>
    <xdr:cxnSp macro="">
      <xdr:nvCxnSpPr>
        <xdr:cNvPr id="12" name="Elbow Connector 11"/>
        <xdr:cNvCxnSpPr/>
      </xdr:nvCxnSpPr>
      <xdr:spPr>
        <a:xfrm>
          <a:off x="1396093" y="6398079"/>
          <a:ext cx="3290207" cy="1813832"/>
        </a:xfrm>
        <a:prstGeom prst="bentConnector3">
          <a:avLst>
            <a:gd name="adj1" fmla="val 11511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27</xdr:row>
      <xdr:rowOff>100853</xdr:rowOff>
    </xdr:from>
    <xdr:to>
      <xdr:col>8</xdr:col>
      <xdr:colOff>0</xdr:colOff>
      <xdr:row>39</xdr:row>
      <xdr:rowOff>0</xdr:rowOff>
    </xdr:to>
    <xdr:cxnSp macro="">
      <xdr:nvCxnSpPr>
        <xdr:cNvPr id="13" name="Elbow Connector 12"/>
        <xdr:cNvCxnSpPr/>
      </xdr:nvCxnSpPr>
      <xdr:spPr>
        <a:xfrm>
          <a:off x="4686300" y="5072903"/>
          <a:ext cx="2305050" cy="2185147"/>
        </a:xfrm>
        <a:prstGeom prst="bentConnector3">
          <a:avLst>
            <a:gd name="adj1" fmla="val 16834"/>
          </a:avLst>
        </a:prstGeom>
        <a:ln w="190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19</xdr:row>
      <xdr:rowOff>97330</xdr:rowOff>
    </xdr:from>
    <xdr:to>
      <xdr:col>6</xdr:col>
      <xdr:colOff>0</xdr:colOff>
      <xdr:row>29</xdr:row>
      <xdr:rowOff>97972</xdr:rowOff>
    </xdr:to>
    <xdr:cxnSp macro="">
      <xdr:nvCxnSpPr>
        <xdr:cNvPr id="14" name="Elbow Connector 13"/>
        <xdr:cNvCxnSpPr/>
      </xdr:nvCxnSpPr>
      <xdr:spPr>
        <a:xfrm rot="16200000" flipH="1">
          <a:off x="3923979" y="4307701"/>
          <a:ext cx="1905642" cy="381000"/>
        </a:xfrm>
        <a:prstGeom prst="bentConnector3">
          <a:avLst>
            <a:gd name="adj1" fmla="val -282"/>
          </a:avLst>
        </a:prstGeom>
        <a:ln w="19050">
          <a:solidFill>
            <a:schemeClr val="accent3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11206</xdr:colOff>
      <xdr:row>39</xdr:row>
      <xdr:rowOff>3</xdr:rowOff>
    </xdr:from>
    <xdr:to>
      <xdr:col>6</xdr:col>
      <xdr:colOff>5441</xdr:colOff>
      <xdr:row>40</xdr:row>
      <xdr:rowOff>112059</xdr:rowOff>
    </xdr:to>
    <xdr:cxnSp macro="">
      <xdr:nvCxnSpPr>
        <xdr:cNvPr id="15" name="Elbow Connector 14"/>
        <xdr:cNvCxnSpPr/>
      </xdr:nvCxnSpPr>
      <xdr:spPr>
        <a:xfrm flipV="1">
          <a:off x="4697506" y="7258053"/>
          <a:ext cx="375235" cy="302556"/>
        </a:xfrm>
        <a:prstGeom prst="bentConnector3">
          <a:avLst>
            <a:gd name="adj1" fmla="val 97782"/>
          </a:avLst>
        </a:prstGeom>
        <a:ln w="19050">
          <a:solidFill>
            <a:schemeClr val="accent3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5447</xdr:colOff>
      <xdr:row>40</xdr:row>
      <xdr:rowOff>108858</xdr:rowOff>
    </xdr:from>
    <xdr:to>
      <xdr:col>6</xdr:col>
      <xdr:colOff>5445</xdr:colOff>
      <xdr:row>43</xdr:row>
      <xdr:rowOff>103414</xdr:rowOff>
    </xdr:to>
    <xdr:cxnSp macro="">
      <xdr:nvCxnSpPr>
        <xdr:cNvPr id="16" name="Elbow Connector 15"/>
        <xdr:cNvCxnSpPr/>
      </xdr:nvCxnSpPr>
      <xdr:spPr>
        <a:xfrm rot="5400000" flipH="1" flipV="1">
          <a:off x="4599218" y="7649937"/>
          <a:ext cx="566056" cy="380998"/>
        </a:xfrm>
        <a:prstGeom prst="bentConnector3">
          <a:avLst>
            <a:gd name="adj1" fmla="val 0"/>
          </a:avLst>
        </a:prstGeom>
        <a:ln w="19050">
          <a:solidFill>
            <a:schemeClr val="accent3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11206</xdr:colOff>
      <xdr:row>32</xdr:row>
      <xdr:rowOff>1</xdr:rowOff>
    </xdr:from>
    <xdr:to>
      <xdr:col>8</xdr:col>
      <xdr:colOff>5445</xdr:colOff>
      <xdr:row>34</xdr:row>
      <xdr:rowOff>123265</xdr:rowOff>
    </xdr:to>
    <xdr:cxnSp macro="">
      <xdr:nvCxnSpPr>
        <xdr:cNvPr id="17" name="Elbow Connector 16"/>
        <xdr:cNvCxnSpPr/>
      </xdr:nvCxnSpPr>
      <xdr:spPr>
        <a:xfrm flipV="1">
          <a:off x="4697506" y="5924551"/>
          <a:ext cx="2299289" cy="504264"/>
        </a:xfrm>
        <a:prstGeom prst="bentConnector3">
          <a:avLst>
            <a:gd name="adj1" fmla="val 26321"/>
          </a:avLst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5443</xdr:colOff>
      <xdr:row>11</xdr:row>
      <xdr:rowOff>97971</xdr:rowOff>
    </xdr:from>
    <xdr:to>
      <xdr:col>8</xdr:col>
      <xdr:colOff>0</xdr:colOff>
      <xdr:row>18</xdr:row>
      <xdr:rowOff>10885</xdr:rowOff>
    </xdr:to>
    <xdr:cxnSp macro="">
      <xdr:nvCxnSpPr>
        <xdr:cNvPr id="18" name="Elbow Connector 17"/>
        <xdr:cNvCxnSpPr/>
      </xdr:nvCxnSpPr>
      <xdr:spPr>
        <a:xfrm>
          <a:off x="4691743" y="2022021"/>
          <a:ext cx="2299607" cy="1246414"/>
        </a:xfrm>
        <a:prstGeom prst="bentConnector3">
          <a:avLst>
            <a:gd name="adj1" fmla="val 8680"/>
          </a:avLst>
        </a:prstGeom>
        <a:ln w="19050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5442</xdr:colOff>
      <xdr:row>15</xdr:row>
      <xdr:rowOff>92527</xdr:rowOff>
    </xdr:from>
    <xdr:to>
      <xdr:col>5</xdr:col>
      <xdr:colOff>197827</xdr:colOff>
      <xdr:row>18</xdr:row>
      <xdr:rowOff>7329</xdr:rowOff>
    </xdr:to>
    <xdr:cxnSp macro="">
      <xdr:nvCxnSpPr>
        <xdr:cNvPr id="19" name="Elbow Connector 18"/>
        <xdr:cNvCxnSpPr/>
      </xdr:nvCxnSpPr>
      <xdr:spPr>
        <a:xfrm rot="16200000" flipH="1">
          <a:off x="4544784" y="2925535"/>
          <a:ext cx="486302" cy="192385"/>
        </a:xfrm>
        <a:prstGeom prst="bentConnector3">
          <a:avLst>
            <a:gd name="adj1" fmla="val -2073"/>
          </a:avLst>
        </a:prstGeom>
        <a:ln w="19050">
          <a:solidFill>
            <a:schemeClr val="accent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</xdr:colOff>
      <xdr:row>25</xdr:row>
      <xdr:rowOff>89648</xdr:rowOff>
    </xdr:from>
    <xdr:to>
      <xdr:col>5</xdr:col>
      <xdr:colOff>212911</xdr:colOff>
      <xdr:row>37</xdr:row>
      <xdr:rowOff>100856</xdr:rowOff>
    </xdr:to>
    <xdr:cxnSp macro="">
      <xdr:nvCxnSpPr>
        <xdr:cNvPr id="20" name="Elbow Connector 19"/>
        <xdr:cNvCxnSpPr/>
      </xdr:nvCxnSpPr>
      <xdr:spPr>
        <a:xfrm rot="5400000" flipH="1" flipV="1">
          <a:off x="3644153" y="5722847"/>
          <a:ext cx="2297208" cy="212909"/>
        </a:xfrm>
        <a:prstGeom prst="bentConnector3">
          <a:avLst>
            <a:gd name="adj1" fmla="val 244"/>
          </a:avLst>
        </a:prstGeom>
        <a:ln w="19050">
          <a:solidFill>
            <a:schemeClr val="accent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8793</xdr:colOff>
      <xdr:row>36</xdr:row>
      <xdr:rowOff>9525</xdr:rowOff>
    </xdr:from>
    <xdr:to>
      <xdr:col>11</xdr:col>
      <xdr:colOff>0</xdr:colOff>
      <xdr:row>38</xdr:row>
      <xdr:rowOff>104775</xdr:rowOff>
    </xdr:to>
    <xdr:cxnSp macro="">
      <xdr:nvCxnSpPr>
        <xdr:cNvPr id="21" name="Elbow Connector 20"/>
        <xdr:cNvCxnSpPr/>
      </xdr:nvCxnSpPr>
      <xdr:spPr>
        <a:xfrm flipV="1">
          <a:off x="7000143" y="6696075"/>
          <a:ext cx="3734532" cy="476250"/>
        </a:xfrm>
        <a:prstGeom prst="bentConnector3">
          <a:avLst>
            <a:gd name="adj1" fmla="val 9976"/>
          </a:avLst>
        </a:prstGeom>
        <a:ln w="190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26</xdr:row>
      <xdr:rowOff>183932</xdr:rowOff>
    </xdr:from>
    <xdr:to>
      <xdr:col>11</xdr:col>
      <xdr:colOff>6569</xdr:colOff>
      <xdr:row>31</xdr:row>
      <xdr:rowOff>100853</xdr:rowOff>
    </xdr:to>
    <xdr:cxnSp macro="">
      <xdr:nvCxnSpPr>
        <xdr:cNvPr id="22" name="Elbow Connector 21"/>
        <xdr:cNvCxnSpPr/>
      </xdr:nvCxnSpPr>
      <xdr:spPr>
        <a:xfrm flipV="1">
          <a:off x="6991350" y="4965482"/>
          <a:ext cx="3749894" cy="869421"/>
        </a:xfrm>
        <a:prstGeom prst="bentConnector3">
          <a:avLst>
            <a:gd name="adj1" fmla="val 15330"/>
          </a:avLst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197069</xdr:colOff>
      <xdr:row>31</xdr:row>
      <xdr:rowOff>98536</xdr:rowOff>
    </xdr:from>
    <xdr:to>
      <xdr:col>11</xdr:col>
      <xdr:colOff>0</xdr:colOff>
      <xdr:row>31</xdr:row>
      <xdr:rowOff>117230</xdr:rowOff>
    </xdr:to>
    <xdr:cxnSp macro="">
      <xdr:nvCxnSpPr>
        <xdr:cNvPr id="23" name="Elbow Connector 22"/>
        <xdr:cNvCxnSpPr/>
      </xdr:nvCxnSpPr>
      <xdr:spPr>
        <a:xfrm>
          <a:off x="7569419" y="5832586"/>
          <a:ext cx="3165256" cy="18694"/>
        </a:xfrm>
        <a:prstGeom prst="bentConnector3">
          <a:avLst>
            <a:gd name="adj1" fmla="val 12"/>
          </a:avLst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6569</xdr:colOff>
      <xdr:row>16</xdr:row>
      <xdr:rowOff>13138</xdr:rowOff>
    </xdr:from>
    <xdr:to>
      <xdr:col>11</xdr:col>
      <xdr:colOff>0</xdr:colOff>
      <xdr:row>17</xdr:row>
      <xdr:rowOff>98536</xdr:rowOff>
    </xdr:to>
    <xdr:cxnSp macro="">
      <xdr:nvCxnSpPr>
        <xdr:cNvPr id="24" name="Elbow Connector 23"/>
        <xdr:cNvCxnSpPr/>
      </xdr:nvCxnSpPr>
      <xdr:spPr>
        <a:xfrm flipV="1">
          <a:off x="6997919" y="2889688"/>
          <a:ext cx="3736756" cy="275898"/>
        </a:xfrm>
        <a:prstGeom prst="bentConnector3">
          <a:avLst>
            <a:gd name="adj1" fmla="val 4945"/>
          </a:avLst>
        </a:prstGeom>
        <a:ln w="19050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35</xdr:row>
      <xdr:rowOff>114300</xdr:rowOff>
    </xdr:from>
    <xdr:to>
      <xdr:col>13</xdr:col>
      <xdr:colOff>1378324</xdr:colOff>
      <xdr:row>37</xdr:row>
      <xdr:rowOff>0</xdr:rowOff>
    </xdr:to>
    <xdr:cxnSp macro="">
      <xdr:nvCxnSpPr>
        <xdr:cNvPr id="25" name="Elbow Connector 24"/>
        <xdr:cNvCxnSpPr/>
      </xdr:nvCxnSpPr>
      <xdr:spPr>
        <a:xfrm>
          <a:off x="10734675" y="6610350"/>
          <a:ext cx="2140324" cy="266700"/>
        </a:xfrm>
        <a:prstGeom prst="bentConnector3">
          <a:avLst>
            <a:gd name="adj1" fmla="val 4974"/>
          </a:avLst>
        </a:prstGeom>
        <a:ln w="19050">
          <a:solidFill>
            <a:schemeClr val="bg1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25</xdr:row>
      <xdr:rowOff>76201</xdr:rowOff>
    </xdr:from>
    <xdr:to>
      <xdr:col>14</xdr:col>
      <xdr:colOff>11206</xdr:colOff>
      <xdr:row>28</xdr:row>
      <xdr:rowOff>100853</xdr:rowOff>
    </xdr:to>
    <xdr:cxnSp macro="">
      <xdr:nvCxnSpPr>
        <xdr:cNvPr id="26" name="Elbow Connector 25"/>
        <xdr:cNvCxnSpPr/>
      </xdr:nvCxnSpPr>
      <xdr:spPr>
        <a:xfrm>
          <a:off x="10731954" y="4661808"/>
          <a:ext cx="2151609" cy="596152"/>
        </a:xfrm>
        <a:prstGeom prst="bentConnector3">
          <a:avLst>
            <a:gd name="adj1" fmla="val 15131"/>
          </a:avLst>
        </a:prstGeom>
        <a:ln w="1905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353785</xdr:colOff>
      <xdr:row>12</xdr:row>
      <xdr:rowOff>95250</xdr:rowOff>
    </xdr:from>
    <xdr:to>
      <xdr:col>13</xdr:col>
      <xdr:colOff>1374321</xdr:colOff>
      <xdr:row>20</xdr:row>
      <xdr:rowOff>108857</xdr:rowOff>
    </xdr:to>
    <xdr:cxnSp macro="">
      <xdr:nvCxnSpPr>
        <xdr:cNvPr id="27" name="Elbow Connector 26"/>
        <xdr:cNvCxnSpPr/>
      </xdr:nvCxnSpPr>
      <xdr:spPr>
        <a:xfrm flipV="1">
          <a:off x="11076214" y="2204357"/>
          <a:ext cx="1782536" cy="1537607"/>
        </a:xfrm>
        <a:prstGeom prst="bentConnector3">
          <a:avLst>
            <a:gd name="adj1" fmla="val -382"/>
          </a:avLst>
        </a:prstGeom>
        <a:ln w="1905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11206</xdr:colOff>
      <xdr:row>20</xdr:row>
      <xdr:rowOff>112061</xdr:rowOff>
    </xdr:from>
    <xdr:to>
      <xdr:col>14</xdr:col>
      <xdr:colOff>11206</xdr:colOff>
      <xdr:row>30</xdr:row>
      <xdr:rowOff>112059</xdr:rowOff>
    </xdr:to>
    <xdr:cxnSp macro="">
      <xdr:nvCxnSpPr>
        <xdr:cNvPr id="28" name="Elbow Connector 27"/>
        <xdr:cNvCxnSpPr/>
      </xdr:nvCxnSpPr>
      <xdr:spPr>
        <a:xfrm flipV="1">
          <a:off x="10745881" y="3750611"/>
          <a:ext cx="2152650" cy="1904998"/>
        </a:xfrm>
        <a:prstGeom prst="bentConnector3">
          <a:avLst>
            <a:gd name="adj1" fmla="val 15056"/>
          </a:avLst>
        </a:prstGeom>
        <a:ln w="1905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336177</xdr:colOff>
      <xdr:row>30</xdr:row>
      <xdr:rowOff>112059</xdr:rowOff>
    </xdr:from>
    <xdr:to>
      <xdr:col>14</xdr:col>
      <xdr:colOff>0</xdr:colOff>
      <xdr:row>36</xdr:row>
      <xdr:rowOff>22412</xdr:rowOff>
    </xdr:to>
    <xdr:cxnSp macro="">
      <xdr:nvCxnSpPr>
        <xdr:cNvPr id="29" name="Elbow Connector 28"/>
        <xdr:cNvCxnSpPr/>
      </xdr:nvCxnSpPr>
      <xdr:spPr>
        <a:xfrm>
          <a:off x="11070852" y="5655609"/>
          <a:ext cx="1816473" cy="1053353"/>
        </a:xfrm>
        <a:prstGeom prst="bentConnector3">
          <a:avLst>
            <a:gd name="adj1" fmla="val -618"/>
          </a:avLst>
        </a:prstGeom>
        <a:ln w="1905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324971</xdr:colOff>
      <xdr:row>36</xdr:row>
      <xdr:rowOff>22412</xdr:rowOff>
    </xdr:from>
    <xdr:to>
      <xdr:col>14</xdr:col>
      <xdr:colOff>0</xdr:colOff>
      <xdr:row>44</xdr:row>
      <xdr:rowOff>89647</xdr:rowOff>
    </xdr:to>
    <xdr:cxnSp macro="">
      <xdr:nvCxnSpPr>
        <xdr:cNvPr id="30" name="Elbow Connector 29"/>
        <xdr:cNvCxnSpPr/>
      </xdr:nvCxnSpPr>
      <xdr:spPr>
        <a:xfrm>
          <a:off x="11059646" y="6708962"/>
          <a:ext cx="1827679" cy="1591235"/>
        </a:xfrm>
        <a:prstGeom prst="bentConnector3">
          <a:avLst>
            <a:gd name="adj1" fmla="val -307"/>
          </a:avLst>
        </a:prstGeom>
        <a:ln w="1905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</xdr:colOff>
      <xdr:row>35</xdr:row>
      <xdr:rowOff>107498</xdr:rowOff>
    </xdr:from>
    <xdr:to>
      <xdr:col>17</xdr:col>
      <xdr:colOff>9525</xdr:colOff>
      <xdr:row>41</xdr:row>
      <xdr:rowOff>9525</xdr:rowOff>
    </xdr:to>
    <xdr:cxnSp macro="">
      <xdr:nvCxnSpPr>
        <xdr:cNvPr id="31" name="Elbow Connector 30"/>
        <xdr:cNvCxnSpPr/>
      </xdr:nvCxnSpPr>
      <xdr:spPr>
        <a:xfrm>
          <a:off x="12887326" y="6603548"/>
          <a:ext cx="2914649" cy="1045027"/>
        </a:xfrm>
        <a:prstGeom prst="bentConnector3">
          <a:avLst>
            <a:gd name="adj1" fmla="val 7190"/>
          </a:avLst>
        </a:prstGeom>
        <a:ln w="19050">
          <a:solidFill>
            <a:schemeClr val="bg1">
              <a:lumMod val="75000"/>
            </a:schemeClr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200024</xdr:colOff>
      <xdr:row>17</xdr:row>
      <xdr:rowOff>114304</xdr:rowOff>
    </xdr:from>
    <xdr:to>
      <xdr:col>16</xdr:col>
      <xdr:colOff>2143123</xdr:colOff>
      <xdr:row>43</xdr:row>
      <xdr:rowOff>95251</xdr:rowOff>
    </xdr:to>
    <xdr:cxnSp macro="">
      <xdr:nvCxnSpPr>
        <xdr:cNvPr id="33" name="Elbow Connector 32"/>
        <xdr:cNvCxnSpPr/>
      </xdr:nvCxnSpPr>
      <xdr:spPr>
        <a:xfrm rot="5400000" flipH="1" flipV="1">
          <a:off x="12163425" y="4486278"/>
          <a:ext cx="4933947" cy="2324099"/>
        </a:xfrm>
        <a:prstGeom prst="bentConnector3">
          <a:avLst>
            <a:gd name="adj1" fmla="val 100100"/>
          </a:avLst>
        </a:prstGeom>
        <a:ln w="19050">
          <a:solidFill>
            <a:schemeClr val="accent3"/>
          </a:solidFill>
          <a:prstDash val="solid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100854</xdr:colOff>
      <xdr:row>16</xdr:row>
      <xdr:rowOff>123264</xdr:rowOff>
    </xdr:from>
    <xdr:to>
      <xdr:col>14</xdr:col>
      <xdr:colOff>11206</xdr:colOff>
      <xdr:row>28</xdr:row>
      <xdr:rowOff>3</xdr:rowOff>
    </xdr:to>
    <xdr:cxnSp macro="">
      <xdr:nvCxnSpPr>
        <xdr:cNvPr id="34" name="Elbow Connector 33"/>
        <xdr:cNvCxnSpPr/>
      </xdr:nvCxnSpPr>
      <xdr:spPr>
        <a:xfrm rot="16200000" flipH="1">
          <a:off x="10976160" y="3240183"/>
          <a:ext cx="2162739" cy="1682002"/>
        </a:xfrm>
        <a:prstGeom prst="bentConnector3">
          <a:avLst>
            <a:gd name="adj1" fmla="val 100267"/>
          </a:avLst>
        </a:prstGeom>
        <a:ln w="19050">
          <a:solidFill>
            <a:schemeClr val="accent6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89649</xdr:colOff>
      <xdr:row>27</xdr:row>
      <xdr:rowOff>168091</xdr:rowOff>
    </xdr:from>
    <xdr:to>
      <xdr:col>14</xdr:col>
      <xdr:colOff>2</xdr:colOff>
      <xdr:row>44</xdr:row>
      <xdr:rowOff>11205</xdr:rowOff>
    </xdr:to>
    <xdr:cxnSp macro="">
      <xdr:nvCxnSpPr>
        <xdr:cNvPr id="35" name="Elbow Connector 34"/>
        <xdr:cNvCxnSpPr/>
      </xdr:nvCxnSpPr>
      <xdr:spPr>
        <a:xfrm rot="16200000" flipH="1">
          <a:off x="10505519" y="5839946"/>
          <a:ext cx="3081614" cy="1682003"/>
        </a:xfrm>
        <a:prstGeom prst="bentConnector3">
          <a:avLst>
            <a:gd name="adj1" fmla="val 100182"/>
          </a:avLst>
        </a:prstGeom>
        <a:ln w="19050">
          <a:solidFill>
            <a:schemeClr val="accent6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15</xdr:row>
      <xdr:rowOff>95250</xdr:rowOff>
    </xdr:from>
    <xdr:to>
      <xdr:col>14</xdr:col>
      <xdr:colOff>0</xdr:colOff>
      <xdr:row>20</xdr:row>
      <xdr:rowOff>12700</xdr:rowOff>
    </xdr:to>
    <xdr:cxnSp macro="">
      <xdr:nvCxnSpPr>
        <xdr:cNvPr id="36" name="Elbow Connector 35"/>
        <xdr:cNvCxnSpPr/>
      </xdr:nvCxnSpPr>
      <xdr:spPr>
        <a:xfrm>
          <a:off x="10744200" y="2781300"/>
          <a:ext cx="2143125" cy="869950"/>
        </a:xfrm>
        <a:prstGeom prst="bentConnector3">
          <a:avLst>
            <a:gd name="adj1" fmla="val 22160"/>
          </a:avLst>
        </a:prstGeom>
        <a:ln w="19050">
          <a:solidFill>
            <a:schemeClr val="accent6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3315</xdr:colOff>
      <xdr:row>19</xdr:row>
      <xdr:rowOff>101467</xdr:rowOff>
    </xdr:from>
    <xdr:to>
      <xdr:col>17</xdr:col>
      <xdr:colOff>9525</xdr:colOff>
      <xdr:row>25</xdr:row>
      <xdr:rowOff>9525</xdr:rowOff>
    </xdr:to>
    <xdr:cxnSp macro="">
      <xdr:nvCxnSpPr>
        <xdr:cNvPr id="37" name="Elbow Connector 36"/>
        <xdr:cNvCxnSpPr/>
      </xdr:nvCxnSpPr>
      <xdr:spPr>
        <a:xfrm>
          <a:off x="12890640" y="3549517"/>
          <a:ext cx="2911335" cy="1051058"/>
        </a:xfrm>
        <a:prstGeom prst="bentConnector3">
          <a:avLst>
            <a:gd name="adj1" fmla="val 7141"/>
          </a:avLst>
        </a:prstGeom>
        <a:ln w="19050">
          <a:solidFill>
            <a:schemeClr val="accent4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27</xdr:row>
      <xdr:rowOff>112059</xdr:rowOff>
    </xdr:from>
    <xdr:to>
      <xdr:col>17</xdr:col>
      <xdr:colOff>11206</xdr:colOff>
      <xdr:row>32</xdr:row>
      <xdr:rowOff>11206</xdr:rowOff>
    </xdr:to>
    <xdr:cxnSp macro="">
      <xdr:nvCxnSpPr>
        <xdr:cNvPr id="38" name="Elbow Connector 37"/>
        <xdr:cNvCxnSpPr/>
      </xdr:nvCxnSpPr>
      <xdr:spPr>
        <a:xfrm>
          <a:off x="12887325" y="5084109"/>
          <a:ext cx="2916331" cy="851647"/>
        </a:xfrm>
        <a:prstGeom prst="bentConnector3">
          <a:avLst>
            <a:gd name="adj1" fmla="val 8462"/>
          </a:avLst>
        </a:prstGeom>
        <a:ln w="19050">
          <a:solidFill>
            <a:schemeClr val="bg2">
              <a:lumMod val="50000"/>
            </a:schemeClr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6569</xdr:colOff>
      <xdr:row>41</xdr:row>
      <xdr:rowOff>114300</xdr:rowOff>
    </xdr:from>
    <xdr:to>
      <xdr:col>17</xdr:col>
      <xdr:colOff>9525</xdr:colOff>
      <xdr:row>43</xdr:row>
      <xdr:rowOff>91966</xdr:rowOff>
    </xdr:to>
    <xdr:cxnSp macro="">
      <xdr:nvCxnSpPr>
        <xdr:cNvPr id="39" name="Elbow Connector 38"/>
        <xdr:cNvCxnSpPr/>
      </xdr:nvCxnSpPr>
      <xdr:spPr>
        <a:xfrm flipV="1">
          <a:off x="12893334" y="7756712"/>
          <a:ext cx="2905279" cy="358666"/>
        </a:xfrm>
        <a:prstGeom prst="bentConnector3">
          <a:avLst>
            <a:gd name="adj1" fmla="val 19539"/>
          </a:avLst>
        </a:prstGeom>
        <a:ln w="19050">
          <a:solidFill>
            <a:schemeClr val="accent3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16</xdr:row>
      <xdr:rowOff>85397</xdr:rowOff>
    </xdr:from>
    <xdr:to>
      <xdr:col>11</xdr:col>
      <xdr:colOff>3</xdr:colOff>
      <xdr:row>38</xdr:row>
      <xdr:rowOff>95250</xdr:rowOff>
    </xdr:to>
    <xdr:cxnSp macro="">
      <xdr:nvCxnSpPr>
        <xdr:cNvPr id="40" name="Elbow Connector 39"/>
        <xdr:cNvCxnSpPr/>
      </xdr:nvCxnSpPr>
      <xdr:spPr>
        <a:xfrm rot="5400000" flipH="1" flipV="1">
          <a:off x="6953087" y="3381210"/>
          <a:ext cx="4200853" cy="3362328"/>
        </a:xfrm>
        <a:prstGeom prst="bentConnector3">
          <a:avLst>
            <a:gd name="adj1" fmla="val 99881"/>
          </a:avLst>
        </a:prstGeom>
        <a:ln w="190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203638</xdr:colOff>
      <xdr:row>16</xdr:row>
      <xdr:rowOff>177364</xdr:rowOff>
    </xdr:from>
    <xdr:to>
      <xdr:col>11</xdr:col>
      <xdr:colOff>0</xdr:colOff>
      <xdr:row>26</xdr:row>
      <xdr:rowOff>183931</xdr:rowOff>
    </xdr:to>
    <xdr:cxnSp macro="">
      <xdr:nvCxnSpPr>
        <xdr:cNvPr id="41" name="Elbow Connector 40"/>
        <xdr:cNvCxnSpPr/>
      </xdr:nvCxnSpPr>
      <xdr:spPr>
        <a:xfrm flipV="1">
          <a:off x="7575988" y="3053914"/>
          <a:ext cx="3158687" cy="1911567"/>
        </a:xfrm>
        <a:prstGeom prst="bentConnector3">
          <a:avLst>
            <a:gd name="adj1" fmla="val -218"/>
          </a:avLst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21981</xdr:colOff>
      <xdr:row>17</xdr:row>
      <xdr:rowOff>102577</xdr:rowOff>
    </xdr:from>
    <xdr:to>
      <xdr:col>11</xdr:col>
      <xdr:colOff>6569</xdr:colOff>
      <xdr:row>26</xdr:row>
      <xdr:rowOff>91966</xdr:rowOff>
    </xdr:to>
    <xdr:cxnSp macro="">
      <xdr:nvCxnSpPr>
        <xdr:cNvPr id="42" name="Elbow Connector 41"/>
        <xdr:cNvCxnSpPr/>
      </xdr:nvCxnSpPr>
      <xdr:spPr>
        <a:xfrm>
          <a:off x="7013331" y="3169627"/>
          <a:ext cx="3727913" cy="1703889"/>
        </a:xfrm>
        <a:prstGeom prst="bentConnector3">
          <a:avLst>
            <a:gd name="adj1" fmla="val 4650"/>
          </a:avLst>
        </a:prstGeom>
        <a:ln w="19050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14967</xdr:colOff>
      <xdr:row>17</xdr:row>
      <xdr:rowOff>100694</xdr:rowOff>
    </xdr:from>
    <xdr:to>
      <xdr:col>11</xdr:col>
      <xdr:colOff>7327</xdr:colOff>
      <xdr:row>31</xdr:row>
      <xdr:rowOff>7327</xdr:rowOff>
    </xdr:to>
    <xdr:cxnSp macro="">
      <xdr:nvCxnSpPr>
        <xdr:cNvPr id="43" name="Elbow Connector 42"/>
        <xdr:cNvCxnSpPr/>
      </xdr:nvCxnSpPr>
      <xdr:spPr>
        <a:xfrm>
          <a:off x="7006317" y="3167744"/>
          <a:ext cx="3735685" cy="2573633"/>
        </a:xfrm>
        <a:prstGeom prst="bentConnector3">
          <a:avLst>
            <a:gd name="adj1" fmla="val 4802"/>
          </a:avLst>
        </a:prstGeom>
        <a:ln w="19050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24</xdr:row>
      <xdr:rowOff>107731</xdr:rowOff>
    </xdr:from>
    <xdr:to>
      <xdr:col>11</xdr:col>
      <xdr:colOff>6569</xdr:colOff>
      <xdr:row>25</xdr:row>
      <xdr:rowOff>183931</xdr:rowOff>
    </xdr:to>
    <xdr:cxnSp macro="">
      <xdr:nvCxnSpPr>
        <xdr:cNvPr id="44" name="Elbow Connector 43"/>
        <xdr:cNvCxnSpPr/>
      </xdr:nvCxnSpPr>
      <xdr:spPr>
        <a:xfrm>
          <a:off x="6991350" y="4508281"/>
          <a:ext cx="3749894" cy="266700"/>
        </a:xfrm>
        <a:prstGeom prst="bentConnector3">
          <a:avLst>
            <a:gd name="adj1" fmla="val 2372"/>
          </a:avLst>
        </a:prstGeom>
        <a:ln w="1905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11206</xdr:colOff>
      <xdr:row>25</xdr:row>
      <xdr:rowOff>5447</xdr:rowOff>
    </xdr:from>
    <xdr:to>
      <xdr:col>8</xdr:col>
      <xdr:colOff>5442</xdr:colOff>
      <xdr:row>30</xdr:row>
      <xdr:rowOff>100853</xdr:rowOff>
    </xdr:to>
    <xdr:cxnSp macro="">
      <xdr:nvCxnSpPr>
        <xdr:cNvPr id="45" name="Elbow Connector 44"/>
        <xdr:cNvCxnSpPr/>
      </xdr:nvCxnSpPr>
      <xdr:spPr>
        <a:xfrm flipV="1">
          <a:off x="4697506" y="4596497"/>
          <a:ext cx="2299286" cy="1047906"/>
        </a:xfrm>
        <a:prstGeom prst="bentConnector3">
          <a:avLst>
            <a:gd name="adj1" fmla="val 25817"/>
          </a:avLst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13</xdr:row>
      <xdr:rowOff>13607</xdr:rowOff>
    </xdr:from>
    <xdr:to>
      <xdr:col>14</xdr:col>
      <xdr:colOff>0</xdr:colOff>
      <xdr:row>15</xdr:row>
      <xdr:rowOff>89648</xdr:rowOff>
    </xdr:to>
    <xdr:cxnSp macro="">
      <xdr:nvCxnSpPr>
        <xdr:cNvPr id="46" name="Elbow Connector 45"/>
        <xdr:cNvCxnSpPr/>
      </xdr:nvCxnSpPr>
      <xdr:spPr>
        <a:xfrm flipV="1">
          <a:off x="10722429" y="2313214"/>
          <a:ext cx="2149928" cy="457041"/>
        </a:xfrm>
        <a:prstGeom prst="bentConnector3">
          <a:avLst>
            <a:gd name="adj1" fmla="val 22785"/>
          </a:avLst>
        </a:prstGeom>
        <a:ln w="19050">
          <a:solidFill>
            <a:schemeClr val="accent6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11206</xdr:colOff>
      <xdr:row>34</xdr:row>
      <xdr:rowOff>89647</xdr:rowOff>
    </xdr:from>
    <xdr:to>
      <xdr:col>12</xdr:col>
      <xdr:colOff>231321</xdr:colOff>
      <xdr:row>47</xdr:row>
      <xdr:rowOff>122464</xdr:rowOff>
    </xdr:to>
    <xdr:cxnSp macro="">
      <xdr:nvCxnSpPr>
        <xdr:cNvPr id="47" name="Elbow Connector 11"/>
        <xdr:cNvCxnSpPr/>
      </xdr:nvCxnSpPr>
      <xdr:spPr>
        <a:xfrm>
          <a:off x="1401856" y="6395197"/>
          <a:ext cx="9945140" cy="2509317"/>
        </a:xfrm>
        <a:prstGeom prst="bentConnector3">
          <a:avLst>
            <a:gd name="adj1" fmla="val 3710"/>
          </a:avLst>
        </a:prstGeom>
        <a:ln w="1905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201706</xdr:colOff>
      <xdr:row>23</xdr:row>
      <xdr:rowOff>89647</xdr:rowOff>
    </xdr:from>
    <xdr:to>
      <xdr:col>8</xdr:col>
      <xdr:colOff>9211</xdr:colOff>
      <xdr:row>25</xdr:row>
      <xdr:rowOff>93576</xdr:rowOff>
    </xdr:to>
    <xdr:cxnSp macro="">
      <xdr:nvCxnSpPr>
        <xdr:cNvPr id="48" name="Elbow Connector 19"/>
        <xdr:cNvCxnSpPr/>
      </xdr:nvCxnSpPr>
      <xdr:spPr>
        <a:xfrm>
          <a:off x="4888006" y="4299697"/>
          <a:ext cx="2112555" cy="384929"/>
        </a:xfrm>
        <a:prstGeom prst="bentConnector3">
          <a:avLst>
            <a:gd name="adj1" fmla="val -49"/>
          </a:avLst>
        </a:prstGeom>
        <a:ln w="19050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30256</xdr:colOff>
      <xdr:row>34</xdr:row>
      <xdr:rowOff>95250</xdr:rowOff>
    </xdr:from>
    <xdr:to>
      <xdr:col>5</xdr:col>
      <xdr:colOff>0</xdr:colOff>
      <xdr:row>35</xdr:row>
      <xdr:rowOff>11206</xdr:rowOff>
    </xdr:to>
    <xdr:cxnSp macro="">
      <xdr:nvCxnSpPr>
        <xdr:cNvPr id="49" name="Elbow Connector 8"/>
        <xdr:cNvCxnSpPr/>
      </xdr:nvCxnSpPr>
      <xdr:spPr>
        <a:xfrm>
          <a:off x="1420906" y="6400800"/>
          <a:ext cx="3265394" cy="106456"/>
        </a:xfrm>
        <a:prstGeom prst="bentConnector3">
          <a:avLst>
            <a:gd name="adj1" fmla="val 10466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224118</xdr:colOff>
      <xdr:row>29</xdr:row>
      <xdr:rowOff>0</xdr:rowOff>
    </xdr:from>
    <xdr:to>
      <xdr:col>14</xdr:col>
      <xdr:colOff>0</xdr:colOff>
      <xdr:row>36</xdr:row>
      <xdr:rowOff>112059</xdr:rowOff>
    </xdr:to>
    <xdr:cxnSp macro="">
      <xdr:nvCxnSpPr>
        <xdr:cNvPr id="50" name="Elbow Connector 8"/>
        <xdr:cNvCxnSpPr/>
      </xdr:nvCxnSpPr>
      <xdr:spPr>
        <a:xfrm flipV="1">
          <a:off x="11339793" y="5353050"/>
          <a:ext cx="1547532" cy="1445559"/>
        </a:xfrm>
        <a:prstGeom prst="bentConnector3">
          <a:avLst>
            <a:gd name="adj1" fmla="val 0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224117</xdr:colOff>
      <xdr:row>36</xdr:row>
      <xdr:rowOff>114303</xdr:rowOff>
    </xdr:from>
    <xdr:to>
      <xdr:col>14</xdr:col>
      <xdr:colOff>9524</xdr:colOff>
      <xdr:row>44</xdr:row>
      <xdr:rowOff>179295</xdr:rowOff>
    </xdr:to>
    <xdr:cxnSp macro="">
      <xdr:nvCxnSpPr>
        <xdr:cNvPr id="51" name="Elbow Connector 8"/>
        <xdr:cNvCxnSpPr/>
      </xdr:nvCxnSpPr>
      <xdr:spPr>
        <a:xfrm rot="5400000" flipH="1" flipV="1">
          <a:off x="11323825" y="6816820"/>
          <a:ext cx="1588992" cy="1557057"/>
        </a:xfrm>
        <a:prstGeom prst="bentConnector3">
          <a:avLst>
            <a:gd name="adj1" fmla="val 100071"/>
          </a:avLst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11</xdr:row>
      <xdr:rowOff>95250</xdr:rowOff>
    </xdr:from>
    <xdr:to>
      <xdr:col>17</xdr:col>
      <xdr:colOff>11206</xdr:colOff>
      <xdr:row>17</xdr:row>
      <xdr:rowOff>0</xdr:rowOff>
    </xdr:to>
    <xdr:cxnSp macro="">
      <xdr:nvCxnSpPr>
        <xdr:cNvPr id="52" name="Elbow Connector 33"/>
        <xdr:cNvCxnSpPr/>
      </xdr:nvCxnSpPr>
      <xdr:spPr>
        <a:xfrm>
          <a:off x="12872357" y="2013857"/>
          <a:ext cx="2923135" cy="1047750"/>
        </a:xfrm>
        <a:prstGeom prst="bentConnector3">
          <a:avLst>
            <a:gd name="adj1" fmla="val 13226"/>
          </a:avLst>
        </a:prstGeom>
        <a:ln w="19050">
          <a:solidFill>
            <a:schemeClr val="accent6"/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13362</xdr:colOff>
      <xdr:row>1</xdr:row>
      <xdr:rowOff>0</xdr:rowOff>
    </xdr:from>
    <xdr:to>
      <xdr:col>17</xdr:col>
      <xdr:colOff>6724</xdr:colOff>
      <xdr:row>5</xdr:row>
      <xdr:rowOff>180975</xdr:rowOff>
    </xdr:to>
    <xdr:pic>
      <xdr:nvPicPr>
        <xdr:cNvPr id="53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1687" y="190500"/>
          <a:ext cx="2517487" cy="942975"/>
        </a:xfrm>
        <a:prstGeom prst="rect">
          <a:avLst/>
        </a:prstGeom>
      </xdr:spPr>
    </xdr:pic>
    <xdr:clientData/>
  </xdr:twoCellAnchor>
  <xdr:twoCellAnchor>
    <xdr:from>
      <xdr:col>11</xdr:col>
      <xdr:colOff>11766</xdr:colOff>
      <xdr:row>12</xdr:row>
      <xdr:rowOff>0</xdr:rowOff>
    </xdr:from>
    <xdr:to>
      <xdr:col>14</xdr:col>
      <xdr:colOff>0</xdr:colOff>
      <xdr:row>20</xdr:row>
      <xdr:rowOff>92450</xdr:rowOff>
    </xdr:to>
    <xdr:cxnSp macro="">
      <xdr:nvCxnSpPr>
        <xdr:cNvPr id="54" name="Elbow Connector 53"/>
        <xdr:cNvCxnSpPr/>
      </xdr:nvCxnSpPr>
      <xdr:spPr>
        <a:xfrm flipV="1">
          <a:off x="10734195" y="2109107"/>
          <a:ext cx="2138162" cy="1616450"/>
        </a:xfrm>
        <a:prstGeom prst="bentConnector3">
          <a:avLst>
            <a:gd name="adj1" fmla="val 7998"/>
          </a:avLst>
        </a:prstGeom>
        <a:ln w="19050">
          <a:solidFill>
            <a:schemeClr val="accent5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20</xdr:row>
      <xdr:rowOff>95250</xdr:rowOff>
    </xdr:from>
    <xdr:to>
      <xdr:col>14</xdr:col>
      <xdr:colOff>28575</xdr:colOff>
      <xdr:row>21</xdr:row>
      <xdr:rowOff>1</xdr:rowOff>
    </xdr:to>
    <xdr:cxnSp macro="">
      <xdr:nvCxnSpPr>
        <xdr:cNvPr id="55" name="Elbow Connector 54"/>
        <xdr:cNvCxnSpPr/>
      </xdr:nvCxnSpPr>
      <xdr:spPr>
        <a:xfrm>
          <a:off x="10734675" y="3733800"/>
          <a:ext cx="2181225" cy="95251"/>
        </a:xfrm>
        <a:prstGeom prst="bentConnector3">
          <a:avLst>
            <a:gd name="adj1" fmla="val 8079"/>
          </a:avLst>
        </a:prstGeom>
        <a:ln w="19050">
          <a:solidFill>
            <a:schemeClr val="accent5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171449</xdr:colOff>
      <xdr:row>20</xdr:row>
      <xdr:rowOff>171453</xdr:rowOff>
    </xdr:from>
    <xdr:to>
      <xdr:col>13</xdr:col>
      <xdr:colOff>1381124</xdr:colOff>
      <xdr:row>45</xdr:row>
      <xdr:rowOff>76202</xdr:rowOff>
    </xdr:to>
    <xdr:cxnSp macro="">
      <xdr:nvCxnSpPr>
        <xdr:cNvPr id="56" name="Elbow Connector 55"/>
        <xdr:cNvCxnSpPr/>
      </xdr:nvCxnSpPr>
      <xdr:spPr>
        <a:xfrm rot="16200000" flipH="1">
          <a:off x="9558337" y="5157790"/>
          <a:ext cx="4667249" cy="1971675"/>
        </a:xfrm>
        <a:prstGeom prst="bentConnector3">
          <a:avLst>
            <a:gd name="adj1" fmla="val 99692"/>
          </a:avLst>
        </a:prstGeom>
        <a:ln w="19050">
          <a:solidFill>
            <a:schemeClr val="accent5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2971800</xdr:colOff>
      <xdr:row>40</xdr:row>
      <xdr:rowOff>104775</xdr:rowOff>
    </xdr:from>
    <xdr:to>
      <xdr:col>12</xdr:col>
      <xdr:colOff>238125</xdr:colOff>
      <xdr:row>40</xdr:row>
      <xdr:rowOff>104777</xdr:rowOff>
    </xdr:to>
    <xdr:cxnSp macro="">
      <xdr:nvCxnSpPr>
        <xdr:cNvPr id="57" name="Elbow Connector 8"/>
        <xdr:cNvCxnSpPr/>
      </xdr:nvCxnSpPr>
      <xdr:spPr>
        <a:xfrm flipV="1">
          <a:off x="10725150" y="7553325"/>
          <a:ext cx="628650" cy="2"/>
        </a:xfrm>
        <a:prstGeom prst="bentConnector3">
          <a:avLst>
            <a:gd name="adj1" fmla="val 50000"/>
          </a:avLst>
        </a:prstGeom>
        <a:ln w="1905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10231</xdr:colOff>
      <xdr:row>31</xdr:row>
      <xdr:rowOff>99392</xdr:rowOff>
    </xdr:from>
    <xdr:to>
      <xdr:col>11</xdr:col>
      <xdr:colOff>0</xdr:colOff>
      <xdr:row>41</xdr:row>
      <xdr:rowOff>8282</xdr:rowOff>
    </xdr:to>
    <xdr:cxnSp macro="">
      <xdr:nvCxnSpPr>
        <xdr:cNvPr id="58" name="Elbow Connector 57"/>
        <xdr:cNvCxnSpPr/>
      </xdr:nvCxnSpPr>
      <xdr:spPr>
        <a:xfrm>
          <a:off x="7001581" y="5833442"/>
          <a:ext cx="3733094" cy="1813890"/>
        </a:xfrm>
        <a:prstGeom prst="bentConnector3">
          <a:avLst>
            <a:gd name="adj1" fmla="val 15366"/>
          </a:avLst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198782</xdr:colOff>
      <xdr:row>31</xdr:row>
      <xdr:rowOff>8282</xdr:rowOff>
    </xdr:from>
    <xdr:to>
      <xdr:col>11</xdr:col>
      <xdr:colOff>0</xdr:colOff>
      <xdr:row>41</xdr:row>
      <xdr:rowOff>107673</xdr:rowOff>
    </xdr:to>
    <xdr:cxnSp macro="">
      <xdr:nvCxnSpPr>
        <xdr:cNvPr id="59" name="Elbow Connector 58"/>
        <xdr:cNvCxnSpPr/>
      </xdr:nvCxnSpPr>
      <xdr:spPr>
        <a:xfrm>
          <a:off x="7190132" y="5742332"/>
          <a:ext cx="3544543" cy="2004391"/>
        </a:xfrm>
        <a:prstGeom prst="bentConnector3">
          <a:avLst>
            <a:gd name="adj1" fmla="val 0"/>
          </a:avLst>
        </a:prstGeom>
        <a:ln w="19050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313</xdr:colOff>
      <xdr:row>17</xdr:row>
      <xdr:rowOff>100694</xdr:rowOff>
    </xdr:from>
    <xdr:to>
      <xdr:col>11</xdr:col>
      <xdr:colOff>0</xdr:colOff>
      <xdr:row>21</xdr:row>
      <xdr:rowOff>7326</xdr:rowOff>
    </xdr:to>
    <xdr:cxnSp macro="">
      <xdr:nvCxnSpPr>
        <xdr:cNvPr id="60" name="Elbow Connector 59"/>
        <xdr:cNvCxnSpPr/>
      </xdr:nvCxnSpPr>
      <xdr:spPr>
        <a:xfrm>
          <a:off x="6991663" y="3167744"/>
          <a:ext cx="3743012" cy="668632"/>
        </a:xfrm>
        <a:prstGeom prst="bentConnector3">
          <a:avLst>
            <a:gd name="adj1" fmla="val 5378"/>
          </a:avLst>
        </a:prstGeom>
        <a:ln w="19050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1533601</xdr:colOff>
      <xdr:row>21</xdr:row>
      <xdr:rowOff>80596</xdr:rowOff>
    </xdr:from>
    <xdr:to>
      <xdr:col>11</xdr:col>
      <xdr:colOff>0</xdr:colOff>
      <xdr:row>31</xdr:row>
      <xdr:rowOff>104095</xdr:rowOff>
    </xdr:to>
    <xdr:cxnSp macro="">
      <xdr:nvCxnSpPr>
        <xdr:cNvPr id="61" name="Elbow Connector 60"/>
        <xdr:cNvCxnSpPr/>
      </xdr:nvCxnSpPr>
      <xdr:spPr>
        <a:xfrm flipV="1">
          <a:off x="6981901" y="3909646"/>
          <a:ext cx="3752774" cy="1928499"/>
        </a:xfrm>
        <a:prstGeom prst="bentConnector3">
          <a:avLst>
            <a:gd name="adj1" fmla="val 15866"/>
          </a:avLst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11207</xdr:colOff>
      <xdr:row>32</xdr:row>
      <xdr:rowOff>134471</xdr:rowOff>
    </xdr:from>
    <xdr:to>
      <xdr:col>17</xdr:col>
      <xdr:colOff>22412</xdr:colOff>
      <xdr:row>35</xdr:row>
      <xdr:rowOff>113661</xdr:rowOff>
    </xdr:to>
    <xdr:cxnSp macro="">
      <xdr:nvCxnSpPr>
        <xdr:cNvPr id="62" name="Elbow Connector 61"/>
        <xdr:cNvCxnSpPr/>
      </xdr:nvCxnSpPr>
      <xdr:spPr>
        <a:xfrm flipV="1">
          <a:off x="12898532" y="6059021"/>
          <a:ext cx="2916330" cy="550690"/>
        </a:xfrm>
        <a:prstGeom prst="bentConnector3">
          <a:avLst>
            <a:gd name="adj1" fmla="val 6923"/>
          </a:avLst>
        </a:prstGeom>
        <a:ln w="19050">
          <a:solidFill>
            <a:schemeClr val="bg1">
              <a:lumMod val="75000"/>
            </a:schemeClr>
          </a:solidFill>
          <a:prstDash val="soli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781050</xdr:colOff>
      <xdr:row>1</xdr:row>
      <xdr:rowOff>9525</xdr:rowOff>
    </xdr:from>
    <xdr:to>
      <xdr:col>10</xdr:col>
      <xdr:colOff>9525</xdr:colOff>
      <xdr:row>5</xdr:row>
      <xdr:rowOff>161926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200025"/>
          <a:ext cx="2438400" cy="914401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67</xdr:row>
      <xdr:rowOff>0</xdr:rowOff>
    </xdr:from>
    <xdr:to>
      <xdr:col>5</xdr:col>
      <xdr:colOff>608775</xdr:colOff>
      <xdr:row>84</xdr:row>
      <xdr:rowOff>1</xdr:rowOff>
    </xdr:to>
    <xdr:graphicFrame macro="">
      <xdr:nvGraphicFramePr>
        <xdr:cNvPr id="2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1</xdr:col>
      <xdr:colOff>0</xdr:colOff>
      <xdr:row>19</xdr:row>
      <xdr:rowOff>0</xdr:rowOff>
    </xdr:from>
    <xdr:to>
      <xdr:col>6</xdr:col>
      <xdr:colOff>0</xdr:colOff>
      <xdr:row>36</xdr:row>
      <xdr:rowOff>1</xdr:rowOff>
    </xdr:to>
    <xdr:graphicFrame macro="">
      <xdr:nvGraphicFramePr>
        <xdr:cNvPr id="11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absolute">
    <xdr:from>
      <xdr:col>1</xdr:col>
      <xdr:colOff>0</xdr:colOff>
      <xdr:row>43</xdr:row>
      <xdr:rowOff>0</xdr:rowOff>
    </xdr:from>
    <xdr:to>
      <xdr:col>5</xdr:col>
      <xdr:colOff>608775</xdr:colOff>
      <xdr:row>60</xdr:row>
      <xdr:rowOff>1</xdr:rowOff>
    </xdr:to>
    <xdr:graphicFrame macro="">
      <xdr:nvGraphicFramePr>
        <xdr:cNvPr id="13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</xdr:col>
      <xdr:colOff>0</xdr:colOff>
      <xdr:row>115</xdr:row>
      <xdr:rowOff>0</xdr:rowOff>
    </xdr:from>
    <xdr:to>
      <xdr:col>5</xdr:col>
      <xdr:colOff>608775</xdr:colOff>
      <xdr:row>132</xdr:row>
      <xdr:rowOff>1</xdr:rowOff>
    </xdr:to>
    <xdr:graphicFrame macro="">
      <xdr:nvGraphicFramePr>
        <xdr:cNvPr id="14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</xdr:col>
      <xdr:colOff>0</xdr:colOff>
      <xdr:row>91</xdr:row>
      <xdr:rowOff>0</xdr:rowOff>
    </xdr:from>
    <xdr:to>
      <xdr:col>5</xdr:col>
      <xdr:colOff>608775</xdr:colOff>
      <xdr:row>108</xdr:row>
      <xdr:rowOff>1</xdr:rowOff>
    </xdr:to>
    <xdr:graphicFrame macro="">
      <xdr:nvGraphicFramePr>
        <xdr:cNvPr id="15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527987</xdr:colOff>
      <xdr:row>2</xdr:row>
      <xdr:rowOff>1682</xdr:rowOff>
    </xdr:from>
    <xdr:to>
      <xdr:col>21</xdr:col>
      <xdr:colOff>601756</xdr:colOff>
      <xdr:row>5</xdr:row>
      <xdr:rowOff>363632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281" y="382682"/>
          <a:ext cx="2494240" cy="933450"/>
        </a:xfrm>
        <a:prstGeom prst="rect">
          <a:avLst/>
        </a:prstGeom>
      </xdr:spPr>
    </xdr:pic>
    <xdr:clientData/>
  </xdr:twoCellAnchor>
  <xdr:twoCellAnchor editAs="absolute">
    <xdr:from>
      <xdr:col>1</xdr:col>
      <xdr:colOff>1</xdr:colOff>
      <xdr:row>22</xdr:row>
      <xdr:rowOff>0</xdr:rowOff>
    </xdr:from>
    <xdr:to>
      <xdr:col>15</xdr:col>
      <xdr:colOff>11206</xdr:colOff>
      <xdr:row>66</xdr:row>
      <xdr:rowOff>11207</xdr:rowOff>
    </xdr:to>
    <xdr:graphicFrame macro="">
      <xdr:nvGraphicFramePr>
        <xdr:cNvPr id="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</xdr:col>
      <xdr:colOff>0</xdr:colOff>
      <xdr:row>66</xdr:row>
      <xdr:rowOff>22412</xdr:rowOff>
    </xdr:from>
    <xdr:to>
      <xdr:col>15</xdr:col>
      <xdr:colOff>11206</xdr:colOff>
      <xdr:row>149</xdr:row>
      <xdr:rowOff>22412</xdr:rowOff>
    </xdr:to>
    <xdr:sp macro="" textlink="">
      <xdr:nvSpPr>
        <xdr:cNvPr id="8" name="Rectangle 7"/>
        <xdr:cNvSpPr/>
      </xdr:nvSpPr>
      <xdr:spPr>
        <a:xfrm>
          <a:off x="605118" y="13066059"/>
          <a:ext cx="9457764" cy="15811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0.67691</cdr:x>
      <cdr:y>0.02472</cdr:y>
    </cdr:from>
    <cdr:to>
      <cdr:x>0.71786</cdr:x>
      <cdr:y>0.12171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6667520" y="84218"/>
          <a:ext cx="403356" cy="3304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0.67447</cdr:x>
      <cdr:y>0.04602</cdr:y>
    </cdr:from>
    <cdr:to>
      <cdr:x>0.71519</cdr:x>
      <cdr:y>0.04613</cdr:y>
    </cdr:to>
    <cdr:cxnSp macro="">
      <cdr:nvCxnSpPr>
        <cdr:cNvPr id="3" name="Gerade Verbindung 2"/>
        <cdr:cNvCxnSpPr/>
      </cdr:nvCxnSpPr>
      <cdr:spPr>
        <a:xfrm xmlns:a="http://schemas.openxmlformats.org/drawingml/2006/main" flipV="1">
          <a:off x="6643531" y="387836"/>
          <a:ext cx="401090" cy="926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bg1">
              <a:lumMod val="50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19595</xdr:colOff>
      <xdr:row>0</xdr:row>
      <xdr:rowOff>10886</xdr:rowOff>
    </xdr:from>
    <xdr:to>
      <xdr:col>27</xdr:col>
      <xdr:colOff>324395</xdr:colOff>
      <xdr:row>14</xdr:row>
      <xdr:rowOff>150224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eere.energy.gov/" TargetMode="External"/><Relationship Id="rId2" Type="http://schemas.openxmlformats.org/officeDocument/2006/relationships/hyperlink" Target="http://www.ipcc-nggip.iges.or.jp/public/2006gl/pdf/2_Volume2/V2_2_Ch2_Stationary_Combustion.pdf" TargetMode="External"/><Relationship Id="rId1" Type="http://schemas.openxmlformats.org/officeDocument/2006/relationships/hyperlink" Target="http://www.ipcc-nggip.iges.or.jp/public/2006gl/pdf/2_Volume2/V2_2_Ch2_Stationary_Combustion.pdf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XFD223"/>
  <sheetViews>
    <sheetView showGridLines="0" tabSelected="1" zoomScaleNormal="100" workbookViewId="0">
      <pane ySplit="6" topLeftCell="A7" activePane="bottomLeft" state="frozen"/>
      <selection activeCell="C98" sqref="C98"/>
      <selection pane="bottomLeft" activeCell="XFD1" sqref="XFD1"/>
    </sheetView>
  </sheetViews>
  <sheetFormatPr defaultColWidth="9.140625" defaultRowHeight="15" x14ac:dyDescent="0.25"/>
  <cols>
    <col min="2" max="2" width="70.7109375" customWidth="1"/>
    <col min="3" max="3" width="48.28515625" style="1" customWidth="1"/>
    <col min="4" max="5" width="3.140625" customWidth="1"/>
    <col min="8" max="8" width="9.140625" customWidth="1"/>
    <col min="10" max="10" width="9.140625" style="2" customWidth="1"/>
  </cols>
  <sheetData>
    <row r="1" spans="2:10 16384:16384" x14ac:dyDescent="0.25">
      <c r="XFD1" s="471"/>
    </row>
    <row r="6" spans="2:10 16384:16384" s="3" customFormat="1" ht="31.5" x14ac:dyDescent="0.5">
      <c r="B6" s="3" t="s">
        <v>0</v>
      </c>
      <c r="C6" s="4"/>
      <c r="E6" s="5"/>
      <c r="F6" s="5"/>
      <c r="J6" s="6"/>
    </row>
    <row r="8" spans="2:10 16384:16384" x14ac:dyDescent="0.25">
      <c r="B8" t="s">
        <v>1</v>
      </c>
    </row>
    <row r="9" spans="2:10 16384:16384" ht="15.75" x14ac:dyDescent="0.25">
      <c r="B9" s="7"/>
    </row>
    <row r="10" spans="2:10 16384:16384" x14ac:dyDescent="0.25">
      <c r="B10" s="466" t="s">
        <v>2</v>
      </c>
    </row>
    <row r="11" spans="2:10 16384:16384" x14ac:dyDescent="0.25">
      <c r="B11" s="470" t="s">
        <v>3</v>
      </c>
    </row>
    <row r="12" spans="2:10 16384:16384" x14ac:dyDescent="0.25">
      <c r="B12" s="466" t="s">
        <v>4</v>
      </c>
    </row>
    <row r="13" spans="2:10 16384:16384" x14ac:dyDescent="0.25">
      <c r="B13" s="466" t="s">
        <v>5</v>
      </c>
    </row>
    <row r="14" spans="2:10 16384:16384" x14ac:dyDescent="0.25">
      <c r="B14" s="466" t="s">
        <v>6</v>
      </c>
    </row>
    <row r="15" spans="2:10 16384:16384" x14ac:dyDescent="0.25">
      <c r="B15" s="466" t="s">
        <v>7</v>
      </c>
    </row>
    <row r="16" spans="2:10 16384:16384" x14ac:dyDescent="0.25">
      <c r="B16" s="466" t="s">
        <v>8</v>
      </c>
    </row>
    <row r="17" spans="2:10" x14ac:dyDescent="0.25">
      <c r="B17" s="8"/>
    </row>
    <row r="18" spans="2:10" x14ac:dyDescent="0.25">
      <c r="B18" s="8"/>
    </row>
    <row r="20" spans="2:10" s="10" customFormat="1" ht="23.25" x14ac:dyDescent="0.35">
      <c r="B20" s="9" t="s">
        <v>9</v>
      </c>
      <c r="C20" s="468" t="s">
        <v>10</v>
      </c>
      <c r="J20" s="11"/>
    </row>
    <row r="22" spans="2:10" x14ac:dyDescent="0.25">
      <c r="B22" s="8" t="s">
        <v>11</v>
      </c>
    </row>
    <row r="23" spans="2:10" x14ac:dyDescent="0.25">
      <c r="B23" s="8" t="s">
        <v>12</v>
      </c>
    </row>
    <row r="24" spans="2:10" x14ac:dyDescent="0.25">
      <c r="B24" s="8"/>
    </row>
    <row r="25" spans="2:10" x14ac:dyDescent="0.25">
      <c r="B25" s="12" t="s">
        <v>13</v>
      </c>
      <c r="C25" s="1" t="s">
        <v>14</v>
      </c>
    </row>
    <row r="26" spans="2:10" x14ac:dyDescent="0.25">
      <c r="B26" s="12" t="s">
        <v>15</v>
      </c>
      <c r="C26" s="1" t="s">
        <v>16</v>
      </c>
    </row>
    <row r="30" spans="2:10" ht="23.25" x14ac:dyDescent="0.35">
      <c r="B30" s="9" t="s">
        <v>17</v>
      </c>
      <c r="C30" s="468" t="s">
        <v>10</v>
      </c>
    </row>
    <row r="32" spans="2:10" x14ac:dyDescent="0.25">
      <c r="B32" s="8" t="s">
        <v>18</v>
      </c>
    </row>
    <row r="33" spans="2:10" x14ac:dyDescent="0.25">
      <c r="B33" s="8" t="s">
        <v>19</v>
      </c>
    </row>
    <row r="34" spans="2:10" x14ac:dyDescent="0.25">
      <c r="B34" s="8"/>
    </row>
    <row r="35" spans="2:10" x14ac:dyDescent="0.25">
      <c r="B35" s="8" t="s">
        <v>20</v>
      </c>
    </row>
    <row r="39" spans="2:10" s="10" customFormat="1" ht="23.25" x14ac:dyDescent="0.35">
      <c r="B39" s="9" t="s">
        <v>21</v>
      </c>
      <c r="C39" s="468" t="s">
        <v>10</v>
      </c>
      <c r="J39" s="11"/>
    </row>
    <row r="41" spans="2:10" s="7" customFormat="1" ht="18" customHeight="1" x14ac:dyDescent="0.25">
      <c r="B41" s="466" t="s">
        <v>22</v>
      </c>
      <c r="C41" s="13"/>
      <c r="J41" s="14"/>
    </row>
    <row r="42" spans="2:10" s="7" customFormat="1" ht="18" customHeight="1" x14ac:dyDescent="0.25">
      <c r="B42" s="466" t="s">
        <v>23</v>
      </c>
      <c r="C42" s="13"/>
      <c r="J42" s="14"/>
    </row>
    <row r="43" spans="2:10" s="7" customFormat="1" ht="18" customHeight="1" x14ac:dyDescent="0.25">
      <c r="B43" s="466" t="s">
        <v>24</v>
      </c>
      <c r="C43" s="13"/>
      <c r="J43" s="14"/>
    </row>
    <row r="44" spans="2:10" s="7" customFormat="1" ht="18" customHeight="1" x14ac:dyDescent="0.25">
      <c r="B44" s="466" t="s">
        <v>25</v>
      </c>
      <c r="C44" s="13"/>
      <c r="J44" s="14"/>
    </row>
    <row r="45" spans="2:10" s="7" customFormat="1" ht="18" customHeight="1" x14ac:dyDescent="0.25">
      <c r="B45" s="466" t="s">
        <v>26</v>
      </c>
      <c r="C45" s="13"/>
      <c r="J45" s="14"/>
    </row>
    <row r="49" spans="2:3" ht="23.25" x14ac:dyDescent="0.35">
      <c r="B49" s="9" t="s">
        <v>27</v>
      </c>
      <c r="C49" s="468" t="s">
        <v>10</v>
      </c>
    </row>
    <row r="51" spans="2:3" x14ac:dyDescent="0.25">
      <c r="B51" s="8" t="s">
        <v>523</v>
      </c>
      <c r="C51" s="1" t="s">
        <v>524</v>
      </c>
    </row>
    <row r="52" spans="2:3" x14ac:dyDescent="0.25">
      <c r="B52" s="8" t="s">
        <v>28</v>
      </c>
      <c r="C52" s="1" t="s">
        <v>29</v>
      </c>
    </row>
    <row r="53" spans="2:3" x14ac:dyDescent="0.25">
      <c r="B53" s="8" t="s">
        <v>527</v>
      </c>
      <c r="C53" s="1" t="s">
        <v>528</v>
      </c>
    </row>
    <row r="54" spans="2:3" x14ac:dyDescent="0.25">
      <c r="B54" s="8" t="s">
        <v>30</v>
      </c>
      <c r="C54" s="1" t="s">
        <v>31</v>
      </c>
    </row>
    <row r="55" spans="2:3" x14ac:dyDescent="0.25">
      <c r="B55" s="8" t="s">
        <v>521</v>
      </c>
      <c r="C55" s="1" t="s">
        <v>522</v>
      </c>
    </row>
    <row r="56" spans="2:3" x14ac:dyDescent="0.25">
      <c r="B56" s="8" t="s">
        <v>560</v>
      </c>
      <c r="C56" s="1" t="s">
        <v>561</v>
      </c>
    </row>
    <row r="57" spans="2:3" x14ac:dyDescent="0.25">
      <c r="B57" s="8" t="s">
        <v>32</v>
      </c>
      <c r="C57" s="1" t="s">
        <v>33</v>
      </c>
    </row>
    <row r="58" spans="2:3" x14ac:dyDescent="0.25">
      <c r="B58" s="8" t="s">
        <v>34</v>
      </c>
      <c r="C58" s="1" t="s">
        <v>35</v>
      </c>
    </row>
    <row r="59" spans="2:3" x14ac:dyDescent="0.25">
      <c r="B59" s="8" t="s">
        <v>36</v>
      </c>
      <c r="C59" s="1" t="s">
        <v>37</v>
      </c>
    </row>
    <row r="60" spans="2:3" x14ac:dyDescent="0.25">
      <c r="B60" s="8" t="s">
        <v>538</v>
      </c>
      <c r="C60" s="1" t="s">
        <v>539</v>
      </c>
    </row>
    <row r="61" spans="2:3" x14ac:dyDescent="0.25">
      <c r="B61" s="8" t="s">
        <v>525</v>
      </c>
      <c r="C61" s="1" t="s">
        <v>526</v>
      </c>
    </row>
    <row r="62" spans="2:3" x14ac:dyDescent="0.25">
      <c r="B62" s="8" t="s">
        <v>38</v>
      </c>
      <c r="C62" s="1" t="s">
        <v>39</v>
      </c>
    </row>
    <row r="63" spans="2:3" x14ac:dyDescent="0.25">
      <c r="B63" s="8" t="s">
        <v>40</v>
      </c>
      <c r="C63" s="1" t="s">
        <v>41</v>
      </c>
    </row>
    <row r="64" spans="2:3" x14ac:dyDescent="0.25">
      <c r="B64" s="8" t="s">
        <v>42</v>
      </c>
      <c r="C64" s="1" t="s">
        <v>43</v>
      </c>
    </row>
    <row r="65" spans="2:5" x14ac:dyDescent="0.25">
      <c r="B65" s="8" t="s">
        <v>529</v>
      </c>
      <c r="C65" s="1" t="s">
        <v>530</v>
      </c>
    </row>
    <row r="66" spans="2:5" x14ac:dyDescent="0.25">
      <c r="B66" s="8" t="s">
        <v>44</v>
      </c>
      <c r="C66" s="1" t="s">
        <v>45</v>
      </c>
    </row>
    <row r="67" spans="2:5" x14ac:dyDescent="0.25">
      <c r="B67" s="8" t="s">
        <v>536</v>
      </c>
      <c r="C67" s="1" t="s">
        <v>537</v>
      </c>
    </row>
    <row r="71" spans="2:5" ht="23.25" x14ac:dyDescent="0.35">
      <c r="B71" s="9" t="s">
        <v>46</v>
      </c>
      <c r="C71" s="468" t="s">
        <v>10</v>
      </c>
    </row>
    <row r="72" spans="2:5" x14ac:dyDescent="0.25">
      <c r="B72" s="469" t="s">
        <v>47</v>
      </c>
    </row>
    <row r="73" spans="2:5" ht="132" x14ac:dyDescent="0.25">
      <c r="D73" s="442" t="s">
        <v>452</v>
      </c>
      <c r="E73" s="442" t="s">
        <v>453</v>
      </c>
    </row>
    <row r="74" spans="2:5" x14ac:dyDescent="0.25">
      <c r="B74" s="15" t="s">
        <v>48</v>
      </c>
      <c r="C74" s="114" t="s">
        <v>49</v>
      </c>
      <c r="D74" s="16"/>
      <c r="E74" s="16" t="s">
        <v>50</v>
      </c>
    </row>
    <row r="75" spans="2:5" x14ac:dyDescent="0.25">
      <c r="C75" s="114" t="s">
        <v>51</v>
      </c>
      <c r="D75" s="16" t="s">
        <v>50</v>
      </c>
      <c r="E75" s="16" t="s">
        <v>50</v>
      </c>
    </row>
    <row r="76" spans="2:5" x14ac:dyDescent="0.25">
      <c r="C76" s="114" t="s">
        <v>52</v>
      </c>
      <c r="D76" s="16" t="s">
        <v>50</v>
      </c>
      <c r="E76" s="16" t="s">
        <v>50</v>
      </c>
    </row>
    <row r="77" spans="2:5" x14ac:dyDescent="0.25">
      <c r="C77" s="114" t="s">
        <v>53</v>
      </c>
      <c r="D77" s="16" t="s">
        <v>50</v>
      </c>
      <c r="E77" s="16" t="s">
        <v>50</v>
      </c>
    </row>
    <row r="78" spans="2:5" x14ac:dyDescent="0.25">
      <c r="C78" s="61" t="s">
        <v>54</v>
      </c>
      <c r="D78" s="16" t="s">
        <v>50</v>
      </c>
      <c r="E78" s="16" t="s">
        <v>50</v>
      </c>
    </row>
    <row r="79" spans="2:5" x14ac:dyDescent="0.25">
      <c r="C79" s="114" t="s">
        <v>55</v>
      </c>
      <c r="D79" s="16" t="s">
        <v>50</v>
      </c>
      <c r="E79" s="16" t="s">
        <v>50</v>
      </c>
    </row>
    <row r="80" spans="2:5" x14ac:dyDescent="0.25">
      <c r="C80" s="114" t="s">
        <v>56</v>
      </c>
      <c r="D80" s="16"/>
      <c r="E80" s="16" t="s">
        <v>50</v>
      </c>
    </row>
    <row r="81" spans="2:5" x14ac:dyDescent="0.25">
      <c r="C81" s="61" t="s">
        <v>57</v>
      </c>
      <c r="D81" s="16"/>
      <c r="E81" s="16" t="s">
        <v>50</v>
      </c>
    </row>
    <row r="82" spans="2:5" x14ac:dyDescent="0.25">
      <c r="C82" s="114" t="s">
        <v>58</v>
      </c>
      <c r="D82" s="16" t="s">
        <v>50</v>
      </c>
      <c r="E82" s="16" t="s">
        <v>50</v>
      </c>
    </row>
    <row r="83" spans="2:5" x14ac:dyDescent="0.25">
      <c r="C83" s="114" t="s">
        <v>59</v>
      </c>
      <c r="D83" s="16" t="s">
        <v>50</v>
      </c>
      <c r="E83" s="16" t="s">
        <v>50</v>
      </c>
    </row>
    <row r="84" spans="2:5" x14ac:dyDescent="0.25">
      <c r="C84" s="114" t="s">
        <v>60</v>
      </c>
      <c r="D84" s="16" t="s">
        <v>50</v>
      </c>
      <c r="E84" s="16" t="s">
        <v>50</v>
      </c>
    </row>
    <row r="85" spans="2:5" x14ac:dyDescent="0.25">
      <c r="D85" s="16"/>
      <c r="E85" s="16"/>
    </row>
    <row r="86" spans="2:5" x14ac:dyDescent="0.25">
      <c r="B86" s="15" t="s">
        <v>61</v>
      </c>
      <c r="C86" s="60" t="s">
        <v>62</v>
      </c>
      <c r="D86" s="16"/>
      <c r="E86" s="16" t="s">
        <v>50</v>
      </c>
    </row>
    <row r="87" spans="2:5" x14ac:dyDescent="0.25">
      <c r="C87" s="60" t="s">
        <v>155</v>
      </c>
      <c r="D87" s="16"/>
      <c r="E87" s="16" t="s">
        <v>50</v>
      </c>
    </row>
    <row r="88" spans="2:5" x14ac:dyDescent="0.25">
      <c r="C88" s="60" t="s">
        <v>130</v>
      </c>
      <c r="D88" s="16" t="s">
        <v>50</v>
      </c>
      <c r="E88" s="16" t="s">
        <v>50</v>
      </c>
    </row>
    <row r="89" spans="2:5" x14ac:dyDescent="0.25">
      <c r="C89" s="61" t="s">
        <v>63</v>
      </c>
      <c r="D89" s="16" t="s">
        <v>50</v>
      </c>
      <c r="E89" s="16" t="s">
        <v>50</v>
      </c>
    </row>
    <row r="90" spans="2:5" x14ac:dyDescent="0.25">
      <c r="D90" s="16"/>
      <c r="E90" s="16"/>
    </row>
    <row r="91" spans="2:5" x14ac:dyDescent="0.25">
      <c r="B91" s="15" t="s">
        <v>64</v>
      </c>
      <c r="C91" s="62" t="s">
        <v>128</v>
      </c>
      <c r="D91" s="16" t="s">
        <v>50</v>
      </c>
      <c r="E91" s="16" t="s">
        <v>50</v>
      </c>
    </row>
    <row r="92" spans="2:5" x14ac:dyDescent="0.25">
      <c r="C92" s="62" t="s">
        <v>157</v>
      </c>
      <c r="D92" s="16" t="s">
        <v>50</v>
      </c>
      <c r="E92" s="16" t="s">
        <v>50</v>
      </c>
    </row>
    <row r="93" spans="2:5" x14ac:dyDescent="0.25">
      <c r="C93" s="62" t="s">
        <v>122</v>
      </c>
      <c r="D93" s="16"/>
      <c r="E93" s="16" t="s">
        <v>50</v>
      </c>
    </row>
    <row r="94" spans="2:5" x14ac:dyDescent="0.25">
      <c r="C94" s="62" t="s">
        <v>116</v>
      </c>
      <c r="D94" s="16" t="s">
        <v>50</v>
      </c>
      <c r="E94" s="16" t="s">
        <v>50</v>
      </c>
    </row>
    <row r="95" spans="2:5" x14ac:dyDescent="0.25">
      <c r="C95" s="62" t="s">
        <v>65</v>
      </c>
      <c r="D95" s="16" t="s">
        <v>50</v>
      </c>
      <c r="E95" s="16" t="s">
        <v>50</v>
      </c>
    </row>
    <row r="96" spans="2:5" x14ac:dyDescent="0.25">
      <c r="C96" s="61" t="s">
        <v>66</v>
      </c>
      <c r="D96" s="16" t="s">
        <v>50</v>
      </c>
      <c r="E96" s="16" t="s">
        <v>50</v>
      </c>
    </row>
    <row r="97" spans="2:5" x14ac:dyDescent="0.25">
      <c r="D97" s="16"/>
      <c r="E97" s="16"/>
    </row>
    <row r="98" spans="2:5" x14ac:dyDescent="0.25">
      <c r="B98" s="15" t="s">
        <v>67</v>
      </c>
      <c r="C98" s="63" t="s">
        <v>68</v>
      </c>
      <c r="D98" s="16" t="s">
        <v>50</v>
      </c>
      <c r="E98" s="16" t="s">
        <v>50</v>
      </c>
    </row>
    <row r="99" spans="2:5" x14ac:dyDescent="0.25">
      <c r="C99" s="63" t="s">
        <v>543</v>
      </c>
      <c r="D99" s="16" t="s">
        <v>50</v>
      </c>
      <c r="E99" s="16" t="s">
        <v>50</v>
      </c>
    </row>
    <row r="100" spans="2:5" x14ac:dyDescent="0.25">
      <c r="C100" s="63" t="s">
        <v>544</v>
      </c>
      <c r="D100" s="16" t="s">
        <v>50</v>
      </c>
      <c r="E100" s="16" t="s">
        <v>50</v>
      </c>
    </row>
    <row r="101" spans="2:5" x14ac:dyDescent="0.25">
      <c r="C101" s="63" t="s">
        <v>545</v>
      </c>
      <c r="D101" s="16" t="s">
        <v>50</v>
      </c>
      <c r="E101" s="16" t="s">
        <v>50</v>
      </c>
    </row>
    <row r="102" spans="2:5" x14ac:dyDescent="0.25">
      <c r="C102" s="63" t="s">
        <v>546</v>
      </c>
      <c r="D102" s="16" t="s">
        <v>50</v>
      </c>
      <c r="E102" s="16" t="s">
        <v>50</v>
      </c>
    </row>
    <row r="103" spans="2:5" x14ac:dyDescent="0.25">
      <c r="C103" s="17"/>
      <c r="D103" s="16"/>
      <c r="E103" s="16"/>
    </row>
    <row r="104" spans="2:5" x14ac:dyDescent="0.25">
      <c r="C104" s="63" t="s">
        <v>162</v>
      </c>
      <c r="D104" s="16"/>
      <c r="E104" s="16" t="s">
        <v>50</v>
      </c>
    </row>
    <row r="105" spans="2:5" x14ac:dyDescent="0.25">
      <c r="C105" s="63" t="s">
        <v>163</v>
      </c>
      <c r="D105" s="16"/>
      <c r="E105" s="16" t="s">
        <v>50</v>
      </c>
    </row>
    <row r="106" spans="2:5" x14ac:dyDescent="0.25">
      <c r="C106" s="63" t="s">
        <v>164</v>
      </c>
      <c r="D106" s="16" t="s">
        <v>50</v>
      </c>
      <c r="E106" s="16" t="s">
        <v>50</v>
      </c>
    </row>
    <row r="107" spans="2:5" x14ac:dyDescent="0.25">
      <c r="C107" s="63" t="s">
        <v>165</v>
      </c>
      <c r="D107" s="16" t="s">
        <v>50</v>
      </c>
      <c r="E107" s="16" t="s">
        <v>50</v>
      </c>
    </row>
    <row r="108" spans="2:5" x14ac:dyDescent="0.25">
      <c r="C108" s="63" t="s">
        <v>547</v>
      </c>
      <c r="D108" s="16" t="s">
        <v>50</v>
      </c>
      <c r="E108" s="16" t="s">
        <v>50</v>
      </c>
    </row>
    <row r="109" spans="2:5" x14ac:dyDescent="0.25">
      <c r="C109" s="63" t="s">
        <v>548</v>
      </c>
      <c r="D109" s="16" t="s">
        <v>50</v>
      </c>
      <c r="E109" s="16" t="s">
        <v>50</v>
      </c>
    </row>
    <row r="110" spans="2:5" x14ac:dyDescent="0.25">
      <c r="C110" s="63" t="s">
        <v>549</v>
      </c>
      <c r="D110" s="16" t="s">
        <v>50</v>
      </c>
      <c r="E110" s="16" t="s">
        <v>50</v>
      </c>
    </row>
    <row r="111" spans="2:5" x14ac:dyDescent="0.25">
      <c r="C111" s="63" t="s">
        <v>550</v>
      </c>
      <c r="D111" s="16" t="s">
        <v>50</v>
      </c>
      <c r="E111" s="16" t="s">
        <v>50</v>
      </c>
    </row>
    <row r="113" spans="2:5" x14ac:dyDescent="0.25">
      <c r="B113" s="15" t="s">
        <v>69</v>
      </c>
      <c r="C113" t="s">
        <v>443</v>
      </c>
      <c r="D113" s="16" t="s">
        <v>50</v>
      </c>
      <c r="E113" s="16" t="s">
        <v>50</v>
      </c>
    </row>
    <row r="114" spans="2:5" x14ac:dyDescent="0.25">
      <c r="B114" s="15" t="s">
        <v>70</v>
      </c>
      <c r="C114" t="s">
        <v>444</v>
      </c>
      <c r="D114" s="16" t="s">
        <v>50</v>
      </c>
      <c r="E114" s="16" t="s">
        <v>50</v>
      </c>
    </row>
    <row r="115" spans="2:5" x14ac:dyDescent="0.25">
      <c r="C115" t="s">
        <v>446</v>
      </c>
      <c r="D115" s="16" t="s">
        <v>50</v>
      </c>
      <c r="E115" s="16" t="s">
        <v>50</v>
      </c>
    </row>
    <row r="116" spans="2:5" x14ac:dyDescent="0.25">
      <c r="C116" s="19"/>
    </row>
    <row r="117" spans="2:5" x14ac:dyDescent="0.25">
      <c r="C117" s="54" t="s">
        <v>442</v>
      </c>
      <c r="D117" s="16" t="s">
        <v>50</v>
      </c>
      <c r="E117" s="16" t="s">
        <v>50</v>
      </c>
    </row>
    <row r="118" spans="2:5" x14ac:dyDescent="0.25">
      <c r="C118" s="54" t="s">
        <v>440</v>
      </c>
      <c r="D118" s="16" t="s">
        <v>50</v>
      </c>
      <c r="E118" s="16" t="s">
        <v>50</v>
      </c>
    </row>
    <row r="119" spans="2:5" x14ac:dyDescent="0.25">
      <c r="C119" s="54" t="s">
        <v>441</v>
      </c>
      <c r="D119" s="16" t="s">
        <v>50</v>
      </c>
      <c r="E119" s="16" t="s">
        <v>50</v>
      </c>
    </row>
    <row r="120" spans="2:5" x14ac:dyDescent="0.25">
      <c r="C120" s="54" t="s">
        <v>447</v>
      </c>
      <c r="D120" s="16" t="s">
        <v>50</v>
      </c>
      <c r="E120" s="16" t="s">
        <v>50</v>
      </c>
    </row>
    <row r="121" spans="2:5" x14ac:dyDescent="0.25">
      <c r="C121" s="19"/>
    </row>
    <row r="122" spans="2:5" x14ac:dyDescent="0.25">
      <c r="C122" s="19"/>
    </row>
    <row r="123" spans="2:5" x14ac:dyDescent="0.25">
      <c r="C123" s="19"/>
    </row>
    <row r="124" spans="2:5" ht="23.25" x14ac:dyDescent="0.35">
      <c r="B124" s="9" t="s">
        <v>71</v>
      </c>
      <c r="C124" s="468" t="s">
        <v>10</v>
      </c>
      <c r="D124" s="9"/>
    </row>
    <row r="126" spans="2:5" ht="30" x14ac:dyDescent="0.25">
      <c r="B126" s="20" t="s">
        <v>72</v>
      </c>
      <c r="C126" s="21" t="s">
        <v>73</v>
      </c>
      <c r="D126" s="20" t="s">
        <v>74</v>
      </c>
    </row>
    <row r="127" spans="2:5" ht="63" x14ac:dyDescent="0.25">
      <c r="B127" s="20" t="s">
        <v>77</v>
      </c>
      <c r="C127" s="21" t="s">
        <v>520</v>
      </c>
      <c r="D127" s="20" t="s">
        <v>74</v>
      </c>
    </row>
    <row r="128" spans="2:5" ht="33" x14ac:dyDescent="0.25">
      <c r="B128" s="20" t="s">
        <v>75</v>
      </c>
      <c r="C128" s="21" t="s">
        <v>532</v>
      </c>
      <c r="D128" s="20" t="s">
        <v>76</v>
      </c>
    </row>
    <row r="129" spans="1:10" ht="30" customHeight="1" x14ac:dyDescent="0.25">
      <c r="B129" s="20" t="s">
        <v>78</v>
      </c>
      <c r="C129" s="21" t="s">
        <v>542</v>
      </c>
      <c r="D129" s="20" t="s">
        <v>79</v>
      </c>
    </row>
    <row r="130" spans="1:10" ht="30" customHeight="1" x14ac:dyDescent="0.25">
      <c r="B130" s="20" t="s">
        <v>80</v>
      </c>
      <c r="C130" s="21" t="s">
        <v>541</v>
      </c>
      <c r="D130" s="20" t="s">
        <v>531</v>
      </c>
    </row>
    <row r="131" spans="1:10" ht="30" customHeight="1" x14ac:dyDescent="0.25">
      <c r="B131" s="20" t="s">
        <v>534</v>
      </c>
      <c r="C131" s="22" t="s">
        <v>533</v>
      </c>
      <c r="D131" s="20" t="s">
        <v>81</v>
      </c>
    </row>
    <row r="132" spans="1:10" ht="30" customHeight="1" x14ac:dyDescent="0.25">
      <c r="B132" s="20" t="s">
        <v>82</v>
      </c>
      <c r="C132" s="21" t="s">
        <v>535</v>
      </c>
      <c r="D132" s="20" t="s">
        <v>81</v>
      </c>
    </row>
    <row r="135" spans="1:10" x14ac:dyDescent="0.25">
      <c r="C135" s="17"/>
      <c r="D135" s="23"/>
      <c r="E135" s="23"/>
      <c r="F135" s="23"/>
      <c r="G135" s="23"/>
      <c r="H135" s="23"/>
      <c r="I135" s="23"/>
    </row>
    <row r="136" spans="1:10" ht="23.25" x14ac:dyDescent="0.35">
      <c r="B136" s="9" t="s">
        <v>83</v>
      </c>
      <c r="C136" s="468" t="s">
        <v>10</v>
      </c>
    </row>
    <row r="137" spans="1:10" x14ac:dyDescent="0.25">
      <c r="C137" s="17"/>
      <c r="D137" s="23"/>
      <c r="E137" s="23"/>
      <c r="F137" s="23"/>
      <c r="G137" s="463" t="s">
        <v>562</v>
      </c>
      <c r="H137" s="464" t="s">
        <v>569</v>
      </c>
      <c r="I137" s="23"/>
    </row>
    <row r="138" spans="1:10" x14ac:dyDescent="0.25">
      <c r="B138" s="15" t="s">
        <v>84</v>
      </c>
      <c r="C138" s="472" t="s">
        <v>85</v>
      </c>
      <c r="D138" s="24" t="s">
        <v>86</v>
      </c>
      <c r="E138" s="23"/>
      <c r="F138" s="23"/>
      <c r="G138" t="s">
        <v>85</v>
      </c>
      <c r="H138" s="2" t="s">
        <v>563</v>
      </c>
      <c r="I138" s="23"/>
    </row>
    <row r="139" spans="1:10" x14ac:dyDescent="0.25">
      <c r="C139" s="17"/>
      <c r="D139" s="23"/>
      <c r="E139" s="23"/>
      <c r="F139" s="23"/>
      <c r="H139" s="2"/>
      <c r="I139" s="23"/>
      <c r="J139"/>
    </row>
    <row r="140" spans="1:10" x14ac:dyDescent="0.25">
      <c r="C140" s="17"/>
      <c r="D140" s="23"/>
      <c r="E140" s="23"/>
      <c r="F140" s="23"/>
      <c r="H140" s="2"/>
      <c r="I140" s="23"/>
    </row>
    <row r="141" spans="1:10" x14ac:dyDescent="0.25">
      <c r="B141" s="15" t="s">
        <v>87</v>
      </c>
      <c r="C141" s="473">
        <v>0.06</v>
      </c>
      <c r="D141" s="24" t="s">
        <v>86</v>
      </c>
      <c r="E141" s="23"/>
      <c r="F141" s="23"/>
      <c r="G141" s="280">
        <v>0.06</v>
      </c>
      <c r="H141" s="2" t="s">
        <v>564</v>
      </c>
      <c r="I141" s="23"/>
    </row>
    <row r="142" spans="1:10" x14ac:dyDescent="0.25">
      <c r="C142" s="17"/>
      <c r="D142" s="23"/>
      <c r="E142" s="23"/>
      <c r="F142" s="23"/>
      <c r="H142" s="2"/>
      <c r="I142" s="23"/>
      <c r="J142"/>
    </row>
    <row r="143" spans="1:10" x14ac:dyDescent="0.25">
      <c r="A143" s="25"/>
      <c r="B143" s="25"/>
      <c r="C143" s="18"/>
      <c r="D143" s="26"/>
      <c r="E143" s="26"/>
      <c r="F143" s="26"/>
      <c r="H143" s="27"/>
      <c r="I143" s="26"/>
    </row>
    <row r="144" spans="1:10" ht="18" x14ac:dyDescent="0.35">
      <c r="A144" s="7"/>
      <c r="B144" s="15" t="s">
        <v>88</v>
      </c>
      <c r="C144" s="474">
        <v>45</v>
      </c>
      <c r="D144" s="24" t="s">
        <v>86</v>
      </c>
      <c r="E144" s="23" t="s">
        <v>89</v>
      </c>
      <c r="F144" s="23"/>
      <c r="G144">
        <v>45</v>
      </c>
      <c r="H144" s="2" t="s">
        <v>565</v>
      </c>
      <c r="I144" s="23"/>
    </row>
    <row r="145" spans="1:10" ht="18" x14ac:dyDescent="0.35">
      <c r="A145" s="7"/>
      <c r="B145" s="15" t="s">
        <v>90</v>
      </c>
      <c r="C145" s="474">
        <v>30</v>
      </c>
      <c r="D145" s="24" t="s">
        <v>86</v>
      </c>
      <c r="E145" s="23" t="s">
        <v>91</v>
      </c>
      <c r="F145" s="23"/>
      <c r="G145">
        <v>30</v>
      </c>
      <c r="H145" s="2" t="s">
        <v>565</v>
      </c>
      <c r="I145" s="23"/>
    </row>
    <row r="146" spans="1:10" ht="18" x14ac:dyDescent="0.35">
      <c r="A146" s="7"/>
      <c r="B146" s="15" t="s">
        <v>92</v>
      </c>
      <c r="C146" s="475">
        <v>5.2704393662267295</v>
      </c>
      <c r="D146" s="24" t="s">
        <v>86</v>
      </c>
      <c r="E146" s="23" t="s">
        <v>91</v>
      </c>
      <c r="F146" s="23"/>
      <c r="G146">
        <v>5</v>
      </c>
      <c r="H146" s="2" t="s">
        <v>565</v>
      </c>
      <c r="I146" s="23"/>
    </row>
    <row r="147" spans="1:10" ht="18" x14ac:dyDescent="0.35">
      <c r="A147" s="7"/>
      <c r="B147" s="15" t="s">
        <v>93</v>
      </c>
      <c r="C147" s="474">
        <v>35</v>
      </c>
      <c r="D147" s="24" t="s">
        <v>86</v>
      </c>
      <c r="E147" s="23" t="s">
        <v>91</v>
      </c>
      <c r="F147" s="23"/>
      <c r="G147">
        <v>35</v>
      </c>
      <c r="H147" s="2" t="s">
        <v>565</v>
      </c>
      <c r="I147" s="23"/>
    </row>
    <row r="148" spans="1:10" x14ac:dyDescent="0.25">
      <c r="C148" s="17"/>
      <c r="D148" s="23"/>
      <c r="E148" s="23"/>
      <c r="F148" s="23"/>
      <c r="H148" s="2"/>
      <c r="I148" s="23"/>
      <c r="J148"/>
    </row>
    <row r="149" spans="1:10" x14ac:dyDescent="0.25">
      <c r="C149" s="17"/>
      <c r="D149" s="23"/>
      <c r="E149" s="28"/>
      <c r="F149" s="23"/>
      <c r="H149" s="2"/>
      <c r="I149" s="23"/>
    </row>
    <row r="150" spans="1:10" ht="18.75" x14ac:dyDescent="0.35">
      <c r="A150" s="7"/>
      <c r="B150" s="15" t="s">
        <v>94</v>
      </c>
      <c r="C150" s="474">
        <v>35</v>
      </c>
      <c r="D150" s="24" t="s">
        <v>86</v>
      </c>
      <c r="E150" s="23" t="s">
        <v>95</v>
      </c>
      <c r="F150" s="23"/>
      <c r="G150">
        <v>35</v>
      </c>
      <c r="H150" s="2" t="s">
        <v>565</v>
      </c>
      <c r="I150" s="23"/>
    </row>
    <row r="151" spans="1:10" x14ac:dyDescent="0.25">
      <c r="C151" s="17"/>
      <c r="D151" s="23"/>
      <c r="E151" s="23"/>
      <c r="F151" s="23"/>
      <c r="H151" s="2"/>
      <c r="I151" s="23"/>
      <c r="J151"/>
    </row>
    <row r="152" spans="1:10" x14ac:dyDescent="0.25">
      <c r="C152" s="17"/>
      <c r="D152" s="23"/>
      <c r="E152" s="23"/>
      <c r="F152" s="23"/>
      <c r="H152" s="2"/>
      <c r="I152" s="23"/>
    </row>
    <row r="153" spans="1:10" ht="18.75" x14ac:dyDescent="0.35">
      <c r="B153" s="15" t="s">
        <v>96</v>
      </c>
      <c r="C153" s="472">
        <v>50</v>
      </c>
      <c r="D153" s="24" t="s">
        <v>86</v>
      </c>
      <c r="E153" s="23" t="s">
        <v>97</v>
      </c>
      <c r="F153" s="23"/>
      <c r="G153">
        <v>50</v>
      </c>
      <c r="H153" s="2" t="s">
        <v>577</v>
      </c>
      <c r="I153" s="23"/>
    </row>
    <row r="154" spans="1:10" x14ac:dyDescent="0.25">
      <c r="C154" s="17"/>
      <c r="D154" s="23"/>
      <c r="E154" s="23"/>
      <c r="F154" s="23"/>
      <c r="H154" s="2"/>
      <c r="I154" s="23"/>
      <c r="J154"/>
    </row>
    <row r="155" spans="1:10" x14ac:dyDescent="0.25">
      <c r="C155" s="17"/>
      <c r="D155" s="23"/>
      <c r="E155" s="23"/>
      <c r="F155" s="23"/>
      <c r="H155" s="2"/>
      <c r="I155" s="23"/>
    </row>
    <row r="156" spans="1:10" ht="18.75" x14ac:dyDescent="0.35">
      <c r="B156" s="15" t="s">
        <v>98</v>
      </c>
      <c r="C156" s="472" t="s">
        <v>456</v>
      </c>
      <c r="D156" s="24" t="s">
        <v>86</v>
      </c>
      <c r="E156" s="23" t="s">
        <v>99</v>
      </c>
      <c r="F156" s="23"/>
      <c r="G156" t="s">
        <v>456</v>
      </c>
      <c r="H156" s="2" t="s">
        <v>566</v>
      </c>
      <c r="I156" s="23"/>
    </row>
    <row r="157" spans="1:10" x14ac:dyDescent="0.25">
      <c r="C157" s="17"/>
      <c r="D157" s="23"/>
      <c r="E157" s="23"/>
      <c r="F157" s="23"/>
      <c r="H157" s="2"/>
      <c r="I157" s="23"/>
      <c r="J157"/>
    </row>
    <row r="158" spans="1:10" x14ac:dyDescent="0.25">
      <c r="C158" s="17"/>
      <c r="D158" s="23"/>
      <c r="E158" s="23"/>
      <c r="F158" s="23"/>
      <c r="H158" s="2"/>
      <c r="I158" s="23"/>
    </row>
    <row r="159" spans="1:10" x14ac:dyDescent="0.25">
      <c r="B159" s="15" t="s">
        <v>100</v>
      </c>
      <c r="C159" s="472">
        <v>8</v>
      </c>
      <c r="D159" s="24" t="s">
        <v>86</v>
      </c>
      <c r="E159" s="23"/>
      <c r="F159" s="23"/>
      <c r="G159">
        <v>8</v>
      </c>
      <c r="H159" s="2" t="s">
        <v>566</v>
      </c>
      <c r="I159" s="23"/>
    </row>
    <row r="160" spans="1:10" x14ac:dyDescent="0.25">
      <c r="C160" s="17"/>
      <c r="D160" s="23"/>
      <c r="E160" s="23"/>
      <c r="F160" s="23"/>
      <c r="H160" s="2"/>
      <c r="I160" s="23"/>
      <c r="J160"/>
    </row>
    <row r="161" spans="2:10" x14ac:dyDescent="0.25">
      <c r="C161" s="17"/>
      <c r="D161" s="23"/>
      <c r="E161" s="23"/>
      <c r="F161" s="23"/>
      <c r="H161" s="2"/>
      <c r="I161" s="23"/>
    </row>
    <row r="162" spans="2:10" x14ac:dyDescent="0.25">
      <c r="B162" s="15" t="s">
        <v>101</v>
      </c>
      <c r="C162" s="17"/>
      <c r="D162" s="23"/>
      <c r="E162" s="23"/>
      <c r="F162" s="23"/>
      <c r="H162" s="2"/>
      <c r="I162" s="23"/>
    </row>
    <row r="163" spans="2:10" x14ac:dyDescent="0.25">
      <c r="B163" s="29"/>
      <c r="C163" s="17"/>
      <c r="D163" s="23"/>
      <c r="E163" s="23"/>
      <c r="F163" s="23"/>
      <c r="H163" s="2"/>
      <c r="I163" s="23"/>
    </row>
    <row r="164" spans="2:10" x14ac:dyDescent="0.25">
      <c r="C164" s="17" t="s">
        <v>102</v>
      </c>
      <c r="D164" s="23"/>
      <c r="E164" s="23"/>
      <c r="F164" s="23"/>
      <c r="H164" s="2"/>
    </row>
    <row r="165" spans="2:10" x14ac:dyDescent="0.25">
      <c r="B165" t="s">
        <v>103</v>
      </c>
      <c r="C165" s="30">
        <v>8.5</v>
      </c>
      <c r="D165" s="31"/>
      <c r="E165" s="23" t="s">
        <v>104</v>
      </c>
      <c r="F165" s="32"/>
      <c r="H165" s="2"/>
    </row>
    <row r="166" spans="2:10" x14ac:dyDescent="0.25">
      <c r="B166" t="s">
        <v>457</v>
      </c>
      <c r="C166" s="30">
        <v>180</v>
      </c>
      <c r="D166" s="31"/>
      <c r="E166" s="23" t="s">
        <v>104</v>
      </c>
      <c r="F166" s="32"/>
      <c r="H166" s="2"/>
    </row>
    <row r="167" spans="2:10" x14ac:dyDescent="0.25">
      <c r="B167" t="s">
        <v>105</v>
      </c>
      <c r="C167" s="30">
        <v>80</v>
      </c>
      <c r="D167" s="31"/>
      <c r="E167" s="23" t="s">
        <v>104</v>
      </c>
      <c r="F167" s="32"/>
      <c r="H167" s="2"/>
    </row>
    <row r="168" spans="2:10" x14ac:dyDescent="0.25">
      <c r="B168" t="s">
        <v>106</v>
      </c>
      <c r="C168" s="30">
        <v>40</v>
      </c>
      <c r="D168" s="31"/>
      <c r="E168" s="23" t="s">
        <v>104</v>
      </c>
      <c r="F168" s="32"/>
      <c r="H168" s="2"/>
    </row>
    <row r="169" spans="2:10" x14ac:dyDescent="0.25">
      <c r="B169" t="s">
        <v>107</v>
      </c>
      <c r="C169" s="30">
        <v>0.2</v>
      </c>
      <c r="D169" s="31"/>
      <c r="E169" s="23" t="s">
        <v>104</v>
      </c>
      <c r="F169" s="32"/>
      <c r="H169" s="2"/>
    </row>
    <row r="170" spans="2:10" x14ac:dyDescent="0.25">
      <c r="B170" t="s">
        <v>108</v>
      </c>
      <c r="C170" s="476">
        <v>0.4</v>
      </c>
      <c r="D170" s="24" t="s">
        <v>86</v>
      </c>
      <c r="E170" s="23"/>
      <c r="F170" s="32"/>
      <c r="G170" s="280">
        <v>0.4</v>
      </c>
      <c r="H170" s="2" t="s">
        <v>567</v>
      </c>
    </row>
    <row r="171" spans="2:10" x14ac:dyDescent="0.25">
      <c r="C171" s="17"/>
      <c r="D171" s="23"/>
      <c r="E171" s="23"/>
      <c r="F171" s="23"/>
      <c r="H171" s="2"/>
      <c r="I171" s="23"/>
      <c r="J171"/>
    </row>
    <row r="172" spans="2:10" x14ac:dyDescent="0.25">
      <c r="C172" s="23" t="s">
        <v>109</v>
      </c>
      <c r="D172" s="23"/>
      <c r="E172" s="23"/>
      <c r="F172" s="23"/>
      <c r="H172" s="2"/>
      <c r="I172" s="23"/>
      <c r="J172"/>
    </row>
    <row r="173" spans="2:10" x14ac:dyDescent="0.25">
      <c r="C173" s="33">
        <v>8.5</v>
      </c>
      <c r="D173" s="23"/>
      <c r="E173" s="23" t="s">
        <v>104</v>
      </c>
      <c r="F173" s="23"/>
      <c r="H173" s="2"/>
      <c r="I173" s="23"/>
      <c r="J173"/>
    </row>
    <row r="174" spans="2:10" x14ac:dyDescent="0.25">
      <c r="C174" s="33">
        <v>180</v>
      </c>
      <c r="D174" s="23"/>
      <c r="E174" s="23" t="s">
        <v>104</v>
      </c>
      <c r="F174" s="23"/>
      <c r="H174" s="2"/>
      <c r="I174" s="23"/>
      <c r="J174"/>
    </row>
    <row r="175" spans="2:10" x14ac:dyDescent="0.25">
      <c r="C175" s="33">
        <v>80</v>
      </c>
      <c r="D175" s="23"/>
      <c r="E175" s="23" t="s">
        <v>104</v>
      </c>
      <c r="F175" s="23"/>
      <c r="H175" s="2"/>
      <c r="I175" s="23"/>
      <c r="J175"/>
    </row>
    <row r="176" spans="2:10" x14ac:dyDescent="0.25">
      <c r="C176" s="33">
        <v>40</v>
      </c>
      <c r="D176" s="23"/>
      <c r="E176" s="23" t="s">
        <v>104</v>
      </c>
      <c r="F176" s="23"/>
      <c r="H176" s="2"/>
      <c r="I176" s="23"/>
      <c r="J176"/>
    </row>
    <row r="177" spans="2:11" x14ac:dyDescent="0.25">
      <c r="C177" s="33">
        <v>0.2</v>
      </c>
      <c r="D177" s="23"/>
      <c r="E177" s="23" t="s">
        <v>104</v>
      </c>
      <c r="F177" s="23"/>
      <c r="H177" s="2"/>
      <c r="I177" s="23"/>
      <c r="J177"/>
    </row>
    <row r="178" spans="2:11" x14ac:dyDescent="0.25">
      <c r="C178" s="477">
        <v>0.4</v>
      </c>
      <c r="D178" s="24" t="s">
        <v>86</v>
      </c>
      <c r="E178" s="23"/>
      <c r="F178" s="23"/>
      <c r="G178" s="280">
        <v>0.4</v>
      </c>
      <c r="H178" s="2" t="s">
        <v>567</v>
      </c>
      <c r="I178" s="23"/>
      <c r="J178"/>
    </row>
    <row r="179" spans="2:11" x14ac:dyDescent="0.25">
      <c r="C179" s="17"/>
      <c r="D179" s="23"/>
      <c r="E179" s="23"/>
      <c r="F179" s="23"/>
      <c r="H179" s="2"/>
      <c r="I179" s="23"/>
      <c r="J179"/>
    </row>
    <row r="180" spans="2:11" x14ac:dyDescent="0.25">
      <c r="C180" s="17"/>
      <c r="D180" s="23"/>
      <c r="E180" s="23"/>
      <c r="F180" s="23"/>
      <c r="H180" s="2"/>
      <c r="I180" s="23"/>
    </row>
    <row r="181" spans="2:11" x14ac:dyDescent="0.25">
      <c r="B181" s="15" t="s">
        <v>82</v>
      </c>
      <c r="C181" s="17"/>
      <c r="D181" s="23"/>
      <c r="E181" s="23"/>
      <c r="F181" s="23"/>
      <c r="H181" s="2"/>
      <c r="I181" s="23"/>
    </row>
    <row r="182" spans="2:11" x14ac:dyDescent="0.25">
      <c r="C182" s="17" t="s">
        <v>102</v>
      </c>
      <c r="D182" s="23"/>
      <c r="E182" s="23"/>
      <c r="F182" s="32"/>
      <c r="H182" s="2"/>
      <c r="I182" s="23"/>
    </row>
    <row r="183" spans="2:11" x14ac:dyDescent="0.25">
      <c r="C183" s="478" t="s">
        <v>110</v>
      </c>
      <c r="D183" s="24" t="s">
        <v>86</v>
      </c>
      <c r="E183" s="23"/>
      <c r="F183" s="23"/>
      <c r="G183" t="s">
        <v>110</v>
      </c>
      <c r="H183" s="2" t="s">
        <v>568</v>
      </c>
      <c r="I183" s="23"/>
    </row>
    <row r="184" spans="2:11" x14ac:dyDescent="0.25">
      <c r="C184" s="17"/>
      <c r="D184" s="23"/>
      <c r="E184" s="23"/>
      <c r="F184" s="23"/>
      <c r="H184" s="2"/>
      <c r="I184" s="23"/>
    </row>
    <row r="185" spans="2:11" x14ac:dyDescent="0.25">
      <c r="C185" s="23" t="s">
        <v>109</v>
      </c>
      <c r="D185" s="23"/>
      <c r="H185" s="2"/>
    </row>
    <row r="186" spans="2:11" x14ac:dyDescent="0.25">
      <c r="C186" s="479" t="s">
        <v>110</v>
      </c>
      <c r="D186" s="24" t="s">
        <v>86</v>
      </c>
      <c r="G186" t="s">
        <v>110</v>
      </c>
      <c r="H186" s="2" t="s">
        <v>568</v>
      </c>
      <c r="K186" s="481"/>
    </row>
    <row r="187" spans="2:11" x14ac:dyDescent="0.25">
      <c r="H187" s="2"/>
    </row>
    <row r="188" spans="2:11" x14ac:dyDescent="0.25">
      <c r="H188" s="2"/>
    </row>
    <row r="189" spans="2:11" x14ac:dyDescent="0.25">
      <c r="H189" s="2"/>
    </row>
    <row r="190" spans="2:11" x14ac:dyDescent="0.25">
      <c r="H190" s="2"/>
    </row>
    <row r="191" spans="2:11" x14ac:dyDescent="0.25">
      <c r="H191" s="2"/>
    </row>
    <row r="192" spans="2:11" x14ac:dyDescent="0.25">
      <c r="H192" s="2"/>
    </row>
    <row r="193" spans="8:8" x14ac:dyDescent="0.25">
      <c r="H193" s="2"/>
    </row>
    <row r="194" spans="8:8" x14ac:dyDescent="0.25">
      <c r="H194" s="2"/>
    </row>
    <row r="195" spans="8:8" x14ac:dyDescent="0.25">
      <c r="H195" s="2"/>
    </row>
    <row r="196" spans="8:8" x14ac:dyDescent="0.25">
      <c r="H196" s="2"/>
    </row>
    <row r="197" spans="8:8" x14ac:dyDescent="0.25">
      <c r="H197" s="2"/>
    </row>
    <row r="198" spans="8:8" x14ac:dyDescent="0.25">
      <c r="H198" s="2"/>
    </row>
    <row r="199" spans="8:8" x14ac:dyDescent="0.25">
      <c r="H199" s="2"/>
    </row>
    <row r="200" spans="8:8" x14ac:dyDescent="0.25">
      <c r="H200" s="2"/>
    </row>
    <row r="201" spans="8:8" x14ac:dyDescent="0.25">
      <c r="H201" s="2"/>
    </row>
    <row r="202" spans="8:8" x14ac:dyDescent="0.25">
      <c r="H202" s="2"/>
    </row>
    <row r="203" spans="8:8" x14ac:dyDescent="0.25">
      <c r="H203" s="2"/>
    </row>
    <row r="204" spans="8:8" x14ac:dyDescent="0.25">
      <c r="H204" s="2"/>
    </row>
    <row r="205" spans="8:8" x14ac:dyDescent="0.25">
      <c r="H205" s="2"/>
    </row>
    <row r="206" spans="8:8" x14ac:dyDescent="0.25">
      <c r="H206" s="2"/>
    </row>
    <row r="207" spans="8:8" x14ac:dyDescent="0.25">
      <c r="H207" s="2"/>
    </row>
    <row r="208" spans="8:8" x14ac:dyDescent="0.25">
      <c r="H208" s="2"/>
    </row>
    <row r="209" spans="8:8" x14ac:dyDescent="0.25">
      <c r="H209" s="2"/>
    </row>
    <row r="210" spans="8:8" x14ac:dyDescent="0.25">
      <c r="H210" s="2"/>
    </row>
    <row r="211" spans="8:8" x14ac:dyDescent="0.25">
      <c r="H211" s="2"/>
    </row>
    <row r="212" spans="8:8" x14ac:dyDescent="0.25">
      <c r="H212" s="2"/>
    </row>
    <row r="213" spans="8:8" x14ac:dyDescent="0.25">
      <c r="H213" s="2"/>
    </row>
    <row r="214" spans="8:8" x14ac:dyDescent="0.25">
      <c r="H214" s="2"/>
    </row>
    <row r="215" spans="8:8" x14ac:dyDescent="0.25">
      <c r="H215" s="2"/>
    </row>
    <row r="216" spans="8:8" x14ac:dyDescent="0.25">
      <c r="H216" s="2"/>
    </row>
    <row r="217" spans="8:8" x14ac:dyDescent="0.25">
      <c r="H217" s="2"/>
    </row>
    <row r="218" spans="8:8" x14ac:dyDescent="0.25">
      <c r="H218" s="2"/>
    </row>
    <row r="219" spans="8:8" x14ac:dyDescent="0.25">
      <c r="H219" s="2"/>
    </row>
    <row r="220" spans="8:8" x14ac:dyDescent="0.25">
      <c r="H220" s="2"/>
    </row>
    <row r="221" spans="8:8" x14ac:dyDescent="0.25">
      <c r="H221" s="2"/>
    </row>
    <row r="222" spans="8:8" x14ac:dyDescent="0.25">
      <c r="H222" s="2"/>
    </row>
    <row r="223" spans="8:8" x14ac:dyDescent="0.25">
      <c r="H223" s="2"/>
    </row>
  </sheetData>
  <sheetProtection sheet="1" objects="1" scenarios="1" selectLockedCells="1"/>
  <dataValidations xWindow="751" yWindow="499" count="5">
    <dataValidation allowBlank="1" showInputMessage="1" showErrorMessage="1" sqref="K143:XFD143 H143:I143 A143:F143"/>
    <dataValidation type="list" allowBlank="1" showInputMessage="1" showErrorMessage="1" sqref="C178 C170">
      <formula1>VRshare</formula1>
    </dataValidation>
    <dataValidation type="list" allowBlank="1" showInputMessage="1" showErrorMessage="1" sqref="C186">
      <formula1>"Default, High"</formula1>
    </dataValidation>
    <dataValidation type="list" allowBlank="1" showInputMessage="1" showErrorMessage="1" sqref="C183">
      <formula1>"Default, High, Low"</formula1>
    </dataValidation>
    <dataValidation allowBlank="1" showInputMessage="1" showErrorMessage="1" prompt="Select the cell to the left to activate the drop-down menu." sqref="D141:D142 D144:D148 D150:D151 D153:D154 D156:D157 D159:D160 D186 D183 D138:D139 D170:D171 D178:D179"/>
  </dataValidations>
  <hyperlinks>
    <hyperlink ref="B10" location="'(1) Introduction'!A26" display="↓ INSIGHT_E Project"/>
    <hyperlink ref="B12" location="'(1) Introduction'!A45" display="↓ Instructions"/>
    <hyperlink ref="B13" location="'(1) Introduction'!A59" display="↓ Abbreviations"/>
    <hyperlink ref="B11" location="'(1) Introduction'!A35" display="↓ Policy Report No.6"/>
    <hyperlink ref="B14" location="'(1) Introduction'!A83" display="↓ Technologies"/>
    <hyperlink ref="B15" location="'(1) Introduction'!A124" display="↓ Merits"/>
    <hyperlink ref="B16" location="'(1) Introduction'!A148" display="↓ Key assumptions"/>
    <hyperlink ref="C20" location="'(1) Introduction'!A7" display="↑ back to the top"/>
    <hyperlink ref="C30" location="'(1) Introduction'!A7" display="↑ back to the top"/>
    <hyperlink ref="C39" location="'(1) Introduction'!A7" display="↑ back to the top"/>
    <hyperlink ref="C49" location="'(1) Introduction'!A7" display="↑ back to the top"/>
    <hyperlink ref="C71" location="'(1) Introduction'!A7" display="↑ back to the top"/>
    <hyperlink ref="C124" location="'(1) Introduction'!A7" display="↑ back to the top"/>
    <hyperlink ref="C136" location="'(1) Introduction'!A7" display="↑ back to the top"/>
    <hyperlink ref="B41" location="'(1) Introduction'!A83" display="(1) Gain an overview of the addressed FCH technologies and pathways"/>
    <hyperlink ref="B42" location="'(1) Introduction'!A122" display="(2) Gain an overview of the merits selected for the assessment of the FCH technologies and pathways"/>
    <hyperlink ref="B43" location="'(1) Introduction'!A146" display="(3) Make assumptions on key parameters"/>
    <hyperlink ref="B72" location="'(2) FCH pathways'!A1" display="→ Overview"/>
    <hyperlink ref="B44" location="'(3) Technology assessment'!A1" display="(4) Compare the addressed FCH technologies based on the selected merits"/>
    <hyperlink ref="B45" location="'(4) FCH pathway assessment'!A1" display="(5) Compare the addressed FCH pathways based on the selected merits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751" yWindow="499" count="10">
        <x14:dataValidation type="list" allowBlank="1" showInputMessage="1" showErrorMessage="1" prompt="Select electricity price">
          <x14:formula1>
            <xm:f>Assumptions!$C$26:$C$28</xm:f>
          </x14:formula1>
          <xm:sqref>C144</xm:sqref>
        </x14:dataValidation>
        <x14:dataValidation type="list" allowBlank="1" showInputMessage="1" showErrorMessage="1" prompt="Select natural gas price">
          <x14:formula1>
            <xm:f>Assumptions!$C$29:$C$31</xm:f>
          </x14:formula1>
          <xm:sqref>C145</xm:sqref>
        </x14:dataValidation>
        <x14:dataValidation type="list" allowBlank="1" showInputMessage="1" showErrorMessage="1" prompt="Select CO2 price">
          <x14:formula1>
            <xm:f>Assumptions!$C$43:$C$45</xm:f>
          </x14:formula1>
          <xm:sqref>C150</xm:sqref>
        </x14:dataValidation>
        <x14:dataValidation type="list" allowBlank="1" showInputMessage="1" showErrorMessage="1" prompt="Select biomass price">
          <x14:formula1>
            <xm:f>Assumptions!$C$32:$C$34</xm:f>
          </x14:formula1>
          <xm:sqref>C146</xm:sqref>
        </x14:dataValidation>
        <x14:dataValidation type="list" allowBlank="1" showInputMessage="1" showErrorMessage="1" prompt="Select electricity mix carbon emissions">
          <x14:formula1>
            <xm:f>Assumptions!$C$51:$C$55</xm:f>
          </x14:formula1>
          <xm:sqref>C153</xm:sqref>
        </x14:dataValidation>
        <x14:dataValidation type="list" allowBlank="1" showInputMessage="1" showErrorMessage="1" prompt="Select interest rate">
          <x14:formula1>
            <xm:f>Assumptions!$C$14:$C$20</xm:f>
          </x14:formula1>
          <xm:sqref>C141</xm:sqref>
        </x14:dataValidation>
        <x14:dataValidation type="list" allowBlank="1" showInputMessage="1" showErrorMessage="1" prompt="Select hydrogen price">
          <x14:formula1>
            <xm:f>Assumptions!$C$35:$C$37</xm:f>
          </x14:formula1>
          <xm:sqref>C147</xm:sqref>
        </x14:dataValidation>
        <x14:dataValidation type="list" allowBlank="1" showInputMessage="1" showErrorMessage="1" prompt="Select H2 use in the other sectors">
          <x14:formula1>
            <xm:f>Assumptions!$C$70:$C$71</xm:f>
          </x14:formula1>
          <xm:sqref>C156</xm:sqref>
        </x14:dataValidation>
        <x14:dataValidation type="list" allowBlank="1" showInputMessage="1" showErrorMessage="1" prompt="Select time frame">
          <x14:formula1>
            <xm:f>Assumptions!$C$7:$C$8</xm:f>
          </x14:formula1>
          <xm:sqref>C138</xm:sqref>
        </x14:dataValidation>
        <x14:dataValidation type="list" allowBlank="1" showInputMessage="1" showErrorMessage="1" prompt="Select TRL threshold">
          <x14:formula1>
            <xm:f>Assumptions!$C$61:$C$64</xm:f>
          </x14:formula1>
          <xm:sqref>C159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A2:BE87"/>
  <sheetViews>
    <sheetView zoomScale="55" zoomScaleNormal="55" workbookViewId="0"/>
  </sheetViews>
  <sheetFormatPr defaultColWidth="8.85546875" defaultRowHeight="15" x14ac:dyDescent="0.25"/>
  <cols>
    <col min="5" max="5" width="10.28515625" bestFit="1" customWidth="1"/>
    <col min="6" max="6" width="21.7109375" bestFit="1" customWidth="1"/>
    <col min="29" max="29" width="10" customWidth="1"/>
    <col min="37" max="37" width="9" customWidth="1"/>
    <col min="42" max="45" width="9.7109375" customWidth="1"/>
    <col min="46" max="46" width="11.7109375" customWidth="1"/>
    <col min="47" max="47" width="9.7109375" customWidth="1"/>
    <col min="49" max="54" width="11.28515625" customWidth="1"/>
    <col min="56" max="58" width="11.28515625" customWidth="1"/>
  </cols>
  <sheetData>
    <row r="2" spans="6:16" ht="15.75" thickBot="1" x14ac:dyDescent="0.3"/>
    <row r="3" spans="6:16" x14ac:dyDescent="0.25">
      <c r="F3" s="251"/>
      <c r="G3" s="252"/>
      <c r="H3" s="252"/>
      <c r="I3" s="252"/>
      <c r="J3" s="253" t="s">
        <v>262</v>
      </c>
      <c r="K3" s="254">
        <f>AD24</f>
        <v>0.2</v>
      </c>
      <c r="L3" s="254">
        <f>AE24</f>
        <v>0.3</v>
      </c>
      <c r="M3" s="254">
        <f>AF24</f>
        <v>0.4</v>
      </c>
      <c r="N3" s="254">
        <f>AG24</f>
        <v>0.5</v>
      </c>
      <c r="O3" s="255">
        <f>AH24</f>
        <v>0.6</v>
      </c>
    </row>
    <row r="4" spans="6:16" x14ac:dyDescent="0.25">
      <c r="F4" s="256" t="s">
        <v>332</v>
      </c>
      <c r="G4" s="25"/>
      <c r="H4" s="25"/>
      <c r="I4" s="25"/>
      <c r="J4" s="25"/>
      <c r="K4" s="257">
        <v>0.01</v>
      </c>
      <c r="L4" s="257">
        <v>0.02</v>
      </c>
      <c r="M4" s="257">
        <v>4.4999999999999998E-2</v>
      </c>
      <c r="N4" s="257">
        <v>0.11</v>
      </c>
      <c r="O4" s="258">
        <v>0.16</v>
      </c>
      <c r="P4" t="s">
        <v>333</v>
      </c>
    </row>
    <row r="5" spans="6:16" x14ac:dyDescent="0.25">
      <c r="F5" s="256" t="s">
        <v>334</v>
      </c>
      <c r="G5" s="25"/>
      <c r="H5" s="25"/>
      <c r="I5" s="25"/>
      <c r="J5" s="25"/>
      <c r="K5" s="257">
        <v>5.0000000000000001E-3</v>
      </c>
      <c r="L5" s="257">
        <v>0.01</v>
      </c>
      <c r="M5" s="257">
        <v>0.02</v>
      </c>
      <c r="N5" s="257">
        <v>0.04</v>
      </c>
      <c r="O5" s="258">
        <v>7.4999999999999997E-2</v>
      </c>
      <c r="P5" t="s">
        <v>335</v>
      </c>
    </row>
    <row r="6" spans="6:16" x14ac:dyDescent="0.25">
      <c r="F6" s="256" t="s">
        <v>336</v>
      </c>
      <c r="G6" s="25"/>
      <c r="H6" s="25"/>
      <c r="I6" s="25"/>
      <c r="J6" s="25"/>
      <c r="K6" s="257">
        <v>0</v>
      </c>
      <c r="L6" s="257">
        <v>5.0000000000000001E-4</v>
      </c>
      <c r="M6" s="257">
        <v>1.4999999999999999E-2</v>
      </c>
      <c r="N6" s="257">
        <v>0.03</v>
      </c>
      <c r="O6" s="258">
        <v>0.05</v>
      </c>
      <c r="P6" t="s">
        <v>337</v>
      </c>
    </row>
    <row r="7" spans="6:16" ht="15.75" thickBot="1" x14ac:dyDescent="0.3">
      <c r="F7" s="259" t="s">
        <v>338</v>
      </c>
      <c r="G7" s="260"/>
      <c r="H7" s="260"/>
      <c r="I7" s="260"/>
      <c r="J7" s="260"/>
      <c r="K7" s="261">
        <v>0</v>
      </c>
      <c r="L7" s="261">
        <v>0</v>
      </c>
      <c r="M7" s="261">
        <v>5.0000000000000001E-4</v>
      </c>
      <c r="N7" s="261">
        <v>1.4999999999999999E-2</v>
      </c>
      <c r="O7" s="262">
        <v>3.5000000000000003E-2</v>
      </c>
      <c r="P7" t="s">
        <v>339</v>
      </c>
    </row>
    <row r="17" spans="1:57" x14ac:dyDescent="0.25">
      <c r="F17" t="s">
        <v>340</v>
      </c>
    </row>
    <row r="18" spans="1:57" x14ac:dyDescent="0.25">
      <c r="F18" s="263">
        <f>LOOKUP('(1) Introduction'!C170,BA24:BE24,BA25:BE25)</f>
        <v>28.032</v>
      </c>
      <c r="G18" t="s">
        <v>341</v>
      </c>
    </row>
    <row r="19" spans="1:57" x14ac:dyDescent="0.25">
      <c r="F19" s="263">
        <f>LOOKUP('(1) Introduction'!C178,BA24:BE24,BA25:BE25)</f>
        <v>28.032</v>
      </c>
      <c r="G19" t="s">
        <v>341</v>
      </c>
    </row>
    <row r="22" spans="1:57" x14ac:dyDescent="0.25">
      <c r="A22" s="264"/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</row>
    <row r="23" spans="1:57" x14ac:dyDescent="0.25">
      <c r="H23" t="s">
        <v>342</v>
      </c>
      <c r="K23" s="265"/>
      <c r="Q23" t="s">
        <v>343</v>
      </c>
      <c r="U23" t="s">
        <v>344</v>
      </c>
      <c r="W23" t="s">
        <v>105</v>
      </c>
      <c r="Z23" t="s">
        <v>345</v>
      </c>
      <c r="AD23" t="s">
        <v>346</v>
      </c>
      <c r="AJ23" t="s">
        <v>347</v>
      </c>
      <c r="AM23" t="s">
        <v>348</v>
      </c>
      <c r="AT23" t="s">
        <v>349</v>
      </c>
      <c r="BA23" t="s">
        <v>350</v>
      </c>
    </row>
    <row r="24" spans="1:57" x14ac:dyDescent="0.25">
      <c r="C24" s="265"/>
      <c r="D24" s="265"/>
      <c r="E24" s="265"/>
      <c r="H24" s="265" t="s">
        <v>351</v>
      </c>
      <c r="Q24" s="265" t="s">
        <v>352</v>
      </c>
      <c r="U24" s="265" t="s">
        <v>104</v>
      </c>
      <c r="V24" s="265"/>
      <c r="W24" s="265" t="s">
        <v>104</v>
      </c>
      <c r="Z24" s="265" t="s">
        <v>104</v>
      </c>
      <c r="AA24" t="s">
        <v>353</v>
      </c>
      <c r="AD24" s="266">
        <v>0.2</v>
      </c>
      <c r="AE24" s="266">
        <v>0.3</v>
      </c>
      <c r="AF24" s="266">
        <v>0.4</v>
      </c>
      <c r="AG24" s="266">
        <v>0.5</v>
      </c>
      <c r="AH24" s="266">
        <v>0.6</v>
      </c>
      <c r="AM24" s="266">
        <v>0.2</v>
      </c>
      <c r="AN24" s="266">
        <v>0.3</v>
      </c>
      <c r="AO24" s="266">
        <v>0.4</v>
      </c>
      <c r="AP24" s="266">
        <v>0.5</v>
      </c>
      <c r="AQ24" s="266">
        <v>0.6</v>
      </c>
      <c r="AT24" s="266">
        <v>0.2</v>
      </c>
      <c r="AU24" s="266">
        <v>0.3</v>
      </c>
      <c r="AV24" s="266">
        <v>0.4</v>
      </c>
      <c r="AW24" s="266">
        <v>0.5</v>
      </c>
      <c r="AX24" s="266">
        <v>0.6</v>
      </c>
      <c r="BA24" s="266">
        <f>AT24</f>
        <v>0.2</v>
      </c>
      <c r="BB24" s="266">
        <f>AU24</f>
        <v>0.3</v>
      </c>
      <c r="BC24" s="266">
        <f>AV24</f>
        <v>0.4</v>
      </c>
      <c r="BD24" s="266">
        <f>AW24</f>
        <v>0.5</v>
      </c>
      <c r="BE24" s="266">
        <f>AX24</f>
        <v>0.6</v>
      </c>
    </row>
    <row r="25" spans="1:57" s="15" customFormat="1" x14ac:dyDescent="0.25">
      <c r="A25" s="267" t="s">
        <v>102</v>
      </c>
      <c r="B25" s="267"/>
      <c r="C25" s="268"/>
      <c r="D25" s="267" t="s">
        <v>354</v>
      </c>
      <c r="E25" s="269"/>
      <c r="F25" s="267"/>
      <c r="G25" s="267"/>
      <c r="H25" s="267">
        <f>Q25/W25</f>
        <v>0.10625</v>
      </c>
      <c r="I25" s="267"/>
      <c r="J25" s="267" t="str">
        <f>IF(H25&lt;0.05,"Isolated",IF(H25&lt;0.1,"low interconnection",IF(H25&lt;0.2,"well interconnected","very well interconnected")))</f>
        <v>well interconnected</v>
      </c>
      <c r="K25" s="267"/>
      <c r="L25" s="267"/>
      <c r="M25" s="267"/>
      <c r="N25" s="267"/>
      <c r="O25" s="267"/>
      <c r="P25" s="267" t="str">
        <f>D25</f>
        <v>XYZ</v>
      </c>
      <c r="Q25" s="270">
        <f>'(1) Introduction'!C165</f>
        <v>8.5</v>
      </c>
      <c r="R25" s="267"/>
      <c r="S25" s="267"/>
      <c r="T25" s="267"/>
      <c r="U25" s="271">
        <f>'(1) Introduction'!C166</f>
        <v>180</v>
      </c>
      <c r="V25" s="267"/>
      <c r="W25" s="271">
        <f>'(1) Introduction'!C167</f>
        <v>80</v>
      </c>
      <c r="X25" s="267"/>
      <c r="Y25" s="267"/>
      <c r="Z25" s="270">
        <f>'(1) Introduction'!C168</f>
        <v>40</v>
      </c>
      <c r="AA25" s="272">
        <f>Z25/W25</f>
        <v>0.5</v>
      </c>
      <c r="AB25" s="267"/>
      <c r="AC25" s="273"/>
      <c r="AD25" s="268">
        <f>W25*$AD$24</f>
        <v>16</v>
      </c>
      <c r="AE25" s="268">
        <f>$AE$24*W25</f>
        <v>24</v>
      </c>
      <c r="AF25" s="268">
        <f>$AF$24*W25</f>
        <v>32</v>
      </c>
      <c r="AG25" s="268">
        <f>$AG$24*W25</f>
        <v>40</v>
      </c>
      <c r="AH25" s="268">
        <f>$AH$24*W25</f>
        <v>48</v>
      </c>
      <c r="AI25"/>
      <c r="AJ25" s="274">
        <f>'(1) Introduction'!C169</f>
        <v>0.2</v>
      </c>
      <c r="AK25" s="267"/>
      <c r="AL25" s="267"/>
      <c r="AM25" s="275">
        <f>AD25*AJ25*8760</f>
        <v>28032</v>
      </c>
      <c r="AN25" s="275">
        <f>AE25*AJ25*8760</f>
        <v>42048.000000000007</v>
      </c>
      <c r="AO25" s="275">
        <f>AF25*AJ25*8760</f>
        <v>56064</v>
      </c>
      <c r="AP25" s="275">
        <f>AG25*AJ25*8760</f>
        <v>70080</v>
      </c>
      <c r="AQ25" s="275">
        <f>AH25*AJ25*8760</f>
        <v>84096.000000000015</v>
      </c>
      <c r="AR25" s="267"/>
      <c r="AS25" s="267"/>
      <c r="AT25" s="276">
        <f>(LOOKUP($J$25,$F$4:$F$7,K4:K7))</f>
        <v>0</v>
      </c>
      <c r="AU25" s="276">
        <f>(LOOKUP($J$25,$F$4:$F$7,L4:L7))</f>
        <v>0</v>
      </c>
      <c r="AV25" s="276">
        <f>(LOOKUP($J$25,$F$4:$F$7,M4:M7))</f>
        <v>5.0000000000000001E-4</v>
      </c>
      <c r="AW25" s="276">
        <f>(LOOKUP($J$25,$F$4:$F$7,N4:N7))</f>
        <v>1.4999999999999999E-2</v>
      </c>
      <c r="AX25" s="276">
        <f>(LOOKUP($J$25,$F$4:$F$7,O4:O7))</f>
        <v>3.5000000000000003E-2</v>
      </c>
      <c r="AY25" s="276"/>
      <c r="AZ25" s="267"/>
      <c r="BA25" s="268">
        <f>AM25*AT25</f>
        <v>0</v>
      </c>
      <c r="BB25" s="268">
        <f t="shared" ref="BA25:BE33" si="0">AN25*AU25</f>
        <v>0</v>
      </c>
      <c r="BC25" s="268">
        <f t="shared" si="0"/>
        <v>28.032</v>
      </c>
      <c r="BD25" s="268">
        <f t="shared" si="0"/>
        <v>1051.2</v>
      </c>
      <c r="BE25" s="268">
        <f t="shared" si="0"/>
        <v>2943.3600000000006</v>
      </c>
    </row>
    <row r="26" spans="1:57" x14ac:dyDescent="0.25">
      <c r="A26" s="267" t="s">
        <v>109</v>
      </c>
      <c r="B26" s="267"/>
      <c r="C26" s="268"/>
      <c r="D26" s="267" t="s">
        <v>354</v>
      </c>
      <c r="E26" s="269"/>
      <c r="F26" s="267"/>
      <c r="G26" s="267"/>
      <c r="H26" s="267">
        <f>Q26/W26</f>
        <v>0.10625</v>
      </c>
      <c r="I26" s="267"/>
      <c r="J26" s="267" t="str">
        <f>IF(H26&lt;0.05,"Isolated",IF(H26&lt;0.1,"low interconnection",IF(H26&lt;0.2,"well interconnected","very well interconnected")))</f>
        <v>well interconnected</v>
      </c>
      <c r="K26" s="267"/>
      <c r="L26" s="267"/>
      <c r="M26" s="267"/>
      <c r="N26" s="267"/>
      <c r="O26" s="267"/>
      <c r="P26" s="267" t="str">
        <f>D26</f>
        <v>XYZ</v>
      </c>
      <c r="Q26" s="270">
        <f>'(1) Introduction'!C173</f>
        <v>8.5</v>
      </c>
      <c r="R26" s="267"/>
      <c r="S26" s="267"/>
      <c r="T26" s="267"/>
      <c r="U26" s="271">
        <f>'(1) Introduction'!C174</f>
        <v>180</v>
      </c>
      <c r="V26" s="267"/>
      <c r="W26" s="271">
        <f>'(1) Introduction'!C175</f>
        <v>80</v>
      </c>
      <c r="X26" s="267"/>
      <c r="Y26" s="267"/>
      <c r="Z26" s="270">
        <f>'(1) Introduction'!C176</f>
        <v>40</v>
      </c>
      <c r="AA26" s="272">
        <f>Z26/W26</f>
        <v>0.5</v>
      </c>
      <c r="AB26" s="267"/>
      <c r="AC26" s="273"/>
      <c r="AD26" s="268">
        <f>W26*$AD$24</f>
        <v>16</v>
      </c>
      <c r="AE26" s="268">
        <f>$AE$24*W26</f>
        <v>24</v>
      </c>
      <c r="AF26" s="268">
        <f>$AF$24*W26</f>
        <v>32</v>
      </c>
      <c r="AG26" s="268">
        <f>$AG$24*W26</f>
        <v>40</v>
      </c>
      <c r="AH26" s="268">
        <f>$AH$24*W26</f>
        <v>48</v>
      </c>
      <c r="AJ26" s="274">
        <f>'(1) Introduction'!C177</f>
        <v>0.2</v>
      </c>
      <c r="AK26" s="267"/>
      <c r="AL26" s="267"/>
      <c r="AM26" s="275">
        <f>AD26*AJ26*8760</f>
        <v>28032</v>
      </c>
      <c r="AN26" s="275">
        <f>AE26*AJ26*8760</f>
        <v>42048.000000000007</v>
      </c>
      <c r="AO26" s="275">
        <f>AF26*AJ26*8760</f>
        <v>56064</v>
      </c>
      <c r="AP26" s="275">
        <f>AG26*AJ26*8760</f>
        <v>70080</v>
      </c>
      <c r="AQ26" s="275">
        <f>AH26*AJ26*8760</f>
        <v>84096.000000000015</v>
      </c>
      <c r="AR26" s="267"/>
      <c r="AS26" s="267"/>
      <c r="AT26" s="276">
        <f>(LOOKUP($J$25,$F$4:$F$7,K4:K7))</f>
        <v>0</v>
      </c>
      <c r="AU26" s="276">
        <f>(LOOKUP($J$25,$F$4:$F$7,L4:L7))</f>
        <v>0</v>
      </c>
      <c r="AV26" s="276">
        <f>(LOOKUP($J$25,$F$4:$F$7,M4:M7))</f>
        <v>5.0000000000000001E-4</v>
      </c>
      <c r="AW26" s="276">
        <f>(LOOKUP($J$25,$F$4:$F$7,N4:N7))</f>
        <v>1.4999999999999999E-2</v>
      </c>
      <c r="AX26" s="276">
        <f>(LOOKUP($J$25,$F$4:$F$7,O4:O7))</f>
        <v>3.5000000000000003E-2</v>
      </c>
      <c r="AY26" s="276"/>
      <c r="AZ26" s="267"/>
      <c r="BA26" s="268">
        <f>AM26*AT26</f>
        <v>0</v>
      </c>
      <c r="BB26" s="268">
        <f t="shared" si="0"/>
        <v>0</v>
      </c>
      <c r="BC26" s="268">
        <f t="shared" si="0"/>
        <v>28.032</v>
      </c>
      <c r="BD26" s="268">
        <f t="shared" si="0"/>
        <v>1051.2</v>
      </c>
      <c r="BE26" s="268">
        <f t="shared" si="0"/>
        <v>2943.3600000000006</v>
      </c>
    </row>
    <row r="27" spans="1:57" x14ac:dyDescent="0.25">
      <c r="C27" s="54"/>
      <c r="E27" s="247"/>
      <c r="H27" s="54"/>
      <c r="Q27" s="54"/>
      <c r="U27" s="247"/>
      <c r="W27" s="247"/>
      <c r="Z27" s="277"/>
      <c r="AA27" s="278"/>
      <c r="AC27" s="279"/>
      <c r="AD27" s="54"/>
      <c r="AE27" s="54"/>
      <c r="AF27" s="54"/>
      <c r="AG27" s="54"/>
      <c r="AH27" s="54"/>
      <c r="AM27" s="59"/>
      <c r="AN27" s="59"/>
      <c r="AO27" s="59"/>
      <c r="AP27" s="59"/>
      <c r="AQ27" s="59"/>
      <c r="AT27" s="280"/>
      <c r="AU27" s="280"/>
      <c r="AV27" s="280"/>
      <c r="AW27" s="280"/>
      <c r="AX27" s="280"/>
      <c r="BA27" s="281"/>
      <c r="BB27" s="281"/>
      <c r="BC27" s="281"/>
      <c r="BD27" s="281"/>
      <c r="BE27" s="281"/>
    </row>
    <row r="28" spans="1:57" x14ac:dyDescent="0.25">
      <c r="C28" s="54"/>
      <c r="E28" s="247"/>
      <c r="H28" s="54"/>
      <c r="Q28" s="54"/>
      <c r="Z28">
        <v>2014</v>
      </c>
      <c r="AA28" s="278"/>
      <c r="AC28" s="279"/>
      <c r="AD28" s="54"/>
      <c r="AE28" s="54"/>
      <c r="AF28" s="54"/>
      <c r="AG28" s="54"/>
      <c r="AH28" s="54"/>
      <c r="AM28" s="59"/>
      <c r="AN28" s="59"/>
      <c r="AO28" s="59"/>
      <c r="AP28" s="59"/>
      <c r="AQ28" s="59"/>
      <c r="AT28" s="280"/>
      <c r="AU28" s="280"/>
      <c r="AV28" s="280"/>
      <c r="AW28" s="280"/>
      <c r="AX28" s="280"/>
      <c r="BA28" s="281"/>
      <c r="BB28" s="281"/>
      <c r="BC28" s="281"/>
      <c r="BD28" s="281"/>
      <c r="BE28" s="281"/>
    </row>
    <row r="29" spans="1:57" x14ac:dyDescent="0.25">
      <c r="B29" t="s">
        <v>355</v>
      </c>
      <c r="C29" s="54"/>
      <c r="D29" t="str">
        <f>B47</f>
        <v>DE</v>
      </c>
      <c r="E29" s="247"/>
      <c r="H29" s="54">
        <f>Q29/W29</f>
        <v>0.10625</v>
      </c>
      <c r="J29" t="str">
        <f>IF(H29&lt;0.05,"Isolated",IF(H29&lt;0.1,"low interconnection",IF(H29&lt;0.2,"well interconnected","very well interconnected")))</f>
        <v>well interconnected</v>
      </c>
      <c r="P29" s="282" t="s">
        <v>356</v>
      </c>
      <c r="Q29" s="283">
        <f>MIN(SUM(C47:AO47),AQ47)</f>
        <v>8.5</v>
      </c>
      <c r="R29" s="284"/>
      <c r="S29" s="284"/>
      <c r="T29" s="284"/>
      <c r="U29" s="285">
        <v>178.8</v>
      </c>
      <c r="V29" s="284"/>
      <c r="W29" s="286">
        <v>80</v>
      </c>
      <c r="X29" s="284"/>
      <c r="Y29" s="284"/>
      <c r="Z29" s="287">
        <v>39.159999999999997</v>
      </c>
      <c r="AA29" s="288">
        <f>Z29/W29</f>
        <v>0.48949999999999994</v>
      </c>
      <c r="AB29" s="284"/>
      <c r="AC29" s="289"/>
      <c r="AD29" s="283">
        <f>W29*$AD$24</f>
        <v>16</v>
      </c>
      <c r="AE29" s="283">
        <f>$AE$24*W29</f>
        <v>24</v>
      </c>
      <c r="AF29" s="283">
        <f>$AF$24*W29</f>
        <v>32</v>
      </c>
      <c r="AG29" s="283">
        <f>$AG$24*W29</f>
        <v>40</v>
      </c>
      <c r="AH29" s="283">
        <f>$AH$24*W29</f>
        <v>48</v>
      </c>
      <c r="AI29" s="284"/>
      <c r="AJ29" s="284">
        <v>0.17</v>
      </c>
      <c r="AK29" s="284"/>
      <c r="AL29" s="284"/>
      <c r="AM29" s="290">
        <f>AD29*AJ29*8760</f>
        <v>23827.200000000001</v>
      </c>
      <c r="AN29" s="290">
        <f>AE29*AJ29*8760</f>
        <v>35740.800000000003</v>
      </c>
      <c r="AO29" s="290">
        <f>AF29*AJ29*8760</f>
        <v>47654.400000000001</v>
      </c>
      <c r="AP29" s="290">
        <f>AG29*AJ29*8760</f>
        <v>59568.000000000007</v>
      </c>
      <c r="AQ29" s="290">
        <f>AH29*AJ29*8760</f>
        <v>71481.600000000006</v>
      </c>
      <c r="AR29" s="284"/>
      <c r="AS29" s="284"/>
      <c r="AT29" s="291">
        <f>K6</f>
        <v>0</v>
      </c>
      <c r="AU29" s="291">
        <f>L6</f>
        <v>5.0000000000000001E-4</v>
      </c>
      <c r="AV29" s="291">
        <f>M6</f>
        <v>1.4999999999999999E-2</v>
      </c>
      <c r="AW29" s="291">
        <f>N6</f>
        <v>0.03</v>
      </c>
      <c r="AX29" s="291">
        <f>O6</f>
        <v>0.05</v>
      </c>
      <c r="AY29" s="284"/>
      <c r="AZ29" s="284"/>
      <c r="BA29" s="292">
        <f t="shared" si="0"/>
        <v>0</v>
      </c>
      <c r="BB29" s="292">
        <f t="shared" si="0"/>
        <v>17.8704</v>
      </c>
      <c r="BC29" s="292">
        <f t="shared" si="0"/>
        <v>714.81600000000003</v>
      </c>
      <c r="BD29" s="287">
        <f t="shared" si="0"/>
        <v>1787.0400000000002</v>
      </c>
      <c r="BE29" s="292">
        <f t="shared" si="0"/>
        <v>3574.0800000000004</v>
      </c>
    </row>
    <row r="30" spans="1:57" x14ac:dyDescent="0.25">
      <c r="B30" t="s">
        <v>355</v>
      </c>
      <c r="C30" s="54"/>
      <c r="D30" t="str">
        <f>B50</f>
        <v>ES</v>
      </c>
      <c r="E30" s="247"/>
      <c r="H30" s="54">
        <f>Q30/W30</f>
        <v>6.8888888888888888E-2</v>
      </c>
      <c r="J30" t="str">
        <f>IF(H30&lt;0.05,"Isolated",IF(H30&lt;0.1,"low interconnection",IF(H30&lt;0.2,"well interconnected","very well interconnected")))</f>
        <v>low interconnection</v>
      </c>
      <c r="P30" s="293" t="s">
        <v>357</v>
      </c>
      <c r="Q30" s="294">
        <f>MIN(SUM(C50:AO50),AQ50)</f>
        <v>3.1</v>
      </c>
      <c r="R30" s="295"/>
      <c r="S30" s="295"/>
      <c r="T30" s="295"/>
      <c r="U30" s="296">
        <v>103</v>
      </c>
      <c r="V30" s="295"/>
      <c r="W30" s="297">
        <v>45</v>
      </c>
      <c r="X30" s="295"/>
      <c r="Y30" s="295"/>
      <c r="Z30" s="298">
        <v>23</v>
      </c>
      <c r="AA30" s="299">
        <f>Z30/W30</f>
        <v>0.51111111111111107</v>
      </c>
      <c r="AB30" s="295"/>
      <c r="AC30" s="300"/>
      <c r="AD30" s="294">
        <f>W30*$AD$24</f>
        <v>9</v>
      </c>
      <c r="AE30" s="294">
        <f>$AE$24*W30</f>
        <v>13.5</v>
      </c>
      <c r="AF30" s="294">
        <f>$AF$24*W30</f>
        <v>18</v>
      </c>
      <c r="AG30" s="294">
        <f>$AG$24*W30</f>
        <v>22.5</v>
      </c>
      <c r="AH30" s="294">
        <f>$AH$24*W30</f>
        <v>27</v>
      </c>
      <c r="AI30" s="295"/>
      <c r="AJ30" s="295">
        <v>0.2</v>
      </c>
      <c r="AK30" s="295"/>
      <c r="AL30" s="295"/>
      <c r="AM30" s="301">
        <f>AD30*AJ30*8760</f>
        <v>15768</v>
      </c>
      <c r="AN30" s="301">
        <f>AE30*AJ30*8760</f>
        <v>23652</v>
      </c>
      <c r="AO30" s="301">
        <f>AF30*AJ30*8760</f>
        <v>31536</v>
      </c>
      <c r="AP30" s="301">
        <f>AG30*AJ30*8760</f>
        <v>39420</v>
      </c>
      <c r="AQ30" s="301">
        <f>AH30*AJ30*8760</f>
        <v>47304</v>
      </c>
      <c r="AR30" s="295"/>
      <c r="AS30" s="295"/>
      <c r="AT30" s="302">
        <f>K4</f>
        <v>0.01</v>
      </c>
      <c r="AU30" s="302">
        <f>L4</f>
        <v>0.02</v>
      </c>
      <c r="AV30" s="302">
        <f>M4</f>
        <v>4.4999999999999998E-2</v>
      </c>
      <c r="AW30" s="302">
        <f>N4</f>
        <v>0.11</v>
      </c>
      <c r="AX30" s="302">
        <f>O4</f>
        <v>0.16</v>
      </c>
      <c r="AY30" s="295"/>
      <c r="AZ30" s="295"/>
      <c r="BA30" s="303">
        <f t="shared" si="0"/>
        <v>157.68</v>
      </c>
      <c r="BB30" s="303">
        <f t="shared" si="0"/>
        <v>473.04</v>
      </c>
      <c r="BC30" s="303">
        <f t="shared" si="0"/>
        <v>1419.12</v>
      </c>
      <c r="BD30" s="298">
        <f t="shared" si="0"/>
        <v>4336.2</v>
      </c>
      <c r="BE30" s="298">
        <f t="shared" si="0"/>
        <v>7568.64</v>
      </c>
    </row>
    <row r="31" spans="1:57" x14ac:dyDescent="0.25">
      <c r="B31" t="s">
        <v>355</v>
      </c>
      <c r="C31" s="54"/>
      <c r="D31" t="str">
        <f>B55</f>
        <v>IE</v>
      </c>
      <c r="E31" s="247"/>
      <c r="H31" s="54">
        <f>Q31/W31</f>
        <v>1.6E-2</v>
      </c>
      <c r="J31" t="str">
        <f>IF(H31&lt;0.05,"Isolated",IF(H31&lt;0.1,"low interconnection",IF(H31&lt;0.2,"well interconnected","very well interconnected")))</f>
        <v>Isolated</v>
      </c>
      <c r="P31" s="304" t="s">
        <v>358</v>
      </c>
      <c r="Q31" s="305">
        <f>MIN(SUM(C55:AO55),AQ55)</f>
        <v>0.08</v>
      </c>
      <c r="R31" s="306"/>
      <c r="S31" s="306"/>
      <c r="T31" s="306"/>
      <c r="U31" s="307">
        <v>8.1999999999999993</v>
      </c>
      <c r="V31" s="306"/>
      <c r="W31" s="308">
        <v>5</v>
      </c>
      <c r="X31" s="306"/>
      <c r="Y31" s="306"/>
      <c r="Z31" s="309">
        <v>2.27</v>
      </c>
      <c r="AA31" s="310">
        <f>Z31/W31</f>
        <v>0.45400000000000001</v>
      </c>
      <c r="AB31" s="306"/>
      <c r="AC31" s="311"/>
      <c r="AD31" s="305">
        <f>W31*$AD$24</f>
        <v>1</v>
      </c>
      <c r="AE31" s="305">
        <f>$AE$24*W31</f>
        <v>1.5</v>
      </c>
      <c r="AF31" s="305">
        <f>$AF$24*W31</f>
        <v>2</v>
      </c>
      <c r="AG31" s="305">
        <f>$AG$24*W31</f>
        <v>2.5</v>
      </c>
      <c r="AH31" s="305">
        <f>$AH$24*W31</f>
        <v>3</v>
      </c>
      <c r="AI31" s="306"/>
      <c r="AJ31" s="306">
        <v>0.25</v>
      </c>
      <c r="AK31" s="306"/>
      <c r="AL31" s="306"/>
      <c r="AM31" s="312">
        <f>AD31*AJ31*8760</f>
        <v>2190</v>
      </c>
      <c r="AN31" s="312">
        <f>AE31*AJ31*8760</f>
        <v>3285</v>
      </c>
      <c r="AO31" s="312">
        <f>AF31*AJ31*8760</f>
        <v>4380</v>
      </c>
      <c r="AP31" s="312">
        <f>AG31*AJ31*8760</f>
        <v>5475</v>
      </c>
      <c r="AQ31" s="312">
        <f>AH31*AJ31*8760</f>
        <v>6570</v>
      </c>
      <c r="AR31" s="306"/>
      <c r="AS31" s="306"/>
      <c r="AT31" s="313">
        <f t="shared" ref="AT31:AX32" si="1">K4</f>
        <v>0.01</v>
      </c>
      <c r="AU31" s="313">
        <f t="shared" si="1"/>
        <v>0.02</v>
      </c>
      <c r="AV31" s="313">
        <f t="shared" si="1"/>
        <v>4.4999999999999998E-2</v>
      </c>
      <c r="AW31" s="313">
        <f t="shared" si="1"/>
        <v>0.11</v>
      </c>
      <c r="AX31" s="313">
        <f t="shared" si="1"/>
        <v>0.16</v>
      </c>
      <c r="AY31" s="306"/>
      <c r="AZ31" s="306"/>
      <c r="BA31" s="314">
        <f t="shared" si="0"/>
        <v>21.900000000000002</v>
      </c>
      <c r="BB31" s="314">
        <f t="shared" si="0"/>
        <v>65.7</v>
      </c>
      <c r="BC31" s="309">
        <f t="shared" si="0"/>
        <v>197.1</v>
      </c>
      <c r="BD31" s="309">
        <f t="shared" si="0"/>
        <v>602.25</v>
      </c>
      <c r="BE31" s="314">
        <f t="shared" si="0"/>
        <v>1051.2</v>
      </c>
    </row>
    <row r="32" spans="1:57" x14ac:dyDescent="0.25">
      <c r="B32" t="s">
        <v>355</v>
      </c>
      <c r="C32" s="54"/>
      <c r="D32" t="str">
        <f>B57</f>
        <v>IT</v>
      </c>
      <c r="E32" s="247"/>
      <c r="H32" s="54">
        <f>Q32/W32</f>
        <v>6.2500000000000014E-2</v>
      </c>
      <c r="J32" t="str">
        <f>IF(H32&lt;0.05,"Isolated",IF(H32&lt;0.1,"low interconnection",IF(H32&lt;0.2,"well interconnected","very well interconnected")))</f>
        <v>low interconnection</v>
      </c>
      <c r="P32" s="315" t="s">
        <v>359</v>
      </c>
      <c r="Q32" s="316">
        <f>MIN(SUM(C57:AO57),AQ57)</f>
        <v>3.7500000000000004</v>
      </c>
      <c r="R32" s="317"/>
      <c r="S32" s="317"/>
      <c r="T32" s="317"/>
      <c r="U32" s="318">
        <v>130</v>
      </c>
      <c r="V32" s="317"/>
      <c r="W32" s="319">
        <v>60</v>
      </c>
      <c r="X32" s="317"/>
      <c r="Y32" s="317"/>
      <c r="Z32" s="320">
        <v>8.66</v>
      </c>
      <c r="AA32" s="321">
        <f>Z32/W32</f>
        <v>0.14433333333333334</v>
      </c>
      <c r="AB32" s="317"/>
      <c r="AC32" s="322"/>
      <c r="AD32" s="316">
        <f>W32*$AD$24</f>
        <v>12</v>
      </c>
      <c r="AE32" s="316">
        <f>$AE$24*W32</f>
        <v>18</v>
      </c>
      <c r="AF32" s="316">
        <f>$AF$24*W32</f>
        <v>24</v>
      </c>
      <c r="AG32" s="316">
        <f>$AG$24*W32</f>
        <v>30</v>
      </c>
      <c r="AH32" s="316">
        <f>$AH$24*W32</f>
        <v>36</v>
      </c>
      <c r="AI32" s="317"/>
      <c r="AJ32" s="317">
        <v>0.15</v>
      </c>
      <c r="AK32" s="317"/>
      <c r="AL32" s="317"/>
      <c r="AM32" s="323">
        <f>AD32*AJ32*8760</f>
        <v>15767.999999999998</v>
      </c>
      <c r="AN32" s="323">
        <f>AE32*AJ32*8760</f>
        <v>23651.999999999996</v>
      </c>
      <c r="AO32" s="323">
        <f>AF32*AJ32*8760</f>
        <v>31535.999999999996</v>
      </c>
      <c r="AP32" s="323">
        <f>AG32*AJ32*8760</f>
        <v>39420</v>
      </c>
      <c r="AQ32" s="323">
        <f>AH32*AJ32*8760</f>
        <v>47303.999999999993</v>
      </c>
      <c r="AR32" s="317"/>
      <c r="AS32" s="317"/>
      <c r="AT32" s="324">
        <f t="shared" si="1"/>
        <v>5.0000000000000001E-3</v>
      </c>
      <c r="AU32" s="324">
        <f t="shared" si="1"/>
        <v>0.01</v>
      </c>
      <c r="AV32" s="324">
        <f t="shared" si="1"/>
        <v>0.02</v>
      </c>
      <c r="AW32" s="324">
        <f t="shared" si="1"/>
        <v>0.04</v>
      </c>
      <c r="AX32" s="324">
        <f t="shared" si="1"/>
        <v>7.4999999999999997E-2</v>
      </c>
      <c r="AY32" s="317"/>
      <c r="AZ32" s="317"/>
      <c r="BA32" s="320">
        <f t="shared" si="0"/>
        <v>78.839999999999989</v>
      </c>
      <c r="BB32" s="325">
        <f t="shared" si="0"/>
        <v>236.51999999999998</v>
      </c>
      <c r="BC32" s="325">
        <f t="shared" si="0"/>
        <v>630.71999999999991</v>
      </c>
      <c r="BD32" s="325">
        <f t="shared" si="0"/>
        <v>1576.8</v>
      </c>
      <c r="BE32" s="325">
        <f t="shared" si="0"/>
        <v>3547.7999999999993</v>
      </c>
    </row>
    <row r="33" spans="1:57" x14ac:dyDescent="0.25">
      <c r="B33" t="s">
        <v>355</v>
      </c>
      <c r="C33" s="54"/>
      <c r="D33" t="str">
        <f>B70</f>
        <v>UK</v>
      </c>
      <c r="E33" s="247"/>
      <c r="H33" s="54">
        <f>Q33/W33</f>
        <v>4.083333333333334E-2</v>
      </c>
      <c r="J33" t="str">
        <f>IF(H33&lt;0.05,"Isolated",IF(H33&lt;0.1,"low interconnection",IF(H33&lt;0.2,"well interconnected","very well interconnected")))</f>
        <v>Isolated</v>
      </c>
      <c r="P33" s="55" t="s">
        <v>360</v>
      </c>
      <c r="Q33" s="64">
        <f>MIN(SUM(C70:AO70),AQ70)</f>
        <v>2.4500000000000002</v>
      </c>
      <c r="R33" s="55"/>
      <c r="S33" s="55"/>
      <c r="T33" s="55"/>
      <c r="U33" s="326">
        <v>70</v>
      </c>
      <c r="V33" s="55"/>
      <c r="W33" s="327">
        <v>60</v>
      </c>
      <c r="X33" s="55"/>
      <c r="Y33" s="55"/>
      <c r="Z33" s="328">
        <v>12.4</v>
      </c>
      <c r="AA33" s="329">
        <f>Z33/W33</f>
        <v>0.20666666666666667</v>
      </c>
      <c r="AB33" s="55"/>
      <c r="AC33" s="330"/>
      <c r="AD33" s="64">
        <f>W33*$AD$24</f>
        <v>12</v>
      </c>
      <c r="AE33" s="64">
        <f>$AE$24*W33</f>
        <v>18</v>
      </c>
      <c r="AF33" s="64">
        <f>$AF$24*W33</f>
        <v>24</v>
      </c>
      <c r="AG33" s="64">
        <f>$AG$24*W33</f>
        <v>30</v>
      </c>
      <c r="AH33" s="64">
        <f>$AH$24*W33</f>
        <v>36</v>
      </c>
      <c r="AI33" s="55"/>
      <c r="AJ33" s="55">
        <v>0.25</v>
      </c>
      <c r="AK33" s="55"/>
      <c r="AL33" s="55"/>
      <c r="AM33" s="331">
        <f>AD33*AJ33*8760</f>
        <v>26280</v>
      </c>
      <c r="AN33" s="331">
        <f>AE33*AJ33*8760</f>
        <v>39420</v>
      </c>
      <c r="AO33" s="331">
        <f>AF33*AJ33*8760</f>
        <v>52560</v>
      </c>
      <c r="AP33" s="331">
        <f>AG33*AJ33*8760</f>
        <v>65700</v>
      </c>
      <c r="AQ33" s="331">
        <f>AH33*AJ33*8760</f>
        <v>78840</v>
      </c>
      <c r="AR33" s="55"/>
      <c r="AS33" s="55"/>
      <c r="AT33" s="332">
        <f>K4</f>
        <v>0.01</v>
      </c>
      <c r="AU33" s="332">
        <f>L4</f>
        <v>0.02</v>
      </c>
      <c r="AV33" s="332">
        <f>M4</f>
        <v>4.4999999999999998E-2</v>
      </c>
      <c r="AW33" s="332">
        <f>N4</f>
        <v>0.11</v>
      </c>
      <c r="AX33" s="332">
        <f>O4</f>
        <v>0.16</v>
      </c>
      <c r="AY33" s="55"/>
      <c r="AZ33" s="55"/>
      <c r="BA33" s="333">
        <f t="shared" si="0"/>
        <v>262.8</v>
      </c>
      <c r="BB33" s="333">
        <f t="shared" si="0"/>
        <v>788.4</v>
      </c>
      <c r="BC33" s="333">
        <f t="shared" si="0"/>
        <v>2365.1999999999998</v>
      </c>
      <c r="BD33" s="333">
        <f t="shared" si="0"/>
        <v>7227</v>
      </c>
      <c r="BE33" s="333">
        <f t="shared" si="0"/>
        <v>12614.4</v>
      </c>
    </row>
    <row r="37" spans="1:57" x14ac:dyDescent="0.25">
      <c r="B37" t="s">
        <v>361</v>
      </c>
    </row>
    <row r="38" spans="1:57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5"/>
      <c r="AN38" s="335"/>
    </row>
    <row r="39" spans="1:57" ht="15.75" x14ac:dyDescent="0.25">
      <c r="B39" s="334"/>
      <c r="C39" s="336" t="s">
        <v>362</v>
      </c>
      <c r="D39" s="336" t="s">
        <v>362</v>
      </c>
      <c r="E39" s="336" t="s">
        <v>362</v>
      </c>
      <c r="F39" s="336" t="s">
        <v>362</v>
      </c>
      <c r="G39" s="336" t="s">
        <v>362</v>
      </c>
      <c r="H39" s="336" t="s">
        <v>362</v>
      </c>
      <c r="I39" s="336" t="s">
        <v>362</v>
      </c>
      <c r="J39" s="336" t="s">
        <v>362</v>
      </c>
      <c r="K39" s="336" t="s">
        <v>362</v>
      </c>
      <c r="L39" s="336" t="s">
        <v>362</v>
      </c>
      <c r="M39" s="336" t="s">
        <v>362</v>
      </c>
      <c r="N39" s="336" t="s">
        <v>362</v>
      </c>
      <c r="O39" s="336" t="s">
        <v>362</v>
      </c>
      <c r="P39" s="336" t="s">
        <v>362</v>
      </c>
      <c r="Q39" s="336" t="s">
        <v>362</v>
      </c>
      <c r="R39" s="336" t="s">
        <v>362</v>
      </c>
      <c r="S39" s="336" t="s">
        <v>362</v>
      </c>
      <c r="T39" s="336" t="s">
        <v>362</v>
      </c>
      <c r="U39" s="336" t="s">
        <v>362</v>
      </c>
      <c r="V39" s="336" t="s">
        <v>362</v>
      </c>
      <c r="W39" s="336" t="s">
        <v>362</v>
      </c>
      <c r="X39" s="336" t="s">
        <v>362</v>
      </c>
      <c r="Y39" s="336" t="s">
        <v>362</v>
      </c>
      <c r="Z39" s="336" t="s">
        <v>362</v>
      </c>
      <c r="AA39" s="336" t="s">
        <v>362</v>
      </c>
      <c r="AB39" s="336" t="s">
        <v>362</v>
      </c>
      <c r="AC39" s="336" t="s">
        <v>362</v>
      </c>
      <c r="AD39" s="336" t="s">
        <v>362</v>
      </c>
      <c r="AE39" s="336" t="s">
        <v>362</v>
      </c>
      <c r="AF39" s="336" t="s">
        <v>362</v>
      </c>
      <c r="AG39" s="336" t="s">
        <v>362</v>
      </c>
      <c r="AH39" s="336" t="s">
        <v>362</v>
      </c>
      <c r="AI39" s="336" t="s">
        <v>362</v>
      </c>
      <c r="AJ39" s="336" t="s">
        <v>362</v>
      </c>
      <c r="AK39" s="336" t="s">
        <v>362</v>
      </c>
      <c r="AL39" s="336" t="s">
        <v>362</v>
      </c>
      <c r="AM39" s="336" t="s">
        <v>362</v>
      </c>
      <c r="AN39" s="336"/>
    </row>
    <row r="40" spans="1:57" ht="15.75" x14ac:dyDescent="0.25">
      <c r="B40" s="336"/>
      <c r="C40" s="337" t="s">
        <v>363</v>
      </c>
      <c r="D40" s="337" t="s">
        <v>364</v>
      </c>
      <c r="E40" s="337" t="s">
        <v>365</v>
      </c>
      <c r="F40" s="337" t="s">
        <v>366</v>
      </c>
      <c r="G40" s="337" t="s">
        <v>367</v>
      </c>
      <c r="H40" s="337" t="s">
        <v>368</v>
      </c>
      <c r="I40" s="337" t="s">
        <v>356</v>
      </c>
      <c r="J40" s="337" t="s">
        <v>369</v>
      </c>
      <c r="K40" s="337" t="s">
        <v>370</v>
      </c>
      <c r="L40" s="337" t="s">
        <v>357</v>
      </c>
      <c r="M40" s="337" t="s">
        <v>371</v>
      </c>
      <c r="N40" s="337" t="s">
        <v>372</v>
      </c>
      <c r="O40" s="337" t="s">
        <v>373</v>
      </c>
      <c r="P40" s="337" t="s">
        <v>374</v>
      </c>
      <c r="Q40" s="337" t="s">
        <v>358</v>
      </c>
      <c r="R40" s="337" t="s">
        <v>375</v>
      </c>
      <c r="S40" s="337" t="s">
        <v>359</v>
      </c>
      <c r="T40" s="337" t="s">
        <v>376</v>
      </c>
      <c r="U40" s="337" t="s">
        <v>377</v>
      </c>
      <c r="V40" s="337" t="s">
        <v>378</v>
      </c>
      <c r="W40" s="338" t="s">
        <v>379</v>
      </c>
      <c r="X40" s="337" t="s">
        <v>380</v>
      </c>
      <c r="Y40" s="337" t="s">
        <v>381</v>
      </c>
      <c r="Z40" s="337" t="s">
        <v>382</v>
      </c>
      <c r="AA40" s="337" t="s">
        <v>383</v>
      </c>
      <c r="AB40" s="337" t="s">
        <v>384</v>
      </c>
      <c r="AC40" s="337" t="s">
        <v>385</v>
      </c>
      <c r="AD40" s="337" t="s">
        <v>386</v>
      </c>
      <c r="AE40" s="337" t="s">
        <v>387</v>
      </c>
      <c r="AF40" s="337" t="s">
        <v>360</v>
      </c>
      <c r="AG40" s="339" t="s">
        <v>388</v>
      </c>
      <c r="AH40" s="337" t="s">
        <v>389</v>
      </c>
      <c r="AI40" s="337" t="s">
        <v>390</v>
      </c>
      <c r="AJ40" s="337" t="s">
        <v>391</v>
      </c>
      <c r="AK40" s="337" t="s">
        <v>392</v>
      </c>
      <c r="AL40" s="337" t="s">
        <v>393</v>
      </c>
      <c r="AM40" s="337" t="s">
        <v>394</v>
      </c>
      <c r="AN40" s="337"/>
      <c r="AO40" s="338" t="s">
        <v>395</v>
      </c>
      <c r="AQ40" s="338" t="s">
        <v>396</v>
      </c>
    </row>
    <row r="41" spans="1:57" ht="15.75" x14ac:dyDescent="0.25">
      <c r="A41" s="336" t="s">
        <v>397</v>
      </c>
      <c r="B41" s="336" t="s">
        <v>363</v>
      </c>
      <c r="C41" s="340"/>
      <c r="D41" s="341"/>
      <c r="E41" s="341"/>
      <c r="F41" s="342">
        <v>0.47</v>
      </c>
      <c r="G41" s="341"/>
      <c r="H41" s="342">
        <v>0.6</v>
      </c>
      <c r="I41" s="342">
        <v>2</v>
      </c>
      <c r="J41" s="341"/>
      <c r="K41" s="341"/>
      <c r="L41" s="341"/>
      <c r="M41" s="341"/>
      <c r="N41" s="341"/>
      <c r="O41" s="341"/>
      <c r="P41" s="342">
        <v>0.8</v>
      </c>
      <c r="Q41" s="341"/>
      <c r="R41" s="341"/>
      <c r="S41" s="342">
        <v>0.22</v>
      </c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2">
        <v>0.9</v>
      </c>
      <c r="AE41" s="341"/>
      <c r="AF41" s="341"/>
      <c r="AG41" s="343"/>
      <c r="AH41" s="343"/>
      <c r="AI41" s="343"/>
      <c r="AJ41" s="343"/>
      <c r="AK41" s="343"/>
      <c r="AL41" s="343"/>
      <c r="AM41" s="344"/>
      <c r="AN41" s="345"/>
      <c r="AO41" s="346"/>
      <c r="AP41" s="54"/>
      <c r="AQ41" s="346"/>
    </row>
    <row r="42" spans="1:57" ht="15.75" x14ac:dyDescent="0.25">
      <c r="A42" s="336" t="s">
        <v>397</v>
      </c>
      <c r="B42" s="336" t="s">
        <v>364</v>
      </c>
      <c r="C42" s="347"/>
      <c r="D42" s="348"/>
      <c r="E42" s="349"/>
      <c r="F42" s="349"/>
      <c r="G42" s="349"/>
      <c r="H42" s="349"/>
      <c r="I42" s="349"/>
      <c r="J42" s="349"/>
      <c r="K42" s="349"/>
      <c r="L42" s="349"/>
      <c r="M42" s="349"/>
      <c r="N42" s="350">
        <v>2.2999999999999998</v>
      </c>
      <c r="O42" s="349"/>
      <c r="P42" s="349"/>
      <c r="Q42" s="349"/>
      <c r="R42" s="349"/>
      <c r="S42" s="349"/>
      <c r="T42" s="349"/>
      <c r="U42" s="349"/>
      <c r="V42" s="349"/>
      <c r="W42" s="349"/>
      <c r="X42" s="350">
        <v>2.4</v>
      </c>
      <c r="Y42" s="349"/>
      <c r="Z42" s="349"/>
      <c r="AA42" s="349"/>
      <c r="AB42" s="349"/>
      <c r="AC42" s="349"/>
      <c r="AD42" s="349"/>
      <c r="AE42" s="349"/>
      <c r="AF42" s="349"/>
      <c r="AG42" s="351"/>
      <c r="AH42" s="351"/>
      <c r="AI42" s="351"/>
      <c r="AJ42" s="351"/>
      <c r="AK42" s="351"/>
      <c r="AL42" s="351"/>
      <c r="AM42" s="352"/>
      <c r="AN42" s="345"/>
      <c r="AO42" s="353"/>
      <c r="AP42" s="54"/>
      <c r="AQ42" s="353"/>
    </row>
    <row r="43" spans="1:57" ht="15.75" x14ac:dyDescent="0.25">
      <c r="A43" s="336" t="s">
        <v>397</v>
      </c>
      <c r="B43" s="336" t="s">
        <v>365</v>
      </c>
      <c r="C43" s="347"/>
      <c r="D43" s="349"/>
      <c r="E43" s="348"/>
      <c r="F43" s="349"/>
      <c r="G43" s="349"/>
      <c r="H43" s="349"/>
      <c r="I43" s="349"/>
      <c r="J43" s="349"/>
      <c r="K43" s="349"/>
      <c r="L43" s="349"/>
      <c r="M43" s="349"/>
      <c r="N43" s="349"/>
      <c r="O43" s="350">
        <v>0.55000000000000004</v>
      </c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  <c r="AA43" s="349"/>
      <c r="AB43" s="350">
        <v>0.6</v>
      </c>
      <c r="AC43" s="349"/>
      <c r="AD43" s="349"/>
      <c r="AE43" s="349"/>
      <c r="AF43" s="349"/>
      <c r="AG43" s="351"/>
      <c r="AH43" s="351"/>
      <c r="AI43" s="351"/>
      <c r="AJ43" s="351"/>
      <c r="AK43" s="350">
        <v>0.4</v>
      </c>
      <c r="AL43" s="350">
        <v>0.45</v>
      </c>
      <c r="AM43" s="352"/>
      <c r="AN43" s="345"/>
      <c r="AO43" s="353"/>
      <c r="AP43" s="54"/>
      <c r="AQ43" s="353"/>
    </row>
    <row r="44" spans="1:57" ht="15.75" x14ac:dyDescent="0.25">
      <c r="A44" s="336" t="s">
        <v>397</v>
      </c>
      <c r="B44" s="336" t="s">
        <v>366</v>
      </c>
      <c r="C44" s="354">
        <v>1.2</v>
      </c>
      <c r="D44" s="349"/>
      <c r="E44" s="349"/>
      <c r="F44" s="348"/>
      <c r="G44" s="349"/>
      <c r="H44" s="349"/>
      <c r="I44" s="350">
        <v>3.5</v>
      </c>
      <c r="J44" s="349"/>
      <c r="K44" s="349"/>
      <c r="L44" s="349"/>
      <c r="M44" s="349"/>
      <c r="N44" s="350">
        <v>1.1000000000000001</v>
      </c>
      <c r="O44" s="349"/>
      <c r="P44" s="349"/>
      <c r="Q44" s="349"/>
      <c r="R44" s="349"/>
      <c r="S44" s="350">
        <v>4.165</v>
      </c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51"/>
      <c r="AH44" s="351"/>
      <c r="AI44" s="351"/>
      <c r="AJ44" s="351"/>
      <c r="AK44" s="351"/>
      <c r="AL44" s="351"/>
      <c r="AM44" s="352"/>
      <c r="AN44" s="345"/>
      <c r="AO44" s="353"/>
      <c r="AP44" s="54"/>
      <c r="AQ44" s="353"/>
    </row>
    <row r="45" spans="1:57" ht="15.75" x14ac:dyDescent="0.25">
      <c r="A45" s="336" t="s">
        <v>397</v>
      </c>
      <c r="B45" s="336" t="s">
        <v>367</v>
      </c>
      <c r="C45" s="347"/>
      <c r="D45" s="349"/>
      <c r="E45" s="349"/>
      <c r="F45" s="349"/>
      <c r="G45" s="348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51"/>
      <c r="AH45" s="351"/>
      <c r="AI45" s="351"/>
      <c r="AJ45" s="351"/>
      <c r="AK45" s="351"/>
      <c r="AL45" s="351"/>
      <c r="AM45" s="352"/>
      <c r="AN45" s="345"/>
      <c r="AO45" s="353"/>
      <c r="AP45" s="54"/>
      <c r="AQ45" s="353"/>
    </row>
    <row r="46" spans="1:57" ht="15.75" x14ac:dyDescent="0.25">
      <c r="A46" s="336" t="s">
        <v>397</v>
      </c>
      <c r="B46" s="336" t="s">
        <v>368</v>
      </c>
      <c r="C46" s="354">
        <v>1</v>
      </c>
      <c r="D46" s="349"/>
      <c r="E46" s="349"/>
      <c r="F46" s="349"/>
      <c r="G46" s="349"/>
      <c r="H46" s="348"/>
      <c r="I46" s="350">
        <v>2.2999999999999998</v>
      </c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50">
        <v>0.8</v>
      </c>
      <c r="AA46" s="350"/>
      <c r="AB46" s="350"/>
      <c r="AC46" s="350"/>
      <c r="AD46" s="350"/>
      <c r="AE46" s="350">
        <v>2.2000000000000002</v>
      </c>
      <c r="AF46" s="349"/>
      <c r="AG46" s="351"/>
      <c r="AH46" s="351"/>
      <c r="AI46" s="351"/>
      <c r="AJ46" s="351"/>
      <c r="AK46" s="351"/>
      <c r="AL46" s="351"/>
      <c r="AM46" s="352"/>
      <c r="AN46" s="345"/>
      <c r="AO46" s="353"/>
      <c r="AP46" s="54"/>
      <c r="AQ46" s="353"/>
    </row>
    <row r="47" spans="1:57" ht="15.75" x14ac:dyDescent="0.25">
      <c r="A47" s="336" t="s">
        <v>397</v>
      </c>
      <c r="B47" s="336" t="s">
        <v>356</v>
      </c>
      <c r="C47" s="354">
        <v>2.2000000000000002</v>
      </c>
      <c r="D47" s="349"/>
      <c r="E47" s="349"/>
      <c r="F47" s="350">
        <v>1.5</v>
      </c>
      <c r="G47" s="349"/>
      <c r="H47" s="350">
        <v>0.8</v>
      </c>
      <c r="I47" s="348"/>
      <c r="J47" s="350">
        <f>0.95+0.6</f>
        <v>1.5499999999999998</v>
      </c>
      <c r="K47" s="349"/>
      <c r="L47" s="349"/>
      <c r="M47" s="349"/>
      <c r="N47" s="350">
        <v>3.2</v>
      </c>
      <c r="O47" s="349"/>
      <c r="P47" s="349"/>
      <c r="Q47" s="349"/>
      <c r="R47" s="349"/>
      <c r="S47" s="349"/>
      <c r="T47" s="349"/>
      <c r="U47" s="350">
        <v>0.98</v>
      </c>
      <c r="V47" s="349"/>
      <c r="W47" s="349"/>
      <c r="X47" s="350">
        <v>3.85</v>
      </c>
      <c r="Y47" s="349"/>
      <c r="Z47" s="350">
        <v>1.2</v>
      </c>
      <c r="AA47" s="349"/>
      <c r="AB47" s="349"/>
      <c r="AC47" s="350">
        <v>0.6</v>
      </c>
      <c r="AD47" s="349"/>
      <c r="AE47" s="349"/>
      <c r="AF47" s="349"/>
      <c r="AG47" s="351"/>
      <c r="AH47" s="351"/>
      <c r="AI47" s="351"/>
      <c r="AJ47" s="351"/>
      <c r="AK47" s="351"/>
      <c r="AL47" s="351"/>
      <c r="AM47" s="352"/>
      <c r="AN47" s="345"/>
      <c r="AO47" s="353"/>
      <c r="AP47" s="54"/>
      <c r="AQ47" s="355">
        <v>8.5</v>
      </c>
    </row>
    <row r="48" spans="1:57" ht="15.75" x14ac:dyDescent="0.25">
      <c r="A48" s="336" t="s">
        <v>397</v>
      </c>
      <c r="B48" s="336" t="s">
        <v>369</v>
      </c>
      <c r="C48" s="347"/>
      <c r="D48" s="349"/>
      <c r="E48" s="349"/>
      <c r="F48" s="349"/>
      <c r="G48" s="349"/>
      <c r="H48" s="349"/>
      <c r="I48" s="350">
        <f>1.5+0.585</f>
        <v>2.085</v>
      </c>
      <c r="J48" s="348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50">
        <v>0.95</v>
      </c>
      <c r="Z48" s="349"/>
      <c r="AA48" s="349"/>
      <c r="AB48" s="349"/>
      <c r="AC48" s="350">
        <f>0.74+1.7</f>
        <v>2.44</v>
      </c>
      <c r="AD48" s="349"/>
      <c r="AE48" s="349"/>
      <c r="AF48" s="349"/>
      <c r="AG48" s="351"/>
      <c r="AH48" s="351"/>
      <c r="AI48" s="351"/>
      <c r="AJ48" s="351"/>
      <c r="AK48" s="351"/>
      <c r="AL48" s="351"/>
      <c r="AM48" s="352"/>
      <c r="AN48" s="345"/>
      <c r="AO48" s="353"/>
      <c r="AP48" s="54"/>
      <c r="AQ48" s="353"/>
    </row>
    <row r="49" spans="1:43" ht="15.75" x14ac:dyDescent="0.25">
      <c r="A49" s="336" t="s">
        <v>397</v>
      </c>
      <c r="B49" s="336" t="s">
        <v>370</v>
      </c>
      <c r="C49" s="347"/>
      <c r="D49" s="349"/>
      <c r="E49" s="349"/>
      <c r="F49" s="349"/>
      <c r="G49" s="349"/>
      <c r="H49" s="349"/>
      <c r="I49" s="349"/>
      <c r="J49" s="349"/>
      <c r="K49" s="348"/>
      <c r="L49" s="349"/>
      <c r="M49" s="350">
        <v>0.35</v>
      </c>
      <c r="N49" s="349"/>
      <c r="O49" s="349"/>
      <c r="P49" s="349"/>
      <c r="Q49" s="349"/>
      <c r="R49" s="349"/>
      <c r="S49" s="349"/>
      <c r="T49" s="349"/>
      <c r="U49" s="349"/>
      <c r="V49" s="350">
        <v>0.75</v>
      </c>
      <c r="W49" s="349"/>
      <c r="X49" s="349"/>
      <c r="Y49" s="349"/>
      <c r="Z49" s="349"/>
      <c r="AA49" s="349"/>
      <c r="AB49" s="349"/>
      <c r="AC49" s="349"/>
      <c r="AD49" s="349"/>
      <c r="AE49" s="349"/>
      <c r="AF49" s="349"/>
      <c r="AG49" s="351"/>
      <c r="AH49" s="351"/>
      <c r="AI49" s="351"/>
      <c r="AJ49" s="351"/>
      <c r="AK49" s="351"/>
      <c r="AL49" s="351"/>
      <c r="AM49" s="352"/>
      <c r="AN49" s="345"/>
      <c r="AO49" s="355">
        <v>1</v>
      </c>
      <c r="AP49" s="54"/>
      <c r="AQ49" s="353"/>
    </row>
    <row r="50" spans="1:43" ht="15.75" x14ac:dyDescent="0.25">
      <c r="A50" s="336" t="s">
        <v>397</v>
      </c>
      <c r="B50" s="336" t="s">
        <v>357</v>
      </c>
      <c r="C50" s="347"/>
      <c r="D50" s="349"/>
      <c r="E50" s="349"/>
      <c r="F50" s="349"/>
      <c r="G50" s="349"/>
      <c r="H50" s="349"/>
      <c r="I50" s="349"/>
      <c r="J50" s="349"/>
      <c r="K50" s="349"/>
      <c r="L50" s="348"/>
      <c r="M50" s="349"/>
      <c r="N50" s="350">
        <v>0.5</v>
      </c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50">
        <v>1.7</v>
      </c>
      <c r="AB50" s="349"/>
      <c r="AC50" s="349"/>
      <c r="AD50" s="349"/>
      <c r="AE50" s="349"/>
      <c r="AF50" s="349"/>
      <c r="AG50" s="351"/>
      <c r="AH50" s="351"/>
      <c r="AI50" s="351"/>
      <c r="AJ50" s="351"/>
      <c r="AK50" s="351"/>
      <c r="AL50" s="351"/>
      <c r="AM50" s="352"/>
      <c r="AN50" s="345"/>
      <c r="AO50" s="355">
        <v>0.9</v>
      </c>
      <c r="AP50" s="54"/>
      <c r="AQ50" s="353"/>
    </row>
    <row r="51" spans="1:43" ht="15.75" x14ac:dyDescent="0.25">
      <c r="A51" s="336" t="s">
        <v>397</v>
      </c>
      <c r="B51" s="336" t="s">
        <v>371</v>
      </c>
      <c r="C51" s="347"/>
      <c r="D51" s="349"/>
      <c r="E51" s="349"/>
      <c r="F51" s="349"/>
      <c r="G51" s="349"/>
      <c r="H51" s="349"/>
      <c r="I51" s="349"/>
      <c r="J51" s="349"/>
      <c r="K51" s="350">
        <v>0.35</v>
      </c>
      <c r="L51" s="349"/>
      <c r="M51" s="348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  <c r="AA51" s="349"/>
      <c r="AB51" s="349"/>
      <c r="AC51" s="350">
        <v>1.65</v>
      </c>
      <c r="AD51" s="349"/>
      <c r="AE51" s="349"/>
      <c r="AF51" s="349"/>
      <c r="AG51" s="351"/>
      <c r="AH51" s="351"/>
      <c r="AI51" s="351"/>
      <c r="AJ51" s="351"/>
      <c r="AK51" s="351"/>
      <c r="AL51" s="351"/>
      <c r="AM51" s="352"/>
      <c r="AN51" s="345"/>
      <c r="AO51" s="353"/>
      <c r="AP51" s="54"/>
      <c r="AQ51" s="353"/>
    </row>
    <row r="52" spans="1:43" ht="15.75" x14ac:dyDescent="0.25">
      <c r="A52" s="336" t="s">
        <v>397</v>
      </c>
      <c r="B52" s="336" t="s">
        <v>372</v>
      </c>
      <c r="C52" s="347"/>
      <c r="D52" s="350">
        <v>3.4</v>
      </c>
      <c r="E52" s="349"/>
      <c r="F52" s="350">
        <v>3.2</v>
      </c>
      <c r="G52" s="349"/>
      <c r="H52" s="349"/>
      <c r="I52" s="350">
        <v>2.7</v>
      </c>
      <c r="J52" s="349"/>
      <c r="K52" s="349"/>
      <c r="L52" s="350">
        <v>1.3</v>
      </c>
      <c r="M52" s="349"/>
      <c r="N52" s="348"/>
      <c r="O52" s="349"/>
      <c r="P52" s="349"/>
      <c r="Q52" s="349"/>
      <c r="R52" s="349"/>
      <c r="S52" s="350">
        <v>2.5750000000000002</v>
      </c>
      <c r="T52" s="349"/>
      <c r="U52" s="349"/>
      <c r="V52" s="349"/>
      <c r="W52" s="349"/>
      <c r="X52" s="349"/>
      <c r="Y52" s="349"/>
      <c r="Z52" s="349"/>
      <c r="AA52" s="349"/>
      <c r="AB52" s="349"/>
      <c r="AC52" s="349"/>
      <c r="AD52" s="349"/>
      <c r="AE52" s="349"/>
      <c r="AF52" s="350">
        <v>2</v>
      </c>
      <c r="AG52" s="351"/>
      <c r="AH52" s="351"/>
      <c r="AI52" s="351"/>
      <c r="AJ52" s="351"/>
      <c r="AK52" s="351"/>
      <c r="AL52" s="351"/>
      <c r="AM52" s="352"/>
      <c r="AN52" s="345"/>
      <c r="AO52" s="353"/>
      <c r="AP52" s="54"/>
      <c r="AQ52" s="353"/>
    </row>
    <row r="53" spans="1:43" ht="15.75" x14ac:dyDescent="0.25">
      <c r="A53" s="336" t="s">
        <v>397</v>
      </c>
      <c r="B53" s="336" t="s">
        <v>373</v>
      </c>
      <c r="C53" s="347"/>
      <c r="D53" s="349"/>
      <c r="E53" s="350">
        <v>0.5</v>
      </c>
      <c r="F53" s="349"/>
      <c r="G53" s="349"/>
      <c r="H53" s="349"/>
      <c r="I53" s="349"/>
      <c r="J53" s="349"/>
      <c r="K53" s="349"/>
      <c r="L53" s="349"/>
      <c r="M53" s="349"/>
      <c r="N53" s="349"/>
      <c r="O53" s="348"/>
      <c r="P53" s="349"/>
      <c r="Q53" s="349"/>
      <c r="R53" s="349"/>
      <c r="S53" s="350">
        <v>0.5</v>
      </c>
      <c r="T53" s="349"/>
      <c r="U53" s="349"/>
      <c r="V53" s="349"/>
      <c r="W53" s="349"/>
      <c r="X53" s="349"/>
      <c r="Y53" s="349"/>
      <c r="Z53" s="349"/>
      <c r="AA53" s="349"/>
      <c r="AB53" s="349"/>
      <c r="AC53" s="349"/>
      <c r="AD53" s="349"/>
      <c r="AE53" s="349"/>
      <c r="AF53" s="349"/>
      <c r="AG53" s="350">
        <v>0.15</v>
      </c>
      <c r="AH53" s="351"/>
      <c r="AI53" s="351"/>
      <c r="AJ53" s="351"/>
      <c r="AK53" s="350">
        <v>0.4</v>
      </c>
      <c r="AL53" s="351"/>
      <c r="AM53" s="352"/>
      <c r="AN53" s="345"/>
      <c r="AO53" s="353"/>
      <c r="AP53" s="54"/>
      <c r="AQ53" s="353"/>
    </row>
    <row r="54" spans="1:43" ht="15.75" x14ac:dyDescent="0.25">
      <c r="A54" s="336" t="s">
        <v>397</v>
      </c>
      <c r="B54" s="336" t="s">
        <v>374</v>
      </c>
      <c r="C54" s="354">
        <v>0.8</v>
      </c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8"/>
      <c r="Q54" s="349"/>
      <c r="R54" s="349"/>
      <c r="S54" s="349"/>
      <c r="T54" s="349"/>
      <c r="U54" s="349"/>
      <c r="V54" s="349"/>
      <c r="W54" s="349"/>
      <c r="X54" s="349"/>
      <c r="Y54" s="349"/>
      <c r="Z54" s="349"/>
      <c r="AA54" s="349"/>
      <c r="AB54" s="350">
        <v>0.7</v>
      </c>
      <c r="AC54" s="349"/>
      <c r="AD54" s="349"/>
      <c r="AE54" s="350">
        <v>0.6</v>
      </c>
      <c r="AF54" s="349"/>
      <c r="AG54" s="351"/>
      <c r="AH54" s="351"/>
      <c r="AI54" s="350">
        <v>1.2</v>
      </c>
      <c r="AJ54" s="350"/>
      <c r="AK54" s="350"/>
      <c r="AL54" s="350">
        <v>0.6</v>
      </c>
      <c r="AM54" s="352"/>
      <c r="AN54" s="345"/>
      <c r="AO54" s="355">
        <v>0.65</v>
      </c>
      <c r="AP54" s="54"/>
      <c r="AQ54" s="353"/>
    </row>
    <row r="55" spans="1:43" ht="15.75" x14ac:dyDescent="0.25">
      <c r="A55" s="336" t="s">
        <v>397</v>
      </c>
      <c r="B55" s="336" t="s">
        <v>358</v>
      </c>
      <c r="C55" s="347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8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  <c r="AD55" s="349"/>
      <c r="AE55" s="349"/>
      <c r="AF55" s="350">
        <v>0.08</v>
      </c>
      <c r="AG55" s="351"/>
      <c r="AH55" s="351"/>
      <c r="AI55" s="351"/>
      <c r="AJ55" s="351"/>
      <c r="AK55" s="351"/>
      <c r="AL55" s="351"/>
      <c r="AM55" s="352"/>
      <c r="AN55" s="345"/>
      <c r="AO55" s="353"/>
      <c r="AP55" s="54"/>
      <c r="AQ55" s="353"/>
    </row>
    <row r="56" spans="1:43" ht="15.75" x14ac:dyDescent="0.25">
      <c r="A56" s="336" t="s">
        <v>397</v>
      </c>
      <c r="B56" s="336" t="s">
        <v>375</v>
      </c>
      <c r="C56" s="347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8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  <c r="AC56" s="349"/>
      <c r="AD56" s="349"/>
      <c r="AE56" s="349"/>
      <c r="AF56" s="349"/>
      <c r="AG56" s="351"/>
      <c r="AH56" s="351"/>
      <c r="AI56" s="351"/>
      <c r="AJ56" s="351"/>
      <c r="AK56" s="351"/>
      <c r="AL56" s="351"/>
      <c r="AM56" s="352"/>
      <c r="AN56" s="345"/>
      <c r="AO56" s="353"/>
      <c r="AP56" s="54"/>
      <c r="AQ56" s="353"/>
    </row>
    <row r="57" spans="1:43" ht="15.75" x14ac:dyDescent="0.25">
      <c r="A57" s="336" t="s">
        <v>397</v>
      </c>
      <c r="B57" s="336" t="s">
        <v>359</v>
      </c>
      <c r="C57" s="354">
        <v>0.28499999999999998</v>
      </c>
      <c r="D57" s="349"/>
      <c r="E57" s="349"/>
      <c r="F57" s="350">
        <v>1.81</v>
      </c>
      <c r="G57" s="349"/>
      <c r="H57" s="349"/>
      <c r="I57" s="349"/>
      <c r="J57" s="349"/>
      <c r="K57" s="349"/>
      <c r="L57" s="349"/>
      <c r="M57" s="349"/>
      <c r="N57" s="350">
        <v>0.995</v>
      </c>
      <c r="O57" s="350">
        <v>0.5</v>
      </c>
      <c r="P57" s="349"/>
      <c r="Q57" s="349"/>
      <c r="R57" s="349"/>
      <c r="S57" s="348"/>
      <c r="T57" s="349"/>
      <c r="U57" s="349"/>
      <c r="V57" s="349"/>
      <c r="W57" s="349"/>
      <c r="X57" s="349"/>
      <c r="Y57" s="349"/>
      <c r="Z57" s="349"/>
      <c r="AA57" s="349"/>
      <c r="AB57" s="349"/>
      <c r="AC57" s="349"/>
      <c r="AD57" s="350">
        <v>0.16</v>
      </c>
      <c r="AE57" s="349"/>
      <c r="AF57" s="349"/>
      <c r="AG57" s="351"/>
      <c r="AH57" s="351"/>
      <c r="AI57" s="351"/>
      <c r="AJ57" s="351"/>
      <c r="AK57" s="351"/>
      <c r="AL57" s="351"/>
      <c r="AM57" s="352"/>
      <c r="AN57" s="345"/>
      <c r="AO57" s="353"/>
      <c r="AP57" s="54"/>
      <c r="AQ57" s="353"/>
    </row>
    <row r="58" spans="1:43" ht="15.75" x14ac:dyDescent="0.25">
      <c r="A58" s="336" t="s">
        <v>397</v>
      </c>
      <c r="B58" s="336" t="s">
        <v>376</v>
      </c>
      <c r="C58" s="347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8"/>
      <c r="U58" s="349"/>
      <c r="V58" s="350">
        <v>1.5</v>
      </c>
      <c r="W58" s="349"/>
      <c r="X58" s="349"/>
      <c r="Y58" s="349"/>
      <c r="Z58" s="349"/>
      <c r="AA58" s="349"/>
      <c r="AB58" s="349"/>
      <c r="AC58" s="349"/>
      <c r="AD58" s="349"/>
      <c r="AE58" s="349"/>
      <c r="AF58" s="349"/>
      <c r="AG58" s="351"/>
      <c r="AH58" s="351"/>
      <c r="AI58" s="351"/>
      <c r="AJ58" s="351"/>
      <c r="AK58" s="351"/>
      <c r="AL58" s="351"/>
      <c r="AM58" s="352"/>
      <c r="AN58" s="345"/>
      <c r="AO58" s="355">
        <f>1.35+0.68</f>
        <v>2.0300000000000002</v>
      </c>
      <c r="AP58" s="54"/>
      <c r="AQ58" s="353"/>
    </row>
    <row r="59" spans="1:43" ht="15.75" x14ac:dyDescent="0.25">
      <c r="A59" s="336" t="s">
        <v>397</v>
      </c>
      <c r="B59" s="336" t="s">
        <v>377</v>
      </c>
      <c r="C59" s="347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8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51"/>
      <c r="AH59" s="351"/>
      <c r="AI59" s="351"/>
      <c r="AJ59" s="351"/>
      <c r="AK59" s="351"/>
      <c r="AL59" s="351"/>
      <c r="AM59" s="352"/>
      <c r="AN59" s="345"/>
      <c r="AO59" s="353"/>
      <c r="AP59" s="54"/>
      <c r="AQ59" s="353"/>
    </row>
    <row r="60" spans="1:43" ht="15.75" x14ac:dyDescent="0.25">
      <c r="A60" s="336" t="s">
        <v>397</v>
      </c>
      <c r="B60" s="336" t="s">
        <v>378</v>
      </c>
      <c r="C60" s="347"/>
      <c r="D60" s="349"/>
      <c r="E60" s="349"/>
      <c r="F60" s="349"/>
      <c r="G60" s="349"/>
      <c r="H60" s="349"/>
      <c r="I60" s="349"/>
      <c r="J60" s="349"/>
      <c r="K60" s="350">
        <v>0.85</v>
      </c>
      <c r="L60" s="349"/>
      <c r="M60" s="349"/>
      <c r="N60" s="349"/>
      <c r="O60" s="349"/>
      <c r="P60" s="349"/>
      <c r="Q60" s="349"/>
      <c r="R60" s="349"/>
      <c r="S60" s="349"/>
      <c r="T60" s="350">
        <v>1.35</v>
      </c>
      <c r="U60" s="349"/>
      <c r="V60" s="348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51"/>
      <c r="AH60" s="351"/>
      <c r="AI60" s="351"/>
      <c r="AJ60" s="351"/>
      <c r="AK60" s="351"/>
      <c r="AL60" s="351"/>
      <c r="AM60" s="352"/>
      <c r="AN60" s="345"/>
      <c r="AO60" s="355">
        <f>0.5</f>
        <v>0.5</v>
      </c>
      <c r="AP60" s="54"/>
      <c r="AQ60" s="353"/>
    </row>
    <row r="61" spans="1:43" ht="15.75" x14ac:dyDescent="0.25">
      <c r="A61" s="336" t="s">
        <v>397</v>
      </c>
      <c r="B61" s="336" t="s">
        <v>379</v>
      </c>
      <c r="C61" s="347"/>
      <c r="D61" s="349"/>
      <c r="E61" s="349"/>
      <c r="F61" s="349"/>
      <c r="G61" s="349"/>
      <c r="H61" s="349"/>
      <c r="I61" s="349"/>
      <c r="J61" s="349"/>
      <c r="K61" s="356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8"/>
      <c r="X61" s="349"/>
      <c r="Y61" s="349"/>
      <c r="Z61" s="349"/>
      <c r="AA61" s="349"/>
      <c r="AB61" s="349"/>
      <c r="AC61" s="349"/>
      <c r="AD61" s="349"/>
      <c r="AE61" s="349"/>
      <c r="AF61" s="349"/>
      <c r="AG61" s="351"/>
      <c r="AH61" s="351"/>
      <c r="AI61" s="351"/>
      <c r="AJ61" s="351"/>
      <c r="AK61" s="351"/>
      <c r="AL61" s="351"/>
      <c r="AM61" s="352"/>
      <c r="AN61" s="345"/>
      <c r="AO61" s="353"/>
      <c r="AP61" s="54"/>
      <c r="AQ61" s="353"/>
    </row>
    <row r="62" spans="1:43" ht="15.75" x14ac:dyDescent="0.25">
      <c r="A62" s="336" t="s">
        <v>397</v>
      </c>
      <c r="B62" s="336" t="s">
        <v>380</v>
      </c>
      <c r="C62" s="347"/>
      <c r="D62" s="350">
        <v>2.4</v>
      </c>
      <c r="E62" s="349"/>
      <c r="F62" s="349"/>
      <c r="G62" s="349"/>
      <c r="H62" s="349"/>
      <c r="I62" s="350">
        <v>3</v>
      </c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8"/>
      <c r="Y62" s="351"/>
      <c r="Z62" s="349"/>
      <c r="AA62" s="349"/>
      <c r="AB62" s="349"/>
      <c r="AC62" s="349"/>
      <c r="AD62" s="349"/>
      <c r="AE62" s="349"/>
      <c r="AF62" s="349"/>
      <c r="AG62" s="351"/>
      <c r="AH62" s="351"/>
      <c r="AI62" s="351"/>
      <c r="AJ62" s="351"/>
      <c r="AK62" s="351"/>
      <c r="AL62" s="351"/>
      <c r="AM62" s="352"/>
      <c r="AN62" s="345"/>
      <c r="AO62" s="353"/>
      <c r="AP62" s="54"/>
      <c r="AQ62" s="355">
        <v>3.85</v>
      </c>
    </row>
    <row r="63" spans="1:43" ht="15.75" x14ac:dyDescent="0.25">
      <c r="A63" s="336" t="s">
        <v>397</v>
      </c>
      <c r="B63" s="336" t="s">
        <v>381</v>
      </c>
      <c r="C63" s="347"/>
      <c r="D63" s="349"/>
      <c r="E63" s="349"/>
      <c r="F63" s="349"/>
      <c r="G63" s="349"/>
      <c r="H63" s="349"/>
      <c r="I63" s="349"/>
      <c r="J63" s="350">
        <v>0.95</v>
      </c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51"/>
      <c r="Y63" s="348"/>
      <c r="Z63" s="349"/>
      <c r="AA63" s="349"/>
      <c r="AB63" s="349"/>
      <c r="AC63" s="350">
        <v>3.5950000000000002</v>
      </c>
      <c r="AD63" s="349"/>
      <c r="AE63" s="349"/>
      <c r="AF63" s="349"/>
      <c r="AG63" s="351"/>
      <c r="AH63" s="351"/>
      <c r="AI63" s="351"/>
      <c r="AJ63" s="351"/>
      <c r="AK63" s="351"/>
      <c r="AL63" s="351"/>
      <c r="AM63" s="352"/>
      <c r="AN63" s="345"/>
      <c r="AO63" s="353"/>
      <c r="AP63" s="54"/>
      <c r="AQ63" s="353"/>
    </row>
    <row r="64" spans="1:43" ht="15.75" x14ac:dyDescent="0.25">
      <c r="A64" s="336" t="s">
        <v>397</v>
      </c>
      <c r="B64" s="336" t="s">
        <v>382</v>
      </c>
      <c r="C64" s="347"/>
      <c r="D64" s="349"/>
      <c r="E64" s="349"/>
      <c r="F64" s="349"/>
      <c r="G64" s="349"/>
      <c r="H64" s="350">
        <v>1.8</v>
      </c>
      <c r="I64" s="350">
        <v>1.1000000000000001</v>
      </c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8"/>
      <c r="AA64" s="349"/>
      <c r="AB64" s="349"/>
      <c r="AC64" s="350">
        <v>0</v>
      </c>
      <c r="AD64" s="349"/>
      <c r="AE64" s="350">
        <v>0.6</v>
      </c>
      <c r="AF64" s="349"/>
      <c r="AG64" s="351"/>
      <c r="AH64" s="351"/>
      <c r="AI64" s="351"/>
      <c r="AJ64" s="351"/>
      <c r="AK64" s="351"/>
      <c r="AL64" s="351"/>
      <c r="AM64" s="352"/>
      <c r="AN64" s="345"/>
      <c r="AO64" s="353"/>
      <c r="AP64" s="54"/>
      <c r="AQ64" s="357">
        <f>MIN(0.9, 0.2)</f>
        <v>0.2</v>
      </c>
    </row>
    <row r="65" spans="1:44" ht="15.75" x14ac:dyDescent="0.25">
      <c r="A65" s="336" t="s">
        <v>397</v>
      </c>
      <c r="B65" s="336" t="s">
        <v>383</v>
      </c>
      <c r="C65" s="347"/>
      <c r="D65" s="349"/>
      <c r="E65" s="349"/>
      <c r="F65" s="349"/>
      <c r="G65" s="349"/>
      <c r="H65" s="349"/>
      <c r="I65" s="349"/>
      <c r="J65" s="349"/>
      <c r="K65" s="349"/>
      <c r="L65" s="350">
        <v>1.5</v>
      </c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8"/>
      <c r="AB65" s="349"/>
      <c r="AC65" s="349"/>
      <c r="AD65" s="349"/>
      <c r="AE65" s="349"/>
      <c r="AF65" s="349"/>
      <c r="AG65" s="351"/>
      <c r="AH65" s="351"/>
      <c r="AI65" s="351"/>
      <c r="AJ65" s="351"/>
      <c r="AK65" s="351"/>
      <c r="AL65" s="351"/>
      <c r="AM65" s="352"/>
      <c r="AN65" s="345"/>
      <c r="AO65" s="353"/>
      <c r="AP65" s="54"/>
      <c r="AQ65" s="353"/>
    </row>
    <row r="66" spans="1:44" ht="15.75" x14ac:dyDescent="0.25">
      <c r="A66" s="336" t="s">
        <v>397</v>
      </c>
      <c r="B66" s="336" t="s">
        <v>384</v>
      </c>
      <c r="C66" s="347"/>
      <c r="D66" s="349"/>
      <c r="E66" s="350">
        <v>0.6</v>
      </c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50">
        <v>0.7</v>
      </c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8"/>
      <c r="AC66" s="349"/>
      <c r="AD66" s="349"/>
      <c r="AE66" s="349"/>
      <c r="AF66" s="349"/>
      <c r="AG66" s="351"/>
      <c r="AH66" s="351"/>
      <c r="AI66" s="351"/>
      <c r="AJ66" s="351"/>
      <c r="AK66" s="351"/>
      <c r="AL66" s="350">
        <v>0.7</v>
      </c>
      <c r="AM66" s="352"/>
      <c r="AN66" s="345"/>
      <c r="AO66" s="355">
        <v>0.2</v>
      </c>
      <c r="AP66" s="54"/>
      <c r="AQ66" s="355">
        <v>2.0499999999999998</v>
      </c>
      <c r="AR66" s="54"/>
    </row>
    <row r="67" spans="1:44" ht="15.75" x14ac:dyDescent="0.25">
      <c r="A67" s="336" t="s">
        <v>397</v>
      </c>
      <c r="B67" s="336" t="s">
        <v>385</v>
      </c>
      <c r="C67" s="347"/>
      <c r="D67" s="349"/>
      <c r="E67" s="349"/>
      <c r="F67" s="349"/>
      <c r="G67" s="349"/>
      <c r="H67" s="349"/>
      <c r="I67" s="350">
        <v>0.61</v>
      </c>
      <c r="J67" s="350">
        <v>1.98</v>
      </c>
      <c r="K67" s="349"/>
      <c r="L67" s="349"/>
      <c r="M67" s="350">
        <v>2.0499999999999998</v>
      </c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50">
        <v>3.895</v>
      </c>
      <c r="Z67" s="350">
        <v>0.6</v>
      </c>
      <c r="AA67" s="349"/>
      <c r="AB67" s="349"/>
      <c r="AC67" s="348"/>
      <c r="AD67" s="349"/>
      <c r="AE67" s="349"/>
      <c r="AF67" s="349"/>
      <c r="AG67" s="351"/>
      <c r="AH67" s="351"/>
      <c r="AI67" s="351"/>
      <c r="AJ67" s="351"/>
      <c r="AK67" s="351"/>
      <c r="AL67" s="351"/>
      <c r="AM67" s="352"/>
      <c r="AN67" s="345"/>
      <c r="AO67" s="353"/>
      <c r="AP67" s="54"/>
      <c r="AQ67" s="353"/>
    </row>
    <row r="68" spans="1:44" ht="15.75" x14ac:dyDescent="0.25">
      <c r="A68" s="336" t="s">
        <v>397</v>
      </c>
      <c r="B68" s="336" t="s">
        <v>386</v>
      </c>
      <c r="C68" s="354">
        <v>0.9</v>
      </c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50">
        <v>0.57999999999999996</v>
      </c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8"/>
      <c r="AE68" s="349"/>
      <c r="AF68" s="349"/>
      <c r="AG68" s="351"/>
      <c r="AH68" s="351"/>
      <c r="AI68" s="350">
        <v>1</v>
      </c>
      <c r="AJ68" s="351"/>
      <c r="AK68" s="351"/>
      <c r="AL68" s="351"/>
      <c r="AM68" s="352"/>
      <c r="AN68" s="345"/>
      <c r="AO68" s="353"/>
      <c r="AP68" s="54"/>
      <c r="AQ68" s="353"/>
    </row>
    <row r="69" spans="1:44" ht="15.75" x14ac:dyDescent="0.25">
      <c r="A69" s="336" t="s">
        <v>397</v>
      </c>
      <c r="B69" s="336" t="s">
        <v>387</v>
      </c>
      <c r="C69" s="347"/>
      <c r="D69" s="349"/>
      <c r="E69" s="349"/>
      <c r="F69" s="349"/>
      <c r="G69" s="349"/>
      <c r="H69" s="350">
        <v>1.2</v>
      </c>
      <c r="I69" s="349"/>
      <c r="J69" s="349"/>
      <c r="K69" s="349"/>
      <c r="L69" s="349"/>
      <c r="M69" s="349"/>
      <c r="N69" s="349"/>
      <c r="O69" s="349"/>
      <c r="P69" s="350">
        <v>1.3</v>
      </c>
      <c r="Q69" s="349"/>
      <c r="R69" s="349"/>
      <c r="S69" s="349"/>
      <c r="T69" s="349"/>
      <c r="U69" s="349"/>
      <c r="V69" s="349"/>
      <c r="W69" s="349"/>
      <c r="X69" s="349"/>
      <c r="Y69" s="349"/>
      <c r="Z69" s="350">
        <v>0.5</v>
      </c>
      <c r="AA69" s="349"/>
      <c r="AB69" s="349"/>
      <c r="AC69" s="349"/>
      <c r="AD69" s="349"/>
      <c r="AE69" s="348"/>
      <c r="AF69" s="349"/>
      <c r="AG69" s="351"/>
      <c r="AH69" s="351"/>
      <c r="AI69" s="351"/>
      <c r="AJ69" s="351"/>
      <c r="AK69" s="351"/>
      <c r="AL69" s="351"/>
      <c r="AM69" s="352"/>
      <c r="AN69" s="345"/>
      <c r="AO69" s="353"/>
      <c r="AP69" s="54"/>
      <c r="AQ69" s="353"/>
    </row>
    <row r="70" spans="1:44" ht="15.75" x14ac:dyDescent="0.25">
      <c r="A70" s="336" t="s">
        <v>397</v>
      </c>
      <c r="B70" s="336" t="s">
        <v>360</v>
      </c>
      <c r="C70" s="347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50">
        <v>2</v>
      </c>
      <c r="O70" s="349"/>
      <c r="P70" s="349"/>
      <c r="Q70" s="350">
        <v>0.45</v>
      </c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8"/>
      <c r="AG70" s="351"/>
      <c r="AH70" s="351"/>
      <c r="AI70" s="351"/>
      <c r="AJ70" s="351"/>
      <c r="AK70" s="351"/>
      <c r="AL70" s="351"/>
      <c r="AM70" s="352"/>
      <c r="AN70" s="345"/>
      <c r="AO70" s="353"/>
      <c r="AP70" s="54"/>
      <c r="AQ70" s="353"/>
    </row>
    <row r="71" spans="1:44" ht="15.75" x14ac:dyDescent="0.25">
      <c r="A71" s="336" t="s">
        <v>397</v>
      </c>
      <c r="B71" s="336" t="s">
        <v>388</v>
      </c>
      <c r="C71" s="358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0">
        <v>0.1</v>
      </c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  <c r="AA71" s="351"/>
      <c r="AB71" s="351"/>
      <c r="AC71" s="351"/>
      <c r="AD71" s="351"/>
      <c r="AE71" s="351"/>
      <c r="AF71" s="351"/>
      <c r="AG71" s="359"/>
      <c r="AH71" s="351"/>
      <c r="AI71" s="351"/>
      <c r="AJ71" s="350">
        <v>0.2</v>
      </c>
      <c r="AK71" s="351"/>
      <c r="AL71" s="350">
        <v>0.21</v>
      </c>
      <c r="AM71" s="360"/>
      <c r="AN71" s="351"/>
      <c r="AO71" s="353"/>
      <c r="AP71" s="54"/>
      <c r="AQ71" s="353"/>
    </row>
    <row r="72" spans="1:44" ht="15.75" x14ac:dyDescent="0.25">
      <c r="A72" s="336" t="s">
        <v>397</v>
      </c>
      <c r="B72" s="336" t="s">
        <v>389</v>
      </c>
      <c r="C72" s="358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  <c r="AA72" s="351"/>
      <c r="AB72" s="351"/>
      <c r="AC72" s="351"/>
      <c r="AD72" s="351"/>
      <c r="AE72" s="351"/>
      <c r="AF72" s="351"/>
      <c r="AG72" s="351"/>
      <c r="AH72" s="361"/>
      <c r="AI72" s="350">
        <v>0.6</v>
      </c>
      <c r="AJ72" s="350">
        <v>0.4</v>
      </c>
      <c r="AK72" s="351"/>
      <c r="AL72" s="350">
        <v>0.35</v>
      </c>
      <c r="AM72" s="360"/>
      <c r="AN72" s="351"/>
      <c r="AO72" s="353"/>
      <c r="AP72" s="54"/>
      <c r="AQ72" s="353"/>
    </row>
    <row r="73" spans="1:44" ht="15.75" x14ac:dyDescent="0.25">
      <c r="A73" s="336" t="s">
        <v>397</v>
      </c>
      <c r="B73" s="336" t="s">
        <v>390</v>
      </c>
      <c r="C73" s="358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0">
        <v>0.8</v>
      </c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351"/>
      <c r="AC73" s="351"/>
      <c r="AD73" s="350">
        <v>1</v>
      </c>
      <c r="AE73" s="351"/>
      <c r="AF73" s="351"/>
      <c r="AG73" s="351"/>
      <c r="AH73" s="350">
        <v>0.6</v>
      </c>
      <c r="AI73" s="361"/>
      <c r="AJ73" s="351"/>
      <c r="AK73" s="351"/>
      <c r="AL73" s="350">
        <v>0.35</v>
      </c>
      <c r="AM73" s="360"/>
      <c r="AN73" s="351"/>
      <c r="AO73" s="353"/>
      <c r="AP73" s="54"/>
      <c r="AQ73" s="353"/>
    </row>
    <row r="74" spans="1:44" ht="15.75" x14ac:dyDescent="0.25">
      <c r="A74" s="336" t="s">
        <v>397</v>
      </c>
      <c r="B74" s="336" t="s">
        <v>391</v>
      </c>
      <c r="C74" s="358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0">
        <v>0.2</v>
      </c>
      <c r="AH74" s="350">
        <v>0.4</v>
      </c>
      <c r="AI74" s="351"/>
      <c r="AJ74" s="361"/>
      <c r="AK74" s="351"/>
      <c r="AL74" s="350">
        <v>0.4</v>
      </c>
      <c r="AM74" s="360"/>
      <c r="AN74" s="351"/>
      <c r="AO74" s="353"/>
      <c r="AP74" s="54"/>
      <c r="AQ74" s="353"/>
    </row>
    <row r="75" spans="1:44" ht="15.75" x14ac:dyDescent="0.25">
      <c r="A75" s="336" t="s">
        <v>397</v>
      </c>
      <c r="B75" s="336" t="s">
        <v>392</v>
      </c>
      <c r="C75" s="358"/>
      <c r="D75" s="351"/>
      <c r="E75" s="350">
        <v>0.2</v>
      </c>
      <c r="F75" s="351"/>
      <c r="G75" s="351"/>
      <c r="H75" s="351"/>
      <c r="I75" s="351"/>
      <c r="J75" s="351"/>
      <c r="K75" s="351"/>
      <c r="L75" s="351"/>
      <c r="M75" s="351"/>
      <c r="N75" s="351"/>
      <c r="O75" s="350">
        <v>0.3</v>
      </c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351"/>
      <c r="AD75" s="351"/>
      <c r="AE75" s="351"/>
      <c r="AF75" s="351"/>
      <c r="AG75" s="351"/>
      <c r="AH75" s="351"/>
      <c r="AI75" s="351"/>
      <c r="AJ75" s="351"/>
      <c r="AK75" s="361"/>
      <c r="AL75" s="350">
        <v>0.4</v>
      </c>
      <c r="AM75" s="360"/>
      <c r="AN75" s="351"/>
      <c r="AO75" s="353"/>
      <c r="AP75" s="54"/>
      <c r="AQ75" s="353"/>
    </row>
    <row r="76" spans="1:44" ht="15.75" x14ac:dyDescent="0.25">
      <c r="A76" s="336" t="s">
        <v>397</v>
      </c>
      <c r="B76" s="336" t="s">
        <v>393</v>
      </c>
      <c r="C76" s="358"/>
      <c r="D76" s="351"/>
      <c r="E76" s="350">
        <v>0.3</v>
      </c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0">
        <v>0.7</v>
      </c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50">
        <v>0.5</v>
      </c>
      <c r="AC76" s="351"/>
      <c r="AD76" s="351"/>
      <c r="AE76" s="351"/>
      <c r="AF76" s="351"/>
      <c r="AG76" s="350">
        <v>0.21</v>
      </c>
      <c r="AH76" s="350">
        <v>0.45</v>
      </c>
      <c r="AI76" s="350">
        <v>0.45</v>
      </c>
      <c r="AJ76" s="350">
        <v>0.45</v>
      </c>
      <c r="AK76" s="350">
        <v>0.5</v>
      </c>
      <c r="AL76" s="361"/>
      <c r="AM76" s="360"/>
      <c r="AN76" s="351"/>
      <c r="AO76" s="353"/>
      <c r="AP76" s="54"/>
      <c r="AQ76" s="353"/>
    </row>
    <row r="77" spans="1:44" ht="15.75" x14ac:dyDescent="0.25">
      <c r="A77" s="336" t="s">
        <v>397</v>
      </c>
      <c r="B77" s="336" t="s">
        <v>394</v>
      </c>
      <c r="C77" s="362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  <c r="AA77" s="363"/>
      <c r="AB77" s="363"/>
      <c r="AC77" s="363"/>
      <c r="AD77" s="363"/>
      <c r="AE77" s="363"/>
      <c r="AF77" s="363"/>
      <c r="AG77" s="363"/>
      <c r="AH77" s="363"/>
      <c r="AI77" s="363"/>
      <c r="AJ77" s="363"/>
      <c r="AK77" s="363"/>
      <c r="AL77" s="363"/>
      <c r="AM77" s="364"/>
      <c r="AN77" s="351"/>
      <c r="AO77" s="365"/>
      <c r="AP77" s="54"/>
      <c r="AQ77" s="365"/>
    </row>
    <row r="78" spans="1:44" x14ac:dyDescent="0.25"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</row>
    <row r="79" spans="1:44" ht="15.75" x14ac:dyDescent="0.25">
      <c r="B79" s="336" t="s">
        <v>395</v>
      </c>
      <c r="C79" s="366"/>
      <c r="D79" s="367"/>
      <c r="E79" s="367"/>
      <c r="F79" s="367"/>
      <c r="G79" s="367"/>
      <c r="H79" s="367"/>
      <c r="I79" s="367"/>
      <c r="J79" s="367"/>
      <c r="K79" s="368">
        <v>1</v>
      </c>
      <c r="L79" s="368">
        <v>0.6</v>
      </c>
      <c r="M79" s="368">
        <v>1.3</v>
      </c>
      <c r="N79" s="367"/>
      <c r="O79" s="367"/>
      <c r="P79" s="368">
        <v>0.8</v>
      </c>
      <c r="Q79" s="367"/>
      <c r="R79" s="367"/>
      <c r="S79" s="367"/>
      <c r="T79" s="368">
        <v>1.1000000000000001</v>
      </c>
      <c r="U79" s="367"/>
      <c r="V79" s="368">
        <v>0.5</v>
      </c>
      <c r="W79" s="367"/>
      <c r="X79" s="367"/>
      <c r="Y79" s="367"/>
      <c r="Z79" s="367"/>
      <c r="AA79" s="367"/>
      <c r="AB79" s="368">
        <v>0.4</v>
      </c>
      <c r="AC79" s="367"/>
      <c r="AD79" s="367"/>
      <c r="AE79" s="368">
        <v>0.4</v>
      </c>
      <c r="AF79" s="367"/>
      <c r="AG79" s="367"/>
      <c r="AH79" s="367"/>
      <c r="AI79" s="367"/>
      <c r="AJ79" s="367"/>
      <c r="AK79" s="367"/>
      <c r="AL79" s="367"/>
      <c r="AM79" s="369"/>
      <c r="AN79" s="370"/>
      <c r="AO79" s="54"/>
      <c r="AP79" s="54"/>
      <c r="AQ79" s="54"/>
    </row>
    <row r="81" spans="2:39" ht="15.75" x14ac:dyDescent="0.25">
      <c r="B81" s="336" t="s">
        <v>398</v>
      </c>
      <c r="C81" s="371"/>
      <c r="D81" s="372"/>
      <c r="E81" s="372"/>
      <c r="F81" s="372"/>
      <c r="G81" s="372"/>
      <c r="H81" s="372"/>
      <c r="I81" s="372"/>
      <c r="J81" s="372"/>
      <c r="K81" s="372"/>
      <c r="L81" s="372"/>
      <c r="M81" s="372"/>
      <c r="N81" s="372"/>
      <c r="O81" s="372"/>
      <c r="P81" s="372"/>
      <c r="Q81" s="372"/>
      <c r="R81" s="372"/>
      <c r="S81" s="372"/>
      <c r="T81" s="372"/>
      <c r="U81" s="372"/>
      <c r="V81" s="372"/>
      <c r="W81" s="372"/>
      <c r="X81" s="373">
        <v>3.85</v>
      </c>
      <c r="Y81" s="373"/>
      <c r="Z81" s="373">
        <v>0</v>
      </c>
      <c r="AA81" s="373"/>
      <c r="AB81" s="373">
        <v>2.1</v>
      </c>
      <c r="AC81" s="372"/>
      <c r="AD81" s="372"/>
      <c r="AE81" s="372"/>
      <c r="AF81" s="372"/>
      <c r="AG81" s="372"/>
      <c r="AH81" s="372"/>
      <c r="AI81" s="372"/>
      <c r="AJ81" s="372"/>
      <c r="AK81" s="372"/>
      <c r="AL81" s="372"/>
      <c r="AM81" s="374"/>
    </row>
    <row r="84" spans="2:39" x14ac:dyDescent="0.25">
      <c r="B84" s="375">
        <v>40575</v>
      </c>
    </row>
    <row r="85" spans="2:39" x14ac:dyDescent="0.25">
      <c r="B85" t="s">
        <v>399</v>
      </c>
    </row>
    <row r="86" spans="2:39" x14ac:dyDescent="0.25">
      <c r="B86" t="s">
        <v>400</v>
      </c>
    </row>
    <row r="87" spans="2:39" x14ac:dyDescent="0.25">
      <c r="B87" t="s">
        <v>401</v>
      </c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B1:XFD55"/>
  <sheetViews>
    <sheetView showGridLines="0" zoomScale="70" zoomScaleNormal="70" workbookViewId="0">
      <pane ySplit="6" topLeftCell="A7" activePane="bottomLeft" state="frozen"/>
      <selection activeCell="C98" sqref="C98"/>
      <selection pane="bottomLeft" activeCell="XFD1" sqref="XFD1"/>
    </sheetView>
  </sheetViews>
  <sheetFormatPr defaultColWidth="9.140625" defaultRowHeight="15" x14ac:dyDescent="0.25"/>
  <cols>
    <col min="1" max="1" width="9.140625" style="28"/>
    <col min="2" max="2" width="11.7109375" style="28" customWidth="1"/>
    <col min="3" max="4" width="5.7109375" style="28" customWidth="1"/>
    <col min="5" max="5" width="38" style="28" customWidth="1"/>
    <col min="6" max="7" width="5.7109375" style="28" customWidth="1"/>
    <col min="8" max="8" width="23.140625" style="28" customWidth="1"/>
    <col min="9" max="10" width="5.7109375" style="28" customWidth="1"/>
    <col min="11" max="11" width="44.7109375" style="28" customWidth="1"/>
    <col min="12" max="13" width="5.7109375" style="28" customWidth="1"/>
    <col min="14" max="14" width="20.85546875" style="28" customWidth="1"/>
    <col min="15" max="16" width="5.7109375" style="28" customWidth="1"/>
    <col min="17" max="17" width="32.140625" style="28" bestFit="1" customWidth="1"/>
    <col min="18" max="18" width="9.140625" style="28"/>
    <col min="19" max="19" width="20.85546875" style="28" bestFit="1" customWidth="1"/>
    <col min="20" max="16384" width="9.140625" style="28"/>
  </cols>
  <sheetData>
    <row r="1" spans="2:17 16384:16384" x14ac:dyDescent="0.25">
      <c r="XFD1" s="482"/>
    </row>
    <row r="6" spans="2:17 16384:16384" s="34" customFormat="1" ht="31.5" x14ac:dyDescent="0.5">
      <c r="B6" s="3" t="s">
        <v>111</v>
      </c>
      <c r="E6" s="35"/>
      <c r="F6" s="35"/>
    </row>
    <row r="7" spans="2:17 16384:16384" s="36" customFormat="1" x14ac:dyDescent="0.25"/>
    <row r="8" spans="2:17 16384:16384" s="36" customFormat="1" x14ac:dyDescent="0.25"/>
    <row r="9" spans="2:17 16384:16384" s="457" customFormat="1" ht="15.75" x14ac:dyDescent="0.25">
      <c r="B9" s="458" t="s">
        <v>471</v>
      </c>
      <c r="C9" s="458"/>
      <c r="D9" s="458"/>
      <c r="E9" s="458" t="s">
        <v>48</v>
      </c>
      <c r="F9" s="458"/>
      <c r="G9" s="458"/>
      <c r="H9" s="458" t="s">
        <v>61</v>
      </c>
      <c r="I9" s="458"/>
      <c r="J9" s="458"/>
      <c r="K9" s="458" t="s">
        <v>470</v>
      </c>
      <c r="L9" s="458"/>
      <c r="M9" s="458"/>
      <c r="N9" s="458" t="s">
        <v>181</v>
      </c>
      <c r="O9" s="458"/>
      <c r="P9" s="458"/>
      <c r="Q9" s="458" t="s">
        <v>167</v>
      </c>
    </row>
    <row r="10" spans="2:17 16384:16384" s="36" customFormat="1" x14ac:dyDescent="0.25"/>
    <row r="11" spans="2:17 16384:16384" s="36" customFormat="1" x14ac:dyDescent="0.25"/>
    <row r="12" spans="2:17 16384:16384" s="36" customFormat="1" x14ac:dyDescent="0.25">
      <c r="B12" s="37" t="s">
        <v>112</v>
      </c>
      <c r="E12" s="38" t="s">
        <v>49</v>
      </c>
      <c r="N12" s="452" t="s">
        <v>113</v>
      </c>
    </row>
    <row r="13" spans="2:17 16384:16384" s="36" customFormat="1" x14ac:dyDescent="0.25">
      <c r="E13" s="38"/>
      <c r="N13" s="453"/>
    </row>
    <row r="14" spans="2:17 16384:16384" s="36" customFormat="1" x14ac:dyDescent="0.25"/>
    <row r="15" spans="2:17 16384:16384" s="36" customFormat="1" x14ac:dyDescent="0.25"/>
    <row r="16" spans="2:17 16384:16384" s="36" customFormat="1" x14ac:dyDescent="0.25">
      <c r="E16" s="38" t="s">
        <v>51</v>
      </c>
      <c r="K16" s="39" t="s">
        <v>66</v>
      </c>
    </row>
    <row r="17" spans="2:17" s="36" customFormat="1" x14ac:dyDescent="0.25">
      <c r="E17" s="38"/>
      <c r="K17" s="39"/>
      <c r="Q17" s="40" t="s">
        <v>114</v>
      </c>
    </row>
    <row r="18" spans="2:17" s="36" customFormat="1" x14ac:dyDescent="0.25">
      <c r="H18" s="41" t="s">
        <v>115</v>
      </c>
      <c r="Q18" s="45"/>
    </row>
    <row r="19" spans="2:17" s="36" customFormat="1" x14ac:dyDescent="0.25">
      <c r="H19" s="41"/>
    </row>
    <row r="20" spans="2:17" s="36" customFormat="1" x14ac:dyDescent="0.25">
      <c r="E20" s="42" t="s">
        <v>52</v>
      </c>
      <c r="N20" s="451" t="s">
        <v>68</v>
      </c>
    </row>
    <row r="21" spans="2:17" s="36" customFormat="1" x14ac:dyDescent="0.25">
      <c r="E21" s="42"/>
      <c r="K21" s="43" t="s">
        <v>116</v>
      </c>
      <c r="N21" s="451"/>
    </row>
    <row r="22" spans="2:17" s="36" customFormat="1" x14ac:dyDescent="0.25">
      <c r="K22" s="43"/>
    </row>
    <row r="23" spans="2:17" s="36" customFormat="1" x14ac:dyDescent="0.25"/>
    <row r="24" spans="2:17" s="36" customFormat="1" x14ac:dyDescent="0.25">
      <c r="B24" s="37" t="s">
        <v>117</v>
      </c>
      <c r="E24" s="38" t="s">
        <v>118</v>
      </c>
    </row>
    <row r="25" spans="2:17" s="36" customFormat="1" x14ac:dyDescent="0.25">
      <c r="E25" s="446" t="s">
        <v>119</v>
      </c>
      <c r="H25" s="44" t="s">
        <v>63</v>
      </c>
      <c r="Q25" s="45" t="s">
        <v>120</v>
      </c>
    </row>
    <row r="26" spans="2:17" s="36" customFormat="1" x14ac:dyDescent="0.25">
      <c r="E26" s="446" t="s">
        <v>121</v>
      </c>
      <c r="H26" s="44"/>
      <c r="K26" s="46" t="s">
        <v>122</v>
      </c>
      <c r="Q26" s="45"/>
    </row>
    <row r="27" spans="2:17" s="36" customFormat="1" x14ac:dyDescent="0.25">
      <c r="K27" s="46"/>
    </row>
    <row r="28" spans="2:17" s="36" customFormat="1" x14ac:dyDescent="0.25">
      <c r="E28" s="42" t="s">
        <v>123</v>
      </c>
      <c r="N28" s="450" t="s">
        <v>557</v>
      </c>
    </row>
    <row r="29" spans="2:17" s="36" customFormat="1" x14ac:dyDescent="0.25">
      <c r="E29" s="445" t="s">
        <v>119</v>
      </c>
      <c r="N29" s="450"/>
    </row>
    <row r="30" spans="2:17" s="36" customFormat="1" x14ac:dyDescent="0.25"/>
    <row r="31" spans="2:17" s="36" customFormat="1" x14ac:dyDescent="0.25">
      <c r="E31" s="47" t="s">
        <v>124</v>
      </c>
      <c r="K31" s="46" t="s">
        <v>125</v>
      </c>
    </row>
    <row r="32" spans="2:17" s="36" customFormat="1" x14ac:dyDescent="0.25">
      <c r="E32" s="447" t="s">
        <v>119</v>
      </c>
      <c r="H32" s="48" t="s">
        <v>62</v>
      </c>
      <c r="K32" s="46"/>
      <c r="Q32" s="45" t="s">
        <v>126</v>
      </c>
    </row>
    <row r="33" spans="2:17" s="36" customFormat="1" x14ac:dyDescent="0.25">
      <c r="H33" s="48"/>
      <c r="Q33" s="45"/>
    </row>
    <row r="34" spans="2:17" s="36" customFormat="1" x14ac:dyDescent="0.25"/>
    <row r="35" spans="2:17" s="36" customFormat="1" x14ac:dyDescent="0.25">
      <c r="B35" s="37" t="s">
        <v>127</v>
      </c>
      <c r="E35" s="47" t="s">
        <v>124</v>
      </c>
    </row>
    <row r="36" spans="2:17" s="36" customFormat="1" x14ac:dyDescent="0.25">
      <c r="E36" s="447" t="s">
        <v>119</v>
      </c>
      <c r="K36" s="49" t="s">
        <v>128</v>
      </c>
      <c r="N36" s="449" t="s">
        <v>558</v>
      </c>
    </row>
    <row r="37" spans="2:17" s="36" customFormat="1" x14ac:dyDescent="0.25">
      <c r="E37" s="50"/>
      <c r="K37" s="49"/>
      <c r="N37" s="449"/>
    </row>
    <row r="38" spans="2:17" s="36" customFormat="1" x14ac:dyDescent="0.25">
      <c r="E38" s="38" t="s">
        <v>129</v>
      </c>
    </row>
    <row r="39" spans="2:17" s="36" customFormat="1" x14ac:dyDescent="0.25">
      <c r="E39" s="446" t="s">
        <v>119</v>
      </c>
      <c r="H39" s="51" t="s">
        <v>130</v>
      </c>
    </row>
    <row r="40" spans="2:17" s="36" customFormat="1" x14ac:dyDescent="0.25">
      <c r="H40" s="51"/>
    </row>
    <row r="41" spans="2:17" s="36" customFormat="1" x14ac:dyDescent="0.25">
      <c r="E41" s="42" t="s">
        <v>131</v>
      </c>
      <c r="K41" s="43" t="s">
        <v>65</v>
      </c>
      <c r="Q41" s="45" t="s">
        <v>132</v>
      </c>
    </row>
    <row r="42" spans="2:17" s="36" customFormat="1" x14ac:dyDescent="0.25">
      <c r="E42" s="445" t="s">
        <v>119</v>
      </c>
      <c r="K42" s="43"/>
      <c r="Q42" s="45"/>
    </row>
    <row r="43" spans="2:17" s="36" customFormat="1" x14ac:dyDescent="0.25"/>
    <row r="44" spans="2:17" s="36" customFormat="1" x14ac:dyDescent="0.25">
      <c r="E44" s="42" t="s">
        <v>133</v>
      </c>
      <c r="N44" s="448" t="s">
        <v>559</v>
      </c>
    </row>
    <row r="45" spans="2:17" s="36" customFormat="1" x14ac:dyDescent="0.25">
      <c r="E45" s="445" t="s">
        <v>119</v>
      </c>
      <c r="N45" s="448"/>
    </row>
    <row r="46" spans="2:17" s="36" customFormat="1" x14ac:dyDescent="0.25">
      <c r="N46" s="448"/>
    </row>
    <row r="47" spans="2:17" s="36" customFormat="1" x14ac:dyDescent="0.25"/>
    <row r="48" spans="2:17" s="36" customFormat="1" x14ac:dyDescent="0.25"/>
    <row r="49" s="36" customFormat="1" x14ac:dyDescent="0.25"/>
    <row r="50" s="36" customFormat="1" x14ac:dyDescent="0.25"/>
    <row r="51" s="36" customFormat="1" x14ac:dyDescent="0.25"/>
    <row r="52" s="36" customFormat="1" x14ac:dyDescent="0.25"/>
    <row r="53" s="36" customFormat="1" x14ac:dyDescent="0.25"/>
    <row r="54" s="36" customFormat="1" x14ac:dyDescent="0.25"/>
    <row r="55" s="36" customFormat="1" x14ac:dyDescent="0.25"/>
  </sheetData>
  <sheetProtection sheet="1" objects="1" scenarios="1" selectLockedCells="1"/>
  <pageMargins left="0.7" right="0.7" top="0.75" bottom="0.75" header="0.3" footer="0.3"/>
  <pageSetup paperSize="8" scale="7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XFD152"/>
  <sheetViews>
    <sheetView showGridLines="0" zoomScaleNormal="100" workbookViewId="0">
      <pane ySplit="6" topLeftCell="A7" activePane="bottomLeft" state="frozen"/>
      <selection activeCell="C98" sqref="C98"/>
      <selection pane="bottomLeft" activeCell="XFD1" sqref="XFD1"/>
    </sheetView>
  </sheetViews>
  <sheetFormatPr defaultColWidth="9.140625" defaultRowHeight="15" x14ac:dyDescent="0.25"/>
  <cols>
    <col min="1" max="1" width="9.140625" customWidth="1"/>
    <col min="2" max="2" width="63.5703125" customWidth="1"/>
    <col min="3" max="3" width="3.140625" customWidth="1"/>
    <col min="4" max="4" width="11.7109375" customWidth="1"/>
    <col min="5" max="5" width="9.140625" customWidth="1"/>
    <col min="8" max="8" width="27.7109375" bestFit="1" customWidth="1"/>
    <col min="9" max="9" width="7.7109375" bestFit="1" customWidth="1"/>
    <col min="10" max="10" width="12.7109375" bestFit="1" customWidth="1"/>
  </cols>
  <sheetData>
    <row r="1" spans="2:5 16384:16384" x14ac:dyDescent="0.25">
      <c r="XFD1" s="471"/>
    </row>
    <row r="6" spans="2:5 16384:16384" s="34" customFormat="1" ht="31.5" x14ac:dyDescent="0.5">
      <c r="B6" s="3" t="s">
        <v>134</v>
      </c>
    </row>
    <row r="8" spans="2:5 16384:16384" x14ac:dyDescent="0.25">
      <c r="B8" s="466" t="s">
        <v>135</v>
      </c>
    </row>
    <row r="9" spans="2:5 16384:16384" x14ac:dyDescent="0.25">
      <c r="B9" s="466" t="s">
        <v>136</v>
      </c>
    </row>
    <row r="10" spans="2:5 16384:16384" x14ac:dyDescent="0.25">
      <c r="B10" s="466" t="s">
        <v>137</v>
      </c>
    </row>
    <row r="11" spans="2:5 16384:16384" x14ac:dyDescent="0.25">
      <c r="B11" s="466" t="s">
        <v>138</v>
      </c>
    </row>
    <row r="12" spans="2:5 16384:16384" x14ac:dyDescent="0.25">
      <c r="B12" s="466" t="s">
        <v>139</v>
      </c>
    </row>
    <row r="16" spans="2:5 16384:16384" s="9" customFormat="1" ht="26.25" x14ac:dyDescent="0.45">
      <c r="B16" s="9" t="s">
        <v>140</v>
      </c>
      <c r="E16" s="467" t="s">
        <v>10</v>
      </c>
    </row>
    <row r="18" spans="1:10" s="52" customFormat="1" ht="15" customHeight="1" x14ac:dyDescent="0.2">
      <c r="B18" s="465" t="s">
        <v>141</v>
      </c>
      <c r="C18" s="24" t="s">
        <v>86</v>
      </c>
    </row>
    <row r="20" spans="1:10" s="15" customFormat="1" x14ac:dyDescent="0.25">
      <c r="B20" s="15" t="s">
        <v>142</v>
      </c>
      <c r="C20" s="15" t="s">
        <v>143</v>
      </c>
      <c r="D20" s="15" t="s">
        <v>144</v>
      </c>
      <c r="H20" s="53" t="s">
        <v>145</v>
      </c>
      <c r="I20" s="53"/>
      <c r="J20" s="53"/>
    </row>
    <row r="21" spans="1:10" x14ac:dyDescent="0.25">
      <c r="B21" t="str">
        <f>IFERROR(INDEX('TA database'!$B$8:$D$79,'TA database'!$G8,COLUMNS($B$20:B20)),"")</f>
        <v>Large centralized electrolysis</v>
      </c>
      <c r="C21" t="str">
        <f>IFERROR(INDEX('TA database'!$B$8:$D$79,'TA database'!$G8,COLUMNS($B$20:C20)),"")</f>
        <v>Levelized cost [€/kg H2]</v>
      </c>
      <c r="D21" s="54">
        <f ca="1">IFERROR(INDEX('TA database'!$B$8:$D$79,'TA database'!$G8,COLUMNS($B$20:D20)),"")</f>
        <v>1.8708304725052733</v>
      </c>
      <c r="H21" s="55" t="s">
        <v>84</v>
      </c>
      <c r="I21" s="56" t="str">
        <f>'(1) Introduction'!$C$138</f>
        <v>2020-30</v>
      </c>
      <c r="J21" s="55"/>
    </row>
    <row r="22" spans="1:10" x14ac:dyDescent="0.25">
      <c r="B22" t="str">
        <f>IFERROR(INDEX('TA database'!$B$8:$D$79,'TA database'!$G9,COLUMNS($B$20:B21)),"")</f>
        <v>Medium centralized electrolysis</v>
      </c>
      <c r="C22" t="str">
        <f>IFERROR(INDEX('TA database'!$B$8:$D$79,'TA database'!$G9,COLUMNS($B$20:C21)),"")</f>
        <v>Levelized cost [€/kg H2]</v>
      </c>
      <c r="D22" s="54">
        <f ca="1">IFERROR(INDEX('TA database'!$B$8:$D$79,'TA database'!$G9,COLUMNS($B$20:D21)),"")</f>
        <v>1.9488933077151886</v>
      </c>
      <c r="H22" s="55" t="s">
        <v>87</v>
      </c>
      <c r="I22" s="57">
        <f>'(1) Introduction'!$C$141</f>
        <v>0.06</v>
      </c>
      <c r="J22" s="55"/>
    </row>
    <row r="23" spans="1:10" x14ac:dyDescent="0.25">
      <c r="B23" t="str">
        <f>IFERROR(INDEX('TA database'!$B$8:$D$79,'TA database'!$G10,COLUMNS($B$20:B22)),"")</f>
        <v>Small decentralized electrolysis</v>
      </c>
      <c r="C23" t="str">
        <f>IFERROR(INDEX('TA database'!$B$8:$D$79,'TA database'!$G10,COLUMNS($B$20:C22)),"")</f>
        <v>Levelized cost [€/kg H2]</v>
      </c>
      <c r="D23" s="54">
        <f ca="1">IFERROR(INDEX('TA database'!$B$8:$D$79,'TA database'!$G10,COLUMNS($B$20:D22)),"")</f>
        <v>2.1773425559463213</v>
      </c>
      <c r="H23" s="55" t="s">
        <v>146</v>
      </c>
      <c r="I23" s="55">
        <f>'(1) Introduction'!$C$144</f>
        <v>45</v>
      </c>
      <c r="J23" s="55" t="str">
        <f>'(1) Introduction'!$E$144</f>
        <v>€2014/MWhe</v>
      </c>
    </row>
    <row r="24" spans="1:10" x14ac:dyDescent="0.25">
      <c r="B24" t="str">
        <f>IFERROR(INDEX('TA database'!$B$8:$D$79,'TA database'!$G11,COLUMNS($B$20:B23)),"")</f>
        <v>Medium centralized biomass gasification</v>
      </c>
      <c r="C24" t="str">
        <f>IFERROR(INDEX('TA database'!$B$8:$D$79,'TA database'!$G11,COLUMNS($B$20:C23)),"")</f>
        <v>Levelized cost [€/kg H2]</v>
      </c>
      <c r="D24" s="54">
        <f ca="1">IFERROR(INDEX('TA database'!$B$8:$D$79,'TA database'!$G11,COLUMNS($B$20:D23)),"")</f>
        <v>1.2420378397594705</v>
      </c>
      <c r="H24" s="55" t="s">
        <v>147</v>
      </c>
      <c r="I24" s="55">
        <f>'(1) Introduction'!$C$145</f>
        <v>30</v>
      </c>
      <c r="J24" s="55" t="str">
        <f>'(1) Introduction'!$E$145</f>
        <v>€2014/GJth</v>
      </c>
    </row>
    <row r="25" spans="1:10" x14ac:dyDescent="0.25">
      <c r="A25" s="54"/>
      <c r="B25" t="str">
        <f>IFERROR(INDEX('TA database'!$B$8:$D$79,'TA database'!$G12,COLUMNS($B$20:B24)),"")</f>
        <v>Medium centralized biomass gasification w/ CCS</v>
      </c>
      <c r="C25" t="str">
        <f>IFERROR(INDEX('TA database'!$B$8:$D$79,'TA database'!$G12,COLUMNS($B$20:C24)),"")</f>
        <v>Levelized cost [€/kg H2]</v>
      </c>
      <c r="D25" s="54">
        <f ca="1">IFERROR(INDEX('TA database'!$B$8:$D$79,'TA database'!$G12,COLUMNS($B$20:D24)),"")</f>
        <v>0.77573654376039736</v>
      </c>
      <c r="H25" s="55" t="s">
        <v>148</v>
      </c>
      <c r="I25" s="331">
        <f>'(1) Introduction'!$C$146</f>
        <v>5.2704393662267295</v>
      </c>
      <c r="J25" s="55" t="str">
        <f>'(1) Introduction'!$E$146</f>
        <v>€2014/GJth</v>
      </c>
    </row>
    <row r="26" spans="1:10" x14ac:dyDescent="0.25">
      <c r="A26" s="54"/>
      <c r="B26" t="str">
        <f>IFERROR(INDEX('TA database'!$B$8:$D$79,'TA database'!$G13,COLUMNS($B$20:B25)),"")</f>
        <v>Small decentralized biomass gasification</v>
      </c>
      <c r="C26" t="str">
        <f>IFERROR(INDEX('TA database'!$B$8:$D$79,'TA database'!$G13,COLUMNS($B$20:C25)),"")</f>
        <v>Levelized cost [€/kg H2]</v>
      </c>
      <c r="D26" s="54">
        <f ca="1">IFERROR(INDEX('TA database'!$B$8:$D$79,'TA database'!$G13,COLUMNS($B$20:D25)),"")</f>
        <v>2.0014004458664063</v>
      </c>
      <c r="H26" s="55" t="s">
        <v>149</v>
      </c>
      <c r="I26" s="55">
        <f>'(1) Introduction'!$C$147</f>
        <v>35</v>
      </c>
      <c r="J26" s="55" t="str">
        <f>'(1) Introduction'!$E$147</f>
        <v>€2014/GJth</v>
      </c>
    </row>
    <row r="27" spans="1:10" x14ac:dyDescent="0.25">
      <c r="A27" s="54"/>
      <c r="B27" t="str">
        <f>IFERROR(INDEX('TA database'!$B$8:$D$79,'TA database'!$G14,COLUMNS($B$20:B26)),"")</f>
        <v xml:space="preserve">Large centralized biomass steam reforming </v>
      </c>
      <c r="C27" t="str">
        <f>IFERROR(INDEX('TA database'!$B$8:$D$79,'TA database'!$G14,COLUMNS($B$20:C26)),"")</f>
        <v>Levelized cost [€/kg H2]</v>
      </c>
      <c r="D27" s="54">
        <f ca="1">IFERROR(INDEX('TA database'!$B$8:$D$79,'TA database'!$G14,COLUMNS($B$20:D26)),"")</f>
        <v>0.87737742768078397</v>
      </c>
      <c r="H27" s="55" t="s">
        <v>150</v>
      </c>
      <c r="I27" s="55">
        <f>'(1) Introduction'!$C$150</f>
        <v>35</v>
      </c>
      <c r="J27" s="55" t="str">
        <f>'(1) Introduction'!$E$150</f>
        <v>€2014/t CO2</v>
      </c>
    </row>
    <row r="28" spans="1:10" x14ac:dyDescent="0.25">
      <c r="A28" s="54"/>
      <c r="B28" t="str">
        <f>IFERROR(INDEX('TA database'!$B$8:$D$79,'TA database'!$G15,COLUMNS($B$20:B27)),"")</f>
        <v>Large centralized natural gas steam reforming</v>
      </c>
      <c r="C28" t="str">
        <f>IFERROR(INDEX('TA database'!$B$8:$D$79,'TA database'!$G15,COLUMNS($B$20:C27)),"")</f>
        <v>Levelized cost [€/kg H2]</v>
      </c>
      <c r="D28" s="54">
        <f ca="1">IFERROR(INDEX('TA database'!$B$8:$D$79,'TA database'!$G15,COLUMNS($B$20:D27)),"")</f>
        <v>4.3183598275787016</v>
      </c>
      <c r="H28" s="55" t="s">
        <v>151</v>
      </c>
      <c r="I28" s="55">
        <f>'(1) Introduction'!$C$153</f>
        <v>50</v>
      </c>
      <c r="J28" s="55" t="str">
        <f>'(1) Introduction'!$E$153</f>
        <v>g CO2/kWhe</v>
      </c>
    </row>
    <row r="29" spans="1:10" x14ac:dyDescent="0.25">
      <c r="A29" s="54"/>
      <c r="B29" t="str">
        <f>IFERROR(INDEX('TA database'!$B$8:$D$79,'TA database'!$G16,COLUMNS($B$20:B28)),"")</f>
        <v>Small centralized natural gas steam reforming</v>
      </c>
      <c r="C29" t="str">
        <f>IFERROR(INDEX('TA database'!$B$8:$D$79,'TA database'!$G16,COLUMNS($B$20:C28)),"")</f>
        <v>Levelized cost [€/kg H2]</v>
      </c>
      <c r="D29" s="54">
        <f ca="1">IFERROR(INDEX('TA database'!$B$8:$D$79,'TA database'!$G16,COLUMNS($B$20:D28)),"")</f>
        <v>4.3868073570951305</v>
      </c>
      <c r="H29" s="55" t="s">
        <v>152</v>
      </c>
      <c r="I29" s="58" t="str">
        <f>'(1) Introduction'!$C$156</f>
        <v>High</v>
      </c>
      <c r="J29" s="55"/>
    </row>
    <row r="30" spans="1:10" x14ac:dyDescent="0.25">
      <c r="A30" s="54"/>
      <c r="B30" t="str">
        <f>IFERROR(INDEX('TA database'!$B$8:$D$79,'TA database'!$G17,COLUMNS($B$20:B29)),"")</f>
        <v>Medium decentralized natural gas steam reforming</v>
      </c>
      <c r="C30" t="str">
        <f>IFERROR(INDEX('TA database'!$B$8:$D$79,'TA database'!$G17,COLUMNS($B$20:C29)),"")</f>
        <v>Levelized cost [€/kg H2]</v>
      </c>
      <c r="D30" s="54">
        <f ca="1">IFERROR(INDEX('TA database'!$B$8:$D$79,'TA database'!$G17,COLUMNS($B$20:D29)),"")</f>
        <v>4.6698886934539701</v>
      </c>
      <c r="H30" s="55" t="s">
        <v>100</v>
      </c>
      <c r="I30" s="55">
        <f>'(1) Introduction'!$C$159</f>
        <v>8</v>
      </c>
      <c r="J30" s="55"/>
    </row>
    <row r="31" spans="1:10" x14ac:dyDescent="0.25">
      <c r="B31" t="str">
        <f>IFERROR(INDEX('TA database'!$B$8:$D$79,'TA database'!$G18,COLUMNS($B$20:B30)),"")</f>
        <v>Small decentralized natural gas steam reforming</v>
      </c>
      <c r="C31" t="str">
        <f>IFERROR(INDEX('TA database'!$B$8:$D$79,'TA database'!$G18,COLUMNS($B$20:C30)),"")</f>
        <v>Levelized cost [€/kg H2]</v>
      </c>
      <c r="D31" s="54">
        <f ca="1">IFERROR(INDEX('TA database'!$B$8:$D$79,'TA database'!$G18,COLUMNS($B$20:D30)),"")</f>
        <v>4.9521887780698144</v>
      </c>
      <c r="H31" s="55" t="s">
        <v>153</v>
      </c>
      <c r="I31" s="58" t="str">
        <f>IF(I21="2020-30",'(1) Introduction'!$C$183,'(1) Introduction'!$C$186)</f>
        <v>Default</v>
      </c>
      <c r="J31" s="55"/>
    </row>
    <row r="32" spans="1:10" x14ac:dyDescent="0.25">
      <c r="A32" s="54"/>
      <c r="D32" s="54"/>
    </row>
    <row r="33" spans="1:10" x14ac:dyDescent="0.25">
      <c r="A33" s="54"/>
    </row>
    <row r="34" spans="1:10" x14ac:dyDescent="0.25">
      <c r="A34" s="54"/>
    </row>
    <row r="35" spans="1:10" x14ac:dyDescent="0.25">
      <c r="A35" s="54"/>
    </row>
    <row r="36" spans="1:10" x14ac:dyDescent="0.25">
      <c r="A36" s="54"/>
    </row>
    <row r="37" spans="1:10" x14ac:dyDescent="0.25">
      <c r="A37" s="54"/>
    </row>
    <row r="38" spans="1:10" x14ac:dyDescent="0.25">
      <c r="A38" s="54"/>
    </row>
    <row r="39" spans="1:10" x14ac:dyDescent="0.25">
      <c r="A39" s="54"/>
    </row>
    <row r="40" spans="1:10" ht="26.25" x14ac:dyDescent="0.45">
      <c r="A40" s="54"/>
      <c r="B40" s="9" t="s">
        <v>154</v>
      </c>
      <c r="E40" s="467" t="s">
        <v>10</v>
      </c>
    </row>
    <row r="41" spans="1:10" x14ac:dyDescent="0.25">
      <c r="A41" s="54"/>
      <c r="E41" s="59"/>
    </row>
    <row r="42" spans="1:10" s="52" customFormat="1" ht="15" customHeight="1" x14ac:dyDescent="0.2">
      <c r="B42" s="465" t="s">
        <v>141</v>
      </c>
      <c r="C42" s="24" t="s">
        <v>86</v>
      </c>
    </row>
    <row r="43" spans="1:10" x14ac:dyDescent="0.25">
      <c r="E43" s="59"/>
    </row>
    <row r="44" spans="1:10" x14ac:dyDescent="0.25">
      <c r="A44" s="15"/>
      <c r="B44" s="15" t="s">
        <v>142</v>
      </c>
      <c r="C44" s="15" t="s">
        <v>143</v>
      </c>
      <c r="D44" s="15" t="s">
        <v>144</v>
      </c>
      <c r="E44" s="59"/>
      <c r="H44" s="53" t="s">
        <v>145</v>
      </c>
      <c r="I44" s="53"/>
      <c r="J44" s="53"/>
    </row>
    <row r="45" spans="1:10" x14ac:dyDescent="0.25">
      <c r="A45" s="54"/>
      <c r="B45" s="60" t="str">
        <f>IFERROR(INDEX('TA database'!$B$86:$D$105,'TA database'!$G86,COLUMNS($B$44:B44)),"")</f>
        <v>Underground storage</v>
      </c>
      <c r="C45" t="str">
        <f>IFERROR(INDEX('TA database'!$B$86:$D$105,'TA database'!$G86,COLUMNS($B$44:C44)),"")</f>
        <v>Levelized cost [€/kg H2]</v>
      </c>
      <c r="D45" s="54">
        <f ca="1">IFERROR(INDEX('TA database'!$B$86:$D$105,'TA database'!$G86,COLUMNS($B$44:D44)),"")</f>
        <v>1.2487610991343328E-2</v>
      </c>
      <c r="E45" s="59"/>
      <c r="H45" s="55" t="s">
        <v>84</v>
      </c>
      <c r="I45" s="56" t="str">
        <f>'(1) Introduction'!$C$138</f>
        <v>2020-30</v>
      </c>
      <c r="J45" s="55"/>
    </row>
    <row r="46" spans="1:10" x14ac:dyDescent="0.25">
      <c r="A46" s="54"/>
      <c r="B46" s="60" t="str">
        <f>IFERROR(INDEX('TA database'!$B$86:$D$105,'TA database'!$G87,COLUMNS($B$44:B45)),"")</f>
        <v>Central gas storage</v>
      </c>
      <c r="C46" t="str">
        <f>IFERROR(INDEX('TA database'!$B$86:$D$105,'TA database'!$G87,COLUMNS($B$44:C45)),"")</f>
        <v>Levelized cost [€/kg H2]</v>
      </c>
      <c r="D46" s="54">
        <f ca="1">IFERROR(INDEX('TA database'!$B$86:$D$105,'TA database'!$G87,COLUMNS($B$44:D45)),"")</f>
        <v>6.2696063448273304E-2</v>
      </c>
      <c r="E46" s="59"/>
      <c r="H46" s="55" t="s">
        <v>87</v>
      </c>
      <c r="I46" s="57">
        <f>'(1) Introduction'!$C$141</f>
        <v>0.06</v>
      </c>
      <c r="J46" s="55"/>
    </row>
    <row r="47" spans="1:10" x14ac:dyDescent="0.25">
      <c r="A47" s="54"/>
      <c r="B47" s="60" t="str">
        <f>IFERROR(INDEX('TA database'!$B$86:$D$105,'TA database'!$G88,COLUMNS($B$44:B46)),"")</f>
        <v>Distributed gas storage</v>
      </c>
      <c r="C47" t="str">
        <f>IFERROR(INDEX('TA database'!$B$86:$D$105,'TA database'!$G88,COLUMNS($B$44:C46)),"")</f>
        <v>Levelized cost [€/kg H2]</v>
      </c>
      <c r="D47" s="54">
        <f ca="1">IFERROR(INDEX('TA database'!$B$86:$D$105,'TA database'!$G88,COLUMNS($B$44:D46)),"")</f>
        <v>0.11145966835248589</v>
      </c>
      <c r="E47" s="59"/>
      <c r="H47" s="55" t="s">
        <v>146</v>
      </c>
      <c r="I47" s="55">
        <f>'(1) Introduction'!$C$144</f>
        <v>45</v>
      </c>
      <c r="J47" s="55" t="str">
        <f>'(1) Introduction'!$E$144</f>
        <v>€2014/MWhe</v>
      </c>
    </row>
    <row r="48" spans="1:10" x14ac:dyDescent="0.25">
      <c r="A48" s="54"/>
      <c r="B48" s="60" t="str">
        <f>IFERROR(INDEX('TA database'!$B$86:$D$105,'TA database'!$G89,COLUMNS($B$44:B47)),"")</f>
        <v>No storage</v>
      </c>
      <c r="C48" t="str">
        <f>IFERROR(INDEX('TA database'!$B$86:$D$105,'TA database'!$G89,COLUMNS($B$44:C47)),"")</f>
        <v>Levelized cost [€/kg H2]</v>
      </c>
      <c r="D48" s="54">
        <f ca="1">IFERROR(INDEX('TA database'!$B$86:$D$105,'TA database'!$G89,COLUMNS($B$44:D47)),"")</f>
        <v>0</v>
      </c>
      <c r="E48" s="59"/>
      <c r="H48" s="55" t="s">
        <v>147</v>
      </c>
      <c r="I48" s="55">
        <f>'(1) Introduction'!$C$145</f>
        <v>30</v>
      </c>
      <c r="J48" s="55" t="str">
        <f>'(1) Introduction'!$E$145</f>
        <v>€2014/GJth</v>
      </c>
    </row>
    <row r="49" spans="1:10" x14ac:dyDescent="0.25">
      <c r="A49" s="54"/>
      <c r="B49" s="54"/>
      <c r="C49" s="59"/>
      <c r="D49" s="59"/>
      <c r="E49" s="59"/>
      <c r="H49" s="55" t="s">
        <v>148</v>
      </c>
      <c r="I49" s="331">
        <f>'(1) Introduction'!$C$146</f>
        <v>5.2704393662267295</v>
      </c>
      <c r="J49" s="55" t="str">
        <f>'(1) Introduction'!$E$146</f>
        <v>€2014/GJth</v>
      </c>
    </row>
    <row r="50" spans="1:10" x14ac:dyDescent="0.25">
      <c r="A50" s="54"/>
      <c r="B50" s="54"/>
      <c r="C50" s="59"/>
      <c r="D50" s="59"/>
      <c r="E50" s="59"/>
      <c r="H50" s="55" t="s">
        <v>149</v>
      </c>
      <c r="I50" s="55">
        <f>'(1) Introduction'!$C$147</f>
        <v>35</v>
      </c>
      <c r="J50" s="55" t="str">
        <f>'(1) Introduction'!$E$147</f>
        <v>€2014/GJth</v>
      </c>
    </row>
    <row r="51" spans="1:10" x14ac:dyDescent="0.25">
      <c r="A51" s="54"/>
      <c r="B51" s="54"/>
      <c r="C51" s="59"/>
      <c r="D51" s="59"/>
      <c r="E51" s="59"/>
      <c r="H51" s="55" t="s">
        <v>150</v>
      </c>
      <c r="I51" s="55">
        <f>'(1) Introduction'!$C$150</f>
        <v>35</v>
      </c>
      <c r="J51" s="55" t="str">
        <f>'(1) Introduction'!$E$150</f>
        <v>€2014/t CO2</v>
      </c>
    </row>
    <row r="52" spans="1:10" x14ac:dyDescent="0.25">
      <c r="A52" s="54"/>
      <c r="B52" s="54"/>
      <c r="C52" s="59"/>
      <c r="D52" s="59"/>
      <c r="E52" s="59"/>
      <c r="H52" s="55" t="s">
        <v>151</v>
      </c>
      <c r="I52" s="55">
        <f>'(1) Introduction'!$C$153</f>
        <v>50</v>
      </c>
      <c r="J52" s="55" t="str">
        <f>'(1) Introduction'!$E$153</f>
        <v>g CO2/kWhe</v>
      </c>
    </row>
    <row r="53" spans="1:10" x14ac:dyDescent="0.25">
      <c r="A53" s="54"/>
      <c r="B53" s="54"/>
      <c r="C53" s="59"/>
      <c r="D53" s="59"/>
      <c r="E53" s="59"/>
      <c r="H53" s="55" t="s">
        <v>152</v>
      </c>
      <c r="I53" s="58" t="str">
        <f>'(1) Introduction'!$C$156</f>
        <v>High</v>
      </c>
      <c r="J53" s="55"/>
    </row>
    <row r="54" spans="1:10" x14ac:dyDescent="0.25">
      <c r="A54" s="54"/>
      <c r="B54" s="54"/>
      <c r="C54" s="59"/>
      <c r="D54" s="59"/>
      <c r="E54" s="59"/>
      <c r="H54" s="55" t="s">
        <v>100</v>
      </c>
      <c r="I54" s="55">
        <f>'(1) Introduction'!$C$159</f>
        <v>8</v>
      </c>
      <c r="J54" s="55"/>
    </row>
    <row r="55" spans="1:10" x14ac:dyDescent="0.25">
      <c r="A55" s="54"/>
      <c r="B55" s="54"/>
      <c r="C55" s="59"/>
      <c r="D55" s="59"/>
      <c r="E55" s="59"/>
      <c r="H55" s="55" t="s">
        <v>153</v>
      </c>
      <c r="I55" s="58" t="str">
        <f>IF(I45="2020-30",'(1) Introduction'!$C$183,'(1) Introduction'!$C$186)</f>
        <v>Default</v>
      </c>
      <c r="J55" s="55"/>
    </row>
    <row r="56" spans="1:10" x14ac:dyDescent="0.25">
      <c r="A56" s="54"/>
      <c r="B56" s="54"/>
      <c r="C56" s="59"/>
      <c r="D56" s="59"/>
      <c r="E56" s="59"/>
    </row>
    <row r="57" spans="1:10" x14ac:dyDescent="0.25">
      <c r="A57" s="54"/>
      <c r="B57" s="54"/>
      <c r="C57" s="59"/>
      <c r="D57" s="59"/>
      <c r="E57" s="59"/>
    </row>
    <row r="58" spans="1:10" x14ac:dyDescent="0.25">
      <c r="A58" s="54"/>
      <c r="B58" s="54"/>
      <c r="C58" s="59"/>
      <c r="D58" s="59"/>
      <c r="E58" s="59"/>
    </row>
    <row r="59" spans="1:10" x14ac:dyDescent="0.25">
      <c r="A59" s="54"/>
      <c r="B59" s="54"/>
      <c r="C59" s="59"/>
      <c r="D59" s="59"/>
      <c r="E59" s="59"/>
    </row>
    <row r="60" spans="1:10" x14ac:dyDescent="0.25">
      <c r="A60" s="54"/>
      <c r="B60" s="54"/>
      <c r="C60" s="59"/>
      <c r="D60" s="59"/>
      <c r="E60" s="59"/>
    </row>
    <row r="61" spans="1:10" x14ac:dyDescent="0.25">
      <c r="A61" s="54"/>
      <c r="B61" s="54"/>
      <c r="C61" s="59"/>
      <c r="D61" s="59"/>
      <c r="E61" s="59"/>
    </row>
    <row r="62" spans="1:10" x14ac:dyDescent="0.25">
      <c r="A62" s="54"/>
      <c r="B62" s="54"/>
      <c r="C62" s="59"/>
      <c r="D62" s="59"/>
      <c r="E62" s="59"/>
    </row>
    <row r="63" spans="1:10" x14ac:dyDescent="0.25">
      <c r="A63" s="54"/>
      <c r="B63" s="54"/>
      <c r="C63" s="59"/>
      <c r="D63" s="59"/>
      <c r="E63" s="59"/>
    </row>
    <row r="64" spans="1:10" ht="26.25" x14ac:dyDescent="0.45">
      <c r="A64" s="54"/>
      <c r="B64" s="9" t="s">
        <v>156</v>
      </c>
      <c r="E64" s="467" t="s">
        <v>10</v>
      </c>
    </row>
    <row r="65" spans="1:10" x14ac:dyDescent="0.25">
      <c r="A65" s="54"/>
      <c r="E65" s="59"/>
    </row>
    <row r="66" spans="1:10" s="52" customFormat="1" ht="15" customHeight="1" x14ac:dyDescent="0.2">
      <c r="B66" s="465" t="s">
        <v>141</v>
      </c>
      <c r="C66" s="24" t="s">
        <v>86</v>
      </c>
    </row>
    <row r="67" spans="1:10" x14ac:dyDescent="0.25">
      <c r="A67" s="54"/>
      <c r="E67" s="59"/>
    </row>
    <row r="68" spans="1:10" x14ac:dyDescent="0.25">
      <c r="A68" s="54"/>
      <c r="B68" s="15" t="s">
        <v>142</v>
      </c>
      <c r="C68" s="15" t="s">
        <v>143</v>
      </c>
      <c r="D68" s="15" t="s">
        <v>144</v>
      </c>
      <c r="E68" s="59"/>
      <c r="H68" s="53" t="s">
        <v>145</v>
      </c>
      <c r="I68" s="53"/>
      <c r="J68" s="53"/>
    </row>
    <row r="69" spans="1:10" x14ac:dyDescent="0.25">
      <c r="A69" s="54"/>
      <c r="B69" s="62" t="str">
        <f>IFERROR(INDEX('TA database'!$B$112:$D$139,'TA database'!$G112,COLUMNS($B$68:B68)),"")</f>
        <v>Hydrogen distribution pipeline</v>
      </c>
      <c r="C69" t="str">
        <f>IFERROR(INDEX('TA database'!$B$112:$D$139,'TA database'!$G112,COLUMNS($B$68:C68)),"")</f>
        <v>Levelized cost [€/kg H2]</v>
      </c>
      <c r="D69" s="54">
        <f ca="1">IFERROR(INDEX('TA database'!$B$112:$D$139,'TA database'!$G112,COLUMNS($B$68:D68)),"")</f>
        <v>0.32488060673257818</v>
      </c>
      <c r="E69" s="59"/>
      <c r="H69" s="55" t="s">
        <v>84</v>
      </c>
      <c r="I69" s="56" t="str">
        <f>'(1) Introduction'!$C$138</f>
        <v>2020-30</v>
      </c>
      <c r="J69" s="55"/>
    </row>
    <row r="70" spans="1:10" x14ac:dyDescent="0.25">
      <c r="A70" s="54"/>
      <c r="B70" s="62" t="str">
        <f>IFERROR(INDEX('TA database'!$B$112:$D$139,'TA database'!$G113,COLUMNS($B$68:B69)),"")</f>
        <v>Blending in natural gas pipeline</v>
      </c>
      <c r="C70" t="str">
        <f>IFERROR(INDEX('TA database'!$B$112:$D$139,'TA database'!$G113,COLUMNS($B$68:C69)),"")</f>
        <v>Levelized cost [€/kg H2]</v>
      </c>
      <c r="D70" s="54">
        <f ca="1">IFERROR(INDEX('TA database'!$B$112:$D$139,'TA database'!$G113,COLUMNS($B$68:D69)),"")</f>
        <v>0.18148932153689973</v>
      </c>
      <c r="E70" s="59"/>
      <c r="H70" s="55" t="s">
        <v>87</v>
      </c>
      <c r="I70" s="57">
        <f>'(1) Introduction'!$C$141</f>
        <v>0.06</v>
      </c>
      <c r="J70" s="55"/>
    </row>
    <row r="71" spans="1:10" x14ac:dyDescent="0.25">
      <c r="A71" s="54"/>
      <c r="B71" s="62" t="str">
        <f>IFERROR(INDEX('TA database'!$B$112:$D$139,'TA database'!$G114,COLUMNS($B$68:B70)),"")</f>
        <v>Hydrogen transmission &amp; distribution pipeline</v>
      </c>
      <c r="C71" t="str">
        <f>IFERROR(INDEX('TA database'!$B$112:$D$139,'TA database'!$G114,COLUMNS($B$68:C70)),"")</f>
        <v>Levelized cost [€/kg H2]</v>
      </c>
      <c r="D71" s="54">
        <f ca="1">IFERROR(INDEX('TA database'!$B$112:$D$139,'TA database'!$G114,COLUMNS($B$68:D70)),"")</f>
        <v>0.33767005075082657</v>
      </c>
      <c r="E71" s="59"/>
      <c r="H71" s="55" t="s">
        <v>146</v>
      </c>
      <c r="I71" s="55">
        <f>'(1) Introduction'!$C$144</f>
        <v>45</v>
      </c>
      <c r="J71" s="55" t="str">
        <f>'(1) Introduction'!$E$144</f>
        <v>€2014/MWhe</v>
      </c>
    </row>
    <row r="72" spans="1:10" x14ac:dyDescent="0.25">
      <c r="A72" s="54"/>
      <c r="B72" s="62" t="str">
        <f>IFERROR(INDEX('TA database'!$B$112:$D$139,'TA database'!$G115,COLUMNS($B$68:B71)),"")</f>
        <v>Liquid hydrogen truck</v>
      </c>
      <c r="C72" t="str">
        <f>IFERROR(INDEX('TA database'!$B$112:$D$139,'TA database'!$G115,COLUMNS($B$68:C71)),"")</f>
        <v>Levelized cost [€/kg H2]</v>
      </c>
      <c r="D72" s="54">
        <f ca="1">IFERROR(INDEX('TA database'!$B$112:$D$139,'TA database'!$G115,COLUMNS($B$68:D71)),"")</f>
        <v>2.2344604621435615</v>
      </c>
      <c r="E72" s="59"/>
      <c r="H72" s="55" t="s">
        <v>147</v>
      </c>
      <c r="I72" s="55">
        <f>'(1) Introduction'!$C$145</f>
        <v>30</v>
      </c>
      <c r="J72" s="55" t="str">
        <f>'(1) Introduction'!$E$145</f>
        <v>€2014/GJth</v>
      </c>
    </row>
    <row r="73" spans="1:10" x14ac:dyDescent="0.25">
      <c r="A73" s="54"/>
      <c r="B73" s="62" t="str">
        <f>IFERROR(INDEX('TA database'!$B$112:$D$139,'TA database'!$G116,COLUMNS($B$68:B72)),"")</f>
        <v>Methanation</v>
      </c>
      <c r="C73" t="str">
        <f>IFERROR(INDEX('TA database'!$B$112:$D$139,'TA database'!$G116,COLUMNS($B$68:C72)),"")</f>
        <v>Levelized cost [€/kg H2]</v>
      </c>
      <c r="D73" s="54">
        <f ca="1">IFERROR(INDEX('TA database'!$B$112:$D$139,'TA database'!$G116,COLUMNS($B$68:D72)),"")</f>
        <v>1.3603364450112079</v>
      </c>
      <c r="E73" s="59"/>
      <c r="H73" s="55" t="s">
        <v>148</v>
      </c>
      <c r="I73" s="331">
        <f>'(1) Introduction'!$C$146</f>
        <v>5.2704393662267295</v>
      </c>
      <c r="J73" s="55" t="str">
        <f>'(1) Introduction'!$E$146</f>
        <v>€2014/GJth</v>
      </c>
    </row>
    <row r="74" spans="1:10" x14ac:dyDescent="0.25">
      <c r="A74" s="54"/>
      <c r="B74" s="62" t="str">
        <f>IFERROR(INDEX('TA database'!$B$112:$D$139,'TA database'!$G117,COLUMNS($B$68:B73)),"")</f>
        <v>Onsite</v>
      </c>
      <c r="C74" t="str">
        <f>IFERROR(INDEX('TA database'!$B$112:$D$139,'TA database'!$G117,COLUMNS($B$68:C73)),"")</f>
        <v>Levelized cost [€/kg H2]</v>
      </c>
      <c r="D74" s="54">
        <f ca="1">IFERROR(INDEX('TA database'!$B$112:$D$139,'TA database'!$G117,COLUMNS($B$68:D73)),"")</f>
        <v>0</v>
      </c>
      <c r="E74" s="59"/>
      <c r="H74" s="55" t="s">
        <v>149</v>
      </c>
      <c r="I74" s="55">
        <f>'(1) Introduction'!$C$147</f>
        <v>35</v>
      </c>
      <c r="J74" s="55" t="str">
        <f>'(1) Introduction'!$E$147</f>
        <v>€2014/GJth</v>
      </c>
    </row>
    <row r="75" spans="1:10" x14ac:dyDescent="0.25">
      <c r="A75" s="54"/>
      <c r="B75" s="54"/>
      <c r="C75" s="59"/>
      <c r="D75" s="59"/>
      <c r="E75" s="59"/>
      <c r="H75" s="55" t="s">
        <v>150</v>
      </c>
      <c r="I75" s="55">
        <f>'(1) Introduction'!$C$150</f>
        <v>35</v>
      </c>
      <c r="J75" s="55" t="str">
        <f>'(1) Introduction'!$E$150</f>
        <v>€2014/t CO2</v>
      </c>
    </row>
    <row r="76" spans="1:10" x14ac:dyDescent="0.25">
      <c r="A76" s="54"/>
      <c r="B76" s="54"/>
      <c r="C76" s="59"/>
      <c r="D76" s="59"/>
      <c r="E76" s="59"/>
      <c r="H76" s="55" t="s">
        <v>151</v>
      </c>
      <c r="I76" s="55">
        <f>'(1) Introduction'!$C$153</f>
        <v>50</v>
      </c>
      <c r="J76" s="55" t="str">
        <f>'(1) Introduction'!$E$153</f>
        <v>g CO2/kWhe</v>
      </c>
    </row>
    <row r="77" spans="1:10" x14ac:dyDescent="0.25">
      <c r="A77" s="54"/>
      <c r="B77" s="54"/>
      <c r="C77" s="59"/>
      <c r="D77" s="59"/>
      <c r="E77" s="59"/>
      <c r="H77" s="55" t="s">
        <v>152</v>
      </c>
      <c r="I77" s="58" t="str">
        <f>'(1) Introduction'!$C$156</f>
        <v>High</v>
      </c>
      <c r="J77" s="55"/>
    </row>
    <row r="78" spans="1:10" x14ac:dyDescent="0.25">
      <c r="A78" s="54"/>
      <c r="B78" s="54"/>
      <c r="C78" s="59"/>
      <c r="D78" s="59"/>
      <c r="E78" s="59"/>
      <c r="H78" s="55" t="s">
        <v>100</v>
      </c>
      <c r="I78" s="55">
        <f>'(1) Introduction'!$C$159</f>
        <v>8</v>
      </c>
      <c r="J78" s="55"/>
    </row>
    <row r="79" spans="1:10" x14ac:dyDescent="0.25">
      <c r="A79" s="54"/>
      <c r="B79" s="54"/>
      <c r="C79" s="59"/>
      <c r="D79" s="59"/>
      <c r="E79" s="59"/>
      <c r="H79" s="55" t="s">
        <v>153</v>
      </c>
      <c r="I79" s="58" t="str">
        <f>IF(I69="2020-30",'(1) Introduction'!$C$183,'(1) Introduction'!$C$186)</f>
        <v>Default</v>
      </c>
      <c r="J79" s="55"/>
    </row>
    <row r="80" spans="1:10" x14ac:dyDescent="0.25">
      <c r="A80" s="54"/>
      <c r="B80" s="54"/>
      <c r="C80" s="59"/>
      <c r="D80" s="59"/>
      <c r="E80" s="59"/>
    </row>
    <row r="81" spans="1:10" x14ac:dyDescent="0.25">
      <c r="A81" s="54"/>
      <c r="B81" s="54"/>
      <c r="C81" s="59"/>
      <c r="D81" s="59"/>
      <c r="E81" s="59"/>
    </row>
    <row r="82" spans="1:10" x14ac:dyDescent="0.25">
      <c r="A82" s="54"/>
      <c r="B82" s="54"/>
      <c r="C82" s="59"/>
      <c r="D82" s="59"/>
      <c r="E82" s="59"/>
    </row>
    <row r="83" spans="1:10" x14ac:dyDescent="0.25">
      <c r="A83" s="54"/>
      <c r="B83" s="54"/>
      <c r="C83" s="59"/>
      <c r="D83" s="59"/>
      <c r="E83" s="59"/>
    </row>
    <row r="84" spans="1:10" x14ac:dyDescent="0.25">
      <c r="A84" s="54"/>
      <c r="B84" s="54"/>
      <c r="C84" s="59"/>
      <c r="D84" s="59"/>
      <c r="E84" s="59"/>
    </row>
    <row r="85" spans="1:10" x14ac:dyDescent="0.25">
      <c r="A85" s="54"/>
      <c r="B85" s="54"/>
      <c r="C85" s="59"/>
      <c r="D85" s="59"/>
      <c r="E85" s="59"/>
    </row>
    <row r="86" spans="1:10" x14ac:dyDescent="0.25">
      <c r="A86" s="54"/>
      <c r="B86" s="54"/>
      <c r="C86" s="59"/>
      <c r="D86" s="59"/>
      <c r="E86" s="59"/>
    </row>
    <row r="87" spans="1:10" x14ac:dyDescent="0.25">
      <c r="A87" s="54"/>
      <c r="B87" s="54"/>
      <c r="C87" s="59"/>
      <c r="D87" s="59"/>
      <c r="E87" s="59"/>
    </row>
    <row r="88" spans="1:10" ht="23.25" x14ac:dyDescent="0.35">
      <c r="A88" s="54"/>
      <c r="B88" s="9" t="s">
        <v>158</v>
      </c>
      <c r="E88" s="467" t="s">
        <v>10</v>
      </c>
    </row>
    <row r="89" spans="1:10" x14ac:dyDescent="0.25">
      <c r="A89" s="54"/>
      <c r="E89" s="59"/>
    </row>
    <row r="90" spans="1:10" s="52" customFormat="1" ht="15" customHeight="1" x14ac:dyDescent="0.2">
      <c r="B90" s="465" t="s">
        <v>159</v>
      </c>
      <c r="C90" s="24" t="s">
        <v>86</v>
      </c>
    </row>
    <row r="91" spans="1:10" x14ac:dyDescent="0.25">
      <c r="A91" s="54"/>
      <c r="E91" s="59"/>
    </row>
    <row r="92" spans="1:10" x14ac:dyDescent="0.25">
      <c r="A92" s="54"/>
      <c r="B92" s="15" t="s">
        <v>142</v>
      </c>
      <c r="C92" s="15" t="s">
        <v>143</v>
      </c>
      <c r="D92" s="15" t="s">
        <v>144</v>
      </c>
      <c r="E92" s="59"/>
      <c r="H92" s="53" t="s">
        <v>145</v>
      </c>
      <c r="I92" s="53"/>
      <c r="J92" s="53"/>
    </row>
    <row r="93" spans="1:10" x14ac:dyDescent="0.25">
      <c r="A93" s="54"/>
      <c r="B93" s="63" t="s">
        <v>570</v>
      </c>
      <c r="C93" t="str">
        <f t="array" ref="C93">IFERROR(INDEX('TA database'!$B$278:$D$325,'TA database'!$G278,COLUMNS($B92:C$92)),"")</f>
        <v>Levelized cost [€/MJ heat]</v>
      </c>
      <c r="D93">
        <f t="array" aca="1" ref="D93" ca="1">IFERROR(INDEX('TA database'!$B$278:$D$325,'TA database'!$G278,COLUMNS($B92:D$92)),"")</f>
        <v>3.9225572980251873E-2</v>
      </c>
      <c r="E93" s="59">
        <v>0</v>
      </c>
      <c r="H93" s="55" t="s">
        <v>84</v>
      </c>
      <c r="I93" s="56" t="str">
        <f>'(1) Introduction'!$C$138</f>
        <v>2020-30</v>
      </c>
      <c r="J93" s="55"/>
    </row>
    <row r="94" spans="1:10" x14ac:dyDescent="0.25">
      <c r="A94" s="54"/>
      <c r="B94" s="63" t="s">
        <v>543</v>
      </c>
      <c r="C94" t="str">
        <f t="array" ref="C94">IFERROR(INDEX('TA database'!$B$278:$D$325,'TA database'!$G279,COLUMNS($B$92:C93)),"")</f>
        <v>Levelized cost [€/MJ heat]</v>
      </c>
      <c r="D94">
        <f t="array" aca="1" ref="D94" ca="1">IFERROR(INDEX('TA database'!$B$278:$D$325,'TA database'!$G279,COLUMNS($B$92:D93)),"")</f>
        <v>7.1031176912160071E-2</v>
      </c>
      <c r="E94" s="59">
        <v>0</v>
      </c>
      <c r="H94" s="55" t="s">
        <v>87</v>
      </c>
      <c r="I94" s="57">
        <f>'(1) Introduction'!$C$141</f>
        <v>0.06</v>
      </c>
      <c r="J94" s="55"/>
    </row>
    <row r="95" spans="1:10" x14ac:dyDescent="0.25">
      <c r="A95" s="54"/>
      <c r="B95" s="63" t="s">
        <v>553</v>
      </c>
      <c r="C95" t="str">
        <f t="array" ref="C95">IFERROR(INDEX('TA database'!$B$278:$D$325,'TA database'!$G280,COLUMNS($B$92:C94)),"")</f>
        <v>Levelized cost [€/MJ heat]</v>
      </c>
      <c r="D95">
        <f t="array" aca="1" ref="D95" ca="1">IFERROR(INDEX('TA database'!$B$278:$D$325,'TA database'!$G280,COLUMNS($B$92:D94)),"")</f>
        <v>6.7540947027102588E-2</v>
      </c>
      <c r="E95" s="59">
        <v>0</v>
      </c>
      <c r="H95" s="55" t="s">
        <v>146</v>
      </c>
      <c r="I95" s="55">
        <f>'(1) Introduction'!$C$144</f>
        <v>45</v>
      </c>
      <c r="J95" s="55" t="str">
        <f>'(1) Introduction'!$E$144</f>
        <v>€2014/MWhe</v>
      </c>
    </row>
    <row r="96" spans="1:10" x14ac:dyDescent="0.25">
      <c r="A96" s="54"/>
      <c r="B96" s="63" t="s">
        <v>552</v>
      </c>
      <c r="C96" t="str">
        <f t="array" ref="C96">IFERROR(INDEX('TA database'!$B$278:$D$325,'TA database'!$G281,COLUMNS($B$92:C95)),"")</f>
        <v>Levelized cost [€/MJ heat]</v>
      </c>
      <c r="D96">
        <f t="array" aca="1" ref="D96" ca="1">IFERROR(INDEX('TA database'!$B$278:$D$325,'TA database'!$G281,COLUMNS($B$92:D95)),"")</f>
        <v>6.3853717917373765E-2</v>
      </c>
      <c r="E96" s="59">
        <v>0</v>
      </c>
      <c r="H96" s="55" t="s">
        <v>147</v>
      </c>
      <c r="I96" s="55">
        <f>'(1) Introduction'!$C$145</f>
        <v>30</v>
      </c>
      <c r="J96" s="55" t="str">
        <f>'(1) Introduction'!$E$145</f>
        <v>€2014/GJth</v>
      </c>
    </row>
    <row r="97" spans="1:24" x14ac:dyDescent="0.25">
      <c r="A97" s="54"/>
      <c r="B97" s="63" t="s">
        <v>551</v>
      </c>
      <c r="C97" t="str">
        <f t="array" ref="C97">IFERROR(INDEX('TA database'!$B$278:$D$325,'TA database'!$G282,COLUMNS($B$92:C96)),"")</f>
        <v>Levelized cost [€/MJ heat]</v>
      </c>
      <c r="D97">
        <f t="array" aca="1" ref="D97" ca="1">IFERROR(INDEX('TA database'!$B$278:$D$325,'TA database'!$G282,COLUMNS($B$92:D96)),"")</f>
        <v>5.985832318053165E-2</v>
      </c>
      <c r="E97" s="59">
        <v>0</v>
      </c>
      <c r="H97" s="55" t="s">
        <v>148</v>
      </c>
      <c r="I97" s="331">
        <f>'(1) Introduction'!$C$146</f>
        <v>5.2704393662267295</v>
      </c>
      <c r="J97" s="55" t="str">
        <f>'(1) Introduction'!$E$146</f>
        <v>€2014/GJth</v>
      </c>
    </row>
    <row r="98" spans="1:24" x14ac:dyDescent="0.25">
      <c r="A98" s="54"/>
      <c r="B98" t="s">
        <v>443</v>
      </c>
      <c r="C98" t="str">
        <f t="array" ref="C98">IFERROR(INDEX('TA database'!$B$278:$D$325,'TA database'!$G283,COLUMNS($B$92:C97)),"")</f>
        <v>Levelized cost [€/MJ heat]</v>
      </c>
      <c r="D98">
        <v>0</v>
      </c>
      <c r="E98">
        <f t="array" aca="1" ref="E98" ca="1">IFERROR(INDEX('TA database'!$B$278:$D$325,'TA database'!$G283,COLUMNS($B$92:D97)),"")</f>
        <v>4.0142662471985696E-2</v>
      </c>
      <c r="H98" s="55" t="s">
        <v>149</v>
      </c>
      <c r="I98" s="55">
        <f>'(1) Introduction'!$C$147</f>
        <v>35</v>
      </c>
      <c r="J98" s="55" t="str">
        <f>'(1) Introduction'!$E$147</f>
        <v>€2014/GJth</v>
      </c>
    </row>
    <row r="99" spans="1:24" x14ac:dyDescent="0.25">
      <c r="A99" s="54"/>
      <c r="B99" t="s">
        <v>444</v>
      </c>
      <c r="C99" t="str">
        <f t="array" ref="C99">IFERROR(INDEX('TA database'!$B$278:$D$325,'TA database'!$G284,COLUMNS($B$92:C98)),"")</f>
        <v>Levelized cost [€/MJ heat]</v>
      </c>
      <c r="D99">
        <v>0</v>
      </c>
      <c r="E99">
        <f t="array" aca="1" ref="E99" ca="1">IFERROR(INDEX('TA database'!$B$278:$D$325,'TA database'!$G284,COLUMNS($B$92:D98)),"")</f>
        <v>3.9333221609246551E-2</v>
      </c>
      <c r="H99" s="55" t="s">
        <v>150</v>
      </c>
      <c r="I99" s="55">
        <f>'(1) Introduction'!$C$150</f>
        <v>35</v>
      </c>
      <c r="J99" s="55" t="str">
        <f>'(1) Introduction'!$E$150</f>
        <v>€2014/t CO2</v>
      </c>
    </row>
    <row r="100" spans="1:24" x14ac:dyDescent="0.25">
      <c r="A100" s="54"/>
      <c r="B100" t="s">
        <v>446</v>
      </c>
      <c r="C100" t="str">
        <f t="array" ref="C100">IFERROR(INDEX('TA database'!$B$278:$D$325,'TA database'!$G285,COLUMNS($B$92:C99)),"")</f>
        <v>Levelized cost [€/MJ heat]</v>
      </c>
      <c r="D100">
        <v>0</v>
      </c>
      <c r="E100">
        <f t="array" aca="1" ref="E100" ca="1">IFERROR(INDEX('TA database'!$B$278:$D$325,'TA database'!$G285,COLUMNS($B$92:D99)),"")</f>
        <v>3.5867216016322818E-2</v>
      </c>
      <c r="H100" s="55" t="s">
        <v>151</v>
      </c>
      <c r="I100" s="55">
        <f>'(1) Introduction'!$C$153</f>
        <v>50</v>
      </c>
      <c r="J100" s="55" t="str">
        <f>'(1) Introduction'!$E$153</f>
        <v>g CO2/kWhe</v>
      </c>
    </row>
    <row r="101" spans="1:24" x14ac:dyDescent="0.25">
      <c r="A101" s="54"/>
      <c r="C101" s="59"/>
      <c r="D101" s="59"/>
      <c r="E101" s="59"/>
      <c r="H101" s="55" t="s">
        <v>152</v>
      </c>
      <c r="I101" s="58" t="str">
        <f>'(1) Introduction'!$C$156</f>
        <v>High</v>
      </c>
      <c r="J101" s="55"/>
    </row>
    <row r="102" spans="1:24" x14ac:dyDescent="0.25">
      <c r="A102" s="54"/>
      <c r="C102" s="59"/>
      <c r="D102" s="59"/>
      <c r="E102" s="59"/>
      <c r="H102" s="55" t="s">
        <v>100</v>
      </c>
      <c r="I102" s="55">
        <f>'(1) Introduction'!$C$159</f>
        <v>8</v>
      </c>
      <c r="J102" s="55"/>
    </row>
    <row r="103" spans="1:24" x14ac:dyDescent="0.25">
      <c r="A103" s="54"/>
      <c r="C103" s="59"/>
      <c r="D103" s="59"/>
      <c r="E103" s="59"/>
      <c r="H103" s="55" t="s">
        <v>153</v>
      </c>
      <c r="I103" s="58" t="str">
        <f>IF(I93="2020-30",'(1) Introduction'!$C$183,'(1) Introduction'!$C$186)</f>
        <v>Default</v>
      </c>
      <c r="J103" s="55"/>
    </row>
    <row r="104" spans="1:24" x14ac:dyDescent="0.25">
      <c r="A104" s="54"/>
      <c r="B104" s="54"/>
      <c r="C104" s="59"/>
      <c r="D104" s="59"/>
      <c r="E104" s="59"/>
    </row>
    <row r="105" spans="1:24" x14ac:dyDescent="0.25">
      <c r="A105" s="54"/>
      <c r="B105" s="54"/>
      <c r="C105" s="59"/>
      <c r="D105" s="59"/>
      <c r="E105" s="59"/>
    </row>
    <row r="106" spans="1:24" x14ac:dyDescent="0.25">
      <c r="A106" s="54"/>
      <c r="B106" s="54"/>
      <c r="C106" s="59"/>
      <c r="D106" s="59"/>
      <c r="E106" s="59"/>
    </row>
    <row r="107" spans="1:24" x14ac:dyDescent="0.25">
      <c r="A107" s="54"/>
      <c r="B107" s="54"/>
      <c r="C107" s="59"/>
      <c r="D107" s="59"/>
      <c r="E107" s="59"/>
    </row>
    <row r="108" spans="1:24" x14ac:dyDescent="0.25">
      <c r="A108" s="54"/>
      <c r="B108" s="54"/>
      <c r="C108" s="59"/>
      <c r="D108" s="59"/>
      <c r="E108" s="59"/>
    </row>
    <row r="109" spans="1:24" x14ac:dyDescent="0.25">
      <c r="B109" s="54"/>
      <c r="C109" s="59"/>
      <c r="D109" s="59"/>
      <c r="E109" s="59"/>
    </row>
    <row r="110" spans="1:24" x14ac:dyDescent="0.25">
      <c r="A110" s="54"/>
      <c r="B110" s="54"/>
      <c r="C110" s="59"/>
      <c r="D110" s="59"/>
      <c r="E110" s="59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</row>
    <row r="111" spans="1:24" x14ac:dyDescent="0.25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</row>
    <row r="112" spans="1:24" ht="23.25" x14ac:dyDescent="0.35">
      <c r="A112" s="59"/>
      <c r="B112" s="9" t="s">
        <v>160</v>
      </c>
      <c r="E112" s="467" t="s">
        <v>10</v>
      </c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</row>
    <row r="113" spans="1:24" x14ac:dyDescent="0.25">
      <c r="A113" s="59"/>
      <c r="E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</row>
    <row r="114" spans="1:24" s="52" customFormat="1" ht="15" customHeight="1" x14ac:dyDescent="0.2">
      <c r="B114" s="465" t="s">
        <v>161</v>
      </c>
      <c r="C114" s="24" t="s">
        <v>86</v>
      </c>
    </row>
    <row r="115" spans="1:24" x14ac:dyDescent="0.25">
      <c r="E115" s="59"/>
    </row>
    <row r="116" spans="1:24" x14ac:dyDescent="0.25">
      <c r="B116" s="15" t="s">
        <v>142</v>
      </c>
      <c r="C116" s="15" t="s">
        <v>143</v>
      </c>
      <c r="D116" s="15" t="s">
        <v>144</v>
      </c>
      <c r="E116" s="59"/>
      <c r="H116" s="53" t="s">
        <v>145</v>
      </c>
      <c r="I116" s="53"/>
      <c r="J116" s="53"/>
    </row>
    <row r="117" spans="1:24" x14ac:dyDescent="0.25">
      <c r="B117" s="63" t="s">
        <v>162</v>
      </c>
      <c r="C117" s="59" t="str">
        <f t="array" ref="C117">IFERROR(INDEX('TA database'!$B$332:$D$403,'TA database'!$G332,COLUMNS($B$116:C116)),"")</f>
        <v>Levelized cost [€/kWh]</v>
      </c>
      <c r="D117">
        <f t="array" aca="1" ref="D117" ca="1">IFERROR(INDEX('TA database'!$B$332:$D$403,'TA database'!$G332,COLUMNS($B$116:D116)),"")</f>
        <v>0.2693465051836762</v>
      </c>
      <c r="E117">
        <v>0</v>
      </c>
      <c r="H117" s="55" t="s">
        <v>84</v>
      </c>
      <c r="I117" s="56" t="str">
        <f>'(1) Introduction'!$C$138</f>
        <v>2020-30</v>
      </c>
      <c r="J117" s="55"/>
    </row>
    <row r="118" spans="1:24" x14ac:dyDescent="0.25">
      <c r="B118" s="63" t="s">
        <v>163</v>
      </c>
      <c r="C118" s="59" t="str">
        <f t="array" ref="C118">IFERROR(INDEX('TA database'!$B$332:$D$403,'TA database'!$G333,COLUMNS($B$116:C117)),"")</f>
        <v>Levelized cost [€/kWh]</v>
      </c>
      <c r="D118">
        <f t="array" aca="1" ref="D118" ca="1">IFERROR(INDEX('TA database'!$B$332:$D$403,'TA database'!$G333,COLUMNS($B$116:D117)),"")</f>
        <v>0.39854653524833017</v>
      </c>
      <c r="E118">
        <v>0</v>
      </c>
      <c r="H118" s="55" t="s">
        <v>87</v>
      </c>
      <c r="I118" s="57">
        <f>'(1) Introduction'!$C$141</f>
        <v>0.06</v>
      </c>
      <c r="J118" s="55"/>
    </row>
    <row r="119" spans="1:24" x14ac:dyDescent="0.25">
      <c r="B119" s="63" t="s">
        <v>164</v>
      </c>
      <c r="C119" s="59" t="str">
        <f t="array" ref="C119">IFERROR(INDEX('TA database'!$B$332:$D$403,'TA database'!$G334,COLUMNS($B$116:C118)),"")</f>
        <v>Levelized cost [€/kWh]</v>
      </c>
      <c r="D119">
        <f t="array" aca="1" ref="D119" ca="1">IFERROR(INDEX('TA database'!$B$332:$D$403,'TA database'!$G334,COLUMNS($B$116:D118)),"")</f>
        <v>0.31957917791440077</v>
      </c>
      <c r="E119">
        <v>0</v>
      </c>
      <c r="H119" s="55" t="s">
        <v>146</v>
      </c>
      <c r="I119" s="55">
        <f>'(1) Introduction'!$C$144</f>
        <v>45</v>
      </c>
      <c r="J119" s="55" t="str">
        <f>'(1) Introduction'!$E$144</f>
        <v>€2014/MWhe</v>
      </c>
    </row>
    <row r="120" spans="1:24" x14ac:dyDescent="0.25">
      <c r="B120" s="63" t="s">
        <v>165</v>
      </c>
      <c r="C120" s="59" t="str">
        <f t="array" ref="C120">IFERROR(INDEX('TA database'!$B$332:$D$403,'TA database'!$G335,COLUMNS($B$116:C119)),"")</f>
        <v>Levelized cost [€/kWh]</v>
      </c>
      <c r="D120">
        <f t="array" aca="1" ref="D120" ca="1">IFERROR(INDEX('TA database'!$B$332:$D$403,'TA database'!$G335,COLUMNS($B$116:D119)),"")</f>
        <v>0.29632088004206025</v>
      </c>
      <c r="E120">
        <v>0</v>
      </c>
      <c r="H120" s="55" t="s">
        <v>147</v>
      </c>
      <c r="I120" s="55">
        <f>'(1) Introduction'!$C$145</f>
        <v>30</v>
      </c>
      <c r="J120" s="55" t="str">
        <f>'(1) Introduction'!$E$145</f>
        <v>€2014/GJth</v>
      </c>
    </row>
    <row r="121" spans="1:24" x14ac:dyDescent="0.25">
      <c r="B121" s="63" t="s">
        <v>547</v>
      </c>
      <c r="C121" s="59" t="str">
        <f t="array" ref="C121">IFERROR(INDEX('TA database'!$B$332:$D$403,'TA database'!$G336,COLUMNS($B$116:C120)),"")</f>
        <v>Levelized cost [€/kWh]</v>
      </c>
      <c r="D121">
        <f t="array" aca="1" ref="D121" ca="1">IFERROR(INDEX('TA database'!$B$332:$D$403,'TA database'!$G336,COLUMNS($B$116:D120)),"")</f>
        <v>0.25571223688377626</v>
      </c>
      <c r="E121" s="59">
        <v>0</v>
      </c>
      <c r="H121" s="55" t="s">
        <v>148</v>
      </c>
      <c r="I121" s="331">
        <f>'(1) Introduction'!$C$146</f>
        <v>5.2704393662267295</v>
      </c>
      <c r="J121" s="55" t="str">
        <f>'(1) Introduction'!$E$146</f>
        <v>€2014/GJth</v>
      </c>
    </row>
    <row r="122" spans="1:24" x14ac:dyDescent="0.25">
      <c r="B122" s="63" t="s">
        <v>548</v>
      </c>
      <c r="C122" s="59" t="str">
        <f t="array" ref="C122">IFERROR(INDEX('TA database'!$B$332:$D$403,'TA database'!$G337,COLUMNS($B$116:C121)),"")</f>
        <v>Levelized cost [€/kWh]</v>
      </c>
      <c r="D122">
        <f t="array" aca="1" ref="D122" ca="1">IFERROR(INDEX('TA database'!$B$332:$D$403,'TA database'!$G337,COLUMNS($B$116:D121)),"")</f>
        <v>0.24314740929756934</v>
      </c>
      <c r="E122" s="59">
        <v>0</v>
      </c>
      <c r="H122" s="55" t="s">
        <v>149</v>
      </c>
      <c r="I122" s="55">
        <f>'(1) Introduction'!$C$147</f>
        <v>35</v>
      </c>
      <c r="J122" s="55" t="str">
        <f>'(1) Introduction'!$E$147</f>
        <v>€2014/GJth</v>
      </c>
    </row>
    <row r="123" spans="1:24" x14ac:dyDescent="0.25">
      <c r="B123" s="63" t="s">
        <v>549</v>
      </c>
      <c r="C123" s="59" t="str">
        <f t="array" ref="C123">IFERROR(INDEX('TA database'!$B$332:$D$403,'TA database'!$G338,COLUMNS($B$116:C122)),"")</f>
        <v>Levelized cost [€/kWh]</v>
      </c>
      <c r="D123">
        <f t="array" aca="1" ref="D123" ca="1">IFERROR(INDEX('TA database'!$B$332:$D$403,'TA database'!$G338,COLUMNS($B$116:D122)),"")</f>
        <v>0.22987338450254557</v>
      </c>
      <c r="E123" s="59">
        <v>0</v>
      </c>
      <c r="H123" s="55" t="s">
        <v>150</v>
      </c>
      <c r="I123" s="55">
        <f>'(1) Introduction'!$C$150</f>
        <v>35</v>
      </c>
      <c r="J123" s="55" t="str">
        <f>'(1) Introduction'!$E$150</f>
        <v>€2014/t CO2</v>
      </c>
    </row>
    <row r="124" spans="1:24" x14ac:dyDescent="0.25">
      <c r="B124" s="63" t="s">
        <v>550</v>
      </c>
      <c r="C124" s="59" t="str">
        <f t="array" ref="C124">IFERROR(INDEX('TA database'!$B$332:$D$403,'TA database'!$G339,COLUMNS($B$116:C123)),"")</f>
        <v>Levelized cost [€/kWh]</v>
      </c>
      <c r="D124">
        <f t="array" aca="1" ref="D124" ca="1">IFERROR(INDEX('TA database'!$B$332:$D$403,'TA database'!$G339,COLUMNS($B$116:D123)),"")</f>
        <v>0.21548996344991395</v>
      </c>
      <c r="E124" s="59">
        <v>0</v>
      </c>
      <c r="H124" s="55" t="s">
        <v>151</v>
      </c>
      <c r="I124" s="55">
        <f>'(1) Introduction'!$C$153</f>
        <v>50</v>
      </c>
      <c r="J124" s="55" t="str">
        <f>'(1) Introduction'!$E$153</f>
        <v>g CO2/kWhe</v>
      </c>
    </row>
    <row r="125" spans="1:24" x14ac:dyDescent="0.25">
      <c r="B125" s="54" t="s">
        <v>442</v>
      </c>
      <c r="C125" s="59" t="str">
        <f t="array" ref="C125">IFERROR(INDEX('TA database'!$B$332:$D$403,'TA database'!$G340,COLUMNS($B$116:C124)),"")</f>
        <v>Levelized cost [€/kWh]</v>
      </c>
      <c r="D125">
        <v>0</v>
      </c>
      <c r="E125">
        <f t="array" aca="1" ref="E125" ca="1">IFERROR(INDEX('TA database'!$B$332:$D$403,'TA database'!$G340,COLUMNS($B$116:D124)),"")</f>
        <v>0.26418345189527337</v>
      </c>
      <c r="H125" s="55" t="s">
        <v>152</v>
      </c>
      <c r="I125" s="58" t="str">
        <f>'(1) Introduction'!$C$156</f>
        <v>High</v>
      </c>
      <c r="J125" s="55"/>
    </row>
    <row r="126" spans="1:24" x14ac:dyDescent="0.25">
      <c r="B126" s="54" t="s">
        <v>440</v>
      </c>
      <c r="C126" s="59" t="str">
        <f t="array" ref="C126">IFERROR(INDEX('TA database'!$B$332:$D$403,'TA database'!$G341,COLUMNS($B$116:C125)),"")</f>
        <v>Levelized cost [€/kWh]</v>
      </c>
      <c r="D126">
        <v>0</v>
      </c>
      <c r="E126">
        <f t="array" aca="1" ref="E126" ca="1">IFERROR(INDEX('TA database'!$B$332:$D$403,'TA database'!$G341,COLUMNS($B$116:D125)),"")</f>
        <v>0.19832164711691966</v>
      </c>
      <c r="H126" s="55" t="s">
        <v>100</v>
      </c>
      <c r="I126" s="55">
        <f>'(1) Introduction'!$C$159</f>
        <v>8</v>
      </c>
      <c r="J126" s="55"/>
    </row>
    <row r="127" spans="1:24" x14ac:dyDescent="0.25">
      <c r="B127" s="54" t="s">
        <v>441</v>
      </c>
      <c r="C127" s="59" t="str">
        <f t="array" ref="C127">IFERROR(INDEX('TA database'!$B$332:$D$403,'TA database'!$G342,COLUMNS($B$116:C126)),"")</f>
        <v>Levelized cost [€/kWh]</v>
      </c>
      <c r="D127">
        <v>0</v>
      </c>
      <c r="E127">
        <f t="array" aca="1" ref="E127" ca="1">IFERROR(INDEX('TA database'!$B$332:$D$403,'TA database'!$G342,COLUMNS($B$116:D126)),"")</f>
        <v>0.29734591207818223</v>
      </c>
      <c r="H127" s="55" t="s">
        <v>153</v>
      </c>
      <c r="I127" s="58" t="str">
        <f>IF(I117="2020-30",'(1) Introduction'!$C$183,'(1) Introduction'!$C$186)</f>
        <v>Default</v>
      </c>
      <c r="J127" s="55"/>
    </row>
    <row r="128" spans="1:24" x14ac:dyDescent="0.25">
      <c r="B128" s="54" t="s">
        <v>447</v>
      </c>
      <c r="C128" s="59" t="str">
        <f t="array" ref="C128">IFERROR(INDEX('TA database'!$B$332:$D$403,'TA database'!$G343,COLUMNS($B$116:C127)),"")</f>
        <v>Levelized cost [€/kWh]</v>
      </c>
      <c r="D128">
        <v>0</v>
      </c>
      <c r="E128">
        <f t="array" aca="1" ref="E128" ca="1">IFERROR(INDEX('TA database'!$B$332:$D$403,'TA database'!$G343,COLUMNS($B$116:D127)),"")</f>
        <v>0.24196536483800726</v>
      </c>
    </row>
    <row r="129" spans="2:10" x14ac:dyDescent="0.25">
      <c r="B129" s="54"/>
    </row>
    <row r="130" spans="2:10" x14ac:dyDescent="0.25">
      <c r="B130" s="54"/>
    </row>
    <row r="131" spans="2:10" x14ac:dyDescent="0.25">
      <c r="B131" s="54"/>
    </row>
    <row r="132" spans="2:10" x14ac:dyDescent="0.25">
      <c r="B132" s="54"/>
      <c r="J132" s="481"/>
    </row>
    <row r="133" spans="2:10" x14ac:dyDescent="0.25">
      <c r="B133" s="54"/>
      <c r="C133" s="59"/>
      <c r="D133" s="59"/>
      <c r="E133" s="59"/>
    </row>
    <row r="134" spans="2:10" x14ac:dyDescent="0.25">
      <c r="B134" s="54"/>
      <c r="C134" s="59"/>
      <c r="D134" s="59"/>
      <c r="E134" s="59"/>
    </row>
    <row r="135" spans="2:10" x14ac:dyDescent="0.25">
      <c r="B135" s="54"/>
      <c r="C135" s="59"/>
      <c r="D135" s="59"/>
      <c r="E135" s="59"/>
    </row>
    <row r="136" spans="2:10" x14ac:dyDescent="0.25">
      <c r="B136" s="54"/>
      <c r="C136" s="54"/>
      <c r="D136" s="54"/>
      <c r="E136" s="54"/>
      <c r="F136" s="54"/>
      <c r="G136" s="54"/>
    </row>
    <row r="137" spans="2:10" x14ac:dyDescent="0.25">
      <c r="B137" s="54"/>
      <c r="C137" s="54"/>
      <c r="D137" s="54"/>
      <c r="E137" s="54"/>
      <c r="F137" s="54"/>
      <c r="G137" s="54"/>
    </row>
    <row r="138" spans="2:10" x14ac:dyDescent="0.25">
      <c r="B138" s="54"/>
      <c r="C138" s="54"/>
      <c r="D138" s="54"/>
      <c r="E138" s="54"/>
      <c r="F138" s="54"/>
      <c r="G138" s="54"/>
    </row>
    <row r="139" spans="2:10" x14ac:dyDescent="0.25">
      <c r="B139" s="54"/>
      <c r="C139" s="59"/>
      <c r="D139" s="59"/>
      <c r="E139" s="59"/>
      <c r="F139" s="59"/>
      <c r="G139" s="59"/>
    </row>
    <row r="140" spans="2:10" x14ac:dyDescent="0.25">
      <c r="B140" s="54"/>
      <c r="C140" s="59"/>
      <c r="D140" s="59"/>
      <c r="E140" s="59"/>
      <c r="F140" s="59"/>
      <c r="G140" s="59"/>
    </row>
    <row r="141" spans="2:10" x14ac:dyDescent="0.25">
      <c r="B141" s="63"/>
    </row>
    <row r="142" spans="2:10" x14ac:dyDescent="0.25">
      <c r="B142" s="63"/>
    </row>
    <row r="143" spans="2:10" x14ac:dyDescent="0.25">
      <c r="B143" s="63"/>
    </row>
    <row r="144" spans="2:10" x14ac:dyDescent="0.25">
      <c r="B144" s="63"/>
    </row>
    <row r="145" spans="2:2" x14ac:dyDescent="0.25">
      <c r="B145" s="63"/>
    </row>
    <row r="146" spans="2:2" x14ac:dyDescent="0.25">
      <c r="B146" s="63"/>
    </row>
    <row r="147" spans="2:2" x14ac:dyDescent="0.25">
      <c r="B147" s="63"/>
    </row>
    <row r="148" spans="2:2" x14ac:dyDescent="0.25">
      <c r="B148" s="63"/>
    </row>
    <row r="149" spans="2:2" x14ac:dyDescent="0.25">
      <c r="B149" s="54"/>
    </row>
    <row r="150" spans="2:2" x14ac:dyDescent="0.25">
      <c r="B150" s="54"/>
    </row>
    <row r="151" spans="2:2" x14ac:dyDescent="0.25">
      <c r="B151" s="54"/>
    </row>
    <row r="152" spans="2:2" x14ac:dyDescent="0.25">
      <c r="B152" s="54"/>
    </row>
  </sheetData>
  <sheetProtection sheet="1" objects="1" scenarios="1" selectLockedCells="1"/>
  <dataValidations count="5">
    <dataValidation allowBlank="1" showInputMessage="1" showErrorMessage="1" prompt="Select the cell to the left to activate the drop-down menu." sqref="C18 C42 C66 C90 C114"/>
    <dataValidation type="list" allowBlank="1" showInputMessage="1" showErrorMessage="1" sqref="B90">
      <formula1>merits3</formula1>
    </dataValidation>
    <dataValidation type="list" allowBlank="1" showInputMessage="1" showErrorMessage="1" sqref="B42 B66">
      <formula1>merits2</formula1>
    </dataValidation>
    <dataValidation type="list" allowBlank="1" showInputMessage="1" showErrorMessage="1" sqref="B18">
      <formula1>merits1</formula1>
    </dataValidation>
    <dataValidation type="list" allowBlank="1" showInputMessage="1" showErrorMessage="1" sqref="B114">
      <formula1>merits4</formula1>
    </dataValidation>
  </dataValidations>
  <hyperlinks>
    <hyperlink ref="B8" location="'(3) FCH technology assessment'!A36" display="↓ H2 production technologies"/>
    <hyperlink ref="B9:B11" location="Sheet3!B10" display="H2 production technologies"/>
    <hyperlink ref="B9" location="'(3) FCH technology assessment'!A60" display="↓ H2 storage technologies"/>
    <hyperlink ref="B10" location="'(3) FCH technology assessment'!A84" display="↓ H2 transport technologies"/>
    <hyperlink ref="B11" location="'(3) FCH technology assessment'!A108" display="↓ FCH technologies for heat"/>
    <hyperlink ref="B12" location="'(3) FCH technology assessment'!A132" display="↓ FCH technologies for power"/>
    <hyperlink ref="E16" location="'(3) FCH technology assessment'!A7" display="↑ back to the top"/>
    <hyperlink ref="E40" location="'(3) FCH technology assessment'!A7" display="↑ back to the top"/>
    <hyperlink ref="E64" location="'(3) FCH technology assessment'!A7" display="↑ back to the top"/>
    <hyperlink ref="E88" location="'(3) FCH technology assessment'!A7" display="↑ back to the top"/>
    <hyperlink ref="E112" location="'(3) FCH technology assessment'!A7" display="↑ back to the top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1:XFD149"/>
  <sheetViews>
    <sheetView showGridLines="0" zoomScale="85" zoomScaleNormal="85" workbookViewId="0">
      <pane ySplit="6" topLeftCell="A7" activePane="bottomLeft" state="frozen"/>
      <selection activeCell="C98" sqref="C98"/>
      <selection pane="bottomLeft" activeCell="XFD1" sqref="XFD1"/>
    </sheetView>
  </sheetViews>
  <sheetFormatPr defaultColWidth="9.140625" defaultRowHeight="15" x14ac:dyDescent="0.25"/>
  <cols>
    <col min="2" max="2" width="29.5703125" customWidth="1"/>
    <col min="3" max="3" width="3.140625" customWidth="1"/>
    <col min="4" max="4" width="9.140625" customWidth="1"/>
    <col min="13" max="13" width="9.140625" customWidth="1"/>
    <col min="14" max="16" width="9.140625" style="67" customWidth="1"/>
    <col min="17" max="17" width="38.5703125" bestFit="1" customWidth="1"/>
    <col min="18" max="22" width="9" customWidth="1"/>
  </cols>
  <sheetData>
    <row r="1" spans="2:18 16384:16384" x14ac:dyDescent="0.25">
      <c r="XFD1" s="471"/>
    </row>
    <row r="6" spans="2:18 16384:16384" s="3" customFormat="1" ht="31.5" x14ac:dyDescent="0.5">
      <c r="B6" s="3" t="s">
        <v>166</v>
      </c>
      <c r="N6" s="439"/>
      <c r="O6" s="439"/>
      <c r="P6" s="439"/>
    </row>
    <row r="8" spans="2:18 16384:16384" s="10" customFormat="1" ht="23.25" x14ac:dyDescent="0.35">
      <c r="B8" s="9" t="s">
        <v>167</v>
      </c>
      <c r="I8" s="53" t="s">
        <v>145</v>
      </c>
      <c r="J8" s="250"/>
      <c r="K8" s="250"/>
      <c r="L8" s="53"/>
      <c r="M8" s="53"/>
      <c r="N8" s="250"/>
      <c r="O8" s="250"/>
      <c r="P8" s="440"/>
      <c r="Q8" s="9" t="s">
        <v>27</v>
      </c>
    </row>
    <row r="9" spans="2:18 16384:16384" x14ac:dyDescent="0.25">
      <c r="B9" s="15"/>
      <c r="I9" s="55" t="s">
        <v>84</v>
      </c>
      <c r="J9" s="55"/>
      <c r="K9" s="55"/>
      <c r="L9" s="53"/>
      <c r="M9" s="56" t="str">
        <f>'(1) Introduction'!$C$138</f>
        <v>2020-30</v>
      </c>
      <c r="N9" s="55"/>
      <c r="O9" s="55"/>
    </row>
    <row r="10" spans="2:18 16384:16384" ht="15.75" x14ac:dyDescent="0.25">
      <c r="B10" s="480" t="s">
        <v>114</v>
      </c>
      <c r="C10" s="24" t="s">
        <v>86</v>
      </c>
      <c r="D10" s="65" t="str">
        <f>VLOOKUP(B10,Assumptions!$C$77:$D$80,2,FALSE)</f>
        <v>[1 kWh]</v>
      </c>
      <c r="I10" s="55" t="s">
        <v>87</v>
      </c>
      <c r="J10" s="55"/>
      <c r="K10" s="55"/>
      <c r="L10" s="53"/>
      <c r="M10" s="57">
        <f>'(1) Introduction'!$C$141</f>
        <v>0.06</v>
      </c>
      <c r="N10" s="55"/>
      <c r="O10" s="55"/>
      <c r="Q10" s="65" t="s">
        <v>173</v>
      </c>
    </row>
    <row r="11" spans="2:18 16384:16384" x14ac:dyDescent="0.25">
      <c r="B11" s="15"/>
      <c r="I11" s="55" t="s">
        <v>146</v>
      </c>
      <c r="J11" s="55"/>
      <c r="K11" s="55"/>
      <c r="L11" s="53"/>
      <c r="M11" s="55">
        <f>'(1) Introduction'!$C$144</f>
        <v>45</v>
      </c>
      <c r="N11" s="55" t="str">
        <f>'(1) Introduction'!$E$144</f>
        <v>€2014/MWhe</v>
      </c>
      <c r="O11" s="55"/>
      <c r="Q11" s="8" t="str">
        <f>Assumptions!C116</f>
        <v>ELCTRLYZ_LRG_C</v>
      </c>
      <c r="R11" s="8" t="str">
        <f>Assumptions!B116</f>
        <v>Large centralized electrolysis</v>
      </c>
    </row>
    <row r="12" spans="2:18 16384:16384" x14ac:dyDescent="0.25">
      <c r="B12" s="15"/>
      <c r="I12" s="55" t="s">
        <v>147</v>
      </c>
      <c r="J12" s="55"/>
      <c r="K12" s="55"/>
      <c r="L12" s="53"/>
      <c r="M12" s="55">
        <f>'(1) Introduction'!$C$145</f>
        <v>30</v>
      </c>
      <c r="N12" s="55" t="str">
        <f>'(1) Introduction'!$E$145</f>
        <v>€2014/GJth</v>
      </c>
      <c r="O12" s="55"/>
      <c r="Q12" s="8" t="str">
        <f>Assumptions!C117</f>
        <v>ELCTRLYZ_MED_C</v>
      </c>
      <c r="R12" s="8" t="str">
        <f>Assumptions!B117</f>
        <v>Medium centralized electrolysis</v>
      </c>
    </row>
    <row r="13" spans="2:18 16384:16384" x14ac:dyDescent="0.25">
      <c r="I13" s="55" t="s">
        <v>148</v>
      </c>
      <c r="J13" s="55"/>
      <c r="K13" s="55"/>
      <c r="L13" s="53"/>
      <c r="M13" s="331">
        <f>'(1) Introduction'!$C$146</f>
        <v>5.2704393662267295</v>
      </c>
      <c r="N13" s="55" t="str">
        <f>'(1) Introduction'!$E$146</f>
        <v>€2014/GJth</v>
      </c>
      <c r="O13" s="55"/>
      <c r="Q13" s="8" t="str">
        <f>Assumptions!C118</f>
        <v>ELCTRLYZ_SML_D</v>
      </c>
      <c r="R13" s="8" t="str">
        <f>Assumptions!B118</f>
        <v>Small decentralized electrolysis</v>
      </c>
    </row>
    <row r="14" spans="2:18 16384:16384" s="10" customFormat="1" ht="23.25" x14ac:dyDescent="0.35">
      <c r="B14" s="9" t="s">
        <v>143</v>
      </c>
      <c r="I14" s="55" t="s">
        <v>149</v>
      </c>
      <c r="J14" s="250"/>
      <c r="K14" s="250"/>
      <c r="L14" s="53"/>
      <c r="M14" s="55">
        <f>'(1) Introduction'!$C$147</f>
        <v>35</v>
      </c>
      <c r="N14" s="55" t="str">
        <f>'(1) Introduction'!$E$147</f>
        <v>€2014/GJth</v>
      </c>
      <c r="O14" s="250"/>
      <c r="P14" s="440"/>
      <c r="Q14" s="8" t="str">
        <f>Assumptions!C119</f>
        <v>BIO_GSF_MED_C</v>
      </c>
      <c r="R14" s="8" t="str">
        <f>Assumptions!B119</f>
        <v>Medium centralized biomass gasification</v>
      </c>
    </row>
    <row r="15" spans="2:18 16384:16384" x14ac:dyDescent="0.25">
      <c r="I15" s="55" t="s">
        <v>150</v>
      </c>
      <c r="J15" s="55"/>
      <c r="K15" s="55"/>
      <c r="L15" s="53"/>
      <c r="M15" s="55">
        <f>'(1) Introduction'!$C$150</f>
        <v>35</v>
      </c>
      <c r="N15" s="55" t="str">
        <f>'(1) Introduction'!$E$150</f>
        <v>€2014/t CO2</v>
      </c>
      <c r="O15" s="55"/>
      <c r="Q15" s="8" t="str">
        <f>Assumptions!C120</f>
        <v>BIO_GSF_CCS_MED_C</v>
      </c>
      <c r="R15" s="8" t="str">
        <f>Assumptions!B120</f>
        <v>Medium centralized biomass gasification w/ CCS</v>
      </c>
    </row>
    <row r="16" spans="2:18 16384:16384" ht="15.75" x14ac:dyDescent="0.25">
      <c r="B16" s="480" t="s">
        <v>72</v>
      </c>
      <c r="C16" s="24" t="s">
        <v>86</v>
      </c>
      <c r="D16" s="65" t="str">
        <f>VLOOKUP(B16,'(1) Introduction'!B126:D132,3,FALSE)</f>
        <v>[€2014 / useful output]</v>
      </c>
      <c r="I16" s="55" t="s">
        <v>151</v>
      </c>
      <c r="J16" s="55"/>
      <c r="K16" s="55"/>
      <c r="L16" s="53"/>
      <c r="M16" s="55">
        <f>'(1) Introduction'!$C$153</f>
        <v>50</v>
      </c>
      <c r="N16" s="55" t="str">
        <f>'(1) Introduction'!$E$153</f>
        <v>g CO2/kWhe</v>
      </c>
      <c r="O16" s="55"/>
      <c r="Q16" s="8" t="str">
        <f>Assumptions!C121</f>
        <v>BIO_GSF_SML_D</v>
      </c>
      <c r="R16" s="8" t="str">
        <f>Assumptions!B121</f>
        <v>Small decentralized biomass gasification</v>
      </c>
    </row>
    <row r="17" spans="2:18" x14ac:dyDescent="0.25">
      <c r="I17" s="55" t="s">
        <v>152</v>
      </c>
      <c r="J17" s="55"/>
      <c r="K17" s="55"/>
      <c r="L17" s="53"/>
      <c r="M17" s="58" t="str">
        <f>'(1) Introduction'!$C$156</f>
        <v>High</v>
      </c>
      <c r="N17" s="55"/>
      <c r="O17" s="55"/>
      <c r="Q17" s="8" t="str">
        <f>Assumptions!C122</f>
        <v>BIO_SR_LRG_C</v>
      </c>
      <c r="R17" s="8" t="str">
        <f>Assumptions!B122</f>
        <v xml:space="preserve">Large centralized biomass steam reforming </v>
      </c>
    </row>
    <row r="18" spans="2:18" x14ac:dyDescent="0.25">
      <c r="I18" s="55" t="s">
        <v>100</v>
      </c>
      <c r="J18" s="55"/>
      <c r="K18" s="55"/>
      <c r="L18" s="53"/>
      <c r="M18" s="55">
        <f>'(1) Introduction'!$C$159</f>
        <v>8</v>
      </c>
      <c r="N18" s="55"/>
      <c r="O18" s="55"/>
      <c r="Q18" s="8" t="str">
        <f>Assumptions!C123</f>
        <v>NG_SR_LRG_C</v>
      </c>
      <c r="R18" s="8" t="str">
        <f>Assumptions!B123</f>
        <v>Large centralized natural gas steam reforming</v>
      </c>
    </row>
    <row r="19" spans="2:18" x14ac:dyDescent="0.25">
      <c r="I19" s="55" t="s">
        <v>153</v>
      </c>
      <c r="J19" s="55"/>
      <c r="K19" s="55"/>
      <c r="L19" s="53"/>
      <c r="M19" s="58" t="str">
        <f>IF(M9="2020-30",'(1) Introduction'!$C$183,'(1) Introduction'!$C$186)</f>
        <v>Default</v>
      </c>
      <c r="N19" s="55"/>
      <c r="O19" s="55"/>
      <c r="Q19" s="8" t="str">
        <f>Assumptions!C124</f>
        <v>NG_SR_SML_C</v>
      </c>
      <c r="R19" s="8" t="str">
        <f>Assumptions!B124</f>
        <v>Small centralized natural gas steam reforming</v>
      </c>
    </row>
    <row r="20" spans="2:18" x14ac:dyDescent="0.25">
      <c r="Q20" s="8" t="str">
        <f>Assumptions!C125</f>
        <v>NG_SR_MED_D</v>
      </c>
      <c r="R20" s="8" t="str">
        <f>Assumptions!B125</f>
        <v>Medium decentralized natural gas steam reforming</v>
      </c>
    </row>
    <row r="21" spans="2:18" x14ac:dyDescent="0.25">
      <c r="Q21" s="8" t="str">
        <f>Assumptions!C126</f>
        <v>NG_SR_SML_D</v>
      </c>
      <c r="R21" s="8" t="str">
        <f>Assumptions!B126</f>
        <v>Small decentralized natural gas steam reforming</v>
      </c>
    </row>
    <row r="22" spans="2:18" x14ac:dyDescent="0.25">
      <c r="Q22" s="8" t="str">
        <f>Assumptions!C127</f>
        <v>[NG_PROD]</v>
      </c>
      <c r="R22" s="8" t="str">
        <f>Assumptions!B127</f>
        <v>Natural gas production</v>
      </c>
    </row>
    <row r="23" spans="2:18" x14ac:dyDescent="0.25">
      <c r="B23" s="53" t="s">
        <v>168</v>
      </c>
      <c r="C23" s="53" t="s">
        <v>167</v>
      </c>
      <c r="D23" s="53" t="s">
        <v>143</v>
      </c>
      <c r="E23" s="53" t="s">
        <v>144</v>
      </c>
      <c r="F23" s="53" t="s">
        <v>169</v>
      </c>
      <c r="G23" s="53" t="s">
        <v>168</v>
      </c>
      <c r="H23" s="53" t="s">
        <v>144</v>
      </c>
      <c r="I23" s="53" t="s">
        <v>170</v>
      </c>
      <c r="J23" s="53" t="s">
        <v>171</v>
      </c>
      <c r="K23" s="53" t="s">
        <v>172</v>
      </c>
    </row>
    <row r="24" spans="2:18" ht="15.75" x14ac:dyDescent="0.25">
      <c r="B24" s="55" t="str">
        <f>IFERROR(INDEX('Paths database'!$Z$60:$AC$1991,'Paths database'!$AF60,COLUMNS($B$23:B23)),"")</f>
        <v>[NG_PROD]   →   [NG_STRG]   →   [NG_TRNSP]   →   NG_FC_DCHP_PWR</v>
      </c>
      <c r="C24" s="55" t="str">
        <f>IFERROR(INDEX('Paths database'!$Z$60:$AC$1991,'Paths database'!$AF60,COLUMNS($B$23:C23)),"")</f>
        <v>Grid electricity</v>
      </c>
      <c r="D24" s="55" t="str">
        <f>IFERROR(INDEX('Paths database'!$Z$60:$AC$1991,'Paths database'!$AF60,COLUMNS($B$23:D23)),"")</f>
        <v>Levelized cost</v>
      </c>
      <c r="E24" s="55">
        <f ca="1">IFERROR(INDEX('Paths database'!$Z$60:$AC$1991,'Paths database'!$AF60,COLUMNS($B$23:E23)),"")</f>
        <v>0.20618917397622977</v>
      </c>
      <c r="F24" s="55">
        <f ca="1">COUNT(E24:E149)</f>
        <v>4</v>
      </c>
      <c r="G24" s="55" t="str">
        <f t="array" aca="1" ref="G24" ca="1">IF(ROWS(G$24:G24)&gt;$F$24,"",INDEX(B$24:B$149,SMALL(IF(ISNUMBER($E$24:$E$149),ROW($E$24:$E$149)-ROW($E$24)+1),ROWS(G$24:G24))))</f>
        <v>[NG_PROD]   →   [NG_STRG]   →   [NG_TRNSP]   →   NG_FC_DCHP_PWR</v>
      </c>
      <c r="H24" s="55">
        <f t="array" aca="1" ref="H24" ca="1">IF(ROWS(H$24:H24)&gt;$F$24,"",INDEX(E$24:E$149,SMALL(IF(ISNUMBER($E$24:$E$149),ROW($E$24:$E$149)-ROW($E$24)+1),ROWS(H$24:H24))))</f>
        <v>0.20618917397622977</v>
      </c>
      <c r="I24" s="55" t="str">
        <f ca="1">IF(H24&lt;K24,H24,"")</f>
        <v/>
      </c>
      <c r="J24" s="55">
        <f ca="1">IF(H24&gt;=K24,H24,"")</f>
        <v>0.20618917397622977</v>
      </c>
      <c r="K24" s="55">
        <f ca="1">IFERROR(AVERAGE(H$24:H$138),"")</f>
        <v>0.10257645640146593</v>
      </c>
      <c r="Q24" s="65" t="s">
        <v>175</v>
      </c>
    </row>
    <row r="25" spans="2:18" x14ac:dyDescent="0.25">
      <c r="B25" s="55" t="str">
        <f t="array" ref="B25">IFERROR(INDEX('Paths database'!$Z$60:$AC$1991,'Paths database'!$AF61,COLUMNS($B$23:B24)),"")</f>
        <v>[NG_PROD]   →   [NG_STRG]   →   [NG_TRNSP]   →   [NG_OCGT_PWR]</v>
      </c>
      <c r="C25" s="55" t="str">
        <f t="array" ref="C25">IFERROR(INDEX('Paths database'!$Z$60:$AC$1991,'Paths database'!$AF61,COLUMNS($B$23:C24)),"")</f>
        <v>Grid electricity</v>
      </c>
      <c r="D25" s="55" t="str">
        <f t="array" ref="D25">IFERROR(INDEX('Paths database'!$Z$60:$AC$1991,'Paths database'!$AF61,COLUMNS($B$23:D24)),"")</f>
        <v>Levelized cost</v>
      </c>
      <c r="E25" s="64">
        <f t="array" aca="1" ref="E25" ca="1">IFERROR(INDEX('Paths database'!$Z$60:$AC$1991,'Paths database'!$AF61,COLUMNS($B$23:E24)),"")</f>
        <v>7.5142118561940016E-2</v>
      </c>
      <c r="G25" s="55" t="str">
        <f t="array" aca="1" ref="G25" ca="1">IF(ROWS(G$24:G25)&gt;$F$24,"",INDEX(B$24:B$149,SMALL(IF(ISNUMBER($E$24:$E$149),ROW($E$24:$E$149)-ROW($E$24)+1),ROWS(G$24:G25))))</f>
        <v>[NG_PROD]   →   [NG_STRG]   →   [NG_TRNSP]   →   [NG_OCGT_PWR]</v>
      </c>
      <c r="H25" s="55">
        <f t="array" aca="1" ref="H25" ca="1">IF(ROWS(H$24:H25)&gt;$F$24,"",INDEX(E$24:E$149,SMALL(IF(ISNUMBER($E$24:$E$149),ROW($E$24:$E$149)-ROW($E$24)+1),ROWS(H$24:H25))))</f>
        <v>7.5142118561940016E-2</v>
      </c>
      <c r="I25" s="55">
        <f t="shared" ref="I25:I88" ca="1" si="0">IF(H25&lt;K25,H25,"")</f>
        <v>7.5142118561940016E-2</v>
      </c>
      <c r="J25" s="55" t="str">
        <f t="shared" ref="J25:J88" ca="1" si="1">IF(H25&gt;=K25,H25,"")</f>
        <v/>
      </c>
      <c r="K25" s="55">
        <f t="shared" ref="K25:K88" ca="1" si="2">IFERROR(AVERAGE(H$24:H$138),"")</f>
        <v>0.10257645640146593</v>
      </c>
      <c r="Q25" s="8" t="str">
        <f>Assumptions!C129</f>
        <v>C_UNDRGRND_STRG</v>
      </c>
      <c r="R25" s="60" t="str">
        <f>Assumptions!B129</f>
        <v>Underground storage</v>
      </c>
    </row>
    <row r="26" spans="2:18" x14ac:dyDescent="0.25">
      <c r="B26" s="55" t="str">
        <f t="array" ref="B26">IFERROR(INDEX('Paths database'!$Z$60:$AC$1991,'Paths database'!$AF62,COLUMNS($B$23:B25)),"")</f>
        <v>[NG_PROD]   →   [NG_STRG]   →   [NG_TRNSP]   →   [NG_CCGT_PWR]</v>
      </c>
      <c r="C26" s="55" t="str">
        <f t="array" ref="C26">IFERROR(INDEX('Paths database'!$Z$60:$AC$1991,'Paths database'!$AF62,COLUMNS($B$23:C25)),"")</f>
        <v>Grid electricity</v>
      </c>
      <c r="D26" s="55" t="str">
        <f t="array" ref="D26">IFERROR(INDEX('Paths database'!$Z$60:$AC$1991,'Paths database'!$AF62,COLUMNS($B$23:D25)),"")</f>
        <v>Levelized cost</v>
      </c>
      <c r="E26" s="64">
        <f t="array" aca="1" ref="E26" ca="1">IFERROR(INDEX('Paths database'!$Z$60:$AC$1991,'Paths database'!$AF62,COLUMNS($B$23:E25)),"")</f>
        <v>5.8864925805444251E-2</v>
      </c>
      <c r="G26" s="55" t="str">
        <f t="array" aca="1" ref="G26" ca="1">IF(ROWS(G$24:G26)&gt;$F$24,"",INDEX(B$24:B$149,SMALL(IF(ISNUMBER($E$24:$E$149),ROW($E$24:$E$149)-ROW($E$24)+1),ROWS(G$24:G26))))</f>
        <v>[NG_PROD]   →   [NG_STRG]   →   [NG_TRNSP]   →   [NG_CCGT_PWR]</v>
      </c>
      <c r="H26" s="55">
        <f t="array" aca="1" ref="H26" ca="1">IF(ROWS(H$24:H26)&gt;$F$24,"",INDEX(E$24:E$149,SMALL(IF(ISNUMBER($E$24:$E$149),ROW($E$24:$E$149)-ROW($E$24)+1),ROWS(H$24:H26))))</f>
        <v>5.8864925805444251E-2</v>
      </c>
      <c r="I26" s="55">
        <f t="shared" ca="1" si="0"/>
        <v>5.8864925805444251E-2</v>
      </c>
      <c r="J26" s="55" t="str">
        <f t="shared" ca="1" si="1"/>
        <v/>
      </c>
      <c r="K26" s="55">
        <f t="shared" ca="1" si="2"/>
        <v>0.10257645640146593</v>
      </c>
      <c r="Q26" s="8" t="str">
        <f>Assumptions!C130</f>
        <v>C_GAS_STRG</v>
      </c>
      <c r="R26" s="60" t="str">
        <f>Assumptions!B130</f>
        <v>Central gas storage</v>
      </c>
    </row>
    <row r="27" spans="2:18" x14ac:dyDescent="0.25">
      <c r="B27" s="55" t="str">
        <f t="array" ref="B27">IFERROR(INDEX('Paths database'!$Z$60:$AC$1991,'Paths database'!$AF63,COLUMNS($B$23:B26)),"")</f>
        <v>[NG_PROD]   →   [NG_STRG]   →   [NG_TRNSP]   →   [NG_DCHP_PWR]</v>
      </c>
      <c r="C27" s="55" t="str">
        <f t="array" ref="C27">IFERROR(INDEX('Paths database'!$Z$60:$AC$1991,'Paths database'!$AF63,COLUMNS($B$23:C26)),"")</f>
        <v>Grid electricity</v>
      </c>
      <c r="D27" s="55" t="str">
        <f t="array" ref="D27">IFERROR(INDEX('Paths database'!$Z$60:$AC$1991,'Paths database'!$AF63,COLUMNS($B$23:D26)),"")</f>
        <v>Levelized cost</v>
      </c>
      <c r="E27" s="64">
        <f t="array" aca="1" ref="E27" ca="1">IFERROR(INDEX('Paths database'!$Z$60:$AC$1991,'Paths database'!$AF63,COLUMNS($B$23:E26)),"")</f>
        <v>7.0109607262249657E-2</v>
      </c>
      <c r="G27" s="55" t="str">
        <f t="array" aca="1" ref="G27" ca="1">IF(ROWS(G$24:G27)&gt;$F$24,"",INDEX(B$24:B$149,SMALL(IF(ISNUMBER($E$24:$E$149),ROW($E$24:$E$149)-ROW($E$24)+1),ROWS(G$24:G27))))</f>
        <v>[NG_PROD]   →   [NG_STRG]   →   [NG_TRNSP]   →   [NG_DCHP_PWR]</v>
      </c>
      <c r="H27" s="55">
        <f t="array" aca="1" ref="H27" ca="1">IF(ROWS(H$24:H27)&gt;$F$24,"",INDEX(E$24:E$149,SMALL(IF(ISNUMBER($E$24:$E$149),ROW($E$24:$E$149)-ROW($E$24)+1),ROWS(H$24:H27))))</f>
        <v>7.0109607262249657E-2</v>
      </c>
      <c r="I27" s="55">
        <f t="shared" ca="1" si="0"/>
        <v>7.0109607262249657E-2</v>
      </c>
      <c r="J27" s="55" t="str">
        <f t="shared" ca="1" si="1"/>
        <v/>
      </c>
      <c r="K27" s="55">
        <f t="shared" ca="1" si="2"/>
        <v>0.10257645640146593</v>
      </c>
      <c r="Q27" s="8" t="str">
        <f>Assumptions!C131</f>
        <v>D_GAS_STRG</v>
      </c>
      <c r="R27" s="60" t="str">
        <f>Assumptions!B131</f>
        <v>Distributed gas storage</v>
      </c>
    </row>
    <row r="28" spans="2:18" x14ac:dyDescent="0.25">
      <c r="B28" s="55" t="str">
        <f t="array" ref="B28">IFERROR(INDEX('Paths database'!$Z$60:$AC$1991,'Paths database'!$AF64,COLUMNS($B$23:B27)),"")</f>
        <v/>
      </c>
      <c r="C28" s="55" t="str">
        <f t="array" ref="C28">IFERROR(INDEX('Paths database'!$Z$60:$AC$1991,'Paths database'!$AF64,COLUMNS($B$23:C27)),"")</f>
        <v/>
      </c>
      <c r="D28" s="55" t="str">
        <f t="array" ref="D28">IFERROR(INDEX('Paths database'!$Z$60:$AC$1991,'Paths database'!$AF64,COLUMNS($B$23:D27)),"")</f>
        <v/>
      </c>
      <c r="E28" s="64" t="str">
        <f t="array" ref="E28">IFERROR(INDEX('Paths database'!$Z$60:$AC$1991,'Paths database'!$AF64,COLUMNS($B$23:E27)),"")</f>
        <v/>
      </c>
      <c r="G28" s="55" t="str">
        <f t="array" aca="1" ref="G28" ca="1">IF(ROWS(G$24:G28)&gt;$F$24,"",INDEX(B$24:B$149,SMALL(IF(ISNUMBER($E$24:$E$149),ROW($E$24:$E$149)-ROW($E$24)+1),ROWS(G$24:G28))))</f>
        <v/>
      </c>
      <c r="H28" s="55" t="str">
        <f t="array" aca="1" ref="H28" ca="1">IF(ROWS(H$24:H28)&gt;$F$24,"",INDEX(E$24:E$149,SMALL(IF(ISNUMBER($E$24:$E$149),ROW($E$24:$E$149)-ROW($E$24)+1),ROWS(H$24:H28))))</f>
        <v/>
      </c>
      <c r="I28" s="55" t="str">
        <f t="shared" ca="1" si="0"/>
        <v/>
      </c>
      <c r="J28" s="55" t="str">
        <f t="shared" ca="1" si="1"/>
        <v/>
      </c>
      <c r="K28" s="55">
        <f t="shared" ca="1" si="2"/>
        <v>0.10257645640146593</v>
      </c>
      <c r="Q28" s="8" t="str">
        <f>Assumptions!C132</f>
        <v>NO_STRG</v>
      </c>
      <c r="R28" s="60" t="str">
        <f>Assumptions!B132</f>
        <v>No storage</v>
      </c>
    </row>
    <row r="29" spans="2:18" ht="15" customHeight="1" x14ac:dyDescent="0.25">
      <c r="B29" s="55" t="str">
        <f t="array" ref="B29">IFERROR(INDEX('Paths database'!$Z$60:$AC$1991,'Paths database'!$AF65,COLUMNS($B$23:B28)),"")</f>
        <v/>
      </c>
      <c r="C29" s="55" t="str">
        <f t="array" ref="C29">IFERROR(INDEX('Paths database'!$Z$60:$AC$1991,'Paths database'!$AF65,COLUMNS($B$23:C28)),"")</f>
        <v/>
      </c>
      <c r="D29" s="55" t="str">
        <f t="array" ref="D29">IFERROR(INDEX('Paths database'!$Z$60:$AC$1991,'Paths database'!$AF65,COLUMNS($B$23:D28)),"")</f>
        <v/>
      </c>
      <c r="E29" s="64" t="str">
        <f t="array" ref="E29">IFERROR(INDEX('Paths database'!$Z$60:$AC$1991,'Paths database'!$AF65,COLUMNS($B$23:E28)),"")</f>
        <v/>
      </c>
      <c r="G29" s="55" t="str">
        <f t="array" aca="1" ref="G29" ca="1">IF(ROWS(G$24:G29)&gt;$F$24,"",INDEX(B$24:B$149,SMALL(IF(ISNUMBER($E$24:$E$149),ROW($E$24:$E$149)-ROW($E$24)+1),ROWS(G$24:G29))))</f>
        <v/>
      </c>
      <c r="H29" s="55" t="str">
        <f t="array" aca="1" ref="H29" ca="1">IF(ROWS(H$24:H29)&gt;$F$24,"",INDEX(E$24:E$149,SMALL(IF(ISNUMBER($E$24:$E$149),ROW($E$24:$E$149)-ROW($E$24)+1),ROWS(H$24:H29))))</f>
        <v/>
      </c>
      <c r="I29" s="55" t="str">
        <f t="shared" ca="1" si="0"/>
        <v/>
      </c>
      <c r="J29" s="55" t="str">
        <f t="shared" ca="1" si="1"/>
        <v/>
      </c>
      <c r="K29" s="55">
        <f t="shared" ca="1" si="2"/>
        <v>0.10257645640146593</v>
      </c>
      <c r="Q29" s="8" t="str">
        <f>Assumptions!C133</f>
        <v>[NG_STRG]</v>
      </c>
      <c r="R29" s="60" t="str">
        <f>Assumptions!B133</f>
        <v>Natural gas storage</v>
      </c>
    </row>
    <row r="30" spans="2:18" x14ac:dyDescent="0.25">
      <c r="B30" s="55" t="str">
        <f t="array" ref="B30">IFERROR(INDEX('Paths database'!$Z$60:$AC$1991,'Paths database'!$AF66,COLUMNS($B$23:B29)),"")</f>
        <v/>
      </c>
      <c r="C30" s="55" t="str">
        <f t="array" ref="C30">IFERROR(INDEX('Paths database'!$Z$60:$AC$1991,'Paths database'!$AF66,COLUMNS($B$23:C29)),"")</f>
        <v/>
      </c>
      <c r="D30" s="55" t="str">
        <f t="array" ref="D30">IFERROR(INDEX('Paths database'!$Z$60:$AC$1991,'Paths database'!$AF66,COLUMNS($B$23:D29)),"")</f>
        <v/>
      </c>
      <c r="E30" s="64" t="str">
        <f t="array" ref="E30">IFERROR(INDEX('Paths database'!$Z$60:$AC$1991,'Paths database'!$AF66,COLUMNS($B$23:E29)),"")</f>
        <v/>
      </c>
      <c r="G30" s="55" t="str">
        <f t="array" aca="1" ref="G30" ca="1">IF(ROWS(G$24:G30)&gt;$F$24,"",INDEX(B$24:B$149,SMALL(IF(ISNUMBER($E$24:$E$149),ROW($E$24:$E$149)-ROW($E$24)+1),ROWS(G$24:G30))))</f>
        <v/>
      </c>
      <c r="H30" s="55" t="str">
        <f t="array" aca="1" ref="H30" ca="1">IF(ROWS(H$24:H30)&gt;$F$24,"",INDEX(E$24:E$149,SMALL(IF(ISNUMBER($E$24:$E$149),ROW($E$24:$E$149)-ROW($E$24)+1),ROWS(H$24:H30))))</f>
        <v/>
      </c>
      <c r="I30" s="55" t="str">
        <f t="shared" ca="1" si="0"/>
        <v/>
      </c>
      <c r="J30" s="55" t="str">
        <f t="shared" ca="1" si="1"/>
        <v/>
      </c>
      <c r="K30" s="55">
        <f t="shared" ca="1" si="2"/>
        <v>0.10257645640146593</v>
      </c>
    </row>
    <row r="31" spans="2:18" ht="15.75" x14ac:dyDescent="0.25">
      <c r="B31" s="55" t="str">
        <f t="array" ref="B31">IFERROR(INDEX('Paths database'!$Z$60:$AC$1991,'Paths database'!$AF67,COLUMNS($B$23:B30)),"")</f>
        <v/>
      </c>
      <c r="C31" s="55" t="str">
        <f t="array" ref="C31">IFERROR(INDEX('Paths database'!$Z$60:$AC$1991,'Paths database'!$AF67,COLUMNS($B$23:C30)),"")</f>
        <v/>
      </c>
      <c r="D31" s="55" t="str">
        <f t="array" ref="D31">IFERROR(INDEX('Paths database'!$Z$60:$AC$1991,'Paths database'!$AF67,COLUMNS($B$23:D30)),"")</f>
        <v/>
      </c>
      <c r="E31" s="64" t="str">
        <f t="array" ref="E31">IFERROR(INDEX('Paths database'!$Z$60:$AC$1991,'Paths database'!$AF67,COLUMNS($B$23:E30)),"")</f>
        <v/>
      </c>
      <c r="G31" s="55" t="str">
        <f t="array" aca="1" ref="G31" ca="1">IF(ROWS(G$24:G31)&gt;$F$24,"",INDEX(B$24:B$149,SMALL(IF(ISNUMBER($E$24:$E$149),ROW($E$24:$E$149)-ROW($E$24)+1),ROWS(G$24:G31))))</f>
        <v/>
      </c>
      <c r="H31" s="55" t="str">
        <f t="array" aca="1" ref="H31" ca="1">IF(ROWS(H$24:H31)&gt;$F$24,"",INDEX(E$24:E$149,SMALL(IF(ISNUMBER($E$24:$E$149),ROW($E$24:$E$149)-ROW($E$24)+1),ROWS(H$24:H31))))</f>
        <v/>
      </c>
      <c r="I31" s="55" t="str">
        <f t="shared" ca="1" si="0"/>
        <v/>
      </c>
      <c r="J31" s="55" t="str">
        <f t="shared" ca="1" si="1"/>
        <v/>
      </c>
      <c r="K31" s="55">
        <f t="shared" ca="1" si="2"/>
        <v>0.10257645640146593</v>
      </c>
      <c r="Q31" s="65" t="s">
        <v>178</v>
      </c>
    </row>
    <row r="32" spans="2:18" x14ac:dyDescent="0.25">
      <c r="B32" s="55" t="str">
        <f t="array" ref="B32">IFERROR(INDEX('Paths database'!$Z$60:$AC$1991,'Paths database'!$AF68,COLUMNS($B$23:B31)),"")</f>
        <v/>
      </c>
      <c r="C32" s="55" t="str">
        <f t="array" ref="C32">IFERROR(INDEX('Paths database'!$Z$60:$AC$1991,'Paths database'!$AF68,COLUMNS($B$23:C31)),"")</f>
        <v/>
      </c>
      <c r="D32" s="55" t="str">
        <f t="array" ref="D32">IFERROR(INDEX('Paths database'!$Z$60:$AC$1991,'Paths database'!$AF68,COLUMNS($B$23:D31)),"")</f>
        <v/>
      </c>
      <c r="E32" s="64" t="str">
        <f t="array" ref="E32">IFERROR(INDEX('Paths database'!$Z$60:$AC$1991,'Paths database'!$AF68,COLUMNS($B$23:E31)),"")</f>
        <v/>
      </c>
      <c r="G32" s="55" t="str">
        <f t="array" aca="1" ref="G32" ca="1">IF(ROWS(G$24:G32)&gt;$F$24,"",INDEX(B$24:B$149,SMALL(IF(ISNUMBER($E$24:$E$149),ROW($E$24:$E$149)-ROW($E$24)+1),ROWS(G$24:G32))))</f>
        <v/>
      </c>
      <c r="H32" s="55" t="str">
        <f t="array" aca="1" ref="H32" ca="1">IF(ROWS(H$24:H32)&gt;$F$24,"",INDEX(E$24:E$149,SMALL(IF(ISNUMBER($E$24:$E$149),ROW($E$24:$E$149)-ROW($E$24)+1),ROWS(H$24:H32))))</f>
        <v/>
      </c>
      <c r="I32" s="55" t="str">
        <f t="shared" ca="1" si="0"/>
        <v/>
      </c>
      <c r="J32" s="55" t="str">
        <f t="shared" ca="1" si="1"/>
        <v/>
      </c>
      <c r="K32" s="55">
        <f t="shared" ca="1" si="2"/>
        <v>0.10257645640146593</v>
      </c>
      <c r="Q32" s="8" t="str">
        <f>Assumptions!C135</f>
        <v>H2_DSTRB_P</v>
      </c>
      <c r="R32" s="62" t="str">
        <f>Assumptions!B135</f>
        <v>Hydrogen distribution pipeline</v>
      </c>
    </row>
    <row r="33" spans="2:18" x14ac:dyDescent="0.25">
      <c r="B33" s="55" t="str">
        <f t="array" ref="B33">IFERROR(INDEX('Paths database'!$Z$60:$AC$1991,'Paths database'!$AF69,COLUMNS($B$23:B32)),"")</f>
        <v/>
      </c>
      <c r="C33" s="55" t="str">
        <f t="array" ref="C33">IFERROR(INDEX('Paths database'!$Z$60:$AC$1991,'Paths database'!$AF69,COLUMNS($B$23:C32)),"")</f>
        <v/>
      </c>
      <c r="D33" s="55" t="str">
        <f t="array" ref="D33">IFERROR(INDEX('Paths database'!$Z$60:$AC$1991,'Paths database'!$AF69,COLUMNS($B$23:D32)),"")</f>
        <v/>
      </c>
      <c r="E33" s="64" t="str">
        <f t="array" ref="E33">IFERROR(INDEX('Paths database'!$Z$60:$AC$1991,'Paths database'!$AF69,COLUMNS($B$23:E32)),"")</f>
        <v/>
      </c>
      <c r="G33" s="55" t="str">
        <f t="array" aca="1" ref="G33" ca="1">IF(ROWS(G$24:G33)&gt;$F$24,"",INDEX(B$24:B$149,SMALL(IF(ISNUMBER($E$24:$E$149),ROW($E$24:$E$149)-ROW($E$24)+1),ROWS(G$24:G33))))</f>
        <v/>
      </c>
      <c r="H33" s="55" t="str">
        <f t="array" aca="1" ref="H33" ca="1">IF(ROWS(H$24:H33)&gt;$F$24,"",INDEX(E$24:E$149,SMALL(IF(ISNUMBER($E$24:$E$149),ROW($E$24:$E$149)-ROW($E$24)+1),ROWS(H$24:H33))))</f>
        <v/>
      </c>
      <c r="I33" s="55" t="str">
        <f t="shared" ca="1" si="0"/>
        <v/>
      </c>
      <c r="J33" s="55" t="str">
        <f t="shared" ca="1" si="1"/>
        <v/>
      </c>
      <c r="K33" s="55">
        <f t="shared" ca="1" si="2"/>
        <v>0.10257645640146593</v>
      </c>
      <c r="Q33" s="8" t="str">
        <f>Assumptions!C136</f>
        <v>H2_BLND_NG_P</v>
      </c>
      <c r="R33" s="62" t="str">
        <f>Assumptions!B136</f>
        <v>Blending in natural gas pipeline</v>
      </c>
    </row>
    <row r="34" spans="2:18" x14ac:dyDescent="0.25">
      <c r="B34" s="55" t="str">
        <f t="array" ref="B34">IFERROR(INDEX('Paths database'!$Z$60:$AC$1991,'Paths database'!$AF70,COLUMNS($B$23:B33)),"")</f>
        <v/>
      </c>
      <c r="C34" s="55" t="str">
        <f t="array" ref="C34">IFERROR(INDEX('Paths database'!$Z$60:$AC$1991,'Paths database'!$AF70,COLUMNS($B$23:C33)),"")</f>
        <v/>
      </c>
      <c r="D34" s="55" t="str">
        <f t="array" ref="D34">IFERROR(INDEX('Paths database'!$Z$60:$AC$1991,'Paths database'!$AF70,COLUMNS($B$23:D33)),"")</f>
        <v/>
      </c>
      <c r="E34" s="64" t="str">
        <f t="array" ref="E34">IFERROR(INDEX('Paths database'!$Z$60:$AC$1991,'Paths database'!$AF70,COLUMNS($B$23:E33)),"")</f>
        <v/>
      </c>
      <c r="G34" s="55" t="str">
        <f t="array" aca="1" ref="G34" ca="1">IF(ROWS(G$24:G34)&gt;$F$24,"",INDEX(B$24:B$149,SMALL(IF(ISNUMBER($E$24:$E$149),ROW($E$24:$E$149)-ROW($E$24)+1),ROWS(G$24:G34))))</f>
        <v/>
      </c>
      <c r="H34" s="55" t="str">
        <f t="array" aca="1" ref="H34" ca="1">IF(ROWS(H$24:H34)&gt;$F$24,"",INDEX(E$24:E$149,SMALL(IF(ISNUMBER($E$24:$E$149),ROW($E$24:$E$149)-ROW($E$24)+1),ROWS(H$24:H34))))</f>
        <v/>
      </c>
      <c r="I34" s="55" t="str">
        <f t="shared" ca="1" si="0"/>
        <v/>
      </c>
      <c r="J34" s="55" t="str">
        <f t="shared" ca="1" si="1"/>
        <v/>
      </c>
      <c r="K34" s="55">
        <f t="shared" ca="1" si="2"/>
        <v>0.10257645640146593</v>
      </c>
      <c r="Q34" s="8" t="str">
        <f>Assumptions!C137</f>
        <v>H2_T&amp;D_P</v>
      </c>
      <c r="R34" s="62" t="str">
        <f>Assumptions!B137</f>
        <v>Hydrogen transmission &amp; distribution pipeline</v>
      </c>
    </row>
    <row r="35" spans="2:18" x14ac:dyDescent="0.25">
      <c r="B35" s="55" t="str">
        <f t="array" ref="B35">IFERROR(INDEX('Paths database'!$Z$60:$AC$1991,'Paths database'!$AF71,COLUMNS($B$23:B34)),"")</f>
        <v/>
      </c>
      <c r="C35" s="55" t="str">
        <f t="array" ref="C35">IFERROR(INDEX('Paths database'!$Z$60:$AC$1991,'Paths database'!$AF71,COLUMNS($B$23:C34)),"")</f>
        <v/>
      </c>
      <c r="D35" s="55" t="str">
        <f t="array" ref="D35">IFERROR(INDEX('Paths database'!$Z$60:$AC$1991,'Paths database'!$AF71,COLUMNS($B$23:D34)),"")</f>
        <v/>
      </c>
      <c r="E35" s="64" t="str">
        <f t="array" ref="E35">IFERROR(INDEX('Paths database'!$Z$60:$AC$1991,'Paths database'!$AF71,COLUMNS($B$23:E34)),"")</f>
        <v/>
      </c>
      <c r="G35" s="55" t="str">
        <f t="array" aca="1" ref="G35" ca="1">IF(ROWS(G$24:G35)&gt;$F$24,"",INDEX(B$24:B$149,SMALL(IF(ISNUMBER($E$24:$E$149),ROW($E$24:$E$149)-ROW($E$24)+1),ROWS(G$24:G35))))</f>
        <v/>
      </c>
      <c r="H35" s="55" t="str">
        <f t="array" aca="1" ref="H35" ca="1">IF(ROWS(H$24:H35)&gt;$F$24,"",INDEX(E$24:E$149,SMALL(IF(ISNUMBER($E$24:$E$149),ROW($E$24:$E$149)-ROW($E$24)+1),ROWS(H$24:H35))))</f>
        <v/>
      </c>
      <c r="I35" s="55" t="str">
        <f t="shared" ca="1" si="0"/>
        <v/>
      </c>
      <c r="J35" s="55" t="str">
        <f t="shared" ca="1" si="1"/>
        <v/>
      </c>
      <c r="K35" s="55">
        <f t="shared" ca="1" si="2"/>
        <v>0.10257645640146593</v>
      </c>
      <c r="Q35" s="8" t="str">
        <f>Assumptions!C138</f>
        <v>LQ_TRUCK</v>
      </c>
      <c r="R35" s="62" t="str">
        <f>Assumptions!B138</f>
        <v>Liquid hydrogen truck</v>
      </c>
    </row>
    <row r="36" spans="2:18" x14ac:dyDescent="0.25">
      <c r="B36" s="55" t="str">
        <f t="array" ref="B36">IFERROR(INDEX('Paths database'!$Z$60:$AC$1991,'Paths database'!$AF72,COLUMNS($B$23:B35)),"")</f>
        <v/>
      </c>
      <c r="C36" s="55" t="str">
        <f t="array" ref="C36">IFERROR(INDEX('Paths database'!$Z$60:$AC$1991,'Paths database'!$AF72,COLUMNS($B$23:C35)),"")</f>
        <v/>
      </c>
      <c r="D36" s="55" t="str">
        <f t="array" ref="D36">IFERROR(INDEX('Paths database'!$Z$60:$AC$1991,'Paths database'!$AF72,COLUMNS($B$23:D35)),"")</f>
        <v/>
      </c>
      <c r="E36" s="64" t="str">
        <f t="array" ref="E36">IFERROR(INDEX('Paths database'!$Z$60:$AC$1991,'Paths database'!$AF72,COLUMNS($B$23:E35)),"")</f>
        <v/>
      </c>
      <c r="G36" s="55" t="str">
        <f t="array" aca="1" ref="G36" ca="1">IF(ROWS(G$24:G36)&gt;$F$24,"",INDEX(B$24:B$149,SMALL(IF(ISNUMBER($E$24:$E$149),ROW($E$24:$E$149)-ROW($E$24)+1),ROWS(G$24:G36))))</f>
        <v/>
      </c>
      <c r="H36" s="55" t="str">
        <f t="array" aca="1" ref="H36" ca="1">IF(ROWS(H$24:H36)&gt;$F$24,"",INDEX(E$24:E$149,SMALL(IF(ISNUMBER($E$24:$E$149),ROW($E$24:$E$149)-ROW($E$24)+1),ROWS(H$24:H36))))</f>
        <v/>
      </c>
      <c r="I36" s="55" t="str">
        <f t="shared" ca="1" si="0"/>
        <v/>
      </c>
      <c r="J36" s="55" t="str">
        <f t="shared" ca="1" si="1"/>
        <v/>
      </c>
      <c r="K36" s="55">
        <f t="shared" ca="1" si="2"/>
        <v>0.10257645640146593</v>
      </c>
      <c r="Q36" s="8" t="str">
        <f>Assumptions!C139</f>
        <v>METHANATION</v>
      </c>
      <c r="R36" s="62" t="str">
        <f>Assumptions!B139</f>
        <v>Methanation</v>
      </c>
    </row>
    <row r="37" spans="2:18" x14ac:dyDescent="0.25">
      <c r="B37" s="55" t="str">
        <f t="array" ref="B37">IFERROR(INDEX('Paths database'!$Z$60:$AC$1991,'Paths database'!$AF73,COLUMNS($B$23:B36)),"")</f>
        <v/>
      </c>
      <c r="C37" s="55" t="str">
        <f t="array" ref="C37">IFERROR(INDEX('Paths database'!$Z$60:$AC$1991,'Paths database'!$AF73,COLUMNS($B$23:C36)),"")</f>
        <v/>
      </c>
      <c r="D37" s="55" t="str">
        <f t="array" ref="D37">IFERROR(INDEX('Paths database'!$Z$60:$AC$1991,'Paths database'!$AF73,COLUMNS($B$23:D36)),"")</f>
        <v/>
      </c>
      <c r="E37" s="64" t="str">
        <f t="array" ref="E37">IFERROR(INDEX('Paths database'!$Z$60:$AC$1991,'Paths database'!$AF73,COLUMNS($B$23:E36)),"")</f>
        <v/>
      </c>
      <c r="G37" s="55" t="str">
        <f t="array" aca="1" ref="G37" ca="1">IF(ROWS(G$24:G37)&gt;$F$24,"",INDEX(B$24:B$149,SMALL(IF(ISNUMBER($E$24:$E$149),ROW($E$24:$E$149)-ROW($E$24)+1),ROWS(G$24:G37))))</f>
        <v/>
      </c>
      <c r="H37" s="55" t="str">
        <f t="array" aca="1" ref="H37" ca="1">IF(ROWS(H$24:H37)&gt;$F$24,"",INDEX(E$24:E$149,SMALL(IF(ISNUMBER($E$24:$E$149),ROW($E$24:$E$149)-ROW($E$24)+1),ROWS(H$24:H37))))</f>
        <v/>
      </c>
      <c r="I37" s="55" t="str">
        <f t="shared" ca="1" si="0"/>
        <v/>
      </c>
      <c r="J37" s="55" t="str">
        <f t="shared" ca="1" si="1"/>
        <v/>
      </c>
      <c r="K37" s="55">
        <f t="shared" ca="1" si="2"/>
        <v>0.10257645640146593</v>
      </c>
      <c r="Q37" s="8" t="str">
        <f>Assumptions!C140</f>
        <v>ONSITE_USE</v>
      </c>
      <c r="R37" s="62" t="str">
        <f>Assumptions!B140</f>
        <v>Onsite</v>
      </c>
    </row>
    <row r="38" spans="2:18" x14ac:dyDescent="0.25">
      <c r="B38" s="55" t="str">
        <f t="array" ref="B38">IFERROR(INDEX('Paths database'!$Z$60:$AC$1991,'Paths database'!$AF74,COLUMNS($B$23:B37)),"")</f>
        <v/>
      </c>
      <c r="C38" s="55" t="str">
        <f t="array" ref="C38">IFERROR(INDEX('Paths database'!$Z$60:$AC$1991,'Paths database'!$AF74,COLUMNS($B$23:C37)),"")</f>
        <v/>
      </c>
      <c r="D38" s="55" t="str">
        <f t="array" ref="D38">IFERROR(INDEX('Paths database'!$Z$60:$AC$1991,'Paths database'!$AF74,COLUMNS($B$23:D37)),"")</f>
        <v/>
      </c>
      <c r="E38" s="64" t="str">
        <f t="array" ref="E38">IFERROR(INDEX('Paths database'!$Z$60:$AC$1991,'Paths database'!$AF74,COLUMNS($B$23:E37)),"")</f>
        <v/>
      </c>
      <c r="G38" s="55" t="str">
        <f t="array" aca="1" ref="G38" ca="1">IF(ROWS(G$24:G38)&gt;$F$24,"",INDEX(B$24:B$149,SMALL(IF(ISNUMBER($E$24:$E$149),ROW($E$24:$E$149)-ROW($E$24)+1),ROWS(G$24:G38))))</f>
        <v/>
      </c>
      <c r="H38" s="55" t="str">
        <f t="array" aca="1" ref="H38" ca="1">IF(ROWS(H$24:H38)&gt;$F$24,"",INDEX(E$24:E$149,SMALL(IF(ISNUMBER($E$24:$E$149),ROW($E$24:$E$149)-ROW($E$24)+1),ROWS(H$24:H38))))</f>
        <v/>
      </c>
      <c r="I38" s="55" t="str">
        <f t="shared" ca="1" si="0"/>
        <v/>
      </c>
      <c r="J38" s="55" t="str">
        <f t="shared" ca="1" si="1"/>
        <v/>
      </c>
      <c r="K38" s="55">
        <f t="shared" ca="1" si="2"/>
        <v>0.10257645640146593</v>
      </c>
      <c r="Q38" s="8" t="str">
        <f>Assumptions!C141</f>
        <v>[NG_TRNSP]</v>
      </c>
      <c r="R38" s="62" t="str">
        <f>Assumptions!B141</f>
        <v>Natural gas transport</v>
      </c>
    </row>
    <row r="39" spans="2:18" x14ac:dyDescent="0.25">
      <c r="B39" s="55" t="str">
        <f t="array" ref="B39">IFERROR(INDEX('Paths database'!$Z$60:$AC$1991,'Paths database'!$AF75,COLUMNS($B$23:B38)),"")</f>
        <v/>
      </c>
      <c r="C39" s="55" t="str">
        <f t="array" ref="C39">IFERROR(INDEX('Paths database'!$Z$60:$AC$1991,'Paths database'!$AF75,COLUMNS($B$23:C38)),"")</f>
        <v/>
      </c>
      <c r="D39" s="55" t="str">
        <f t="array" ref="D39">IFERROR(INDEX('Paths database'!$Z$60:$AC$1991,'Paths database'!$AF75,COLUMNS($B$23:D38)),"")</f>
        <v/>
      </c>
      <c r="E39" s="64" t="str">
        <f t="array" ref="E39">IFERROR(INDEX('Paths database'!$Z$60:$AC$1991,'Paths database'!$AF75,COLUMNS($B$23:E38)),"")</f>
        <v/>
      </c>
      <c r="G39" s="55" t="str">
        <f t="array" aca="1" ref="G39" ca="1">IF(ROWS(G$24:G39)&gt;$F$24,"",INDEX(B$24:B$149,SMALL(IF(ISNUMBER($E$24:$E$149),ROW($E$24:$E$149)-ROW($E$24)+1),ROWS(G$24:G39))))</f>
        <v/>
      </c>
      <c r="H39" s="55" t="str">
        <f t="array" aca="1" ref="H39" ca="1">IF(ROWS(H$24:H39)&gt;$F$24,"",INDEX(E$24:E$149,SMALL(IF(ISNUMBER($E$24:$E$149),ROW($E$24:$E$149)-ROW($E$24)+1),ROWS(H$24:H39))))</f>
        <v/>
      </c>
      <c r="I39" s="55" t="str">
        <f t="shared" ca="1" si="0"/>
        <v/>
      </c>
      <c r="J39" s="55" t="str">
        <f t="shared" ca="1" si="1"/>
        <v/>
      </c>
      <c r="K39" s="55">
        <f t="shared" ca="1" si="2"/>
        <v>0.10257645640146593</v>
      </c>
    </row>
    <row r="40" spans="2:18" ht="15.75" x14ac:dyDescent="0.25">
      <c r="B40" s="55" t="str">
        <f t="array" ref="B40">IFERROR(INDEX('Paths database'!$Z$60:$AC$1991,'Paths database'!$AF76,COLUMNS($B$23:B39)),"")</f>
        <v/>
      </c>
      <c r="C40" s="55" t="str">
        <f t="array" ref="C40">IFERROR(INDEX('Paths database'!$Z$60:$AC$1991,'Paths database'!$AF76,COLUMNS($B$23:C39)),"")</f>
        <v/>
      </c>
      <c r="D40" s="55" t="str">
        <f t="array" ref="D40">IFERROR(INDEX('Paths database'!$Z$60:$AC$1991,'Paths database'!$AF76,COLUMNS($B$23:D39)),"")</f>
        <v/>
      </c>
      <c r="E40" s="64" t="str">
        <f t="array" ref="E40">IFERROR(INDEX('Paths database'!$Z$60:$AC$1991,'Paths database'!$AF76,COLUMNS($B$23:E39)),"")</f>
        <v/>
      </c>
      <c r="G40" s="55" t="str">
        <f t="array" aca="1" ref="G40" ca="1">IF(ROWS(G$24:G40)&gt;$F$24,"",INDEX(B$24:B$149,SMALL(IF(ISNUMBER($E$24:$E$149),ROW($E$24:$E$149)-ROW($E$24)+1),ROWS(G$24:G40))))</f>
        <v/>
      </c>
      <c r="H40" s="55" t="str">
        <f t="array" aca="1" ref="H40" ca="1">IF(ROWS(H$24:H40)&gt;$F$24,"",INDEX(E$24:E$149,SMALL(IF(ISNUMBER($E$24:$E$149),ROW($E$24:$E$149)-ROW($E$24)+1),ROWS(H$24:H40))))</f>
        <v/>
      </c>
      <c r="I40" s="55" t="str">
        <f t="shared" ca="1" si="0"/>
        <v/>
      </c>
      <c r="J40" s="55" t="str">
        <f t="shared" ca="1" si="1"/>
        <v/>
      </c>
      <c r="K40" s="55">
        <f t="shared" ca="1" si="2"/>
        <v>0.10257645640146593</v>
      </c>
      <c r="Q40" s="65" t="s">
        <v>181</v>
      </c>
    </row>
    <row r="41" spans="2:18" x14ac:dyDescent="0.25">
      <c r="B41" s="55" t="str">
        <f t="array" ref="B41">IFERROR(INDEX('Paths database'!$Z$60:$AC$1991,'Paths database'!$AF77,COLUMNS($B$23:B40)),"")</f>
        <v/>
      </c>
      <c r="C41" s="55" t="str">
        <f t="array" ref="C41">IFERROR(INDEX('Paths database'!$Z$60:$AC$1991,'Paths database'!$AF77,COLUMNS($B$23:C40)),"")</f>
        <v/>
      </c>
      <c r="D41" s="55" t="str">
        <f t="array" ref="D41">IFERROR(INDEX('Paths database'!$Z$60:$AC$1991,'Paths database'!$AF77,COLUMNS($B$23:D40)),"")</f>
        <v/>
      </c>
      <c r="E41" s="64" t="str">
        <f t="array" ref="E41">IFERROR(INDEX('Paths database'!$Z$60:$AC$1991,'Paths database'!$AF77,COLUMNS($B$23:E40)),"")</f>
        <v/>
      </c>
      <c r="G41" s="55" t="str">
        <f t="array" aca="1" ref="G41" ca="1">IF(ROWS(G$24:G41)&gt;$F$24,"",INDEX(B$24:B$149,SMALL(IF(ISNUMBER($E$24:$E$149),ROW($E$24:$E$149)-ROW($E$24)+1),ROWS(G$24:G41))))</f>
        <v/>
      </c>
      <c r="H41" s="55" t="str">
        <f t="array" aca="1" ref="H41" ca="1">IF(ROWS(H$24:H41)&gt;$F$24,"",INDEX(E$24:E$149,SMALL(IF(ISNUMBER($E$24:$E$149),ROW($E$24:$E$149)-ROW($E$24)+1),ROWS(H$24:H41))))</f>
        <v/>
      </c>
      <c r="I41" s="55" t="str">
        <f t="shared" ca="1" si="0"/>
        <v/>
      </c>
      <c r="J41" s="55" t="str">
        <f t="shared" ca="1" si="1"/>
        <v/>
      </c>
      <c r="K41" s="55">
        <f t="shared" ca="1" si="2"/>
        <v>0.10257645640146593</v>
      </c>
      <c r="Q41" s="454" t="str">
        <f>Assumptions!C143</f>
        <v>H2_IND_BOIL_HEAT</v>
      </c>
      <c r="R41" s="455" t="str">
        <f>Assumptions!B143</f>
        <v>Industrial H2 boiler</v>
      </c>
    </row>
    <row r="42" spans="2:18" x14ac:dyDescent="0.25">
      <c r="B42" s="55" t="str">
        <f t="array" ref="B42">IFERROR(INDEX('Paths database'!$Z$60:$AC$1991,'Paths database'!$AF78,COLUMNS($B$23:B41)),"")</f>
        <v/>
      </c>
      <c r="C42" s="55" t="str">
        <f t="array" ref="C42">IFERROR(INDEX('Paths database'!$Z$60:$AC$1991,'Paths database'!$AF78,COLUMNS($B$23:C41)),"")</f>
        <v/>
      </c>
      <c r="D42" s="55" t="str">
        <f t="array" ref="D42">IFERROR(INDEX('Paths database'!$Z$60:$AC$1991,'Paths database'!$AF78,COLUMNS($B$23:D41)),"")</f>
        <v/>
      </c>
      <c r="E42" s="64" t="str">
        <f t="array" ref="E42">IFERROR(INDEX('Paths database'!$Z$60:$AC$1991,'Paths database'!$AF78,COLUMNS($B$23:E41)),"")</f>
        <v/>
      </c>
      <c r="G42" s="55" t="str">
        <f t="array" aca="1" ref="G42" ca="1">IF(ROWS(G$24:G42)&gt;$F$24,"",INDEX(B$24:B$149,SMALL(IF(ISNUMBER($E$24:$E$149),ROW($E$24:$E$149)-ROW($E$24)+1),ROWS(G$24:G42))))</f>
        <v/>
      </c>
      <c r="H42" s="55" t="str">
        <f t="array" aca="1" ref="H42" ca="1">IF(ROWS(H$24:H42)&gt;$F$24,"",INDEX(E$24:E$149,SMALL(IF(ISNUMBER($E$24:$E$149),ROW($E$24:$E$149)-ROW($E$24)+1),ROWS(H$24:H42))))</f>
        <v/>
      </c>
      <c r="I42" s="55" t="str">
        <f t="shared" ca="1" si="0"/>
        <v/>
      </c>
      <c r="J42" s="55" t="str">
        <f t="shared" ca="1" si="1"/>
        <v/>
      </c>
      <c r="K42" s="55">
        <f t="shared" ca="1" si="2"/>
        <v>0.10257645640146593</v>
      </c>
      <c r="Q42" s="454" t="str">
        <f>Assumptions!C144</f>
        <v>H2_FC_mCHP_HEAT</v>
      </c>
      <c r="R42" s="455" t="str">
        <f>Assumptions!B144</f>
        <v>Micro-CHP with H2 fuel cell (heat)</v>
      </c>
    </row>
    <row r="43" spans="2:18" x14ac:dyDescent="0.25">
      <c r="B43" s="55" t="str">
        <f t="array" ref="B43">IFERROR(INDEX('Paths database'!$Z$60:$AC$1991,'Paths database'!$AF79,COLUMNS($B$23:B42)),"")</f>
        <v/>
      </c>
      <c r="C43" s="55" t="str">
        <f t="array" ref="C43">IFERROR(INDEX('Paths database'!$Z$60:$AC$1991,'Paths database'!$AF79,COLUMNS($B$23:C42)),"")</f>
        <v/>
      </c>
      <c r="D43" s="55" t="str">
        <f t="array" ref="D43">IFERROR(INDEX('Paths database'!$Z$60:$AC$1991,'Paths database'!$AF79,COLUMNS($B$23:D42)),"")</f>
        <v/>
      </c>
      <c r="E43" s="64" t="str">
        <f t="array" ref="E43">IFERROR(INDEX('Paths database'!$Z$60:$AC$1991,'Paths database'!$AF79,COLUMNS($B$23:E42)),"")</f>
        <v/>
      </c>
      <c r="G43" s="55" t="str">
        <f t="array" aca="1" ref="G43" ca="1">IF(ROWS(G$24:G43)&gt;$F$24,"",INDEX(B$24:B$149,SMALL(IF(ISNUMBER($E$24:$E$149),ROW($E$24:$E$149)-ROW($E$24)+1),ROWS(G$24:G43))))</f>
        <v/>
      </c>
      <c r="H43" s="55" t="str">
        <f t="array" aca="1" ref="H43" ca="1">IF(ROWS(H$24:H43)&gt;$F$24,"",INDEX(E$24:E$149,SMALL(IF(ISNUMBER($E$24:$E$149),ROW($E$24:$E$149)-ROW($E$24)+1),ROWS(H$24:H43))))</f>
        <v/>
      </c>
      <c r="I43" s="55" t="str">
        <f t="shared" ca="1" si="0"/>
        <v/>
      </c>
      <c r="J43" s="55" t="str">
        <f t="shared" ca="1" si="1"/>
        <v/>
      </c>
      <c r="K43" s="55">
        <f t="shared" ca="1" si="2"/>
        <v>0.10257645640146593</v>
      </c>
      <c r="Q43" s="454" t="str">
        <f>Assumptions!C145</f>
        <v>NG_FC_mCHP_HEAT</v>
      </c>
      <c r="R43" s="455" t="str">
        <f>Assumptions!B145</f>
        <v>Micro-CHP with natural gas fuel cell (heat)</v>
      </c>
    </row>
    <row r="44" spans="2:18" x14ac:dyDescent="0.25">
      <c r="B44" s="55" t="str">
        <f t="array" ref="B44">IFERROR(INDEX('Paths database'!$Z$60:$AC$1991,'Paths database'!$AF80,COLUMNS($B$23:B43)),"")</f>
        <v/>
      </c>
      <c r="C44" s="55" t="str">
        <f t="array" ref="C44">IFERROR(INDEX('Paths database'!$Z$60:$AC$1991,'Paths database'!$AF80,COLUMNS($B$23:C43)),"")</f>
        <v/>
      </c>
      <c r="D44" s="55" t="str">
        <f t="array" ref="D44">IFERROR(INDEX('Paths database'!$Z$60:$AC$1991,'Paths database'!$AF80,COLUMNS($B$23:D43)),"")</f>
        <v/>
      </c>
      <c r="E44" s="64" t="str">
        <f t="array" ref="E44">IFERROR(INDEX('Paths database'!$Z$60:$AC$1991,'Paths database'!$AF80,COLUMNS($B$23:E43)),"")</f>
        <v/>
      </c>
      <c r="G44" s="55" t="str">
        <f t="array" aca="1" ref="G44" ca="1">IF(ROWS(G$24:G44)&gt;$F$24,"",INDEX(B$24:B$149,SMALL(IF(ISNUMBER($E$24:$E$149),ROW($E$24:$E$149)-ROW($E$24)+1),ROWS(G$24:G44))))</f>
        <v/>
      </c>
      <c r="H44" s="55" t="str">
        <f t="array" aca="1" ref="H44" ca="1">IF(ROWS(H$24:H44)&gt;$F$24,"",INDEX(E$24:E$149,SMALL(IF(ISNUMBER($E$24:$E$149),ROW($E$24:$E$149)-ROW($E$24)+1),ROWS(H$24:H44))))</f>
        <v/>
      </c>
      <c r="I44" s="55" t="str">
        <f t="shared" ca="1" si="0"/>
        <v/>
      </c>
      <c r="J44" s="55" t="str">
        <f t="shared" ca="1" si="1"/>
        <v/>
      </c>
      <c r="K44" s="55">
        <f t="shared" ca="1" si="2"/>
        <v>0.10257645640146593</v>
      </c>
      <c r="Q44" s="454" t="str">
        <f>Assumptions!C146</f>
        <v>H2_FC_DCHP_HEAT</v>
      </c>
      <c r="R44" s="455" t="str">
        <f>Assumptions!B146</f>
        <v>District-CHP with H2 fuel cell (heat)</v>
      </c>
    </row>
    <row r="45" spans="2:18" x14ac:dyDescent="0.25">
      <c r="B45" s="55" t="str">
        <f t="array" ref="B45">IFERROR(INDEX('Paths database'!$Z$60:$AC$1991,'Paths database'!$AF81,COLUMNS($B$23:B44)),"")</f>
        <v/>
      </c>
      <c r="C45" s="55" t="str">
        <f t="array" ref="C45">IFERROR(INDEX('Paths database'!$Z$60:$AC$1991,'Paths database'!$AF81,COLUMNS($B$23:C44)),"")</f>
        <v/>
      </c>
      <c r="D45" s="55" t="str">
        <f t="array" ref="D45">IFERROR(INDEX('Paths database'!$Z$60:$AC$1991,'Paths database'!$AF81,COLUMNS($B$23:D44)),"")</f>
        <v/>
      </c>
      <c r="E45" s="64" t="str">
        <f t="array" ref="E45">IFERROR(INDEX('Paths database'!$Z$60:$AC$1991,'Paths database'!$AF81,COLUMNS($B$23:E44)),"")</f>
        <v/>
      </c>
      <c r="G45" s="55" t="str">
        <f t="array" aca="1" ref="G45" ca="1">IF(ROWS(G$24:G45)&gt;$F$24,"",INDEX(B$24:B$149,SMALL(IF(ISNUMBER($E$24:$E$149),ROW($E$24:$E$149)-ROW($E$24)+1),ROWS(G$24:G45))))</f>
        <v/>
      </c>
      <c r="H45" s="55" t="str">
        <f t="array" aca="1" ref="H45" ca="1">IF(ROWS(H$24:H45)&gt;$F$24,"",INDEX(E$24:E$149,SMALL(IF(ISNUMBER($E$24:$E$149),ROW($E$24:$E$149)-ROW($E$24)+1),ROWS(H$24:H45))))</f>
        <v/>
      </c>
      <c r="I45" s="55" t="str">
        <f t="shared" ca="1" si="0"/>
        <v/>
      </c>
      <c r="J45" s="55" t="str">
        <f t="shared" ca="1" si="1"/>
        <v/>
      </c>
      <c r="K45" s="55">
        <f t="shared" ca="1" si="2"/>
        <v>0.10257645640146593</v>
      </c>
      <c r="Q45" s="454" t="str">
        <f>Assumptions!C147</f>
        <v>NG_FC_DCHP_HEAT</v>
      </c>
      <c r="R45" s="455" t="str">
        <f>Assumptions!B147</f>
        <v>District-CHP with natural gas fuel cell (heat)</v>
      </c>
    </row>
    <row r="46" spans="2:18" x14ac:dyDescent="0.25">
      <c r="B46" s="55" t="str">
        <f t="array" ref="B46">IFERROR(INDEX('Paths database'!$Z$60:$AC$1991,'Paths database'!$AF82,COLUMNS($B$23:B45)),"")</f>
        <v/>
      </c>
      <c r="C46" s="55" t="str">
        <f t="array" ref="C46">IFERROR(INDEX('Paths database'!$Z$60:$AC$1991,'Paths database'!$AF82,COLUMNS($B$23:C45)),"")</f>
        <v/>
      </c>
      <c r="D46" s="55" t="str">
        <f t="array" ref="D46">IFERROR(INDEX('Paths database'!$Z$60:$AC$1991,'Paths database'!$AF82,COLUMNS($B$23:D45)),"")</f>
        <v/>
      </c>
      <c r="E46" s="64" t="str">
        <f t="array" ref="E46">IFERROR(INDEX('Paths database'!$Z$60:$AC$1991,'Paths database'!$AF82,COLUMNS($B$23:E45)),"")</f>
        <v/>
      </c>
      <c r="G46" s="55" t="str">
        <f t="array" aca="1" ref="G46" ca="1">IF(ROWS(G$24:G46)&gt;$F$24,"",INDEX(B$24:B$149,SMALL(IF(ISNUMBER($E$24:$E$149),ROW($E$24:$E$149)-ROW($E$24)+1),ROWS(G$24:G46))))</f>
        <v/>
      </c>
      <c r="H46" s="55" t="str">
        <f t="array" aca="1" ref="H46" ca="1">IF(ROWS(H$24:H46)&gt;$F$24,"",INDEX(E$24:E$149,SMALL(IF(ISNUMBER($E$24:$E$149),ROW($E$24:$E$149)-ROW($E$24)+1),ROWS(H$24:H46))))</f>
        <v/>
      </c>
      <c r="I46" s="55" t="str">
        <f t="shared" ca="1" si="0"/>
        <v/>
      </c>
      <c r="J46" s="55" t="str">
        <f t="shared" ca="1" si="1"/>
        <v/>
      </c>
      <c r="K46" s="55">
        <f t="shared" ca="1" si="2"/>
        <v>0.10257645640146593</v>
      </c>
      <c r="Q46" s="454" t="str">
        <f>Assumptions!C148</f>
        <v>[NG_IND_BOIL_HEAT]</v>
      </c>
      <c r="R46" s="455" t="str">
        <f>Assumptions!B148</f>
        <v>Gas-fired industrial boiler</v>
      </c>
    </row>
    <row r="47" spans="2:18" x14ac:dyDescent="0.25">
      <c r="B47" s="55" t="str">
        <f t="array" ref="B47">IFERROR(INDEX('Paths database'!$Z$60:$AC$1991,'Paths database'!$AF83,COLUMNS($B$23:B46)),"")</f>
        <v/>
      </c>
      <c r="C47" s="55" t="str">
        <f t="array" ref="C47">IFERROR(INDEX('Paths database'!$Z$60:$AC$1991,'Paths database'!$AF83,COLUMNS($B$23:C46)),"")</f>
        <v/>
      </c>
      <c r="D47" s="55" t="str">
        <f t="array" ref="D47">IFERROR(INDEX('Paths database'!$Z$60:$AC$1991,'Paths database'!$AF83,COLUMNS($B$23:D46)),"")</f>
        <v/>
      </c>
      <c r="E47" s="64" t="str">
        <f t="array" ref="E47">IFERROR(INDEX('Paths database'!$Z$60:$AC$1991,'Paths database'!$AF83,COLUMNS($B$23:E46)),"")</f>
        <v/>
      </c>
      <c r="G47" s="55" t="str">
        <f t="array" aca="1" ref="G47" ca="1">IF(ROWS(G$24:G47)&gt;$F$24,"",INDEX(B$24:B$149,SMALL(IF(ISNUMBER($E$24:$E$149),ROW($E$24:$E$149)-ROW($E$24)+1),ROWS(G$24:G47))))</f>
        <v/>
      </c>
      <c r="H47" s="55" t="str">
        <f t="array" aca="1" ref="H47" ca="1">IF(ROWS(H$24:H47)&gt;$F$24,"",INDEX(E$24:E$149,SMALL(IF(ISNUMBER($E$24:$E$149),ROW($E$24:$E$149)-ROW($E$24)+1),ROWS(H$24:H47))))</f>
        <v/>
      </c>
      <c r="I47" s="55" t="str">
        <f t="shared" ca="1" si="0"/>
        <v/>
      </c>
      <c r="J47" s="55" t="str">
        <f t="shared" ca="1" si="1"/>
        <v/>
      </c>
      <c r="K47" s="55">
        <f t="shared" ca="1" si="2"/>
        <v>0.10257645640146593</v>
      </c>
      <c r="Q47" s="454" t="str">
        <f>Assumptions!C149</f>
        <v>[NG_RES_BOIL_HEAT]</v>
      </c>
      <c r="R47" s="455" t="str">
        <f>Assumptions!B149</f>
        <v>Gas-fired residential boiler</v>
      </c>
    </row>
    <row r="48" spans="2:18" x14ac:dyDescent="0.25">
      <c r="B48" s="55" t="str">
        <f t="array" ref="B48">IFERROR(INDEX('Paths database'!$Z$60:$AC$1991,'Paths database'!$AF84,COLUMNS($B$23:B47)),"")</f>
        <v/>
      </c>
      <c r="C48" s="55" t="str">
        <f t="array" ref="C48">IFERROR(INDEX('Paths database'!$Z$60:$AC$1991,'Paths database'!$AF84,COLUMNS($B$23:C47)),"")</f>
        <v/>
      </c>
      <c r="D48" s="55" t="str">
        <f t="array" ref="D48">IFERROR(INDEX('Paths database'!$Z$60:$AC$1991,'Paths database'!$AF84,COLUMNS($B$23:D47)),"")</f>
        <v/>
      </c>
      <c r="E48" s="64" t="str">
        <f t="array" ref="E48">IFERROR(INDEX('Paths database'!$Z$60:$AC$1991,'Paths database'!$AF84,COLUMNS($B$23:E47)),"")</f>
        <v/>
      </c>
      <c r="G48" s="55" t="str">
        <f t="array" aca="1" ref="G48" ca="1">IF(ROWS(G$24:G48)&gt;$F$24,"",INDEX(B$24:B$149,SMALL(IF(ISNUMBER($E$24:$E$149),ROW($E$24:$E$149)-ROW($E$24)+1),ROWS(G$24:G48))))</f>
        <v/>
      </c>
      <c r="H48" s="55" t="str">
        <f t="array" aca="1" ref="H48" ca="1">IF(ROWS(H$24:H48)&gt;$F$24,"",INDEX(E$24:E$149,SMALL(IF(ISNUMBER($E$24:$E$149),ROW($E$24:$E$149)-ROW($E$24)+1),ROWS(H$24:H48))))</f>
        <v/>
      </c>
      <c r="I48" s="55" t="str">
        <f t="shared" ca="1" si="0"/>
        <v/>
      </c>
      <c r="J48" s="55" t="str">
        <f t="shared" ca="1" si="1"/>
        <v/>
      </c>
      <c r="K48" s="55">
        <f t="shared" ca="1" si="2"/>
        <v>0.10257645640146593</v>
      </c>
      <c r="Q48" s="454" t="str">
        <f>Assumptions!C150</f>
        <v>[NG_DCHP_HEAT]</v>
      </c>
      <c r="R48" s="455" t="str">
        <f>Assumptions!B150</f>
        <v>Gas-fired District-CHP (heat)</v>
      </c>
    </row>
    <row r="49" spans="2:18" x14ac:dyDescent="0.25">
      <c r="B49" s="55" t="str">
        <f t="array" ref="B49">IFERROR(INDEX('Paths database'!$Z$60:$AC$1991,'Paths database'!$AF85,COLUMNS($B$23:B48)),"")</f>
        <v/>
      </c>
      <c r="C49" s="55" t="str">
        <f t="array" ref="C49">IFERROR(INDEX('Paths database'!$Z$60:$AC$1991,'Paths database'!$AF85,COLUMNS($B$23:C48)),"")</f>
        <v/>
      </c>
      <c r="D49" s="55" t="str">
        <f t="array" ref="D49">IFERROR(INDEX('Paths database'!$Z$60:$AC$1991,'Paths database'!$AF85,COLUMNS($B$23:D48)),"")</f>
        <v/>
      </c>
      <c r="E49" s="64" t="str">
        <f t="array" ref="E49">IFERROR(INDEX('Paths database'!$Z$60:$AC$1991,'Paths database'!$AF85,COLUMNS($B$23:E48)),"")</f>
        <v/>
      </c>
      <c r="G49" s="55" t="str">
        <f t="array" aca="1" ref="G49" ca="1">IF(ROWS(G$24:G49)&gt;$F$24,"",INDEX(B$24:B$149,SMALL(IF(ISNUMBER($E$24:$E$149),ROW($E$24:$E$149)-ROW($E$24)+1),ROWS(G$24:G49))))</f>
        <v/>
      </c>
      <c r="H49" s="55" t="str">
        <f t="array" aca="1" ref="H49" ca="1">IF(ROWS(H$24:H49)&gt;$F$24,"",INDEX(E$24:E$149,SMALL(IF(ISNUMBER($E$24:$E$149),ROW($E$24:$E$149)-ROW($E$24)+1),ROWS(H$24:H49))))</f>
        <v/>
      </c>
      <c r="I49" s="55" t="str">
        <f t="shared" ca="1" si="0"/>
        <v/>
      </c>
      <c r="J49" s="55" t="str">
        <f t="shared" ca="1" si="1"/>
        <v/>
      </c>
      <c r="K49" s="55">
        <f t="shared" ca="1" si="2"/>
        <v>0.10257645640146593</v>
      </c>
      <c r="Q49" s="454" t="str">
        <f>Assumptions!C151</f>
        <v>H2_OCGT_PWR</v>
      </c>
      <c r="R49" s="455" t="str">
        <f>Assumptions!B151</f>
        <v>Hydrogen turbine (OC)</v>
      </c>
    </row>
    <row r="50" spans="2:18" x14ac:dyDescent="0.25">
      <c r="B50" s="55" t="str">
        <f t="array" ref="B50">IFERROR(INDEX('Paths database'!$Z$60:$AC$1991,'Paths database'!$AF86,COLUMNS($B$23:B49)),"")</f>
        <v/>
      </c>
      <c r="C50" s="55" t="str">
        <f t="array" ref="C50">IFERROR(INDEX('Paths database'!$Z$60:$AC$1991,'Paths database'!$AF86,COLUMNS($B$23:C49)),"")</f>
        <v/>
      </c>
      <c r="D50" s="55" t="str">
        <f t="array" ref="D50">IFERROR(INDEX('Paths database'!$Z$60:$AC$1991,'Paths database'!$AF86,COLUMNS($B$23:D49)),"")</f>
        <v/>
      </c>
      <c r="E50" s="64" t="str">
        <f t="array" ref="E50">IFERROR(INDEX('Paths database'!$Z$60:$AC$1991,'Paths database'!$AF86,COLUMNS($B$23:E49)),"")</f>
        <v/>
      </c>
      <c r="G50" s="55" t="str">
        <f t="array" aca="1" ref="G50" ca="1">IF(ROWS(G$24:G50)&gt;$F$24,"",INDEX(B$24:B$149,SMALL(IF(ISNUMBER($E$24:$E$149),ROW($E$24:$E$149)-ROW($E$24)+1),ROWS(G$24:G50))))</f>
        <v/>
      </c>
      <c r="H50" s="55" t="str">
        <f t="array" aca="1" ref="H50" ca="1">IF(ROWS(H$24:H50)&gt;$F$24,"",INDEX(E$24:E$149,SMALL(IF(ISNUMBER($E$24:$E$149),ROW($E$24:$E$149)-ROW($E$24)+1),ROWS(H$24:H50))))</f>
        <v/>
      </c>
      <c r="I50" s="55" t="str">
        <f t="shared" ca="1" si="0"/>
        <v/>
      </c>
      <c r="J50" s="55" t="str">
        <f t="shared" ca="1" si="1"/>
        <v/>
      </c>
      <c r="K50" s="55">
        <f t="shared" ca="1" si="2"/>
        <v>0.10257645640146593</v>
      </c>
      <c r="Q50" s="454" t="str">
        <f>Assumptions!C152</f>
        <v>H2_CCGT_PWR</v>
      </c>
      <c r="R50" s="455" t="str">
        <f>Assumptions!B152</f>
        <v>Hydrogen turbine (CC)</v>
      </c>
    </row>
    <row r="51" spans="2:18" x14ac:dyDescent="0.25">
      <c r="B51" s="55" t="str">
        <f t="array" ref="B51">IFERROR(INDEX('Paths database'!$Z$60:$AC$1991,'Paths database'!$AF87,COLUMNS($B$23:B50)),"")</f>
        <v/>
      </c>
      <c r="C51" s="55" t="str">
        <f t="array" ref="C51">IFERROR(INDEX('Paths database'!$Z$60:$AC$1991,'Paths database'!$AF87,COLUMNS($B$23:C50)),"")</f>
        <v/>
      </c>
      <c r="D51" s="55" t="str">
        <f t="array" ref="D51">IFERROR(INDEX('Paths database'!$Z$60:$AC$1991,'Paths database'!$AF87,COLUMNS($B$23:D50)),"")</f>
        <v/>
      </c>
      <c r="E51" s="64" t="str">
        <f t="array" ref="E51">IFERROR(INDEX('Paths database'!$Z$60:$AC$1991,'Paths database'!$AF87,COLUMNS($B$23:E50)),"")</f>
        <v/>
      </c>
      <c r="G51" s="55" t="str">
        <f t="array" aca="1" ref="G51" ca="1">IF(ROWS(G$24:G51)&gt;$F$24,"",INDEX(B$24:B$149,SMALL(IF(ISNUMBER($E$24:$E$149),ROW($E$24:$E$149)-ROW($E$24)+1),ROWS(G$24:G51))))</f>
        <v/>
      </c>
      <c r="H51" s="55" t="str">
        <f t="array" aca="1" ref="H51" ca="1">IF(ROWS(H$24:H51)&gt;$F$24,"",INDEX(E$24:E$149,SMALL(IF(ISNUMBER($E$24:$E$149),ROW($E$24:$E$149)-ROW($E$24)+1),ROWS(H$24:H51))))</f>
        <v/>
      </c>
      <c r="I51" s="55" t="str">
        <f t="shared" ca="1" si="0"/>
        <v/>
      </c>
      <c r="J51" s="55" t="str">
        <f t="shared" ca="1" si="1"/>
        <v/>
      </c>
      <c r="K51" s="55">
        <f t="shared" ca="1" si="2"/>
        <v>0.10257645640146593</v>
      </c>
      <c r="Q51" s="454" t="str">
        <f>Assumptions!C153</f>
        <v>H2_FC_PWR</v>
      </c>
      <c r="R51" s="455" t="str">
        <f>Assumptions!B153</f>
        <v>Prime power H2 fuel cell</v>
      </c>
    </row>
    <row r="52" spans="2:18" x14ac:dyDescent="0.25">
      <c r="B52" s="55" t="str">
        <f t="array" ref="B52">IFERROR(INDEX('Paths database'!$Z$60:$AC$1991,'Paths database'!$AF88,COLUMNS($B$23:B51)),"")</f>
        <v/>
      </c>
      <c r="C52" s="55" t="str">
        <f t="array" ref="C52">IFERROR(INDEX('Paths database'!$Z$60:$AC$1991,'Paths database'!$AF88,COLUMNS($B$23:C51)),"")</f>
        <v/>
      </c>
      <c r="D52" s="55" t="str">
        <f t="array" ref="D52">IFERROR(INDEX('Paths database'!$Z$60:$AC$1991,'Paths database'!$AF88,COLUMNS($B$23:D51)),"")</f>
        <v/>
      </c>
      <c r="E52" s="64" t="str">
        <f t="array" ref="E52">IFERROR(INDEX('Paths database'!$Z$60:$AC$1991,'Paths database'!$AF88,COLUMNS($B$23:E51)),"")</f>
        <v/>
      </c>
      <c r="G52" s="55" t="str">
        <f t="array" aca="1" ref="G52" ca="1">IF(ROWS(G$24:G52)&gt;$F$24,"",INDEX(B$24:B$149,SMALL(IF(ISNUMBER($E$24:$E$149),ROW($E$24:$E$149)-ROW($E$24)+1),ROWS(G$24:G52))))</f>
        <v/>
      </c>
      <c r="H52" s="55" t="str">
        <f t="array" aca="1" ref="H52" ca="1">IF(ROWS(H$24:H52)&gt;$F$24,"",INDEX(E$24:E$149,SMALL(IF(ISNUMBER($E$24:$E$149),ROW($E$24:$E$149)-ROW($E$24)+1),ROWS(H$24:H52))))</f>
        <v/>
      </c>
      <c r="I52" s="55" t="str">
        <f t="shared" ca="1" si="0"/>
        <v/>
      </c>
      <c r="J52" s="55" t="str">
        <f t="shared" ca="1" si="1"/>
        <v/>
      </c>
      <c r="K52" s="55">
        <f t="shared" ca="1" si="2"/>
        <v>0.10257645640146593</v>
      </c>
      <c r="Q52" s="454" t="str">
        <f>Assumptions!C154</f>
        <v>NG_FC_PWR</v>
      </c>
      <c r="R52" s="455" t="str">
        <f>Assumptions!B154</f>
        <v>Prime power natural gas fuel cell</v>
      </c>
    </row>
    <row r="53" spans="2:18" x14ac:dyDescent="0.25">
      <c r="B53" s="55" t="str">
        <f t="array" ref="B53">IFERROR(INDEX('Paths database'!$Z$60:$AC$1991,'Paths database'!$AF89,COLUMNS($B$23:B52)),"")</f>
        <v/>
      </c>
      <c r="C53" s="55" t="str">
        <f t="array" ref="C53">IFERROR(INDEX('Paths database'!$Z$60:$AC$1991,'Paths database'!$AF89,COLUMNS($B$23:C52)),"")</f>
        <v/>
      </c>
      <c r="D53" s="55" t="str">
        <f t="array" ref="D53">IFERROR(INDEX('Paths database'!$Z$60:$AC$1991,'Paths database'!$AF89,COLUMNS($B$23:D52)),"")</f>
        <v/>
      </c>
      <c r="E53" s="64" t="str">
        <f t="array" ref="E53">IFERROR(INDEX('Paths database'!$Z$60:$AC$1991,'Paths database'!$AF89,COLUMNS($B$23:E52)),"")</f>
        <v/>
      </c>
      <c r="G53" s="55" t="str">
        <f t="array" aca="1" ref="G53" ca="1">IF(ROWS(G$24:G53)&gt;$F$24,"",INDEX(B$24:B$149,SMALL(IF(ISNUMBER($E$24:$E$149),ROW($E$24:$E$149)-ROW($E$24)+1),ROWS(G$24:G53))))</f>
        <v/>
      </c>
      <c r="H53" s="55" t="str">
        <f t="array" aca="1" ref="H53" ca="1">IF(ROWS(H$24:H53)&gt;$F$24,"",INDEX(E$24:E$149,SMALL(IF(ISNUMBER($E$24:$E$149),ROW($E$24:$E$149)-ROW($E$24)+1),ROWS(H$24:H53))))</f>
        <v/>
      </c>
      <c r="I53" s="55" t="str">
        <f t="shared" ca="1" si="0"/>
        <v/>
      </c>
      <c r="J53" s="55" t="str">
        <f t="shared" ca="1" si="1"/>
        <v/>
      </c>
      <c r="K53" s="55">
        <f t="shared" ca="1" si="2"/>
        <v>0.10257645640146593</v>
      </c>
      <c r="Q53" s="454" t="str">
        <f>Assumptions!C155</f>
        <v>H2_FC_mCHP_PWR</v>
      </c>
      <c r="R53" s="455" t="str">
        <f>Assumptions!B155</f>
        <v>Micro-CHP with H2 fuel cell (power)</v>
      </c>
    </row>
    <row r="54" spans="2:18" x14ac:dyDescent="0.25">
      <c r="B54" s="55" t="str">
        <f t="array" ref="B54">IFERROR(INDEX('Paths database'!$Z$60:$AC$1991,'Paths database'!$AF90,COLUMNS($B$23:B53)),"")</f>
        <v/>
      </c>
      <c r="C54" s="55" t="str">
        <f t="array" ref="C54">IFERROR(INDEX('Paths database'!$Z$60:$AC$1991,'Paths database'!$AF90,COLUMNS($B$23:C53)),"")</f>
        <v/>
      </c>
      <c r="D54" s="55" t="str">
        <f t="array" ref="D54">IFERROR(INDEX('Paths database'!$Z$60:$AC$1991,'Paths database'!$AF90,COLUMNS($B$23:D53)),"")</f>
        <v/>
      </c>
      <c r="E54" s="64" t="str">
        <f t="array" ref="E54">IFERROR(INDEX('Paths database'!$Z$60:$AC$1991,'Paths database'!$AF90,COLUMNS($B$23:E53)),"")</f>
        <v/>
      </c>
      <c r="G54" s="55" t="str">
        <f t="array" aca="1" ref="G54" ca="1">IF(ROWS(G$24:G54)&gt;$F$24,"",INDEX(B$24:B$149,SMALL(IF(ISNUMBER($E$24:$E$149),ROW($E$24:$E$149)-ROW($E$24)+1),ROWS(G$24:G54))))</f>
        <v/>
      </c>
      <c r="H54" s="55" t="str">
        <f t="array" aca="1" ref="H54" ca="1">IF(ROWS(H$24:H54)&gt;$F$24,"",INDEX(E$24:E$149,SMALL(IF(ISNUMBER($E$24:$E$149),ROW($E$24:$E$149)-ROW($E$24)+1),ROWS(H$24:H54))))</f>
        <v/>
      </c>
      <c r="I54" s="55" t="str">
        <f t="shared" ca="1" si="0"/>
        <v/>
      </c>
      <c r="J54" s="55" t="str">
        <f t="shared" ca="1" si="1"/>
        <v/>
      </c>
      <c r="K54" s="55">
        <f t="shared" ca="1" si="2"/>
        <v>0.10257645640146593</v>
      </c>
      <c r="Q54" s="454" t="str">
        <f>Assumptions!C156</f>
        <v>NG_FC_mCHP_PWR</v>
      </c>
      <c r="R54" s="455" t="str">
        <f>Assumptions!B156</f>
        <v>Micro-CHP with natural gas fuel cell (power)</v>
      </c>
    </row>
    <row r="55" spans="2:18" x14ac:dyDescent="0.25">
      <c r="B55" s="55" t="str">
        <f t="array" ref="B55">IFERROR(INDEX('Paths database'!$Z$60:$AC$1991,'Paths database'!$AF91,COLUMNS($B$23:B54)),"")</f>
        <v/>
      </c>
      <c r="C55" s="55" t="str">
        <f t="array" ref="C55">IFERROR(INDEX('Paths database'!$Z$60:$AC$1991,'Paths database'!$AF91,COLUMNS($B$23:C54)),"")</f>
        <v/>
      </c>
      <c r="D55" s="55" t="str">
        <f t="array" ref="D55">IFERROR(INDEX('Paths database'!$Z$60:$AC$1991,'Paths database'!$AF91,COLUMNS($B$23:D54)),"")</f>
        <v/>
      </c>
      <c r="E55" s="64" t="str">
        <f t="array" ref="E55">IFERROR(INDEX('Paths database'!$Z$60:$AC$1991,'Paths database'!$AF91,COLUMNS($B$23:E54)),"")</f>
        <v/>
      </c>
      <c r="G55" s="55" t="str">
        <f t="array" aca="1" ref="G55" ca="1">IF(ROWS(G$24:G55)&gt;$F$24,"",INDEX(B$24:B$149,SMALL(IF(ISNUMBER($E$24:$E$149),ROW($E$24:$E$149)-ROW($E$24)+1),ROWS(G$24:G55))))</f>
        <v/>
      </c>
      <c r="H55" s="55" t="str">
        <f t="array" aca="1" ref="H55" ca="1">IF(ROWS(H$24:H55)&gt;$F$24,"",INDEX(E$24:E$149,SMALL(IF(ISNUMBER($E$24:$E$149),ROW($E$24:$E$149)-ROW($E$24)+1),ROWS(H$24:H55))))</f>
        <v/>
      </c>
      <c r="I55" s="55" t="str">
        <f t="shared" ca="1" si="0"/>
        <v/>
      </c>
      <c r="J55" s="55" t="str">
        <f t="shared" ca="1" si="1"/>
        <v/>
      </c>
      <c r="K55" s="55">
        <f t="shared" ca="1" si="2"/>
        <v>0.10257645640146593</v>
      </c>
      <c r="Q55" s="454" t="str">
        <f>Assumptions!C157</f>
        <v>H2_FC_DCHP_PWR</v>
      </c>
      <c r="R55" s="455" t="str">
        <f>Assumptions!B157</f>
        <v>District-CHP with H2 fuel cell (power)</v>
      </c>
    </row>
    <row r="56" spans="2:18" x14ac:dyDescent="0.25">
      <c r="B56" s="55" t="str">
        <f t="array" ref="B56">IFERROR(INDEX('Paths database'!$Z$60:$AC$1991,'Paths database'!$AF92,COLUMNS($B$23:B55)),"")</f>
        <v/>
      </c>
      <c r="C56" s="55" t="str">
        <f t="array" ref="C56">IFERROR(INDEX('Paths database'!$Z$60:$AC$1991,'Paths database'!$AF92,COLUMNS($B$23:C55)),"")</f>
        <v/>
      </c>
      <c r="D56" s="55" t="str">
        <f t="array" ref="D56">IFERROR(INDEX('Paths database'!$Z$60:$AC$1991,'Paths database'!$AF92,COLUMNS($B$23:D55)),"")</f>
        <v/>
      </c>
      <c r="E56" s="64" t="str">
        <f t="array" ref="E56">IFERROR(INDEX('Paths database'!$Z$60:$AC$1991,'Paths database'!$AF92,COLUMNS($B$23:E55)),"")</f>
        <v/>
      </c>
      <c r="G56" s="55" t="str">
        <f t="array" aca="1" ref="G56" ca="1">IF(ROWS(G$24:G56)&gt;$F$24,"",INDEX(B$24:B$149,SMALL(IF(ISNUMBER($E$24:$E$149),ROW($E$24:$E$149)-ROW($E$24)+1),ROWS(G$24:G56))))</f>
        <v/>
      </c>
      <c r="H56" s="55" t="str">
        <f t="array" aca="1" ref="H56" ca="1">IF(ROWS(H$24:H56)&gt;$F$24,"",INDEX(E$24:E$149,SMALL(IF(ISNUMBER($E$24:$E$149),ROW($E$24:$E$149)-ROW($E$24)+1),ROWS(H$24:H56))))</f>
        <v/>
      </c>
      <c r="I56" s="55" t="str">
        <f t="shared" ca="1" si="0"/>
        <v/>
      </c>
      <c r="J56" s="55" t="str">
        <f t="shared" ca="1" si="1"/>
        <v/>
      </c>
      <c r="K56" s="55">
        <f t="shared" ca="1" si="2"/>
        <v>0.10257645640146593</v>
      </c>
      <c r="Q56" s="454" t="str">
        <f>Assumptions!C158</f>
        <v>NG_FC_DCHP_PWR</v>
      </c>
      <c r="R56" s="455" t="str">
        <f>Assumptions!B158</f>
        <v>District-CHP with natural gas fuel cell (power)</v>
      </c>
    </row>
    <row r="57" spans="2:18" x14ac:dyDescent="0.25">
      <c r="B57" s="55" t="str">
        <f t="array" ref="B57">IFERROR(INDEX('Paths database'!$Z$60:$AC$1991,'Paths database'!$AF93,COLUMNS($B$23:B56)),"")</f>
        <v/>
      </c>
      <c r="C57" s="55" t="str">
        <f t="array" ref="C57">IFERROR(INDEX('Paths database'!$Z$60:$AC$1991,'Paths database'!$AF93,COLUMNS($B$23:C56)),"")</f>
        <v/>
      </c>
      <c r="D57" s="55" t="str">
        <f t="array" ref="D57">IFERROR(INDEX('Paths database'!$Z$60:$AC$1991,'Paths database'!$AF93,COLUMNS($B$23:D56)),"")</f>
        <v/>
      </c>
      <c r="E57" s="64" t="str">
        <f t="array" ref="E57">IFERROR(INDEX('Paths database'!$Z$60:$AC$1991,'Paths database'!$AF93,COLUMNS($B$23:E56)),"")</f>
        <v/>
      </c>
      <c r="G57" s="55" t="str">
        <f t="array" aca="1" ref="G57" ca="1">IF(ROWS(G$24:G57)&gt;$F$24,"",INDEX(B$24:B$149,SMALL(IF(ISNUMBER($E$24:$E$149),ROW($E$24:$E$149)-ROW($E$24)+1),ROWS(G$24:G57))))</f>
        <v/>
      </c>
      <c r="H57" s="55" t="str">
        <f t="array" aca="1" ref="H57" ca="1">IF(ROWS(H$24:H57)&gt;$F$24,"",INDEX(E$24:E$149,SMALL(IF(ISNUMBER($E$24:$E$149),ROW($E$24:$E$149)-ROW($E$24)+1),ROWS(H$24:H57))))</f>
        <v/>
      </c>
      <c r="I57" s="55" t="str">
        <f t="shared" ca="1" si="0"/>
        <v/>
      </c>
      <c r="J57" s="55" t="str">
        <f t="shared" ca="1" si="1"/>
        <v/>
      </c>
      <c r="K57" s="55">
        <f t="shared" ca="1" si="2"/>
        <v>0.10257645640146593</v>
      </c>
      <c r="Q57" s="454" t="str">
        <f>Assumptions!C159</f>
        <v>[NG_OCGT_PWR]</v>
      </c>
      <c r="R57" s="455" t="str">
        <f>Assumptions!B159</f>
        <v xml:space="preserve">Natural gas turbine (OC) </v>
      </c>
    </row>
    <row r="58" spans="2:18" x14ac:dyDescent="0.25">
      <c r="B58" s="55" t="str">
        <f t="array" ref="B58">IFERROR(INDEX('Paths database'!$Z$60:$AC$1991,'Paths database'!$AF94,COLUMNS($B$23:B57)),"")</f>
        <v/>
      </c>
      <c r="C58" s="55" t="str">
        <f t="array" ref="C58">IFERROR(INDEX('Paths database'!$Z$60:$AC$1991,'Paths database'!$AF94,COLUMNS($B$23:C57)),"")</f>
        <v/>
      </c>
      <c r="D58" s="55" t="str">
        <f t="array" ref="D58">IFERROR(INDEX('Paths database'!$Z$60:$AC$1991,'Paths database'!$AF94,COLUMNS($B$23:D57)),"")</f>
        <v/>
      </c>
      <c r="E58" s="64" t="str">
        <f t="array" ref="E58">IFERROR(INDEX('Paths database'!$Z$60:$AC$1991,'Paths database'!$AF94,COLUMNS($B$23:E57)),"")</f>
        <v/>
      </c>
      <c r="G58" s="55" t="str">
        <f t="array" aca="1" ref="G58" ca="1">IF(ROWS(G$24:G58)&gt;$F$24,"",INDEX(B$24:B$149,SMALL(IF(ISNUMBER($E$24:$E$149),ROW($E$24:$E$149)-ROW($E$24)+1),ROWS(G$24:G58))))</f>
        <v/>
      </c>
      <c r="H58" s="55" t="str">
        <f t="array" aca="1" ref="H58" ca="1">IF(ROWS(H$24:H58)&gt;$F$24,"",INDEX(E$24:E$149,SMALL(IF(ISNUMBER($E$24:$E$149),ROW($E$24:$E$149)-ROW($E$24)+1),ROWS(H$24:H58))))</f>
        <v/>
      </c>
      <c r="I58" s="55" t="str">
        <f t="shared" ca="1" si="0"/>
        <v/>
      </c>
      <c r="J58" s="55" t="str">
        <f t="shared" ca="1" si="1"/>
        <v/>
      </c>
      <c r="K58" s="55">
        <f t="shared" ca="1" si="2"/>
        <v>0.10257645640146593</v>
      </c>
      <c r="Q58" s="454" t="str">
        <f>Assumptions!C160</f>
        <v>[NG_CCGT_PWR]</v>
      </c>
      <c r="R58" s="455" t="str">
        <f>Assumptions!B160</f>
        <v>Natural gas turbine (CC)</v>
      </c>
    </row>
    <row r="59" spans="2:18" x14ac:dyDescent="0.25">
      <c r="B59" s="55" t="str">
        <f t="array" ref="B59">IFERROR(INDEX('Paths database'!$Z$60:$AC$1991,'Paths database'!$AF95,COLUMNS($B$23:B58)),"")</f>
        <v/>
      </c>
      <c r="C59" s="55" t="str">
        <f t="array" ref="C59">IFERROR(INDEX('Paths database'!$Z$60:$AC$1991,'Paths database'!$AF95,COLUMNS($B$23:C58)),"")</f>
        <v/>
      </c>
      <c r="D59" s="55" t="str">
        <f t="array" ref="D59">IFERROR(INDEX('Paths database'!$Z$60:$AC$1991,'Paths database'!$AF95,COLUMNS($B$23:D58)),"")</f>
        <v/>
      </c>
      <c r="E59" s="64" t="str">
        <f t="array" ref="E59">IFERROR(INDEX('Paths database'!$Z$60:$AC$1991,'Paths database'!$AF95,COLUMNS($B$23:E58)),"")</f>
        <v/>
      </c>
      <c r="G59" s="55" t="str">
        <f t="array" aca="1" ref="G59" ca="1">IF(ROWS(G$24:G59)&gt;$F$24,"",INDEX(B$24:B$149,SMALL(IF(ISNUMBER($E$24:$E$149),ROW($E$24:$E$149)-ROW($E$24)+1),ROWS(G$24:G59))))</f>
        <v/>
      </c>
      <c r="H59" s="55" t="str">
        <f t="array" aca="1" ref="H59" ca="1">IF(ROWS(H$24:H59)&gt;$F$24,"",INDEX(E$24:E$149,SMALL(IF(ISNUMBER($E$24:$E$149),ROW($E$24:$E$149)-ROW($E$24)+1),ROWS(H$24:H59))))</f>
        <v/>
      </c>
      <c r="I59" s="55" t="str">
        <f t="shared" ca="1" si="0"/>
        <v/>
      </c>
      <c r="J59" s="55" t="str">
        <f t="shared" ca="1" si="1"/>
        <v/>
      </c>
      <c r="K59" s="55">
        <f t="shared" ca="1" si="2"/>
        <v>0.10257645640146593</v>
      </c>
      <c r="Q59" s="454" t="str">
        <f>Assumptions!C161</f>
        <v>[NG_ICE_PWR]</v>
      </c>
      <c r="R59" s="455" t="str">
        <f>Assumptions!B161</f>
        <v>Gas engine</v>
      </c>
    </row>
    <row r="60" spans="2:18" x14ac:dyDescent="0.25">
      <c r="B60" s="55" t="str">
        <f t="array" ref="B60">IFERROR(INDEX('Paths database'!$Z$60:$AC$1991,'Paths database'!$AF96,COLUMNS($B$23:B59)),"")</f>
        <v/>
      </c>
      <c r="C60" s="55" t="str">
        <f t="array" ref="C60">IFERROR(INDEX('Paths database'!$Z$60:$AC$1991,'Paths database'!$AF96,COLUMNS($B$23:C59)),"")</f>
        <v/>
      </c>
      <c r="D60" s="55" t="str">
        <f t="array" ref="D60">IFERROR(INDEX('Paths database'!$Z$60:$AC$1991,'Paths database'!$AF96,COLUMNS($B$23:D59)),"")</f>
        <v/>
      </c>
      <c r="E60" s="64" t="str">
        <f t="array" ref="E60">IFERROR(INDEX('Paths database'!$Z$60:$AC$1991,'Paths database'!$AF96,COLUMNS($B$23:E59)),"")</f>
        <v/>
      </c>
      <c r="G60" s="55" t="str">
        <f t="array" aca="1" ref="G60" ca="1">IF(ROWS(G$24:G60)&gt;$F$24,"",INDEX(B$24:B$149,SMALL(IF(ISNUMBER($E$24:$E$149),ROW($E$24:$E$149)-ROW($E$24)+1),ROWS(G$24:G60))))</f>
        <v/>
      </c>
      <c r="H60" s="55" t="str">
        <f t="array" aca="1" ref="H60" ca="1">IF(ROWS(H$24:H60)&gt;$F$24,"",INDEX(E$24:E$149,SMALL(IF(ISNUMBER($E$24:$E$149),ROW($E$24:$E$149)-ROW($E$24)+1),ROWS(H$24:H60))))</f>
        <v/>
      </c>
      <c r="I60" s="55" t="str">
        <f t="shared" ca="1" si="0"/>
        <v/>
      </c>
      <c r="J60" s="55" t="str">
        <f t="shared" ca="1" si="1"/>
        <v/>
      </c>
      <c r="K60" s="55">
        <f t="shared" ca="1" si="2"/>
        <v>0.10257645640146593</v>
      </c>
      <c r="Q60" s="454" t="str">
        <f>Assumptions!C162</f>
        <v>[NG_DCHP_PWR]</v>
      </c>
      <c r="R60" s="455" t="str">
        <f>Assumptions!B162</f>
        <v>Gas-fired District-CHP (power)</v>
      </c>
    </row>
    <row r="61" spans="2:18" x14ac:dyDescent="0.25">
      <c r="B61" s="55" t="str">
        <f t="array" ref="B61">IFERROR(INDEX('Paths database'!$Z$60:$AC$1991,'Paths database'!$AF97,COLUMNS($B$23:B60)),"")</f>
        <v/>
      </c>
      <c r="C61" s="55" t="str">
        <f t="array" ref="C61">IFERROR(INDEX('Paths database'!$Z$60:$AC$1991,'Paths database'!$AF97,COLUMNS($B$23:C60)),"")</f>
        <v/>
      </c>
      <c r="D61" s="55" t="str">
        <f t="array" ref="D61">IFERROR(INDEX('Paths database'!$Z$60:$AC$1991,'Paths database'!$AF97,COLUMNS($B$23:D60)),"")</f>
        <v/>
      </c>
      <c r="E61" s="64" t="str">
        <f t="array" ref="E61">IFERROR(INDEX('Paths database'!$Z$60:$AC$1991,'Paths database'!$AF97,COLUMNS($B$23:E60)),"")</f>
        <v/>
      </c>
      <c r="G61" s="55" t="str">
        <f t="array" aca="1" ref="G61" ca="1">IF(ROWS(G$24:G61)&gt;$F$24,"",INDEX(B$24:B$149,SMALL(IF(ISNUMBER($E$24:$E$149),ROW($E$24:$E$149)-ROW($E$24)+1),ROWS(G$24:G61))))</f>
        <v/>
      </c>
      <c r="H61" s="55" t="str">
        <f t="array" aca="1" ref="H61" ca="1">IF(ROWS(H$24:H61)&gt;$F$24,"",INDEX(E$24:E$149,SMALL(IF(ISNUMBER($E$24:$E$149),ROW($E$24:$E$149)-ROW($E$24)+1),ROWS(H$24:H61))))</f>
        <v/>
      </c>
      <c r="I61" s="55" t="str">
        <f t="shared" ca="1" si="0"/>
        <v/>
      </c>
      <c r="J61" s="55" t="str">
        <f t="shared" ca="1" si="1"/>
        <v/>
      </c>
      <c r="K61" s="55">
        <f t="shared" ca="1" si="2"/>
        <v>0.10257645640146593</v>
      </c>
    </row>
    <row r="62" spans="2:18" x14ac:dyDescent="0.25">
      <c r="B62" s="55" t="str">
        <f t="array" ref="B62">IFERROR(INDEX('Paths database'!$Z$60:$AC$1991,'Paths database'!$AF98,COLUMNS($B$23:B61)),"")</f>
        <v/>
      </c>
      <c r="C62" s="55" t="str">
        <f t="array" ref="C62">IFERROR(INDEX('Paths database'!$Z$60:$AC$1991,'Paths database'!$AF98,COLUMNS($B$23:C61)),"")</f>
        <v/>
      </c>
      <c r="D62" s="55" t="str">
        <f t="array" ref="D62">IFERROR(INDEX('Paths database'!$Z$60:$AC$1991,'Paths database'!$AF98,COLUMNS($B$23:D61)),"")</f>
        <v/>
      </c>
      <c r="E62" s="64" t="str">
        <f t="array" ref="E62">IFERROR(INDEX('Paths database'!$Z$60:$AC$1991,'Paths database'!$AF98,COLUMNS($B$23:E61)),"")</f>
        <v/>
      </c>
      <c r="G62" s="55" t="str">
        <f t="array" aca="1" ref="G62" ca="1">IF(ROWS(G$24:G62)&gt;$F$24,"",INDEX(B$24:B$149,SMALL(IF(ISNUMBER($E$24:$E$149),ROW($E$24:$E$149)-ROW($E$24)+1),ROWS(G$24:G62))))</f>
        <v/>
      </c>
      <c r="H62" s="55" t="str">
        <f t="array" aca="1" ref="H62" ca="1">IF(ROWS(H$24:H62)&gt;$F$24,"",INDEX(E$24:E$149,SMALL(IF(ISNUMBER($E$24:$E$149),ROW($E$24:$E$149)-ROW($E$24)+1),ROWS(H$24:H62))))</f>
        <v/>
      </c>
      <c r="I62" s="55" t="str">
        <f t="shared" ca="1" si="0"/>
        <v/>
      </c>
      <c r="J62" s="55" t="str">
        <f t="shared" ca="1" si="1"/>
        <v/>
      </c>
      <c r="K62" s="55">
        <f t="shared" ca="1" si="2"/>
        <v>0.10257645640146593</v>
      </c>
    </row>
    <row r="63" spans="2:18" x14ac:dyDescent="0.25">
      <c r="B63" s="55" t="str">
        <f t="array" ref="B63">IFERROR(INDEX('Paths database'!$Z$60:$AC$1991,'Paths database'!$AF99,COLUMNS($B$23:B62)),"")</f>
        <v/>
      </c>
      <c r="C63" s="55" t="str">
        <f t="array" ref="C63">IFERROR(INDEX('Paths database'!$Z$60:$AC$1991,'Paths database'!$AF99,COLUMNS($B$23:C62)),"")</f>
        <v/>
      </c>
      <c r="D63" s="55" t="str">
        <f t="array" ref="D63">IFERROR(INDEX('Paths database'!$Z$60:$AC$1991,'Paths database'!$AF99,COLUMNS($B$23:D62)),"")</f>
        <v/>
      </c>
      <c r="E63" s="64" t="str">
        <f t="array" ref="E63">IFERROR(INDEX('Paths database'!$Z$60:$AC$1991,'Paths database'!$AF99,COLUMNS($B$23:E62)),"")</f>
        <v/>
      </c>
      <c r="G63" s="55" t="str">
        <f t="array" aca="1" ref="G63" ca="1">IF(ROWS(G$24:G63)&gt;$F$24,"",INDEX(B$24:B$149,SMALL(IF(ISNUMBER($E$24:$E$149),ROW($E$24:$E$149)-ROW($E$24)+1),ROWS(G$24:G63))))</f>
        <v/>
      </c>
      <c r="H63" s="55" t="str">
        <f t="array" aca="1" ref="H63" ca="1">IF(ROWS(H$24:H63)&gt;$F$24,"",INDEX(E$24:E$149,SMALL(IF(ISNUMBER($E$24:$E$149),ROW($E$24:$E$149)-ROW($E$24)+1),ROWS(H$24:H63))))</f>
        <v/>
      </c>
      <c r="I63" s="55" t="str">
        <f t="shared" ca="1" si="0"/>
        <v/>
      </c>
      <c r="J63" s="55" t="str">
        <f t="shared" ca="1" si="1"/>
        <v/>
      </c>
      <c r="K63" s="55">
        <f t="shared" ca="1" si="2"/>
        <v>0.10257645640146593</v>
      </c>
    </row>
    <row r="64" spans="2:18" x14ac:dyDescent="0.25">
      <c r="B64" s="55" t="str">
        <f t="array" ref="B64">IFERROR(INDEX('Paths database'!$Z$60:$AC$1991,'Paths database'!$AF100,COLUMNS($B$23:B63)),"")</f>
        <v/>
      </c>
      <c r="C64" s="55" t="str">
        <f t="array" ref="C64">IFERROR(INDEX('Paths database'!$Z$60:$AC$1991,'Paths database'!$AF100,COLUMNS($B$23:C63)),"")</f>
        <v/>
      </c>
      <c r="D64" s="55" t="str">
        <f t="array" ref="D64">IFERROR(INDEX('Paths database'!$Z$60:$AC$1991,'Paths database'!$AF100,COLUMNS($B$23:D63)),"")</f>
        <v/>
      </c>
      <c r="E64" s="64" t="str">
        <f t="array" ref="E64">IFERROR(INDEX('Paths database'!$Z$60:$AC$1991,'Paths database'!$AF100,COLUMNS($B$23:E63)),"")</f>
        <v/>
      </c>
      <c r="G64" s="55" t="str">
        <f t="array" aca="1" ref="G64" ca="1">IF(ROWS(G$24:G64)&gt;$F$24,"",INDEX(B$24:B$149,SMALL(IF(ISNUMBER($E$24:$E$149),ROW($E$24:$E$149)-ROW($E$24)+1),ROWS(G$24:G64))))</f>
        <v/>
      </c>
      <c r="H64" s="55" t="str">
        <f t="array" aca="1" ref="H64" ca="1">IF(ROWS(H$24:H64)&gt;$F$24,"",INDEX(E$24:E$149,SMALL(IF(ISNUMBER($E$24:$E$149),ROW($E$24:$E$149)-ROW($E$24)+1),ROWS(H$24:H64))))</f>
        <v/>
      </c>
      <c r="I64" s="55" t="str">
        <f t="shared" ca="1" si="0"/>
        <v/>
      </c>
      <c r="J64" s="55" t="str">
        <f t="shared" ca="1" si="1"/>
        <v/>
      </c>
      <c r="K64" s="55">
        <f t="shared" ca="1" si="2"/>
        <v>0.10257645640146593</v>
      </c>
    </row>
    <row r="65" spans="2:22" x14ac:dyDescent="0.25">
      <c r="B65" s="55" t="str">
        <f t="array" ref="B65">IFERROR(INDEX('Paths database'!$Z$60:$AC$1991,'Paths database'!$AF101,COLUMNS($B$23:B64)),"")</f>
        <v/>
      </c>
      <c r="C65" s="55" t="str">
        <f t="array" ref="C65">IFERROR(INDEX('Paths database'!$Z$60:$AC$1991,'Paths database'!$AF101,COLUMNS($B$23:C64)),"")</f>
        <v/>
      </c>
      <c r="D65" s="55" t="str">
        <f t="array" ref="D65">IFERROR(INDEX('Paths database'!$Z$60:$AC$1991,'Paths database'!$AF101,COLUMNS($B$23:D64)),"")</f>
        <v/>
      </c>
      <c r="E65" s="64" t="str">
        <f t="array" ref="E65">IFERROR(INDEX('Paths database'!$Z$60:$AC$1991,'Paths database'!$AF101,COLUMNS($B$23:E64)),"")</f>
        <v/>
      </c>
      <c r="G65" s="55" t="str">
        <f t="array" aca="1" ref="G65" ca="1">IF(ROWS(G$24:G65)&gt;$F$24,"",INDEX(B$24:B$149,SMALL(IF(ISNUMBER($E$24:$E$149),ROW($E$24:$E$149)-ROW($E$24)+1),ROWS(G$24:G65))))</f>
        <v/>
      </c>
      <c r="H65" s="55" t="str">
        <f t="array" aca="1" ref="H65" ca="1">IF(ROWS(H$24:H65)&gt;$F$24,"",INDEX(E$24:E$149,SMALL(IF(ISNUMBER($E$24:$E$149),ROW($E$24:$E$149)-ROW($E$24)+1),ROWS(H$24:H65))))</f>
        <v/>
      </c>
      <c r="I65" s="55" t="str">
        <f t="shared" ca="1" si="0"/>
        <v/>
      </c>
      <c r="J65" s="55" t="str">
        <f t="shared" ca="1" si="1"/>
        <v/>
      </c>
      <c r="K65" s="55">
        <f t="shared" ca="1" si="2"/>
        <v>0.10257645640146593</v>
      </c>
    </row>
    <row r="66" spans="2:22" x14ac:dyDescent="0.25">
      <c r="B66" s="55" t="str">
        <f t="array" ref="B66">IFERROR(INDEX('Paths database'!$Z$60:$AC$1991,'Paths database'!$AF102,COLUMNS($B$23:B65)),"")</f>
        <v/>
      </c>
      <c r="C66" s="55" t="str">
        <f t="array" ref="C66">IFERROR(INDEX('Paths database'!$Z$60:$AC$1991,'Paths database'!$AF102,COLUMNS($B$23:C65)),"")</f>
        <v/>
      </c>
      <c r="D66" s="55" t="str">
        <f t="array" ref="D66">IFERROR(INDEX('Paths database'!$Z$60:$AC$1991,'Paths database'!$AF102,COLUMNS($B$23:D65)),"")</f>
        <v/>
      </c>
      <c r="E66" s="64" t="str">
        <f t="array" ref="E66">IFERROR(INDEX('Paths database'!$Z$60:$AC$1991,'Paths database'!$AF102,COLUMNS($B$23:E65)),"")</f>
        <v/>
      </c>
      <c r="G66" s="55" t="str">
        <f t="array" aca="1" ref="G66" ca="1">IF(ROWS(G$24:G66)&gt;$F$24,"",INDEX(B$24:B$149,SMALL(IF(ISNUMBER($E$24:$E$149),ROW($E$24:$E$149)-ROW($E$24)+1),ROWS(G$24:G66))))</f>
        <v/>
      </c>
      <c r="H66" s="55" t="str">
        <f t="array" aca="1" ref="H66" ca="1">IF(ROWS(H$24:H66)&gt;$F$24,"",INDEX(E$24:E$149,SMALL(IF(ISNUMBER($E$24:$E$149),ROW($E$24:$E$149)-ROW($E$24)+1),ROWS(H$24:H66))))</f>
        <v/>
      </c>
      <c r="I66" s="55" t="str">
        <f t="shared" ca="1" si="0"/>
        <v/>
      </c>
      <c r="J66" s="55" t="str">
        <f t="shared" ca="1" si="1"/>
        <v/>
      </c>
      <c r="K66" s="55">
        <f t="shared" ca="1" si="2"/>
        <v>0.10257645640146593</v>
      </c>
      <c r="V66" s="481"/>
    </row>
    <row r="67" spans="2:22" x14ac:dyDescent="0.25">
      <c r="B67" s="55" t="str">
        <f t="array" ref="B67">IFERROR(INDEX('Paths database'!$Z$60:$AC$1991,'Paths database'!$AF103,COLUMNS($B$23:B66)),"")</f>
        <v/>
      </c>
      <c r="C67" s="55" t="str">
        <f t="array" ref="C67">IFERROR(INDEX('Paths database'!$Z$60:$AC$1991,'Paths database'!$AF103,COLUMNS($B$23:C66)),"")</f>
        <v/>
      </c>
      <c r="D67" s="55" t="str">
        <f t="array" ref="D67">IFERROR(INDEX('Paths database'!$Z$60:$AC$1991,'Paths database'!$AF103,COLUMNS($B$23:D66)),"")</f>
        <v/>
      </c>
      <c r="E67" s="64" t="str">
        <f t="array" ref="E67">IFERROR(INDEX('Paths database'!$Z$60:$AC$1991,'Paths database'!$AF103,COLUMNS($B$23:E66)),"")</f>
        <v/>
      </c>
      <c r="G67" s="55" t="str">
        <f t="array" aca="1" ref="G67" ca="1">IF(ROWS(G$24:G67)&gt;$F$24,"",INDEX(B$24:B$149,SMALL(IF(ISNUMBER($E$24:$E$149),ROW($E$24:$E$149)-ROW($E$24)+1),ROWS(G$24:G67))))</f>
        <v/>
      </c>
      <c r="H67" s="55" t="str">
        <f t="array" aca="1" ref="H67" ca="1">IF(ROWS(H$24:H67)&gt;$F$24,"",INDEX(E$24:E$149,SMALL(IF(ISNUMBER($E$24:$E$149),ROW($E$24:$E$149)-ROW($E$24)+1),ROWS(H$24:H67))))</f>
        <v/>
      </c>
      <c r="I67" s="55" t="str">
        <f t="shared" ca="1" si="0"/>
        <v/>
      </c>
      <c r="J67" s="55" t="str">
        <f t="shared" ca="1" si="1"/>
        <v/>
      </c>
      <c r="K67" s="55">
        <f t="shared" ca="1" si="2"/>
        <v>0.10257645640146593</v>
      </c>
    </row>
    <row r="68" spans="2:22" x14ac:dyDescent="0.25">
      <c r="B68" s="55" t="str">
        <f t="array" ref="B68">IFERROR(INDEX('Paths database'!$Z$60:$AC$1991,'Paths database'!$AF104,COLUMNS($B$23:B67)),"")</f>
        <v/>
      </c>
      <c r="C68" s="55" t="str">
        <f t="array" ref="C68">IFERROR(INDEX('Paths database'!$Z$60:$AC$1991,'Paths database'!$AF104,COLUMNS($B$23:C67)),"")</f>
        <v/>
      </c>
      <c r="D68" s="55" t="str">
        <f t="array" ref="D68">IFERROR(INDEX('Paths database'!$Z$60:$AC$1991,'Paths database'!$AF104,COLUMNS($B$23:D67)),"")</f>
        <v/>
      </c>
      <c r="E68" s="64" t="str">
        <f t="array" ref="E68">IFERROR(INDEX('Paths database'!$Z$60:$AC$1991,'Paths database'!$AF104,COLUMNS($B$23:E67)),"")</f>
        <v/>
      </c>
      <c r="G68" s="55" t="str">
        <f t="array" aca="1" ref="G68" ca="1">IF(ROWS(G$24:G68)&gt;$F$24,"",INDEX(B$24:B$149,SMALL(IF(ISNUMBER($E$24:$E$149),ROW($E$24:$E$149)-ROW($E$24)+1),ROWS(G$24:G68))))</f>
        <v/>
      </c>
      <c r="H68" s="55" t="str">
        <f t="array" aca="1" ref="H68" ca="1">IF(ROWS(H$24:H68)&gt;$F$24,"",INDEX(E$24:E$149,SMALL(IF(ISNUMBER($E$24:$E$149),ROW($E$24:$E$149)-ROW($E$24)+1),ROWS(H$24:H68))))</f>
        <v/>
      </c>
      <c r="I68" s="55" t="str">
        <f t="shared" ca="1" si="0"/>
        <v/>
      </c>
      <c r="J68" s="55" t="str">
        <f t="shared" ca="1" si="1"/>
        <v/>
      </c>
      <c r="K68" s="55">
        <f t="shared" ca="1" si="2"/>
        <v>0.10257645640146593</v>
      </c>
    </row>
    <row r="69" spans="2:22" x14ac:dyDescent="0.25">
      <c r="B69" s="55" t="str">
        <f t="array" ref="B69">IFERROR(INDEX('Paths database'!$Z$60:$AC$1991,'Paths database'!$AF105,COLUMNS($B$23:B68)),"")</f>
        <v/>
      </c>
      <c r="C69" s="55" t="str">
        <f t="array" ref="C69">IFERROR(INDEX('Paths database'!$Z$60:$AC$1991,'Paths database'!$AF105,COLUMNS($B$23:C68)),"")</f>
        <v/>
      </c>
      <c r="D69" s="55" t="str">
        <f t="array" ref="D69">IFERROR(INDEX('Paths database'!$Z$60:$AC$1991,'Paths database'!$AF105,COLUMNS($B$23:D68)),"")</f>
        <v/>
      </c>
      <c r="E69" s="64" t="str">
        <f t="array" ref="E69">IFERROR(INDEX('Paths database'!$Z$60:$AC$1991,'Paths database'!$AF105,COLUMNS($B$23:E68)),"")</f>
        <v/>
      </c>
      <c r="G69" s="55" t="str">
        <f t="array" aca="1" ref="G69" ca="1">IF(ROWS(G$24:G69)&gt;$F$24,"",INDEX(B$24:B$149,SMALL(IF(ISNUMBER($E$24:$E$149),ROW($E$24:$E$149)-ROW($E$24)+1),ROWS(G$24:G69))))</f>
        <v/>
      </c>
      <c r="H69" s="55" t="str">
        <f t="array" aca="1" ref="H69" ca="1">IF(ROWS(H$24:H69)&gt;$F$24,"",INDEX(E$24:E$149,SMALL(IF(ISNUMBER($E$24:$E$149),ROW($E$24:$E$149)-ROW($E$24)+1),ROWS(H$24:H69))))</f>
        <v/>
      </c>
      <c r="I69" s="55" t="str">
        <f t="shared" ca="1" si="0"/>
        <v/>
      </c>
      <c r="J69" s="55" t="str">
        <f t="shared" ca="1" si="1"/>
        <v/>
      </c>
      <c r="K69" s="55">
        <f t="shared" ca="1" si="2"/>
        <v>0.10257645640146593</v>
      </c>
    </row>
    <row r="70" spans="2:22" x14ac:dyDescent="0.25">
      <c r="B70" s="55" t="str">
        <f t="array" ref="B70">IFERROR(INDEX('Paths database'!$Z$60:$AC$1991,'Paths database'!$AF106,COLUMNS($B$23:B69)),"")</f>
        <v/>
      </c>
      <c r="C70" s="55" t="str">
        <f t="array" ref="C70">IFERROR(INDEX('Paths database'!$Z$60:$AC$1991,'Paths database'!$AF106,COLUMNS($B$23:C69)),"")</f>
        <v/>
      </c>
      <c r="D70" s="55" t="str">
        <f t="array" ref="D70">IFERROR(INDEX('Paths database'!$Z$60:$AC$1991,'Paths database'!$AF106,COLUMNS($B$23:D69)),"")</f>
        <v/>
      </c>
      <c r="E70" s="64" t="str">
        <f t="array" ref="E70">IFERROR(INDEX('Paths database'!$Z$60:$AC$1991,'Paths database'!$AF106,COLUMNS($B$23:E69)),"")</f>
        <v/>
      </c>
      <c r="G70" s="55" t="str">
        <f t="array" aca="1" ref="G70" ca="1">IF(ROWS(G$24:G70)&gt;$F$24,"",INDEX(B$24:B$149,SMALL(IF(ISNUMBER($E$24:$E$149),ROW($E$24:$E$149)-ROW($E$24)+1),ROWS(G$24:G70))))</f>
        <v/>
      </c>
      <c r="H70" s="55" t="str">
        <f t="array" aca="1" ref="H70" ca="1">IF(ROWS(H$24:H70)&gt;$F$24,"",INDEX(E$24:E$149,SMALL(IF(ISNUMBER($E$24:$E$149),ROW($E$24:$E$149)-ROW($E$24)+1),ROWS(H$24:H70))))</f>
        <v/>
      </c>
      <c r="I70" s="55" t="str">
        <f t="shared" ca="1" si="0"/>
        <v/>
      </c>
      <c r="J70" s="55" t="str">
        <f t="shared" ca="1" si="1"/>
        <v/>
      </c>
      <c r="K70" s="55">
        <f t="shared" ca="1" si="2"/>
        <v>0.10257645640146593</v>
      </c>
    </row>
    <row r="71" spans="2:22" x14ac:dyDescent="0.25">
      <c r="B71" s="55" t="str">
        <f t="array" ref="B71">IFERROR(INDEX('Paths database'!$Z$60:$AC$1991,'Paths database'!$AF107,COLUMNS($B$23:B70)),"")</f>
        <v/>
      </c>
      <c r="C71" s="55" t="str">
        <f t="array" ref="C71">IFERROR(INDEX('Paths database'!$Z$60:$AC$1991,'Paths database'!$AF107,COLUMNS($B$23:C70)),"")</f>
        <v/>
      </c>
      <c r="D71" s="55" t="str">
        <f t="array" ref="D71">IFERROR(INDEX('Paths database'!$Z$60:$AC$1991,'Paths database'!$AF107,COLUMNS($B$23:D70)),"")</f>
        <v/>
      </c>
      <c r="E71" s="64" t="str">
        <f t="array" ref="E71">IFERROR(INDEX('Paths database'!$Z$60:$AC$1991,'Paths database'!$AF107,COLUMNS($B$23:E70)),"")</f>
        <v/>
      </c>
      <c r="G71" s="55" t="str">
        <f t="array" aca="1" ref="G71" ca="1">IF(ROWS(G$24:G71)&gt;$F$24,"",INDEX(B$24:B$149,SMALL(IF(ISNUMBER($E$24:$E$149),ROW($E$24:$E$149)-ROW($E$24)+1),ROWS(G$24:G71))))</f>
        <v/>
      </c>
      <c r="H71" s="55" t="str">
        <f t="array" aca="1" ref="H71" ca="1">IF(ROWS(H$24:H71)&gt;$F$24,"",INDEX(E$24:E$149,SMALL(IF(ISNUMBER($E$24:$E$149),ROW($E$24:$E$149)-ROW($E$24)+1),ROWS(H$24:H71))))</f>
        <v/>
      </c>
      <c r="I71" s="55" t="str">
        <f t="shared" ca="1" si="0"/>
        <v/>
      </c>
      <c r="J71" s="55" t="str">
        <f t="shared" ca="1" si="1"/>
        <v/>
      </c>
      <c r="K71" s="55">
        <f t="shared" ca="1" si="2"/>
        <v>0.10257645640146593</v>
      </c>
    </row>
    <row r="72" spans="2:22" x14ac:dyDescent="0.25">
      <c r="B72" s="55" t="str">
        <f t="array" ref="B72">IFERROR(INDEX('Paths database'!$Z$60:$AC$1991,'Paths database'!$AF108,COLUMNS($B$23:B71)),"")</f>
        <v/>
      </c>
      <c r="C72" s="55" t="str">
        <f t="array" ref="C72">IFERROR(INDEX('Paths database'!$Z$60:$AC$1991,'Paths database'!$AF108,COLUMNS($B$23:C71)),"")</f>
        <v/>
      </c>
      <c r="D72" s="55" t="str">
        <f t="array" ref="D72">IFERROR(INDEX('Paths database'!$Z$60:$AC$1991,'Paths database'!$AF108,COLUMNS($B$23:D71)),"")</f>
        <v/>
      </c>
      <c r="E72" s="64" t="str">
        <f t="array" ref="E72">IFERROR(INDEX('Paths database'!$Z$60:$AC$1991,'Paths database'!$AF108,COLUMNS($B$23:E71)),"")</f>
        <v/>
      </c>
      <c r="G72" s="55" t="str">
        <f t="array" aca="1" ref="G72" ca="1">IF(ROWS(G$24:G72)&gt;$F$24,"",INDEX(B$24:B$149,SMALL(IF(ISNUMBER($E$24:$E$149),ROW($E$24:$E$149)-ROW($E$24)+1),ROWS(G$24:G72))))</f>
        <v/>
      </c>
      <c r="H72" s="55" t="str">
        <f t="array" aca="1" ref="H72" ca="1">IF(ROWS(H$24:H72)&gt;$F$24,"",INDEX(E$24:E$149,SMALL(IF(ISNUMBER($E$24:$E$149),ROW($E$24:$E$149)-ROW($E$24)+1),ROWS(H$24:H72))))</f>
        <v/>
      </c>
      <c r="I72" s="55" t="str">
        <f t="shared" ca="1" si="0"/>
        <v/>
      </c>
      <c r="J72" s="55" t="str">
        <f t="shared" ca="1" si="1"/>
        <v/>
      </c>
      <c r="K72" s="55">
        <f t="shared" ca="1" si="2"/>
        <v>0.10257645640146593</v>
      </c>
    </row>
    <row r="73" spans="2:22" x14ac:dyDescent="0.25">
      <c r="B73" s="55" t="str">
        <f t="array" ref="B73">IFERROR(INDEX('Paths database'!$Z$60:$AC$1991,'Paths database'!$AF109,COLUMNS($B$23:B72)),"")</f>
        <v/>
      </c>
      <c r="C73" s="55" t="str">
        <f t="array" ref="C73">IFERROR(INDEX('Paths database'!$Z$60:$AC$1991,'Paths database'!$AF109,COLUMNS($B$23:C72)),"")</f>
        <v/>
      </c>
      <c r="D73" s="55" t="str">
        <f t="array" ref="D73">IFERROR(INDEX('Paths database'!$Z$60:$AC$1991,'Paths database'!$AF109,COLUMNS($B$23:D72)),"")</f>
        <v/>
      </c>
      <c r="E73" s="64" t="str">
        <f t="array" ref="E73">IFERROR(INDEX('Paths database'!$Z$60:$AC$1991,'Paths database'!$AF109,COLUMNS($B$23:E72)),"")</f>
        <v/>
      </c>
      <c r="G73" s="55" t="str">
        <f t="array" aca="1" ref="G73" ca="1">IF(ROWS(G$24:G73)&gt;$F$24,"",INDEX(B$24:B$149,SMALL(IF(ISNUMBER($E$24:$E$149),ROW($E$24:$E$149)-ROW($E$24)+1),ROWS(G$24:G73))))</f>
        <v/>
      </c>
      <c r="H73" s="55" t="str">
        <f t="array" aca="1" ref="H73" ca="1">IF(ROWS(H$24:H73)&gt;$F$24,"",INDEX(E$24:E$149,SMALL(IF(ISNUMBER($E$24:$E$149),ROW($E$24:$E$149)-ROW($E$24)+1),ROWS(H$24:H73))))</f>
        <v/>
      </c>
      <c r="I73" s="55" t="str">
        <f t="shared" ca="1" si="0"/>
        <v/>
      </c>
      <c r="J73" s="55" t="str">
        <f t="shared" ca="1" si="1"/>
        <v/>
      </c>
      <c r="K73" s="55">
        <f t="shared" ca="1" si="2"/>
        <v>0.10257645640146593</v>
      </c>
    </row>
    <row r="74" spans="2:22" x14ac:dyDescent="0.25">
      <c r="B74" s="55" t="str">
        <f t="array" ref="B74">IFERROR(INDEX('Paths database'!$Z$60:$AC$1991,'Paths database'!$AF110,COLUMNS($B$23:B73)),"")</f>
        <v/>
      </c>
      <c r="C74" s="55" t="str">
        <f t="array" ref="C74">IFERROR(INDEX('Paths database'!$Z$60:$AC$1991,'Paths database'!$AF110,COLUMNS($B$23:C73)),"")</f>
        <v/>
      </c>
      <c r="D74" s="55" t="str">
        <f t="array" ref="D74">IFERROR(INDEX('Paths database'!$Z$60:$AC$1991,'Paths database'!$AF110,COLUMNS($B$23:D73)),"")</f>
        <v/>
      </c>
      <c r="E74" s="64" t="str">
        <f t="array" ref="E74">IFERROR(INDEX('Paths database'!$Z$60:$AC$1991,'Paths database'!$AF110,COLUMNS($B$23:E73)),"")</f>
        <v/>
      </c>
      <c r="G74" s="55" t="str">
        <f t="array" aca="1" ref="G74" ca="1">IF(ROWS(G$24:G74)&gt;$F$24,"",INDEX(B$24:B$149,SMALL(IF(ISNUMBER($E$24:$E$149),ROW($E$24:$E$149)-ROW($E$24)+1),ROWS(G$24:G74))))</f>
        <v/>
      </c>
      <c r="H74" s="55" t="str">
        <f t="array" aca="1" ref="H74" ca="1">IF(ROWS(H$24:H74)&gt;$F$24,"",INDEX(E$24:E$149,SMALL(IF(ISNUMBER($E$24:$E$149),ROW($E$24:$E$149)-ROW($E$24)+1),ROWS(H$24:H74))))</f>
        <v/>
      </c>
      <c r="I74" s="55" t="str">
        <f t="shared" ca="1" si="0"/>
        <v/>
      </c>
      <c r="J74" s="55" t="str">
        <f t="shared" ca="1" si="1"/>
        <v/>
      </c>
      <c r="K74" s="55">
        <f t="shared" ca="1" si="2"/>
        <v>0.10257645640146593</v>
      </c>
    </row>
    <row r="75" spans="2:22" x14ac:dyDescent="0.25">
      <c r="B75" s="55" t="str">
        <f t="array" ref="B75">IFERROR(INDEX('Paths database'!$Z$60:$AC$1991,'Paths database'!$AF111,COLUMNS($B$23:B74)),"")</f>
        <v/>
      </c>
      <c r="C75" s="55" t="str">
        <f t="array" ref="C75">IFERROR(INDEX('Paths database'!$Z$60:$AC$1991,'Paths database'!$AF111,COLUMNS($B$23:C74)),"")</f>
        <v/>
      </c>
      <c r="D75" s="55" t="str">
        <f t="array" ref="D75">IFERROR(INDEX('Paths database'!$Z$60:$AC$1991,'Paths database'!$AF111,COLUMNS($B$23:D74)),"")</f>
        <v/>
      </c>
      <c r="E75" s="64" t="str">
        <f t="array" ref="E75">IFERROR(INDEX('Paths database'!$Z$60:$AC$1991,'Paths database'!$AF111,COLUMNS($B$23:E74)),"")</f>
        <v/>
      </c>
      <c r="G75" s="55" t="str">
        <f t="array" aca="1" ref="G75" ca="1">IF(ROWS(G$24:G75)&gt;$F$24,"",INDEX(B$24:B$149,SMALL(IF(ISNUMBER($E$24:$E$149),ROW($E$24:$E$149)-ROW($E$24)+1),ROWS(G$24:G75))))</f>
        <v/>
      </c>
      <c r="H75" s="55" t="str">
        <f t="array" aca="1" ref="H75" ca="1">IF(ROWS(H$24:H75)&gt;$F$24,"",INDEX(E$24:E$149,SMALL(IF(ISNUMBER($E$24:$E$149),ROW($E$24:$E$149)-ROW($E$24)+1),ROWS(H$24:H75))))</f>
        <v/>
      </c>
      <c r="I75" s="55" t="str">
        <f t="shared" ca="1" si="0"/>
        <v/>
      </c>
      <c r="J75" s="55" t="str">
        <f t="shared" ca="1" si="1"/>
        <v/>
      </c>
      <c r="K75" s="55">
        <f t="shared" ca="1" si="2"/>
        <v>0.10257645640146593</v>
      </c>
    </row>
    <row r="76" spans="2:22" x14ac:dyDescent="0.25">
      <c r="B76" s="55" t="str">
        <f t="array" ref="B76">IFERROR(INDEX('Paths database'!$Z$60:$AC$1991,'Paths database'!$AF112,COLUMNS($B$23:B75)),"")</f>
        <v/>
      </c>
      <c r="C76" s="55" t="str">
        <f t="array" ref="C76">IFERROR(INDEX('Paths database'!$Z$60:$AC$1991,'Paths database'!$AF112,COLUMNS($B$23:C75)),"")</f>
        <v/>
      </c>
      <c r="D76" s="55" t="str">
        <f t="array" ref="D76">IFERROR(INDEX('Paths database'!$Z$60:$AC$1991,'Paths database'!$AF112,COLUMNS($B$23:D75)),"")</f>
        <v/>
      </c>
      <c r="E76" s="64" t="str">
        <f t="array" ref="E76">IFERROR(INDEX('Paths database'!$Z$60:$AC$1991,'Paths database'!$AF112,COLUMNS($B$23:E75)),"")</f>
        <v/>
      </c>
      <c r="G76" s="55" t="str">
        <f t="array" aca="1" ref="G76" ca="1">IF(ROWS(G$24:G76)&gt;$F$24,"",INDEX(B$24:B$149,SMALL(IF(ISNUMBER($E$24:$E$149),ROW($E$24:$E$149)-ROW($E$24)+1),ROWS(G$24:G76))))</f>
        <v/>
      </c>
      <c r="H76" s="55" t="str">
        <f t="array" aca="1" ref="H76" ca="1">IF(ROWS(H$24:H76)&gt;$F$24,"",INDEX(E$24:E$149,SMALL(IF(ISNUMBER($E$24:$E$149),ROW($E$24:$E$149)-ROW($E$24)+1),ROWS(H$24:H76))))</f>
        <v/>
      </c>
      <c r="I76" s="55" t="str">
        <f t="shared" ca="1" si="0"/>
        <v/>
      </c>
      <c r="J76" s="55" t="str">
        <f t="shared" ca="1" si="1"/>
        <v/>
      </c>
      <c r="K76" s="55">
        <f t="shared" ca="1" si="2"/>
        <v>0.10257645640146593</v>
      </c>
    </row>
    <row r="77" spans="2:22" x14ac:dyDescent="0.25">
      <c r="B77" s="55" t="str">
        <f t="array" ref="B77">IFERROR(INDEX('Paths database'!$Z$60:$AC$1991,'Paths database'!$AF113,COLUMNS($B$23:B76)),"")</f>
        <v/>
      </c>
      <c r="C77" s="55" t="str">
        <f t="array" ref="C77">IFERROR(INDEX('Paths database'!$Z$60:$AC$1991,'Paths database'!$AF113,COLUMNS($B$23:C76)),"")</f>
        <v/>
      </c>
      <c r="D77" s="55" t="str">
        <f t="array" ref="D77">IFERROR(INDEX('Paths database'!$Z$60:$AC$1991,'Paths database'!$AF113,COLUMNS($B$23:D76)),"")</f>
        <v/>
      </c>
      <c r="E77" s="64" t="str">
        <f t="array" ref="E77">IFERROR(INDEX('Paths database'!$Z$60:$AC$1991,'Paths database'!$AF113,COLUMNS($B$23:E76)),"")</f>
        <v/>
      </c>
      <c r="G77" s="55" t="str">
        <f t="array" aca="1" ref="G77" ca="1">IF(ROWS(G$24:G77)&gt;$F$24,"",INDEX(B$24:B$149,SMALL(IF(ISNUMBER($E$24:$E$149),ROW($E$24:$E$149)-ROW($E$24)+1),ROWS(G$24:G77))))</f>
        <v/>
      </c>
      <c r="H77" s="55" t="str">
        <f t="array" aca="1" ref="H77" ca="1">IF(ROWS(H$24:H77)&gt;$F$24,"",INDEX(E$24:E$149,SMALL(IF(ISNUMBER($E$24:$E$149),ROW($E$24:$E$149)-ROW($E$24)+1),ROWS(H$24:H77))))</f>
        <v/>
      </c>
      <c r="I77" s="55" t="str">
        <f t="shared" ca="1" si="0"/>
        <v/>
      </c>
      <c r="J77" s="55" t="str">
        <f t="shared" ca="1" si="1"/>
        <v/>
      </c>
      <c r="K77" s="55">
        <f t="shared" ca="1" si="2"/>
        <v>0.10257645640146593</v>
      </c>
    </row>
    <row r="78" spans="2:22" x14ac:dyDescent="0.25">
      <c r="B78" s="55" t="str">
        <f t="array" ref="B78">IFERROR(INDEX('Paths database'!$Z$60:$AC$1991,'Paths database'!$AF114,COLUMNS($B$23:B77)),"")</f>
        <v/>
      </c>
      <c r="C78" s="55" t="str">
        <f t="array" ref="C78">IFERROR(INDEX('Paths database'!$Z$60:$AC$1991,'Paths database'!$AF114,COLUMNS($B$23:C77)),"")</f>
        <v/>
      </c>
      <c r="D78" s="55" t="str">
        <f t="array" ref="D78">IFERROR(INDEX('Paths database'!$Z$60:$AC$1991,'Paths database'!$AF114,COLUMNS($B$23:D77)),"")</f>
        <v/>
      </c>
      <c r="E78" s="64" t="str">
        <f t="array" ref="E78">IFERROR(INDEX('Paths database'!$Z$60:$AC$1991,'Paths database'!$AF114,COLUMNS($B$23:E77)),"")</f>
        <v/>
      </c>
      <c r="G78" s="55" t="str">
        <f t="array" aca="1" ref="G78" ca="1">IF(ROWS(G$24:G78)&gt;$F$24,"",INDEX(B$24:B$149,SMALL(IF(ISNUMBER($E$24:$E$149),ROW($E$24:$E$149)-ROW($E$24)+1),ROWS(G$24:G78))))</f>
        <v/>
      </c>
      <c r="H78" s="55" t="str">
        <f t="array" aca="1" ref="H78" ca="1">IF(ROWS(H$24:H78)&gt;$F$24,"",INDEX(E$24:E$149,SMALL(IF(ISNUMBER($E$24:$E$149),ROW($E$24:$E$149)-ROW($E$24)+1),ROWS(H$24:H78))))</f>
        <v/>
      </c>
      <c r="I78" s="55" t="str">
        <f t="shared" ca="1" si="0"/>
        <v/>
      </c>
      <c r="J78" s="55" t="str">
        <f t="shared" ca="1" si="1"/>
        <v/>
      </c>
      <c r="K78" s="55">
        <f t="shared" ca="1" si="2"/>
        <v>0.10257645640146593</v>
      </c>
    </row>
    <row r="79" spans="2:22" x14ac:dyDescent="0.25">
      <c r="B79" s="55" t="str">
        <f t="array" ref="B79">IFERROR(INDEX('Paths database'!$Z$60:$AC$1991,'Paths database'!$AF115,COLUMNS($B$23:B78)),"")</f>
        <v/>
      </c>
      <c r="C79" s="55" t="str">
        <f t="array" ref="C79">IFERROR(INDEX('Paths database'!$Z$60:$AC$1991,'Paths database'!$AF115,COLUMNS($B$23:C78)),"")</f>
        <v/>
      </c>
      <c r="D79" s="55" t="str">
        <f t="array" ref="D79">IFERROR(INDEX('Paths database'!$Z$60:$AC$1991,'Paths database'!$AF115,COLUMNS($B$23:D78)),"")</f>
        <v/>
      </c>
      <c r="E79" s="64" t="str">
        <f t="array" ref="E79">IFERROR(INDEX('Paths database'!$Z$60:$AC$1991,'Paths database'!$AF115,COLUMNS($B$23:E78)),"")</f>
        <v/>
      </c>
      <c r="G79" s="55" t="str">
        <f t="array" aca="1" ref="G79" ca="1">IF(ROWS(G$24:G79)&gt;$F$24,"",INDEX(B$24:B$149,SMALL(IF(ISNUMBER($E$24:$E$149),ROW($E$24:$E$149)-ROW($E$24)+1),ROWS(G$24:G79))))</f>
        <v/>
      </c>
      <c r="H79" s="55" t="str">
        <f t="array" aca="1" ref="H79" ca="1">IF(ROWS(H$24:H79)&gt;$F$24,"",INDEX(E$24:E$149,SMALL(IF(ISNUMBER($E$24:$E$149),ROW($E$24:$E$149)-ROW($E$24)+1),ROWS(H$24:H79))))</f>
        <v/>
      </c>
      <c r="I79" s="55" t="str">
        <f t="shared" ca="1" si="0"/>
        <v/>
      </c>
      <c r="J79" s="55" t="str">
        <f t="shared" ca="1" si="1"/>
        <v/>
      </c>
      <c r="K79" s="55">
        <f t="shared" ca="1" si="2"/>
        <v>0.10257645640146593</v>
      </c>
    </row>
    <row r="80" spans="2:22" x14ac:dyDescent="0.25">
      <c r="B80" s="55" t="str">
        <f t="array" ref="B80">IFERROR(INDEX('Paths database'!$Z$60:$AC$1991,'Paths database'!$AF116,COLUMNS($B$23:B79)),"")</f>
        <v/>
      </c>
      <c r="C80" s="55" t="str">
        <f t="array" ref="C80">IFERROR(INDEX('Paths database'!$Z$60:$AC$1991,'Paths database'!$AF116,COLUMNS($B$23:C79)),"")</f>
        <v/>
      </c>
      <c r="D80" s="55" t="str">
        <f t="array" ref="D80">IFERROR(INDEX('Paths database'!$Z$60:$AC$1991,'Paths database'!$AF116,COLUMNS($B$23:D79)),"")</f>
        <v/>
      </c>
      <c r="E80" s="64" t="str">
        <f t="array" ref="E80">IFERROR(INDEX('Paths database'!$Z$60:$AC$1991,'Paths database'!$AF116,COLUMNS($B$23:E79)),"")</f>
        <v/>
      </c>
      <c r="G80" s="55" t="str">
        <f t="array" aca="1" ref="G80" ca="1">IF(ROWS(G$24:G80)&gt;$F$24,"",INDEX(B$24:B$149,SMALL(IF(ISNUMBER($E$24:$E$149),ROW($E$24:$E$149)-ROW($E$24)+1),ROWS(G$24:G80))))</f>
        <v/>
      </c>
      <c r="H80" s="55" t="str">
        <f t="array" aca="1" ref="H80" ca="1">IF(ROWS(H$24:H80)&gt;$F$24,"",INDEX(E$24:E$149,SMALL(IF(ISNUMBER($E$24:$E$149),ROW($E$24:$E$149)-ROW($E$24)+1),ROWS(H$24:H80))))</f>
        <v/>
      </c>
      <c r="I80" s="55" t="str">
        <f t="shared" ca="1" si="0"/>
        <v/>
      </c>
      <c r="J80" s="55" t="str">
        <f t="shared" ca="1" si="1"/>
        <v/>
      </c>
      <c r="K80" s="55">
        <f t="shared" ca="1" si="2"/>
        <v>0.10257645640146593</v>
      </c>
    </row>
    <row r="81" spans="2:11" x14ac:dyDescent="0.25">
      <c r="B81" s="55" t="str">
        <f t="array" ref="B81">IFERROR(INDEX('Paths database'!$Z$60:$AC$1991,'Paths database'!$AF117,COLUMNS($B$23:B80)),"")</f>
        <v/>
      </c>
      <c r="C81" s="55" t="str">
        <f t="array" ref="C81">IFERROR(INDEX('Paths database'!$Z$60:$AC$1991,'Paths database'!$AF117,COLUMNS($B$23:C80)),"")</f>
        <v/>
      </c>
      <c r="D81" s="55" t="str">
        <f t="array" ref="D81">IFERROR(INDEX('Paths database'!$Z$60:$AC$1991,'Paths database'!$AF117,COLUMNS($B$23:D80)),"")</f>
        <v/>
      </c>
      <c r="E81" s="64" t="str">
        <f t="array" ref="E81">IFERROR(INDEX('Paths database'!$Z$60:$AC$1991,'Paths database'!$AF117,COLUMNS($B$23:E80)),"")</f>
        <v/>
      </c>
      <c r="G81" s="55" t="str">
        <f t="array" aca="1" ref="G81" ca="1">IF(ROWS(G$24:G81)&gt;$F$24,"",INDEX(B$24:B$149,SMALL(IF(ISNUMBER($E$24:$E$149),ROW($E$24:$E$149)-ROW($E$24)+1),ROWS(G$24:G81))))</f>
        <v/>
      </c>
      <c r="H81" s="55" t="str">
        <f t="array" aca="1" ref="H81" ca="1">IF(ROWS(H$24:H81)&gt;$F$24,"",INDEX(E$24:E$149,SMALL(IF(ISNUMBER($E$24:$E$149),ROW($E$24:$E$149)-ROW($E$24)+1),ROWS(H$24:H81))))</f>
        <v/>
      </c>
      <c r="I81" s="55" t="str">
        <f t="shared" ca="1" si="0"/>
        <v/>
      </c>
      <c r="J81" s="55" t="str">
        <f t="shared" ca="1" si="1"/>
        <v/>
      </c>
      <c r="K81" s="55">
        <f t="shared" ca="1" si="2"/>
        <v>0.10257645640146593</v>
      </c>
    </row>
    <row r="82" spans="2:11" x14ac:dyDescent="0.25">
      <c r="B82" s="55" t="str">
        <f t="array" ref="B82">IFERROR(INDEX('Paths database'!$Z$60:$AC$1991,'Paths database'!$AF118,COLUMNS($B$23:B81)),"")</f>
        <v/>
      </c>
      <c r="C82" s="55" t="str">
        <f t="array" ref="C82">IFERROR(INDEX('Paths database'!$Z$60:$AC$1991,'Paths database'!$AF118,COLUMNS($B$23:C81)),"")</f>
        <v/>
      </c>
      <c r="D82" s="55" t="str">
        <f t="array" ref="D82">IFERROR(INDEX('Paths database'!$Z$60:$AC$1991,'Paths database'!$AF118,COLUMNS($B$23:D81)),"")</f>
        <v/>
      </c>
      <c r="E82" s="64" t="str">
        <f t="array" ref="E82">IFERROR(INDEX('Paths database'!$Z$60:$AC$1991,'Paths database'!$AF118,COLUMNS($B$23:E81)),"")</f>
        <v/>
      </c>
      <c r="G82" s="55" t="str">
        <f t="array" aca="1" ref="G82" ca="1">IF(ROWS(G$24:G82)&gt;$F$24,"",INDEX(B$24:B$149,SMALL(IF(ISNUMBER($E$24:$E$149),ROW($E$24:$E$149)-ROW($E$24)+1),ROWS(G$24:G82))))</f>
        <v/>
      </c>
      <c r="H82" s="55" t="str">
        <f t="array" aca="1" ref="H82" ca="1">IF(ROWS(H$24:H82)&gt;$F$24,"",INDEX(E$24:E$149,SMALL(IF(ISNUMBER($E$24:$E$149),ROW($E$24:$E$149)-ROW($E$24)+1),ROWS(H$24:H82))))</f>
        <v/>
      </c>
      <c r="I82" s="55" t="str">
        <f t="shared" ca="1" si="0"/>
        <v/>
      </c>
      <c r="J82" s="55" t="str">
        <f t="shared" ca="1" si="1"/>
        <v/>
      </c>
      <c r="K82" s="55">
        <f t="shared" ca="1" si="2"/>
        <v>0.10257645640146593</v>
      </c>
    </row>
    <row r="83" spans="2:11" x14ac:dyDescent="0.25">
      <c r="B83" s="55" t="str">
        <f t="array" ref="B83">IFERROR(INDEX('Paths database'!$Z$60:$AC$1991,'Paths database'!$AF119,COLUMNS($B$23:B82)),"")</f>
        <v/>
      </c>
      <c r="C83" s="55" t="str">
        <f t="array" ref="C83">IFERROR(INDEX('Paths database'!$Z$60:$AC$1991,'Paths database'!$AF119,COLUMNS($B$23:C82)),"")</f>
        <v/>
      </c>
      <c r="D83" s="55" t="str">
        <f t="array" ref="D83">IFERROR(INDEX('Paths database'!$Z$60:$AC$1991,'Paths database'!$AF119,COLUMNS($B$23:D82)),"")</f>
        <v/>
      </c>
      <c r="E83" s="64" t="str">
        <f t="array" ref="E83">IFERROR(INDEX('Paths database'!$Z$60:$AC$1991,'Paths database'!$AF119,COLUMNS($B$23:E82)),"")</f>
        <v/>
      </c>
      <c r="G83" s="55" t="str">
        <f t="array" aca="1" ref="G83" ca="1">IF(ROWS(G$24:G83)&gt;$F$24,"",INDEX(B$24:B$149,SMALL(IF(ISNUMBER($E$24:$E$149),ROW($E$24:$E$149)-ROW($E$24)+1),ROWS(G$24:G83))))</f>
        <v/>
      </c>
      <c r="H83" s="55" t="str">
        <f t="array" aca="1" ref="H83" ca="1">IF(ROWS(H$24:H83)&gt;$F$24,"",INDEX(E$24:E$149,SMALL(IF(ISNUMBER($E$24:$E$149),ROW($E$24:$E$149)-ROW($E$24)+1),ROWS(H$24:H83))))</f>
        <v/>
      </c>
      <c r="I83" s="55" t="str">
        <f t="shared" ca="1" si="0"/>
        <v/>
      </c>
      <c r="J83" s="55" t="str">
        <f t="shared" ca="1" si="1"/>
        <v/>
      </c>
      <c r="K83" s="55">
        <f t="shared" ca="1" si="2"/>
        <v>0.10257645640146593</v>
      </c>
    </row>
    <row r="84" spans="2:11" x14ac:dyDescent="0.25">
      <c r="B84" s="55" t="str">
        <f t="array" ref="B84">IFERROR(INDEX('Paths database'!$Z$60:$AC$1991,'Paths database'!$AF120,COLUMNS($B$23:B83)),"")</f>
        <v/>
      </c>
      <c r="C84" s="55" t="str">
        <f t="array" ref="C84">IFERROR(INDEX('Paths database'!$Z$60:$AC$1991,'Paths database'!$AF120,COLUMNS($B$23:C83)),"")</f>
        <v/>
      </c>
      <c r="D84" s="55" t="str">
        <f t="array" ref="D84">IFERROR(INDEX('Paths database'!$Z$60:$AC$1991,'Paths database'!$AF120,COLUMNS($B$23:D83)),"")</f>
        <v/>
      </c>
      <c r="E84" s="64" t="str">
        <f t="array" ref="E84">IFERROR(INDEX('Paths database'!$Z$60:$AC$1991,'Paths database'!$AF120,COLUMNS($B$23:E83)),"")</f>
        <v/>
      </c>
      <c r="G84" s="55" t="str">
        <f t="array" aca="1" ref="G84" ca="1">IF(ROWS(G$24:G84)&gt;$F$24,"",INDEX(B$24:B$149,SMALL(IF(ISNUMBER($E$24:$E$149),ROW($E$24:$E$149)-ROW($E$24)+1),ROWS(G$24:G84))))</f>
        <v/>
      </c>
      <c r="H84" s="55" t="str">
        <f t="array" aca="1" ref="H84" ca="1">IF(ROWS(H$24:H84)&gt;$F$24,"",INDEX(E$24:E$149,SMALL(IF(ISNUMBER($E$24:$E$149),ROW($E$24:$E$149)-ROW($E$24)+1),ROWS(H$24:H84))))</f>
        <v/>
      </c>
      <c r="I84" s="55" t="str">
        <f t="shared" ca="1" si="0"/>
        <v/>
      </c>
      <c r="J84" s="55" t="str">
        <f t="shared" ca="1" si="1"/>
        <v/>
      </c>
      <c r="K84" s="55">
        <f t="shared" ca="1" si="2"/>
        <v>0.10257645640146593</v>
      </c>
    </row>
    <row r="85" spans="2:11" x14ac:dyDescent="0.25">
      <c r="B85" s="55" t="str">
        <f t="array" ref="B85">IFERROR(INDEX('Paths database'!$Z$60:$AC$1991,'Paths database'!$AF121,COLUMNS($B$23:B84)),"")</f>
        <v/>
      </c>
      <c r="C85" s="55" t="str">
        <f t="array" ref="C85">IFERROR(INDEX('Paths database'!$Z$60:$AC$1991,'Paths database'!$AF121,COLUMNS($B$23:C84)),"")</f>
        <v/>
      </c>
      <c r="D85" s="55" t="str">
        <f t="array" ref="D85">IFERROR(INDEX('Paths database'!$Z$60:$AC$1991,'Paths database'!$AF121,COLUMNS($B$23:D84)),"")</f>
        <v/>
      </c>
      <c r="E85" s="64" t="str">
        <f t="array" ref="E85">IFERROR(INDEX('Paths database'!$Z$60:$AC$1991,'Paths database'!$AF121,COLUMNS($B$23:E84)),"")</f>
        <v/>
      </c>
      <c r="G85" s="55" t="str">
        <f t="array" aca="1" ref="G85" ca="1">IF(ROWS(G$24:G85)&gt;$F$24,"",INDEX(B$24:B$149,SMALL(IF(ISNUMBER($E$24:$E$149),ROW($E$24:$E$149)-ROW($E$24)+1),ROWS(G$24:G85))))</f>
        <v/>
      </c>
      <c r="H85" s="55" t="str">
        <f t="array" aca="1" ref="H85" ca="1">IF(ROWS(H$24:H85)&gt;$F$24,"",INDEX(E$24:E$149,SMALL(IF(ISNUMBER($E$24:$E$149),ROW($E$24:$E$149)-ROW($E$24)+1),ROWS(H$24:H85))))</f>
        <v/>
      </c>
      <c r="I85" s="55" t="str">
        <f t="shared" ca="1" si="0"/>
        <v/>
      </c>
      <c r="J85" s="55" t="str">
        <f t="shared" ca="1" si="1"/>
        <v/>
      </c>
      <c r="K85" s="55">
        <f t="shared" ca="1" si="2"/>
        <v>0.10257645640146593</v>
      </c>
    </row>
    <row r="86" spans="2:11" x14ac:dyDescent="0.25">
      <c r="B86" s="55" t="str">
        <f t="array" ref="B86">IFERROR(INDEX('Paths database'!$Z$60:$AC$1991,'Paths database'!$AF122,COLUMNS($B$23:B85)),"")</f>
        <v/>
      </c>
      <c r="C86" s="55" t="str">
        <f t="array" ref="C86">IFERROR(INDEX('Paths database'!$Z$60:$AC$1991,'Paths database'!$AF122,COLUMNS($B$23:C85)),"")</f>
        <v/>
      </c>
      <c r="D86" s="55" t="str">
        <f t="array" ref="D86">IFERROR(INDEX('Paths database'!$Z$60:$AC$1991,'Paths database'!$AF122,COLUMNS($B$23:D85)),"")</f>
        <v/>
      </c>
      <c r="E86" s="64" t="str">
        <f t="array" ref="E86">IFERROR(INDEX('Paths database'!$Z$60:$AC$1991,'Paths database'!$AF122,COLUMNS($B$23:E85)),"")</f>
        <v/>
      </c>
      <c r="G86" s="55" t="str">
        <f t="array" aca="1" ref="G86" ca="1">IF(ROWS(G$24:G86)&gt;$F$24,"",INDEX(B$24:B$149,SMALL(IF(ISNUMBER($E$24:$E$149),ROW($E$24:$E$149)-ROW($E$24)+1),ROWS(G$24:G86))))</f>
        <v/>
      </c>
      <c r="H86" s="55" t="str">
        <f t="array" aca="1" ref="H86" ca="1">IF(ROWS(H$24:H86)&gt;$F$24,"",INDEX(E$24:E$149,SMALL(IF(ISNUMBER($E$24:$E$149),ROW($E$24:$E$149)-ROW($E$24)+1),ROWS(H$24:H86))))</f>
        <v/>
      </c>
      <c r="I86" s="55" t="str">
        <f t="shared" ca="1" si="0"/>
        <v/>
      </c>
      <c r="J86" s="55" t="str">
        <f t="shared" ca="1" si="1"/>
        <v/>
      </c>
      <c r="K86" s="55">
        <f t="shared" ca="1" si="2"/>
        <v>0.10257645640146593</v>
      </c>
    </row>
    <row r="87" spans="2:11" x14ac:dyDescent="0.25">
      <c r="B87" s="55" t="str">
        <f t="array" ref="B87">IFERROR(INDEX('Paths database'!$Z$60:$AC$1991,'Paths database'!$AF123,COLUMNS($B$23:B86)),"")</f>
        <v/>
      </c>
      <c r="C87" s="55" t="str">
        <f t="array" ref="C87">IFERROR(INDEX('Paths database'!$Z$60:$AC$1991,'Paths database'!$AF123,COLUMNS($B$23:C86)),"")</f>
        <v/>
      </c>
      <c r="D87" s="55" t="str">
        <f t="array" ref="D87">IFERROR(INDEX('Paths database'!$Z$60:$AC$1991,'Paths database'!$AF123,COLUMNS($B$23:D86)),"")</f>
        <v/>
      </c>
      <c r="E87" s="64" t="str">
        <f t="array" ref="E87">IFERROR(INDEX('Paths database'!$Z$60:$AC$1991,'Paths database'!$AF123,COLUMNS($B$23:E86)),"")</f>
        <v/>
      </c>
      <c r="G87" s="55" t="str">
        <f t="array" aca="1" ref="G87" ca="1">IF(ROWS(G$24:G87)&gt;$F$24,"",INDEX(B$24:B$149,SMALL(IF(ISNUMBER($E$24:$E$149),ROW($E$24:$E$149)-ROW($E$24)+1),ROWS(G$24:G87))))</f>
        <v/>
      </c>
      <c r="H87" s="55" t="str">
        <f t="array" aca="1" ref="H87" ca="1">IF(ROWS(H$24:H87)&gt;$F$24,"",INDEX(E$24:E$149,SMALL(IF(ISNUMBER($E$24:$E$149),ROW($E$24:$E$149)-ROW($E$24)+1),ROWS(H$24:H87))))</f>
        <v/>
      </c>
      <c r="I87" s="55" t="str">
        <f t="shared" ca="1" si="0"/>
        <v/>
      </c>
      <c r="J87" s="55" t="str">
        <f t="shared" ca="1" si="1"/>
        <v/>
      </c>
      <c r="K87" s="55">
        <f t="shared" ca="1" si="2"/>
        <v>0.10257645640146593</v>
      </c>
    </row>
    <row r="88" spans="2:11" x14ac:dyDescent="0.25">
      <c r="B88" s="55" t="str">
        <f t="array" ref="B88">IFERROR(INDEX('Paths database'!$Z$60:$AC$1991,'Paths database'!$AF124,COLUMNS($B$23:B87)),"")</f>
        <v/>
      </c>
      <c r="C88" s="55" t="str">
        <f t="array" ref="C88">IFERROR(INDEX('Paths database'!$Z$60:$AC$1991,'Paths database'!$AF124,COLUMNS($B$23:C87)),"")</f>
        <v/>
      </c>
      <c r="D88" s="55" t="str">
        <f t="array" ref="D88">IFERROR(INDEX('Paths database'!$Z$60:$AC$1991,'Paths database'!$AF124,COLUMNS($B$23:D87)),"")</f>
        <v/>
      </c>
      <c r="E88" s="64" t="str">
        <f t="array" ref="E88">IFERROR(INDEX('Paths database'!$Z$60:$AC$1991,'Paths database'!$AF124,COLUMNS($B$23:E87)),"")</f>
        <v/>
      </c>
      <c r="G88" s="55" t="str">
        <f t="array" aca="1" ref="G88" ca="1">IF(ROWS(G$24:G88)&gt;$F$24,"",INDEX(B$24:B$149,SMALL(IF(ISNUMBER($E$24:$E$149),ROW($E$24:$E$149)-ROW($E$24)+1),ROWS(G$24:G88))))</f>
        <v/>
      </c>
      <c r="H88" s="55" t="str">
        <f t="array" aca="1" ref="H88" ca="1">IF(ROWS(H$24:H88)&gt;$F$24,"",INDEX(E$24:E$149,SMALL(IF(ISNUMBER($E$24:$E$149),ROW($E$24:$E$149)-ROW($E$24)+1),ROWS(H$24:H88))))</f>
        <v/>
      </c>
      <c r="I88" s="55" t="str">
        <f t="shared" ca="1" si="0"/>
        <v/>
      </c>
      <c r="J88" s="55" t="str">
        <f t="shared" ca="1" si="1"/>
        <v/>
      </c>
      <c r="K88" s="55">
        <f t="shared" ca="1" si="2"/>
        <v>0.10257645640146593</v>
      </c>
    </row>
    <row r="89" spans="2:11" x14ac:dyDescent="0.25">
      <c r="B89" s="55" t="str">
        <f t="array" ref="B89">IFERROR(INDEX('Paths database'!$Z$60:$AC$1991,'Paths database'!$AF125,COLUMNS($B$23:B88)),"")</f>
        <v/>
      </c>
      <c r="C89" s="55" t="str">
        <f t="array" ref="C89">IFERROR(INDEX('Paths database'!$Z$60:$AC$1991,'Paths database'!$AF125,COLUMNS($B$23:C88)),"")</f>
        <v/>
      </c>
      <c r="D89" s="55" t="str">
        <f t="array" ref="D89">IFERROR(INDEX('Paths database'!$Z$60:$AC$1991,'Paths database'!$AF125,COLUMNS($B$23:D88)),"")</f>
        <v/>
      </c>
      <c r="E89" s="64" t="str">
        <f t="array" ref="E89">IFERROR(INDEX('Paths database'!$Z$60:$AC$1991,'Paths database'!$AF125,COLUMNS($B$23:E88)),"")</f>
        <v/>
      </c>
      <c r="G89" s="55" t="str">
        <f t="array" aca="1" ref="G89" ca="1">IF(ROWS(G$24:G89)&gt;$F$24,"",INDEX(B$24:B$149,SMALL(IF(ISNUMBER($E$24:$E$149),ROW($E$24:$E$149)-ROW($E$24)+1),ROWS(G$24:G89))))</f>
        <v/>
      </c>
      <c r="H89" s="55" t="str">
        <f t="array" aca="1" ref="H89" ca="1">IF(ROWS(H$24:H89)&gt;$F$24,"",INDEX(E$24:E$149,SMALL(IF(ISNUMBER($E$24:$E$149),ROW($E$24:$E$149)-ROW($E$24)+1),ROWS(H$24:H89))))</f>
        <v/>
      </c>
      <c r="I89" s="55" t="str">
        <f t="shared" ref="I89:I149" ca="1" si="3">IF(H89&lt;K89,H89,"")</f>
        <v/>
      </c>
      <c r="J89" s="55" t="str">
        <f t="shared" ref="J89:J149" ca="1" si="4">IF(H89&gt;=K89,H89,"")</f>
        <v/>
      </c>
      <c r="K89" s="55">
        <f t="shared" ref="K89:K149" ca="1" si="5">IFERROR(AVERAGE(H$24:H$138),"")</f>
        <v>0.10257645640146593</v>
      </c>
    </row>
    <row r="90" spans="2:11" x14ac:dyDescent="0.25">
      <c r="B90" s="55" t="str">
        <f t="array" ref="B90">IFERROR(INDEX('Paths database'!$Z$60:$AC$1991,'Paths database'!$AF126,COLUMNS($B$23:B89)),"")</f>
        <v/>
      </c>
      <c r="C90" s="55" t="str">
        <f t="array" ref="C90">IFERROR(INDEX('Paths database'!$Z$60:$AC$1991,'Paths database'!$AF126,COLUMNS($B$23:C89)),"")</f>
        <v/>
      </c>
      <c r="D90" s="55" t="str">
        <f t="array" ref="D90">IFERROR(INDEX('Paths database'!$Z$60:$AC$1991,'Paths database'!$AF126,COLUMNS($B$23:D89)),"")</f>
        <v/>
      </c>
      <c r="E90" s="64" t="str">
        <f t="array" ref="E90">IFERROR(INDEX('Paths database'!$Z$60:$AC$1991,'Paths database'!$AF126,COLUMNS($B$23:E89)),"")</f>
        <v/>
      </c>
      <c r="G90" s="55" t="str">
        <f t="array" aca="1" ref="G90" ca="1">IF(ROWS(G$24:G90)&gt;$F$24,"",INDEX(B$24:B$149,SMALL(IF(ISNUMBER($E$24:$E$149),ROW($E$24:$E$149)-ROW($E$24)+1),ROWS(G$24:G90))))</f>
        <v/>
      </c>
      <c r="H90" s="55" t="str">
        <f t="array" aca="1" ref="H90" ca="1">IF(ROWS(H$24:H90)&gt;$F$24,"",INDEX(E$24:E$149,SMALL(IF(ISNUMBER($E$24:$E$149),ROW($E$24:$E$149)-ROW($E$24)+1),ROWS(H$24:H90))))</f>
        <v/>
      </c>
      <c r="I90" s="55" t="str">
        <f t="shared" ca="1" si="3"/>
        <v/>
      </c>
      <c r="J90" s="55" t="str">
        <f t="shared" ca="1" si="4"/>
        <v/>
      </c>
      <c r="K90" s="55">
        <f t="shared" ca="1" si="5"/>
        <v>0.10257645640146593</v>
      </c>
    </row>
    <row r="91" spans="2:11" x14ac:dyDescent="0.25">
      <c r="B91" s="55" t="str">
        <f t="array" ref="B91">IFERROR(INDEX('Paths database'!$Z$60:$AC$1991,'Paths database'!$AF127,COLUMNS($B$23:B90)),"")</f>
        <v/>
      </c>
      <c r="C91" s="55" t="str">
        <f t="array" ref="C91">IFERROR(INDEX('Paths database'!$Z$60:$AC$1991,'Paths database'!$AF127,COLUMNS($B$23:C90)),"")</f>
        <v/>
      </c>
      <c r="D91" s="55" t="str">
        <f t="array" ref="D91">IFERROR(INDEX('Paths database'!$Z$60:$AC$1991,'Paths database'!$AF127,COLUMNS($B$23:D90)),"")</f>
        <v/>
      </c>
      <c r="E91" s="64" t="str">
        <f t="array" ref="E91">IFERROR(INDEX('Paths database'!$Z$60:$AC$1991,'Paths database'!$AF127,COLUMNS($B$23:E90)),"")</f>
        <v/>
      </c>
      <c r="G91" s="55" t="str">
        <f t="array" aca="1" ref="G91" ca="1">IF(ROWS(G$24:G91)&gt;$F$24,"",INDEX(B$24:B$149,SMALL(IF(ISNUMBER($E$24:$E$149),ROW($E$24:$E$149)-ROW($E$24)+1),ROWS(G$24:G91))))</f>
        <v/>
      </c>
      <c r="H91" s="55" t="str">
        <f t="array" aca="1" ref="H91" ca="1">IF(ROWS(H$24:H91)&gt;$F$24,"",INDEX(E$24:E$149,SMALL(IF(ISNUMBER($E$24:$E$149),ROW($E$24:$E$149)-ROW($E$24)+1),ROWS(H$24:H91))))</f>
        <v/>
      </c>
      <c r="I91" s="55" t="str">
        <f t="shared" ca="1" si="3"/>
        <v/>
      </c>
      <c r="J91" s="55" t="str">
        <f t="shared" ca="1" si="4"/>
        <v/>
      </c>
      <c r="K91" s="55">
        <f t="shared" ca="1" si="5"/>
        <v>0.10257645640146593</v>
      </c>
    </row>
    <row r="92" spans="2:11" x14ac:dyDescent="0.25">
      <c r="B92" s="55" t="str">
        <f t="array" ref="B92">IFERROR(INDEX('Paths database'!$Z$60:$AC$1991,'Paths database'!$AF128,COLUMNS($B$23:B91)),"")</f>
        <v/>
      </c>
      <c r="C92" s="55" t="str">
        <f t="array" ref="C92">IFERROR(INDEX('Paths database'!$Z$60:$AC$1991,'Paths database'!$AF128,COLUMNS($B$23:C91)),"")</f>
        <v/>
      </c>
      <c r="D92" s="55" t="str">
        <f t="array" ref="D92">IFERROR(INDEX('Paths database'!$Z$60:$AC$1991,'Paths database'!$AF128,COLUMNS($B$23:D91)),"")</f>
        <v/>
      </c>
      <c r="E92" s="64" t="str">
        <f t="array" ref="E92">IFERROR(INDEX('Paths database'!$Z$60:$AC$1991,'Paths database'!$AF128,COLUMNS($B$23:E91)),"")</f>
        <v/>
      </c>
      <c r="G92" s="55" t="str">
        <f t="array" aca="1" ref="G92" ca="1">IF(ROWS(G$24:G92)&gt;$F$24,"",INDEX(B$24:B$149,SMALL(IF(ISNUMBER($E$24:$E$149),ROW($E$24:$E$149)-ROW($E$24)+1),ROWS(G$24:G92))))</f>
        <v/>
      </c>
      <c r="H92" s="55" t="str">
        <f t="array" aca="1" ref="H92" ca="1">IF(ROWS(H$24:H92)&gt;$F$24,"",INDEX(E$24:E$149,SMALL(IF(ISNUMBER($E$24:$E$149),ROW($E$24:$E$149)-ROW($E$24)+1),ROWS(H$24:H92))))</f>
        <v/>
      </c>
      <c r="I92" s="55" t="str">
        <f t="shared" ca="1" si="3"/>
        <v/>
      </c>
      <c r="J92" s="55" t="str">
        <f t="shared" ca="1" si="4"/>
        <v/>
      </c>
      <c r="K92" s="55">
        <f t="shared" ca="1" si="5"/>
        <v>0.10257645640146593</v>
      </c>
    </row>
    <row r="93" spans="2:11" x14ac:dyDescent="0.25">
      <c r="B93" s="55" t="str">
        <f t="array" ref="B93">IFERROR(INDEX('Paths database'!$Z$60:$AC$1991,'Paths database'!$AF129,COLUMNS($B$23:B92)),"")</f>
        <v/>
      </c>
      <c r="C93" s="55" t="str">
        <f t="array" ref="C93">IFERROR(INDEX('Paths database'!$Z$60:$AC$1991,'Paths database'!$AF129,COLUMNS($B$23:C92)),"")</f>
        <v/>
      </c>
      <c r="D93" s="55" t="str">
        <f t="array" ref="D93">IFERROR(INDEX('Paths database'!$Z$60:$AC$1991,'Paths database'!$AF129,COLUMNS($B$23:D92)),"")</f>
        <v/>
      </c>
      <c r="E93" s="64" t="str">
        <f t="array" ref="E93">IFERROR(INDEX('Paths database'!$Z$60:$AC$1991,'Paths database'!$AF129,COLUMNS($B$23:E92)),"")</f>
        <v/>
      </c>
      <c r="G93" s="55" t="str">
        <f t="array" aca="1" ref="G93" ca="1">IF(ROWS(G$24:G93)&gt;$F$24,"",INDEX(B$24:B$149,SMALL(IF(ISNUMBER($E$24:$E$149),ROW($E$24:$E$149)-ROW($E$24)+1),ROWS(G$24:G93))))</f>
        <v/>
      </c>
      <c r="H93" s="55" t="str">
        <f t="array" aca="1" ref="H93" ca="1">IF(ROWS(H$24:H93)&gt;$F$24,"",INDEX(E$24:E$149,SMALL(IF(ISNUMBER($E$24:$E$149),ROW($E$24:$E$149)-ROW($E$24)+1),ROWS(H$24:H93))))</f>
        <v/>
      </c>
      <c r="I93" s="55" t="str">
        <f t="shared" ca="1" si="3"/>
        <v/>
      </c>
      <c r="J93" s="55" t="str">
        <f t="shared" ca="1" si="4"/>
        <v/>
      </c>
      <c r="K93" s="55">
        <f t="shared" ca="1" si="5"/>
        <v>0.10257645640146593</v>
      </c>
    </row>
    <row r="94" spans="2:11" x14ac:dyDescent="0.25">
      <c r="B94" s="55" t="str">
        <f t="array" ref="B94">IFERROR(INDEX('Paths database'!$Z$60:$AC$1991,'Paths database'!$AF130,COLUMNS($B$23:B93)),"")</f>
        <v/>
      </c>
      <c r="C94" s="55" t="str">
        <f t="array" ref="C94">IFERROR(INDEX('Paths database'!$Z$60:$AC$1991,'Paths database'!$AF130,COLUMNS($B$23:C93)),"")</f>
        <v/>
      </c>
      <c r="D94" s="55" t="str">
        <f t="array" ref="D94">IFERROR(INDEX('Paths database'!$Z$60:$AC$1991,'Paths database'!$AF130,COLUMNS($B$23:D93)),"")</f>
        <v/>
      </c>
      <c r="E94" s="64" t="str">
        <f t="array" ref="E94">IFERROR(INDEX('Paths database'!$Z$60:$AC$1991,'Paths database'!$AF130,COLUMNS($B$23:E93)),"")</f>
        <v/>
      </c>
      <c r="G94" s="55" t="str">
        <f t="array" aca="1" ref="G94" ca="1">IF(ROWS(G$24:G94)&gt;$F$24,"",INDEX(B$24:B$149,SMALL(IF(ISNUMBER($E$24:$E$149),ROW($E$24:$E$149)-ROW($E$24)+1),ROWS(G$24:G94))))</f>
        <v/>
      </c>
      <c r="H94" s="55" t="str">
        <f t="array" aca="1" ref="H94" ca="1">IF(ROWS(H$24:H94)&gt;$F$24,"",INDEX(E$24:E$149,SMALL(IF(ISNUMBER($E$24:$E$149),ROW($E$24:$E$149)-ROW($E$24)+1),ROWS(H$24:H94))))</f>
        <v/>
      </c>
      <c r="I94" s="55" t="str">
        <f t="shared" ca="1" si="3"/>
        <v/>
      </c>
      <c r="J94" s="55" t="str">
        <f t="shared" ca="1" si="4"/>
        <v/>
      </c>
      <c r="K94" s="55">
        <f t="shared" ca="1" si="5"/>
        <v>0.10257645640146593</v>
      </c>
    </row>
    <row r="95" spans="2:11" x14ac:dyDescent="0.25">
      <c r="B95" s="55" t="str">
        <f t="array" ref="B95">IFERROR(INDEX('Paths database'!$Z$60:$AC$1991,'Paths database'!$AF131,COLUMNS($B$23:B94)),"")</f>
        <v/>
      </c>
      <c r="C95" s="55" t="str">
        <f t="array" ref="C95">IFERROR(INDEX('Paths database'!$Z$60:$AC$1991,'Paths database'!$AF131,COLUMNS($B$23:C94)),"")</f>
        <v/>
      </c>
      <c r="D95" s="55" t="str">
        <f t="array" ref="D95">IFERROR(INDEX('Paths database'!$Z$60:$AC$1991,'Paths database'!$AF131,COLUMNS($B$23:D94)),"")</f>
        <v/>
      </c>
      <c r="E95" s="64" t="str">
        <f t="array" ref="E95">IFERROR(INDEX('Paths database'!$Z$60:$AC$1991,'Paths database'!$AF131,COLUMNS($B$23:E94)),"")</f>
        <v/>
      </c>
      <c r="G95" s="55" t="str">
        <f t="array" aca="1" ref="G95" ca="1">IF(ROWS(G$24:G95)&gt;$F$24,"",INDEX(B$24:B$149,SMALL(IF(ISNUMBER($E$24:$E$149),ROW($E$24:$E$149)-ROW($E$24)+1),ROWS(G$24:G95))))</f>
        <v/>
      </c>
      <c r="H95" s="55" t="str">
        <f t="array" aca="1" ref="H95" ca="1">IF(ROWS(H$24:H95)&gt;$F$24,"",INDEX(E$24:E$149,SMALL(IF(ISNUMBER($E$24:$E$149),ROW($E$24:$E$149)-ROW($E$24)+1),ROWS(H$24:H95))))</f>
        <v/>
      </c>
      <c r="I95" s="55" t="str">
        <f t="shared" ca="1" si="3"/>
        <v/>
      </c>
      <c r="J95" s="55" t="str">
        <f t="shared" ca="1" si="4"/>
        <v/>
      </c>
      <c r="K95" s="55">
        <f t="shared" ca="1" si="5"/>
        <v>0.10257645640146593</v>
      </c>
    </row>
    <row r="96" spans="2:11" x14ac:dyDescent="0.25">
      <c r="B96" s="55" t="str">
        <f t="array" ref="B96">IFERROR(INDEX('Paths database'!$Z$60:$AC$1991,'Paths database'!$AF132,COLUMNS($B$23:B95)),"")</f>
        <v/>
      </c>
      <c r="C96" s="55" t="str">
        <f t="array" ref="C96">IFERROR(INDEX('Paths database'!$Z$60:$AC$1991,'Paths database'!$AF132,COLUMNS($B$23:C95)),"")</f>
        <v/>
      </c>
      <c r="D96" s="55" t="str">
        <f t="array" ref="D96">IFERROR(INDEX('Paths database'!$Z$60:$AC$1991,'Paths database'!$AF132,COLUMNS($B$23:D95)),"")</f>
        <v/>
      </c>
      <c r="E96" s="64" t="str">
        <f t="array" ref="E96">IFERROR(INDEX('Paths database'!$Z$60:$AC$1991,'Paths database'!$AF132,COLUMNS($B$23:E95)),"")</f>
        <v/>
      </c>
      <c r="G96" s="55" t="str">
        <f t="array" aca="1" ref="G96" ca="1">IF(ROWS(G$24:G96)&gt;$F$24,"",INDEX(B$24:B$149,SMALL(IF(ISNUMBER($E$24:$E$149),ROW($E$24:$E$149)-ROW($E$24)+1),ROWS(G$24:G96))))</f>
        <v/>
      </c>
      <c r="H96" s="55" t="str">
        <f t="array" aca="1" ref="H96" ca="1">IF(ROWS(H$24:H96)&gt;$F$24,"",INDEX(E$24:E$149,SMALL(IF(ISNUMBER($E$24:$E$149),ROW($E$24:$E$149)-ROW($E$24)+1),ROWS(H$24:H96))))</f>
        <v/>
      </c>
      <c r="I96" s="55" t="str">
        <f t="shared" ca="1" si="3"/>
        <v/>
      </c>
      <c r="J96" s="55" t="str">
        <f t="shared" ca="1" si="4"/>
        <v/>
      </c>
      <c r="K96" s="55">
        <f t="shared" ca="1" si="5"/>
        <v>0.10257645640146593</v>
      </c>
    </row>
    <row r="97" spans="2:18" x14ac:dyDescent="0.25">
      <c r="B97" s="55" t="str">
        <f t="array" ref="B97">IFERROR(INDEX('Paths database'!$Z$60:$AC$1991,'Paths database'!$AF133,COLUMNS($B$23:B96)),"")</f>
        <v/>
      </c>
      <c r="C97" s="55" t="str">
        <f t="array" ref="C97">IFERROR(INDEX('Paths database'!$Z$60:$AC$1991,'Paths database'!$AF133,COLUMNS($B$23:C96)),"")</f>
        <v/>
      </c>
      <c r="D97" s="55" t="str">
        <f t="array" ref="D97">IFERROR(INDEX('Paths database'!$Z$60:$AC$1991,'Paths database'!$AF133,COLUMNS($B$23:D96)),"")</f>
        <v/>
      </c>
      <c r="E97" s="64" t="str">
        <f t="array" ref="E97">IFERROR(INDEX('Paths database'!$Z$60:$AC$1991,'Paths database'!$AF133,COLUMNS($B$23:E96)),"")</f>
        <v/>
      </c>
      <c r="G97" s="55" t="str">
        <f t="array" aca="1" ref="G97" ca="1">IF(ROWS(G$24:G97)&gt;$F$24,"",INDEX(B$24:B$149,SMALL(IF(ISNUMBER($E$24:$E$149),ROW($E$24:$E$149)-ROW($E$24)+1),ROWS(G$24:G97))))</f>
        <v/>
      </c>
      <c r="H97" s="55" t="str">
        <f t="array" aca="1" ref="H97" ca="1">IF(ROWS(H$24:H97)&gt;$F$24,"",INDEX(E$24:E$149,SMALL(IF(ISNUMBER($E$24:$E$149),ROW($E$24:$E$149)-ROW($E$24)+1),ROWS(H$24:H97))))</f>
        <v/>
      </c>
      <c r="I97" s="55" t="str">
        <f t="shared" ca="1" si="3"/>
        <v/>
      </c>
      <c r="J97" s="55" t="str">
        <f t="shared" ca="1" si="4"/>
        <v/>
      </c>
      <c r="K97" s="55">
        <f t="shared" ca="1" si="5"/>
        <v>0.10257645640146593</v>
      </c>
    </row>
    <row r="98" spans="2:18" x14ac:dyDescent="0.25">
      <c r="B98" s="55" t="str">
        <f t="array" ref="B98">IFERROR(INDEX('Paths database'!$Z$60:$AC$1991,'Paths database'!$AF134,COLUMNS($B$23:B97)),"")</f>
        <v/>
      </c>
      <c r="C98" s="55" t="str">
        <f t="array" ref="C98">IFERROR(INDEX('Paths database'!$Z$60:$AC$1991,'Paths database'!$AF134,COLUMNS($B$23:C97)),"")</f>
        <v/>
      </c>
      <c r="D98" s="55" t="str">
        <f t="array" ref="D98">IFERROR(INDEX('Paths database'!$Z$60:$AC$1991,'Paths database'!$AF134,COLUMNS($B$23:D97)),"")</f>
        <v/>
      </c>
      <c r="E98" s="64" t="str">
        <f t="array" ref="E98">IFERROR(INDEX('Paths database'!$Z$60:$AC$1991,'Paths database'!$AF134,COLUMNS($B$23:E97)),"")</f>
        <v/>
      </c>
      <c r="G98" s="55" t="str">
        <f t="array" aca="1" ref="G98" ca="1">IF(ROWS(G$24:G98)&gt;$F$24,"",INDEX(B$24:B$149,SMALL(IF(ISNUMBER($E$24:$E$149),ROW($E$24:$E$149)-ROW($E$24)+1),ROWS(G$24:G98))))</f>
        <v/>
      </c>
      <c r="H98" s="55" t="str">
        <f t="array" aca="1" ref="H98" ca="1">IF(ROWS(H$24:H98)&gt;$F$24,"",INDEX(E$24:E$149,SMALL(IF(ISNUMBER($E$24:$E$149),ROW($E$24:$E$149)-ROW($E$24)+1),ROWS(H$24:H98))))</f>
        <v/>
      </c>
      <c r="I98" s="55" t="str">
        <f t="shared" ca="1" si="3"/>
        <v/>
      </c>
      <c r="J98" s="55" t="str">
        <f t="shared" ca="1" si="4"/>
        <v/>
      </c>
      <c r="K98" s="55">
        <f t="shared" ca="1" si="5"/>
        <v>0.10257645640146593</v>
      </c>
    </row>
    <row r="99" spans="2:18" x14ac:dyDescent="0.25">
      <c r="B99" s="55" t="str">
        <f t="array" ref="B99">IFERROR(INDEX('Paths database'!$Z$60:$AC$1991,'Paths database'!$AF135,COLUMNS($B$23:B98)),"")</f>
        <v/>
      </c>
      <c r="C99" s="55" t="str">
        <f t="array" ref="C99">IFERROR(INDEX('Paths database'!$Z$60:$AC$1991,'Paths database'!$AF135,COLUMNS($B$23:C98)),"")</f>
        <v/>
      </c>
      <c r="D99" s="55" t="str">
        <f t="array" ref="D99">IFERROR(INDEX('Paths database'!$Z$60:$AC$1991,'Paths database'!$AF135,COLUMNS($B$23:D98)),"")</f>
        <v/>
      </c>
      <c r="E99" s="64" t="str">
        <f t="array" ref="E99">IFERROR(INDEX('Paths database'!$Z$60:$AC$1991,'Paths database'!$AF135,COLUMNS($B$23:E98)),"")</f>
        <v/>
      </c>
      <c r="G99" s="55" t="str">
        <f t="array" aca="1" ref="G99" ca="1">IF(ROWS(G$24:G99)&gt;$F$24,"",INDEX(B$24:B$149,SMALL(IF(ISNUMBER($E$24:$E$149),ROW($E$24:$E$149)-ROW($E$24)+1),ROWS(G$24:G99))))</f>
        <v/>
      </c>
      <c r="H99" s="55" t="str">
        <f t="array" aca="1" ref="H99" ca="1">IF(ROWS(H$24:H99)&gt;$F$24,"",INDEX(E$24:E$149,SMALL(IF(ISNUMBER($E$24:$E$149),ROW($E$24:$E$149)-ROW($E$24)+1),ROWS(H$24:H99))))</f>
        <v/>
      </c>
      <c r="I99" s="55" t="str">
        <f t="shared" ca="1" si="3"/>
        <v/>
      </c>
      <c r="J99" s="55" t="str">
        <f t="shared" ca="1" si="4"/>
        <v/>
      </c>
      <c r="K99" s="55">
        <f t="shared" ca="1" si="5"/>
        <v>0.10257645640146593</v>
      </c>
    </row>
    <row r="100" spans="2:18" x14ac:dyDescent="0.25">
      <c r="B100" s="55" t="str">
        <f t="array" ref="B100">IFERROR(INDEX('Paths database'!$Z$60:$AC$1991,'Paths database'!$AF136,COLUMNS($B$23:B99)),"")</f>
        <v/>
      </c>
      <c r="C100" s="55" t="str">
        <f t="array" ref="C100">IFERROR(INDEX('Paths database'!$Z$60:$AC$1991,'Paths database'!$AF136,COLUMNS($B$23:C99)),"")</f>
        <v/>
      </c>
      <c r="D100" s="55" t="str">
        <f t="array" ref="D100">IFERROR(INDEX('Paths database'!$Z$60:$AC$1991,'Paths database'!$AF136,COLUMNS($B$23:D99)),"")</f>
        <v/>
      </c>
      <c r="E100" s="64" t="str">
        <f t="array" ref="E100">IFERROR(INDEX('Paths database'!$Z$60:$AC$1991,'Paths database'!$AF136,COLUMNS($B$23:E99)),"")</f>
        <v/>
      </c>
      <c r="G100" s="55" t="str">
        <f t="array" aca="1" ref="G100" ca="1">IF(ROWS(G$24:G100)&gt;$F$24,"",INDEX(B$24:B$149,SMALL(IF(ISNUMBER($E$24:$E$149),ROW($E$24:$E$149)-ROW($E$24)+1),ROWS(G$24:G100))))</f>
        <v/>
      </c>
      <c r="H100" s="55" t="str">
        <f t="array" aca="1" ref="H100" ca="1">IF(ROWS(H$24:H100)&gt;$F$24,"",INDEX(E$24:E$149,SMALL(IF(ISNUMBER($E$24:$E$149),ROW($E$24:$E$149)-ROW($E$24)+1),ROWS(H$24:H100))))</f>
        <v/>
      </c>
      <c r="I100" s="55" t="str">
        <f t="shared" ca="1" si="3"/>
        <v/>
      </c>
      <c r="J100" s="55" t="str">
        <f t="shared" ca="1" si="4"/>
        <v/>
      </c>
      <c r="K100" s="55">
        <f t="shared" ca="1" si="5"/>
        <v>0.10257645640146593</v>
      </c>
    </row>
    <row r="101" spans="2:18" x14ac:dyDescent="0.25">
      <c r="B101" s="55" t="str">
        <f t="array" ref="B101">IFERROR(INDEX('Paths database'!$Z$60:$AC$1991,'Paths database'!$AF137,COLUMNS($B$23:B100)),"")</f>
        <v/>
      </c>
      <c r="C101" s="55" t="str">
        <f t="array" ref="C101">IFERROR(INDEX('Paths database'!$Z$60:$AC$1991,'Paths database'!$AF137,COLUMNS($B$23:C100)),"")</f>
        <v/>
      </c>
      <c r="D101" s="55" t="str">
        <f t="array" ref="D101">IFERROR(INDEX('Paths database'!$Z$60:$AC$1991,'Paths database'!$AF137,COLUMNS($B$23:D100)),"")</f>
        <v/>
      </c>
      <c r="E101" s="64" t="str">
        <f t="array" ref="E101">IFERROR(INDEX('Paths database'!$Z$60:$AC$1991,'Paths database'!$AF137,COLUMNS($B$23:E100)),"")</f>
        <v/>
      </c>
      <c r="G101" s="55" t="str">
        <f t="array" aca="1" ref="G101" ca="1">IF(ROWS(G$24:G101)&gt;$F$24,"",INDEX(B$24:B$149,SMALL(IF(ISNUMBER($E$24:$E$149),ROW($E$24:$E$149)-ROW($E$24)+1),ROWS(G$24:G101))))</f>
        <v/>
      </c>
      <c r="H101" s="55" t="str">
        <f t="array" aca="1" ref="H101" ca="1">IF(ROWS(H$24:H101)&gt;$F$24,"",INDEX(E$24:E$149,SMALL(IF(ISNUMBER($E$24:$E$149),ROW($E$24:$E$149)-ROW($E$24)+1),ROWS(H$24:H101))))</f>
        <v/>
      </c>
      <c r="I101" s="55" t="str">
        <f t="shared" ca="1" si="3"/>
        <v/>
      </c>
      <c r="J101" s="55" t="str">
        <f t="shared" ca="1" si="4"/>
        <v/>
      </c>
      <c r="K101" s="55">
        <f t="shared" ca="1" si="5"/>
        <v>0.10257645640146593</v>
      </c>
    </row>
    <row r="102" spans="2:18" x14ac:dyDescent="0.25">
      <c r="B102" s="55" t="str">
        <f t="array" ref="B102">IFERROR(INDEX('Paths database'!$Z$60:$AC$1991,'Paths database'!$AF138,COLUMNS($B$23:B101)),"")</f>
        <v/>
      </c>
      <c r="C102" s="55" t="str">
        <f t="array" ref="C102">IFERROR(INDEX('Paths database'!$Z$60:$AC$1991,'Paths database'!$AF138,COLUMNS($B$23:C101)),"")</f>
        <v/>
      </c>
      <c r="D102" s="55" t="str">
        <f t="array" ref="D102">IFERROR(INDEX('Paths database'!$Z$60:$AC$1991,'Paths database'!$AF138,COLUMNS($B$23:D101)),"")</f>
        <v/>
      </c>
      <c r="E102" s="64" t="str">
        <f t="array" ref="E102">IFERROR(INDEX('Paths database'!$Z$60:$AC$1991,'Paths database'!$AF138,COLUMNS($B$23:E101)),"")</f>
        <v/>
      </c>
      <c r="G102" s="55" t="str">
        <f t="array" aca="1" ref="G102" ca="1">IF(ROWS(G$24:G102)&gt;$F$24,"",INDEX(B$24:B$149,SMALL(IF(ISNUMBER($E$24:$E$149),ROW($E$24:$E$149)-ROW($E$24)+1),ROWS(G$24:G102))))</f>
        <v/>
      </c>
      <c r="H102" s="55" t="str">
        <f t="array" aca="1" ref="H102" ca="1">IF(ROWS(H$24:H102)&gt;$F$24,"",INDEX(E$24:E$149,SMALL(IF(ISNUMBER($E$24:$E$149),ROW($E$24:$E$149)-ROW($E$24)+1),ROWS(H$24:H102))))</f>
        <v/>
      </c>
      <c r="I102" s="55" t="str">
        <f t="shared" ca="1" si="3"/>
        <v/>
      </c>
      <c r="J102" s="55" t="str">
        <f t="shared" ca="1" si="4"/>
        <v/>
      </c>
      <c r="K102" s="55">
        <f t="shared" ca="1" si="5"/>
        <v>0.10257645640146593</v>
      </c>
    </row>
    <row r="103" spans="2:18" x14ac:dyDescent="0.25">
      <c r="B103" s="55" t="str">
        <f t="array" ref="B103">IFERROR(INDEX('Paths database'!$Z$60:$AC$1991,'Paths database'!$AF139,COLUMNS($B$23:B102)),"")</f>
        <v/>
      </c>
      <c r="C103" s="55" t="str">
        <f t="array" ref="C103">IFERROR(INDEX('Paths database'!$Z$60:$AC$1991,'Paths database'!$AF139,COLUMNS($B$23:C102)),"")</f>
        <v/>
      </c>
      <c r="D103" s="55" t="str">
        <f t="array" ref="D103">IFERROR(INDEX('Paths database'!$Z$60:$AC$1991,'Paths database'!$AF139,COLUMNS($B$23:D102)),"")</f>
        <v/>
      </c>
      <c r="E103" s="64" t="str">
        <f t="array" ref="E103">IFERROR(INDEX('Paths database'!$Z$60:$AC$1991,'Paths database'!$AF139,COLUMNS($B$23:E102)),"")</f>
        <v/>
      </c>
      <c r="G103" s="55" t="str">
        <f t="array" aca="1" ref="G103" ca="1">IF(ROWS(G$24:G103)&gt;$F$24,"",INDEX(B$24:B$149,SMALL(IF(ISNUMBER($E$24:$E$149),ROW($E$24:$E$149)-ROW($E$24)+1),ROWS(G$24:G103))))</f>
        <v/>
      </c>
      <c r="H103" s="55" t="str">
        <f t="array" aca="1" ref="H103" ca="1">IF(ROWS(H$24:H103)&gt;$F$24,"",INDEX(E$24:E$149,SMALL(IF(ISNUMBER($E$24:$E$149),ROW($E$24:$E$149)-ROW($E$24)+1),ROWS(H$24:H103))))</f>
        <v/>
      </c>
      <c r="I103" s="55" t="str">
        <f t="shared" ca="1" si="3"/>
        <v/>
      </c>
      <c r="J103" s="55" t="str">
        <f t="shared" ca="1" si="4"/>
        <v/>
      </c>
      <c r="K103" s="55">
        <f t="shared" ca="1" si="5"/>
        <v>0.10257645640146593</v>
      </c>
    </row>
    <row r="104" spans="2:18" x14ac:dyDescent="0.25">
      <c r="B104" s="55" t="str">
        <f t="array" ref="B104">IFERROR(INDEX('Paths database'!$Z$60:$AC$1991,'Paths database'!$AF140,COLUMNS($B$23:B103)),"")</f>
        <v/>
      </c>
      <c r="C104" s="55" t="str">
        <f t="array" ref="C104">IFERROR(INDEX('Paths database'!$Z$60:$AC$1991,'Paths database'!$AF140,COLUMNS($B$23:C103)),"")</f>
        <v/>
      </c>
      <c r="D104" s="55" t="str">
        <f t="array" ref="D104">IFERROR(INDEX('Paths database'!$Z$60:$AC$1991,'Paths database'!$AF140,COLUMNS($B$23:D103)),"")</f>
        <v/>
      </c>
      <c r="E104" s="64" t="str">
        <f t="array" ref="E104">IFERROR(INDEX('Paths database'!$Z$60:$AC$1991,'Paths database'!$AF140,COLUMNS($B$23:E103)),"")</f>
        <v/>
      </c>
      <c r="G104" s="55" t="str">
        <f t="array" aca="1" ref="G104" ca="1">IF(ROWS(G$24:G104)&gt;$F$24,"",INDEX(B$24:B$149,SMALL(IF(ISNUMBER($E$24:$E$149),ROW($E$24:$E$149)-ROW($E$24)+1),ROWS(G$24:G104))))</f>
        <v/>
      </c>
      <c r="H104" s="55" t="str">
        <f t="array" aca="1" ref="H104" ca="1">IF(ROWS(H$24:H104)&gt;$F$24,"",INDEX(E$24:E$149,SMALL(IF(ISNUMBER($E$24:$E$149),ROW($E$24:$E$149)-ROW($E$24)+1),ROWS(H$24:H104))))</f>
        <v/>
      </c>
      <c r="I104" s="55" t="str">
        <f t="shared" ca="1" si="3"/>
        <v/>
      </c>
      <c r="J104" s="55" t="str">
        <f t="shared" ca="1" si="4"/>
        <v/>
      </c>
      <c r="K104" s="55">
        <f t="shared" ca="1" si="5"/>
        <v>0.10257645640146593</v>
      </c>
    </row>
    <row r="105" spans="2:18" x14ac:dyDescent="0.25">
      <c r="B105" s="55" t="str">
        <f t="array" ref="B105">IFERROR(INDEX('Paths database'!$Z$60:$AC$1991,'Paths database'!$AF141,COLUMNS($B$23:B104)),"")</f>
        <v/>
      </c>
      <c r="C105" s="55" t="str">
        <f t="array" ref="C105">IFERROR(INDEX('Paths database'!$Z$60:$AC$1991,'Paths database'!$AF141,COLUMNS($B$23:C104)),"")</f>
        <v/>
      </c>
      <c r="D105" s="55" t="str">
        <f t="array" ref="D105">IFERROR(INDEX('Paths database'!$Z$60:$AC$1991,'Paths database'!$AF141,COLUMNS($B$23:D104)),"")</f>
        <v/>
      </c>
      <c r="E105" s="64" t="str">
        <f t="array" ref="E105">IFERROR(INDEX('Paths database'!$Z$60:$AC$1991,'Paths database'!$AF141,COLUMNS($B$23:E104)),"")</f>
        <v/>
      </c>
      <c r="G105" s="55" t="str">
        <f t="array" aca="1" ref="G105" ca="1">IF(ROWS(G$24:G105)&gt;$F$24,"",INDEX(B$24:B$149,SMALL(IF(ISNUMBER($E$24:$E$149),ROW($E$24:$E$149)-ROW($E$24)+1),ROWS(G$24:G105))))</f>
        <v/>
      </c>
      <c r="H105" s="55" t="str">
        <f t="array" aca="1" ref="H105" ca="1">IF(ROWS(H$24:H105)&gt;$F$24,"",INDEX(E$24:E$149,SMALL(IF(ISNUMBER($E$24:$E$149),ROW($E$24:$E$149)-ROW($E$24)+1),ROWS(H$24:H105))))</f>
        <v/>
      </c>
      <c r="I105" s="55" t="str">
        <f t="shared" ca="1" si="3"/>
        <v/>
      </c>
      <c r="J105" s="55" t="str">
        <f t="shared" ca="1" si="4"/>
        <v/>
      </c>
      <c r="K105" s="55">
        <f t="shared" ca="1" si="5"/>
        <v>0.10257645640146593</v>
      </c>
    </row>
    <row r="106" spans="2:18" x14ac:dyDescent="0.25">
      <c r="B106" s="55" t="str">
        <f t="array" ref="B106">IFERROR(INDEX('Paths database'!$Z$60:$AC$1991,'Paths database'!$AF142,COLUMNS($B$23:B105)),"")</f>
        <v/>
      </c>
      <c r="C106" s="55" t="str">
        <f t="array" ref="C106">IFERROR(INDEX('Paths database'!$Z$60:$AC$1991,'Paths database'!$AF142,COLUMNS($B$23:C105)),"")</f>
        <v/>
      </c>
      <c r="D106" s="55" t="str">
        <f t="array" ref="D106">IFERROR(INDEX('Paths database'!$Z$60:$AC$1991,'Paths database'!$AF142,COLUMNS($B$23:D105)),"")</f>
        <v/>
      </c>
      <c r="E106" s="64" t="str">
        <f t="array" ref="E106">IFERROR(INDEX('Paths database'!$Z$60:$AC$1991,'Paths database'!$AF142,COLUMNS($B$23:E105)),"")</f>
        <v/>
      </c>
      <c r="G106" s="55" t="str">
        <f t="array" aca="1" ref="G106" ca="1">IF(ROWS(G$24:G106)&gt;$F$24,"",INDEX(B$24:B$149,SMALL(IF(ISNUMBER($E$24:$E$149),ROW($E$24:$E$149)-ROW($E$24)+1),ROWS(G$24:G106))))</f>
        <v/>
      </c>
      <c r="H106" s="55" t="str">
        <f t="array" aca="1" ref="H106" ca="1">IF(ROWS(H$24:H106)&gt;$F$24,"",INDEX(E$24:E$149,SMALL(IF(ISNUMBER($E$24:$E$149),ROW($E$24:$E$149)-ROW($E$24)+1),ROWS(H$24:H106))))</f>
        <v/>
      </c>
      <c r="I106" s="55" t="str">
        <f t="shared" ca="1" si="3"/>
        <v/>
      </c>
      <c r="J106" s="55" t="str">
        <f t="shared" ca="1" si="4"/>
        <v/>
      </c>
      <c r="K106" s="55">
        <f t="shared" ca="1" si="5"/>
        <v>0.10257645640146593</v>
      </c>
    </row>
    <row r="107" spans="2:18" x14ac:dyDescent="0.25">
      <c r="B107" s="55" t="str">
        <f t="array" ref="B107">IFERROR(INDEX('Paths database'!$Z$60:$AC$1991,'Paths database'!$AF143,COLUMNS($B$23:B106)),"")</f>
        <v/>
      </c>
      <c r="C107" s="55" t="str">
        <f t="array" ref="C107">IFERROR(INDEX('Paths database'!$Z$60:$AC$1991,'Paths database'!$AF143,COLUMNS($B$23:C106)),"")</f>
        <v/>
      </c>
      <c r="D107" s="55" t="str">
        <f t="array" ref="D107">IFERROR(INDEX('Paths database'!$Z$60:$AC$1991,'Paths database'!$AF143,COLUMNS($B$23:D106)),"")</f>
        <v/>
      </c>
      <c r="E107" s="64" t="str">
        <f t="array" ref="E107">IFERROR(INDEX('Paths database'!$Z$60:$AC$1991,'Paths database'!$AF143,COLUMNS($B$23:E106)),"")</f>
        <v/>
      </c>
      <c r="G107" s="55" t="str">
        <f t="array" aca="1" ref="G107" ca="1">IF(ROWS(G$24:G107)&gt;$F$24,"",INDEX(B$24:B$149,SMALL(IF(ISNUMBER($E$24:$E$149),ROW($E$24:$E$149)-ROW($E$24)+1),ROWS(G$24:G107))))</f>
        <v/>
      </c>
      <c r="H107" s="55" t="str">
        <f t="array" aca="1" ref="H107" ca="1">IF(ROWS(H$24:H107)&gt;$F$24,"",INDEX(E$24:E$149,SMALL(IF(ISNUMBER($E$24:$E$149),ROW($E$24:$E$149)-ROW($E$24)+1),ROWS(H$24:H107))))</f>
        <v/>
      </c>
      <c r="I107" s="55" t="str">
        <f t="shared" ca="1" si="3"/>
        <v/>
      </c>
      <c r="J107" s="55" t="str">
        <f t="shared" ca="1" si="4"/>
        <v/>
      </c>
      <c r="K107" s="55">
        <f t="shared" ca="1" si="5"/>
        <v>0.10257645640146593</v>
      </c>
    </row>
    <row r="108" spans="2:18" s="67" customFormat="1" x14ac:dyDescent="0.25">
      <c r="B108" s="55" t="str">
        <f t="array" ref="B108">IFERROR(INDEX('Paths database'!$Z$60:$AC$1991,'Paths database'!$AF144,COLUMNS($B$23:B107)),"")</f>
        <v/>
      </c>
      <c r="C108" s="55" t="str">
        <f t="array" ref="C108">IFERROR(INDEX('Paths database'!$Z$60:$AC$1991,'Paths database'!$AF144,COLUMNS($B$23:C107)),"")</f>
        <v/>
      </c>
      <c r="D108" s="55" t="str">
        <f t="array" ref="D108">IFERROR(INDEX('Paths database'!$Z$60:$AC$1991,'Paths database'!$AF144,COLUMNS($B$23:D107)),"")</f>
        <v/>
      </c>
      <c r="E108" s="64" t="str">
        <f t="array" ref="E108">IFERROR(INDEX('Paths database'!$Z$60:$AC$1991,'Paths database'!$AF144,COLUMNS($B$23:E107)),"")</f>
        <v/>
      </c>
      <c r="G108" s="55" t="str">
        <f t="array" aca="1" ref="G108" ca="1">IF(ROWS(G$24:G108)&gt;$F$24,"",INDEX(B$24:B$149,SMALL(IF(ISNUMBER($E$24:$E$149),ROW($E$24:$E$149)-ROW($E$24)+1),ROWS(G$24:G108))))</f>
        <v/>
      </c>
      <c r="H108" s="55" t="str">
        <f t="array" aca="1" ref="H108" ca="1">IF(ROWS(H$24:H108)&gt;$F$24,"",INDEX(E$24:E$149,SMALL(IF(ISNUMBER($E$24:$E$149),ROW($E$24:$E$149)-ROW($E$24)+1),ROWS(H$24:H108))))</f>
        <v/>
      </c>
      <c r="I108" s="55" t="str">
        <f t="shared" ca="1" si="3"/>
        <v/>
      </c>
      <c r="J108" s="55" t="str">
        <f t="shared" ca="1" si="4"/>
        <v/>
      </c>
      <c r="K108" s="55">
        <f t="shared" ca="1" si="5"/>
        <v>0.10257645640146593</v>
      </c>
      <c r="M108"/>
      <c r="Q108"/>
      <c r="R108"/>
    </row>
    <row r="109" spans="2:18" s="67" customFormat="1" x14ac:dyDescent="0.25">
      <c r="B109" s="55" t="str">
        <f t="array" ref="B109">IFERROR(INDEX('Paths database'!$Z$60:$AC$1991,'Paths database'!$AF145,COLUMNS($B$23:B108)),"")</f>
        <v/>
      </c>
      <c r="C109" s="55" t="str">
        <f t="array" ref="C109">IFERROR(INDEX('Paths database'!$Z$60:$AC$1991,'Paths database'!$AF145,COLUMNS($B$23:C108)),"")</f>
        <v/>
      </c>
      <c r="D109" s="55" t="str">
        <f t="array" ref="D109">IFERROR(INDEX('Paths database'!$Z$60:$AC$1991,'Paths database'!$AF145,COLUMNS($B$23:D108)),"")</f>
        <v/>
      </c>
      <c r="E109" s="64" t="str">
        <f t="array" ref="E109">IFERROR(INDEX('Paths database'!$Z$60:$AC$1991,'Paths database'!$AF145,COLUMNS($B$23:E108)),"")</f>
        <v/>
      </c>
      <c r="G109" s="55" t="str">
        <f t="array" aca="1" ref="G109" ca="1">IF(ROWS(G$24:G109)&gt;$F$24,"",INDEX(B$24:B$149,SMALL(IF(ISNUMBER($E$24:$E$149),ROW($E$24:$E$149)-ROW($E$24)+1),ROWS(G$24:G109))))</f>
        <v/>
      </c>
      <c r="H109" s="55" t="str">
        <f t="array" aca="1" ref="H109" ca="1">IF(ROWS(H$24:H109)&gt;$F$24,"",INDEX(E$24:E$149,SMALL(IF(ISNUMBER($E$24:$E$149),ROW($E$24:$E$149)-ROW($E$24)+1),ROWS(H$24:H109))))</f>
        <v/>
      </c>
      <c r="I109" s="55" t="str">
        <f t="shared" ca="1" si="3"/>
        <v/>
      </c>
      <c r="J109" s="55" t="str">
        <f t="shared" ca="1" si="4"/>
        <v/>
      </c>
      <c r="K109" s="55">
        <f t="shared" ca="1" si="5"/>
        <v>0.10257645640146593</v>
      </c>
    </row>
    <row r="110" spans="2:18" s="67" customFormat="1" x14ac:dyDescent="0.25">
      <c r="B110" s="55" t="str">
        <f t="array" ref="B110">IFERROR(INDEX('Paths database'!$Z$60:$AC$1991,'Paths database'!$AF146,COLUMNS($B$23:B109)),"")</f>
        <v/>
      </c>
      <c r="C110" s="55" t="str">
        <f t="array" ref="C110">IFERROR(INDEX('Paths database'!$Z$60:$AC$1991,'Paths database'!$AF146,COLUMNS($B$23:C109)),"")</f>
        <v/>
      </c>
      <c r="D110" s="55" t="str">
        <f t="array" ref="D110">IFERROR(INDEX('Paths database'!$Z$60:$AC$1991,'Paths database'!$AF146,COLUMNS($B$23:D109)),"")</f>
        <v/>
      </c>
      <c r="E110" s="64" t="str">
        <f t="array" ref="E110">IFERROR(INDEX('Paths database'!$Z$60:$AC$1991,'Paths database'!$AF146,COLUMNS($B$23:E109)),"")</f>
        <v/>
      </c>
      <c r="G110" s="55" t="str">
        <f t="array" aca="1" ref="G110" ca="1">IF(ROWS(G$24:G110)&gt;$F$24,"",INDEX(B$24:B$149,SMALL(IF(ISNUMBER($E$24:$E$149),ROW($E$24:$E$149)-ROW($E$24)+1),ROWS(G$24:G110))))</f>
        <v/>
      </c>
      <c r="H110" s="55" t="str">
        <f t="array" aca="1" ref="H110" ca="1">IF(ROWS(H$24:H110)&gt;$F$24,"",INDEX(E$24:E$149,SMALL(IF(ISNUMBER($E$24:$E$149),ROW($E$24:$E$149)-ROW($E$24)+1),ROWS(H$24:H110))))</f>
        <v/>
      </c>
      <c r="I110" s="55" t="str">
        <f t="shared" ca="1" si="3"/>
        <v/>
      </c>
      <c r="J110" s="55" t="str">
        <f t="shared" ca="1" si="4"/>
        <v/>
      </c>
      <c r="K110" s="55">
        <f t="shared" ca="1" si="5"/>
        <v>0.10257645640146593</v>
      </c>
    </row>
    <row r="111" spans="2:18" s="67" customFormat="1" x14ac:dyDescent="0.25">
      <c r="B111" s="55" t="str">
        <f t="array" ref="B111">IFERROR(INDEX('Paths database'!$Z$60:$AC$1991,'Paths database'!$AF147,COLUMNS($B$23:B110)),"")</f>
        <v/>
      </c>
      <c r="C111" s="55" t="str">
        <f t="array" ref="C111">IFERROR(INDEX('Paths database'!$Z$60:$AC$1991,'Paths database'!$AF147,COLUMNS($B$23:C110)),"")</f>
        <v/>
      </c>
      <c r="D111" s="55" t="str">
        <f t="array" ref="D111">IFERROR(INDEX('Paths database'!$Z$60:$AC$1991,'Paths database'!$AF147,COLUMNS($B$23:D110)),"")</f>
        <v/>
      </c>
      <c r="E111" s="64" t="str">
        <f t="array" ref="E111">IFERROR(INDEX('Paths database'!$Z$60:$AC$1991,'Paths database'!$AF147,COLUMNS($B$23:E110)),"")</f>
        <v/>
      </c>
      <c r="G111" s="55" t="str">
        <f t="array" aca="1" ref="G111" ca="1">IF(ROWS(G$24:G111)&gt;$F$24,"",INDEX(B$24:B$149,SMALL(IF(ISNUMBER($E$24:$E$149),ROW($E$24:$E$149)-ROW($E$24)+1),ROWS(G$24:G111))))</f>
        <v/>
      </c>
      <c r="H111" s="55" t="str">
        <f t="array" aca="1" ref="H111" ca="1">IF(ROWS(H$24:H111)&gt;$F$24,"",INDEX(E$24:E$149,SMALL(IF(ISNUMBER($E$24:$E$149),ROW($E$24:$E$149)-ROW($E$24)+1),ROWS(H$24:H111))))</f>
        <v/>
      </c>
      <c r="I111" s="55" t="str">
        <f t="shared" ca="1" si="3"/>
        <v/>
      </c>
      <c r="J111" s="55" t="str">
        <f t="shared" ca="1" si="4"/>
        <v/>
      </c>
      <c r="K111" s="55">
        <f t="shared" ca="1" si="5"/>
        <v>0.10257645640146593</v>
      </c>
    </row>
    <row r="112" spans="2:18" s="67" customFormat="1" x14ac:dyDescent="0.25">
      <c r="B112" s="55" t="str">
        <f t="array" ref="B112">IFERROR(INDEX('Paths database'!$Z$60:$AC$1991,'Paths database'!$AF148,COLUMNS($B$23:B111)),"")</f>
        <v/>
      </c>
      <c r="C112" s="55" t="str">
        <f t="array" ref="C112">IFERROR(INDEX('Paths database'!$Z$60:$AC$1991,'Paths database'!$AF148,COLUMNS($B$23:C111)),"")</f>
        <v/>
      </c>
      <c r="D112" s="55" t="str">
        <f t="array" ref="D112">IFERROR(INDEX('Paths database'!$Z$60:$AC$1991,'Paths database'!$AF148,COLUMNS($B$23:D111)),"")</f>
        <v/>
      </c>
      <c r="E112" s="64" t="str">
        <f t="array" ref="E112">IFERROR(INDEX('Paths database'!$Z$60:$AC$1991,'Paths database'!$AF148,COLUMNS($B$23:E111)),"")</f>
        <v/>
      </c>
      <c r="G112" s="55" t="str">
        <f t="array" aca="1" ref="G112" ca="1">IF(ROWS(G$24:G112)&gt;$F$24,"",INDEX(B$24:B$149,SMALL(IF(ISNUMBER($E$24:$E$149),ROW($E$24:$E$149)-ROW($E$24)+1),ROWS(G$24:G112))))</f>
        <v/>
      </c>
      <c r="H112" s="55" t="str">
        <f t="array" aca="1" ref="H112" ca="1">IF(ROWS(H$24:H112)&gt;$F$24,"",INDEX(E$24:E$149,SMALL(IF(ISNUMBER($E$24:$E$149),ROW($E$24:$E$149)-ROW($E$24)+1),ROWS(H$24:H112))))</f>
        <v/>
      </c>
      <c r="I112" s="55" t="str">
        <f t="shared" ca="1" si="3"/>
        <v/>
      </c>
      <c r="J112" s="55" t="str">
        <f t="shared" ca="1" si="4"/>
        <v/>
      </c>
      <c r="K112" s="55">
        <f t="shared" ca="1" si="5"/>
        <v>0.10257645640146593</v>
      </c>
    </row>
    <row r="113" spans="2:11" s="67" customFormat="1" x14ac:dyDescent="0.25">
      <c r="B113" s="55" t="str">
        <f t="array" ref="B113">IFERROR(INDEX('Paths database'!$Z$60:$AC$1991,'Paths database'!$AF149,COLUMNS($B$23:B112)),"")</f>
        <v/>
      </c>
      <c r="C113" s="55" t="str">
        <f t="array" ref="C113">IFERROR(INDEX('Paths database'!$Z$60:$AC$1991,'Paths database'!$AF149,COLUMNS($B$23:C112)),"")</f>
        <v/>
      </c>
      <c r="D113" s="55" t="str">
        <f t="array" ref="D113">IFERROR(INDEX('Paths database'!$Z$60:$AC$1991,'Paths database'!$AF149,COLUMNS($B$23:D112)),"")</f>
        <v/>
      </c>
      <c r="E113" s="64" t="str">
        <f t="array" ref="E113">IFERROR(INDEX('Paths database'!$Z$60:$AC$1991,'Paths database'!$AF149,COLUMNS($B$23:E112)),"")</f>
        <v/>
      </c>
      <c r="G113" s="55" t="str">
        <f t="array" aca="1" ref="G113" ca="1">IF(ROWS(G$24:G113)&gt;$F$24,"",INDEX(B$24:B$149,SMALL(IF(ISNUMBER($E$24:$E$149),ROW($E$24:$E$149)-ROW($E$24)+1),ROWS(G$24:G113))))</f>
        <v/>
      </c>
      <c r="H113" s="55" t="str">
        <f t="array" aca="1" ref="H113" ca="1">IF(ROWS(H$24:H113)&gt;$F$24,"",INDEX(E$24:E$149,SMALL(IF(ISNUMBER($E$24:$E$149),ROW($E$24:$E$149)-ROW($E$24)+1),ROWS(H$24:H113))))</f>
        <v/>
      </c>
      <c r="I113" s="55" t="str">
        <f t="shared" ca="1" si="3"/>
        <v/>
      </c>
      <c r="J113" s="55" t="str">
        <f t="shared" ca="1" si="4"/>
        <v/>
      </c>
      <c r="K113" s="55">
        <f t="shared" ca="1" si="5"/>
        <v>0.10257645640146593</v>
      </c>
    </row>
    <row r="114" spans="2:11" s="67" customFormat="1" x14ac:dyDescent="0.25">
      <c r="B114" s="55" t="str">
        <f t="array" ref="B114">IFERROR(INDEX('Paths database'!$Z$60:$AC$1991,'Paths database'!$AF150,COLUMNS($B$23:B113)),"")</f>
        <v/>
      </c>
      <c r="C114" s="55" t="str">
        <f t="array" ref="C114">IFERROR(INDEX('Paths database'!$Z$60:$AC$1991,'Paths database'!$AF150,COLUMNS($B$23:C113)),"")</f>
        <v/>
      </c>
      <c r="D114" s="55" t="str">
        <f t="array" ref="D114">IFERROR(INDEX('Paths database'!$Z$60:$AC$1991,'Paths database'!$AF150,COLUMNS($B$23:D113)),"")</f>
        <v/>
      </c>
      <c r="E114" s="64" t="str">
        <f t="array" ref="E114">IFERROR(INDEX('Paths database'!$Z$60:$AC$1991,'Paths database'!$AF150,COLUMNS($B$23:E113)),"")</f>
        <v/>
      </c>
      <c r="G114" s="55" t="str">
        <f t="array" aca="1" ref="G114" ca="1">IF(ROWS(G$24:G114)&gt;$F$24,"",INDEX(B$24:B$149,SMALL(IF(ISNUMBER($E$24:$E$149),ROW($E$24:$E$149)-ROW($E$24)+1),ROWS(G$24:G114))))</f>
        <v/>
      </c>
      <c r="H114" s="55" t="str">
        <f t="array" aca="1" ref="H114" ca="1">IF(ROWS(H$24:H114)&gt;$F$24,"",INDEX(E$24:E$149,SMALL(IF(ISNUMBER($E$24:$E$149),ROW($E$24:$E$149)-ROW($E$24)+1),ROWS(H$24:H114))))</f>
        <v/>
      </c>
      <c r="I114" s="55" t="str">
        <f t="shared" ca="1" si="3"/>
        <v/>
      </c>
      <c r="J114" s="55" t="str">
        <f t="shared" ca="1" si="4"/>
        <v/>
      </c>
      <c r="K114" s="55">
        <f t="shared" ca="1" si="5"/>
        <v>0.10257645640146593</v>
      </c>
    </row>
    <row r="115" spans="2:11" s="67" customFormat="1" x14ac:dyDescent="0.25">
      <c r="B115" s="55" t="str">
        <f t="array" ref="B115">IFERROR(INDEX('Paths database'!$Z$60:$AC$1991,'Paths database'!$AF151,COLUMNS($B$23:B114)),"")</f>
        <v/>
      </c>
      <c r="C115" s="55" t="str">
        <f t="array" ref="C115">IFERROR(INDEX('Paths database'!$Z$60:$AC$1991,'Paths database'!$AF151,COLUMNS($B$23:C114)),"")</f>
        <v/>
      </c>
      <c r="D115" s="55" t="str">
        <f t="array" ref="D115">IFERROR(INDEX('Paths database'!$Z$60:$AC$1991,'Paths database'!$AF151,COLUMNS($B$23:D114)),"")</f>
        <v/>
      </c>
      <c r="E115" s="64" t="str">
        <f t="array" ref="E115">IFERROR(INDEX('Paths database'!$Z$60:$AC$1991,'Paths database'!$AF151,COLUMNS($B$23:E114)),"")</f>
        <v/>
      </c>
      <c r="G115" s="55" t="str">
        <f t="array" aca="1" ref="G115" ca="1">IF(ROWS(G$24:G115)&gt;$F$24,"",INDEX(B$24:B$149,SMALL(IF(ISNUMBER($E$24:$E$149),ROW($E$24:$E$149)-ROW($E$24)+1),ROWS(G$24:G115))))</f>
        <v/>
      </c>
      <c r="H115" s="55" t="str">
        <f t="array" aca="1" ref="H115" ca="1">IF(ROWS(H$24:H115)&gt;$F$24,"",INDEX(E$24:E$149,SMALL(IF(ISNUMBER($E$24:$E$149),ROW($E$24:$E$149)-ROW($E$24)+1),ROWS(H$24:H115))))</f>
        <v/>
      </c>
      <c r="I115" s="55" t="str">
        <f t="shared" ca="1" si="3"/>
        <v/>
      </c>
      <c r="J115" s="55" t="str">
        <f t="shared" ca="1" si="4"/>
        <v/>
      </c>
      <c r="K115" s="55">
        <f t="shared" ca="1" si="5"/>
        <v>0.10257645640146593</v>
      </c>
    </row>
    <row r="116" spans="2:11" s="67" customFormat="1" x14ac:dyDescent="0.25">
      <c r="B116" s="55" t="str">
        <f t="array" ref="B116">IFERROR(INDEX('Paths database'!$Z$60:$AC$1991,'Paths database'!$AF152,COLUMNS($B$23:B115)),"")</f>
        <v/>
      </c>
      <c r="C116" s="55" t="str">
        <f t="array" ref="C116">IFERROR(INDEX('Paths database'!$Z$60:$AC$1991,'Paths database'!$AF152,COLUMNS($B$23:C115)),"")</f>
        <v/>
      </c>
      <c r="D116" s="55" t="str">
        <f t="array" ref="D116">IFERROR(INDEX('Paths database'!$Z$60:$AC$1991,'Paths database'!$AF152,COLUMNS($B$23:D115)),"")</f>
        <v/>
      </c>
      <c r="E116" s="64" t="str">
        <f t="array" ref="E116">IFERROR(INDEX('Paths database'!$Z$60:$AC$1991,'Paths database'!$AF152,COLUMNS($B$23:E115)),"")</f>
        <v/>
      </c>
      <c r="G116" s="55" t="str">
        <f t="array" aca="1" ref="G116" ca="1">IF(ROWS(G$24:G116)&gt;$F$24,"",INDEX(B$24:B$149,SMALL(IF(ISNUMBER($E$24:$E$149),ROW($E$24:$E$149)-ROW($E$24)+1),ROWS(G$24:G116))))</f>
        <v/>
      </c>
      <c r="H116" s="55" t="str">
        <f t="array" aca="1" ref="H116" ca="1">IF(ROWS(H$24:H116)&gt;$F$24,"",INDEX(E$24:E$149,SMALL(IF(ISNUMBER($E$24:$E$149),ROW($E$24:$E$149)-ROW($E$24)+1),ROWS(H$24:H116))))</f>
        <v/>
      </c>
      <c r="I116" s="55" t="str">
        <f t="shared" ca="1" si="3"/>
        <v/>
      </c>
      <c r="J116" s="55" t="str">
        <f t="shared" ca="1" si="4"/>
        <v/>
      </c>
      <c r="K116" s="55">
        <f t="shared" ca="1" si="5"/>
        <v>0.10257645640146593</v>
      </c>
    </row>
    <row r="117" spans="2:11" s="67" customFormat="1" x14ac:dyDescent="0.25">
      <c r="B117" s="55" t="str">
        <f t="array" ref="B117">IFERROR(INDEX('Paths database'!$Z$60:$AC$1991,'Paths database'!$AF153,COLUMNS($B$23:B116)),"")</f>
        <v/>
      </c>
      <c r="C117" s="55" t="str">
        <f t="array" ref="C117">IFERROR(INDEX('Paths database'!$Z$60:$AC$1991,'Paths database'!$AF153,COLUMNS($B$23:C116)),"")</f>
        <v/>
      </c>
      <c r="D117" s="55" t="str">
        <f t="array" ref="D117">IFERROR(INDEX('Paths database'!$Z$60:$AC$1991,'Paths database'!$AF153,COLUMNS($B$23:D116)),"")</f>
        <v/>
      </c>
      <c r="E117" s="64" t="str">
        <f t="array" ref="E117">IFERROR(INDEX('Paths database'!$Z$60:$AC$1991,'Paths database'!$AF153,COLUMNS($B$23:E116)),"")</f>
        <v/>
      </c>
      <c r="G117" s="55" t="str">
        <f t="array" aca="1" ref="G117" ca="1">IF(ROWS(G$24:G117)&gt;$F$24,"",INDEX(B$24:B$149,SMALL(IF(ISNUMBER($E$24:$E$149),ROW($E$24:$E$149)-ROW($E$24)+1),ROWS(G$24:G117))))</f>
        <v/>
      </c>
      <c r="H117" s="55" t="str">
        <f t="array" aca="1" ref="H117" ca="1">IF(ROWS(H$24:H117)&gt;$F$24,"",INDEX(E$24:E$149,SMALL(IF(ISNUMBER($E$24:$E$149),ROW($E$24:$E$149)-ROW($E$24)+1),ROWS(H$24:H117))))</f>
        <v/>
      </c>
      <c r="I117" s="55" t="str">
        <f t="shared" ca="1" si="3"/>
        <v/>
      </c>
      <c r="J117" s="55" t="str">
        <f t="shared" ca="1" si="4"/>
        <v/>
      </c>
      <c r="K117" s="55">
        <f t="shared" ca="1" si="5"/>
        <v>0.10257645640146593</v>
      </c>
    </row>
    <row r="118" spans="2:11" s="67" customFormat="1" x14ac:dyDescent="0.25">
      <c r="B118" s="55" t="str">
        <f t="array" ref="B118">IFERROR(INDEX('Paths database'!$Z$60:$AC$1991,'Paths database'!$AF154,COLUMNS($B$23:B117)),"")</f>
        <v/>
      </c>
      <c r="C118" s="55" t="str">
        <f t="array" ref="C118">IFERROR(INDEX('Paths database'!$Z$60:$AC$1991,'Paths database'!$AF154,COLUMNS($B$23:C117)),"")</f>
        <v/>
      </c>
      <c r="D118" s="55" t="str">
        <f t="array" ref="D118">IFERROR(INDEX('Paths database'!$Z$60:$AC$1991,'Paths database'!$AF154,COLUMNS($B$23:D117)),"")</f>
        <v/>
      </c>
      <c r="E118" s="64" t="str">
        <f t="array" ref="E118">IFERROR(INDEX('Paths database'!$Z$60:$AC$1991,'Paths database'!$AF154,COLUMNS($B$23:E117)),"")</f>
        <v/>
      </c>
      <c r="G118" s="55" t="str">
        <f t="array" aca="1" ref="G118" ca="1">IF(ROWS(G$24:G118)&gt;$F$24,"",INDEX(B$24:B$149,SMALL(IF(ISNUMBER($E$24:$E$149),ROW($E$24:$E$149)-ROW($E$24)+1),ROWS(G$24:G118))))</f>
        <v/>
      </c>
      <c r="H118" s="55" t="str">
        <f t="array" aca="1" ref="H118" ca="1">IF(ROWS(H$24:H118)&gt;$F$24,"",INDEX(E$24:E$149,SMALL(IF(ISNUMBER($E$24:$E$149),ROW($E$24:$E$149)-ROW($E$24)+1),ROWS(H$24:H118))))</f>
        <v/>
      </c>
      <c r="I118" s="55" t="str">
        <f t="shared" ca="1" si="3"/>
        <v/>
      </c>
      <c r="J118" s="55" t="str">
        <f t="shared" ca="1" si="4"/>
        <v/>
      </c>
      <c r="K118" s="55">
        <f t="shared" ca="1" si="5"/>
        <v>0.10257645640146593</v>
      </c>
    </row>
    <row r="119" spans="2:11" s="67" customFormat="1" x14ac:dyDescent="0.25">
      <c r="B119" s="55" t="str">
        <f t="array" ref="B119">IFERROR(INDEX('Paths database'!$Z$60:$AC$1991,'Paths database'!$AF155,COLUMNS($B$23:B118)),"")</f>
        <v/>
      </c>
      <c r="C119" s="55" t="str">
        <f t="array" ref="C119">IFERROR(INDEX('Paths database'!$Z$60:$AC$1991,'Paths database'!$AF155,COLUMNS($B$23:C118)),"")</f>
        <v/>
      </c>
      <c r="D119" s="55" t="str">
        <f t="array" ref="D119">IFERROR(INDEX('Paths database'!$Z$60:$AC$1991,'Paths database'!$AF155,COLUMNS($B$23:D118)),"")</f>
        <v/>
      </c>
      <c r="E119" s="64" t="str">
        <f t="array" ref="E119">IFERROR(INDEX('Paths database'!$Z$60:$AC$1991,'Paths database'!$AF155,COLUMNS($B$23:E118)),"")</f>
        <v/>
      </c>
      <c r="G119" s="55" t="str">
        <f t="array" aca="1" ref="G119" ca="1">IF(ROWS(G$24:G119)&gt;$F$24,"",INDEX(B$24:B$149,SMALL(IF(ISNUMBER($E$24:$E$149),ROW($E$24:$E$149)-ROW($E$24)+1),ROWS(G$24:G119))))</f>
        <v/>
      </c>
      <c r="H119" s="55" t="str">
        <f t="array" aca="1" ref="H119" ca="1">IF(ROWS(H$24:H119)&gt;$F$24,"",INDEX(E$24:E$149,SMALL(IF(ISNUMBER($E$24:$E$149),ROW($E$24:$E$149)-ROW($E$24)+1),ROWS(H$24:H119))))</f>
        <v/>
      </c>
      <c r="I119" s="55" t="str">
        <f t="shared" ca="1" si="3"/>
        <v/>
      </c>
      <c r="J119" s="55" t="str">
        <f t="shared" ca="1" si="4"/>
        <v/>
      </c>
      <c r="K119" s="55">
        <f t="shared" ca="1" si="5"/>
        <v>0.10257645640146593</v>
      </c>
    </row>
    <row r="120" spans="2:11" s="67" customFormat="1" x14ac:dyDescent="0.25">
      <c r="B120" s="55" t="str">
        <f t="array" ref="B120">IFERROR(INDEX('Paths database'!$Z$60:$AC$1991,'Paths database'!$AF156,COLUMNS($B$23:B119)),"")</f>
        <v/>
      </c>
      <c r="C120" s="55" t="str">
        <f t="array" ref="C120">IFERROR(INDEX('Paths database'!$Z$60:$AC$1991,'Paths database'!$AF156,COLUMNS($B$23:C119)),"")</f>
        <v/>
      </c>
      <c r="D120" s="55" t="str">
        <f t="array" ref="D120">IFERROR(INDEX('Paths database'!$Z$60:$AC$1991,'Paths database'!$AF156,COLUMNS($B$23:D119)),"")</f>
        <v/>
      </c>
      <c r="E120" s="64" t="str">
        <f t="array" ref="E120">IFERROR(INDEX('Paths database'!$Z$60:$AC$1991,'Paths database'!$AF156,COLUMNS($B$23:E119)),"")</f>
        <v/>
      </c>
      <c r="G120" s="55" t="str">
        <f t="array" aca="1" ref="G120" ca="1">IF(ROWS(G$24:G120)&gt;$F$24,"",INDEX(B$24:B$149,SMALL(IF(ISNUMBER($E$24:$E$149),ROW($E$24:$E$149)-ROW($E$24)+1),ROWS(G$24:G120))))</f>
        <v/>
      </c>
      <c r="H120" s="55" t="str">
        <f t="array" aca="1" ref="H120" ca="1">IF(ROWS(H$24:H120)&gt;$F$24,"",INDEX(E$24:E$149,SMALL(IF(ISNUMBER($E$24:$E$149),ROW($E$24:$E$149)-ROW($E$24)+1),ROWS(H$24:H120))))</f>
        <v/>
      </c>
      <c r="I120" s="55" t="str">
        <f t="shared" ca="1" si="3"/>
        <v/>
      </c>
      <c r="J120" s="55" t="str">
        <f t="shared" ca="1" si="4"/>
        <v/>
      </c>
      <c r="K120" s="55">
        <f t="shared" ca="1" si="5"/>
        <v>0.10257645640146593</v>
      </c>
    </row>
    <row r="121" spans="2:11" s="67" customFormat="1" x14ac:dyDescent="0.25">
      <c r="B121" s="55" t="str">
        <f t="array" ref="B121">IFERROR(INDEX('Paths database'!$Z$60:$AC$1991,'Paths database'!$AF157,COLUMNS($B$23:B120)),"")</f>
        <v/>
      </c>
      <c r="C121" s="55" t="str">
        <f t="array" ref="C121">IFERROR(INDEX('Paths database'!$Z$60:$AC$1991,'Paths database'!$AF157,COLUMNS($B$23:C120)),"")</f>
        <v/>
      </c>
      <c r="D121" s="55" t="str">
        <f t="array" ref="D121">IFERROR(INDEX('Paths database'!$Z$60:$AC$1991,'Paths database'!$AF157,COLUMNS($B$23:D120)),"")</f>
        <v/>
      </c>
      <c r="E121" s="64" t="str">
        <f t="array" ref="E121">IFERROR(INDEX('Paths database'!$Z$60:$AC$1991,'Paths database'!$AF157,COLUMNS($B$23:E120)),"")</f>
        <v/>
      </c>
      <c r="G121" s="55" t="str">
        <f t="array" aca="1" ref="G121" ca="1">IF(ROWS(G$24:G121)&gt;$F$24,"",INDEX(B$24:B$149,SMALL(IF(ISNUMBER($E$24:$E$149),ROW($E$24:$E$149)-ROW($E$24)+1),ROWS(G$24:G121))))</f>
        <v/>
      </c>
      <c r="H121" s="55" t="str">
        <f t="array" aca="1" ref="H121" ca="1">IF(ROWS(H$24:H121)&gt;$F$24,"",INDEX(E$24:E$149,SMALL(IF(ISNUMBER($E$24:$E$149),ROW($E$24:$E$149)-ROW($E$24)+1),ROWS(H$24:H121))))</f>
        <v/>
      </c>
      <c r="I121" s="55" t="str">
        <f t="shared" ca="1" si="3"/>
        <v/>
      </c>
      <c r="J121" s="55" t="str">
        <f t="shared" ca="1" si="4"/>
        <v/>
      </c>
      <c r="K121" s="55">
        <f t="shared" ca="1" si="5"/>
        <v>0.10257645640146593</v>
      </c>
    </row>
    <row r="122" spans="2:11" s="67" customFormat="1" x14ac:dyDescent="0.25">
      <c r="B122" s="55" t="str">
        <f t="array" ref="B122">IFERROR(INDEX('Paths database'!$Z$60:$AC$1991,'Paths database'!$AF158,COLUMNS($B$23:B121)),"")</f>
        <v/>
      </c>
      <c r="C122" s="55" t="str">
        <f t="array" ref="C122">IFERROR(INDEX('Paths database'!$Z$60:$AC$1991,'Paths database'!$AF158,COLUMNS($B$23:C121)),"")</f>
        <v/>
      </c>
      <c r="D122" s="55" t="str">
        <f t="array" ref="D122">IFERROR(INDEX('Paths database'!$Z$60:$AC$1991,'Paths database'!$AF158,COLUMNS($B$23:D121)),"")</f>
        <v/>
      </c>
      <c r="E122" s="64" t="str">
        <f t="array" ref="E122">IFERROR(INDEX('Paths database'!$Z$60:$AC$1991,'Paths database'!$AF158,COLUMNS($B$23:E121)),"")</f>
        <v/>
      </c>
      <c r="G122" s="55" t="str">
        <f t="array" aca="1" ref="G122" ca="1">IF(ROWS(G$24:G122)&gt;$F$24,"",INDEX(B$24:B$149,SMALL(IF(ISNUMBER($E$24:$E$149),ROW($E$24:$E$149)-ROW($E$24)+1),ROWS(G$24:G122))))</f>
        <v/>
      </c>
      <c r="H122" s="55" t="str">
        <f t="array" aca="1" ref="H122" ca="1">IF(ROWS(H$24:H122)&gt;$F$24,"",INDEX(E$24:E$149,SMALL(IF(ISNUMBER($E$24:$E$149),ROW($E$24:$E$149)-ROW($E$24)+1),ROWS(H$24:H122))))</f>
        <v/>
      </c>
      <c r="I122" s="55" t="str">
        <f t="shared" ca="1" si="3"/>
        <v/>
      </c>
      <c r="J122" s="55" t="str">
        <f t="shared" ca="1" si="4"/>
        <v/>
      </c>
      <c r="K122" s="55">
        <f t="shared" ca="1" si="5"/>
        <v>0.10257645640146593</v>
      </c>
    </row>
    <row r="123" spans="2:11" s="67" customFormat="1" x14ac:dyDescent="0.25">
      <c r="B123" s="55" t="str">
        <f t="array" ref="B123">IFERROR(INDEX('Paths database'!$Z$60:$AC$1991,'Paths database'!$AF159,COLUMNS($B$23:B122)),"")</f>
        <v/>
      </c>
      <c r="C123" s="55" t="str">
        <f t="array" ref="C123">IFERROR(INDEX('Paths database'!$Z$60:$AC$1991,'Paths database'!$AF159,COLUMNS($B$23:C122)),"")</f>
        <v/>
      </c>
      <c r="D123" s="55" t="str">
        <f t="array" ref="D123">IFERROR(INDEX('Paths database'!$Z$60:$AC$1991,'Paths database'!$AF159,COLUMNS($B$23:D122)),"")</f>
        <v/>
      </c>
      <c r="E123" s="64" t="str">
        <f t="array" ref="E123">IFERROR(INDEX('Paths database'!$Z$60:$AC$1991,'Paths database'!$AF159,COLUMNS($B$23:E122)),"")</f>
        <v/>
      </c>
      <c r="G123" s="55" t="str">
        <f t="array" aca="1" ref="G123" ca="1">IF(ROWS(G$24:G123)&gt;$F$24,"",INDEX(B$24:B$149,SMALL(IF(ISNUMBER($E$24:$E$149),ROW($E$24:$E$149)-ROW($E$24)+1),ROWS(G$24:G123))))</f>
        <v/>
      </c>
      <c r="H123" s="55" t="str">
        <f t="array" aca="1" ref="H123" ca="1">IF(ROWS(H$24:H123)&gt;$F$24,"",INDEX(E$24:E$149,SMALL(IF(ISNUMBER($E$24:$E$149),ROW($E$24:$E$149)-ROW($E$24)+1),ROWS(H$24:H123))))</f>
        <v/>
      </c>
      <c r="I123" s="55" t="str">
        <f t="shared" ca="1" si="3"/>
        <v/>
      </c>
      <c r="J123" s="55" t="str">
        <f t="shared" ca="1" si="4"/>
        <v/>
      </c>
      <c r="K123" s="55">
        <f t="shared" ca="1" si="5"/>
        <v>0.10257645640146593</v>
      </c>
    </row>
    <row r="124" spans="2:11" s="67" customFormat="1" x14ac:dyDescent="0.25">
      <c r="B124" s="55" t="str">
        <f t="array" ref="B124">IFERROR(INDEX('Paths database'!$Z$60:$AC$1991,'Paths database'!$AF160,COLUMNS($B$23:B123)),"")</f>
        <v/>
      </c>
      <c r="C124" s="55" t="str">
        <f t="array" ref="C124">IFERROR(INDEX('Paths database'!$Z$60:$AC$1991,'Paths database'!$AF160,COLUMNS($B$23:C123)),"")</f>
        <v/>
      </c>
      <c r="D124" s="55" t="str">
        <f t="array" ref="D124">IFERROR(INDEX('Paths database'!$Z$60:$AC$1991,'Paths database'!$AF160,COLUMNS($B$23:D123)),"")</f>
        <v/>
      </c>
      <c r="E124" s="64" t="str">
        <f t="array" ref="E124">IFERROR(INDEX('Paths database'!$Z$60:$AC$1991,'Paths database'!$AF160,COLUMNS($B$23:E123)),"")</f>
        <v/>
      </c>
      <c r="G124" s="55" t="str">
        <f t="array" aca="1" ref="G124" ca="1">IF(ROWS(G$24:G124)&gt;$F$24,"",INDEX(B$24:B$149,SMALL(IF(ISNUMBER($E$24:$E$149),ROW($E$24:$E$149)-ROW($E$24)+1),ROWS(G$24:G124))))</f>
        <v/>
      </c>
      <c r="H124" s="55" t="str">
        <f t="array" aca="1" ref="H124" ca="1">IF(ROWS(H$24:H124)&gt;$F$24,"",INDEX(E$24:E$149,SMALL(IF(ISNUMBER($E$24:$E$149),ROW($E$24:$E$149)-ROW($E$24)+1),ROWS(H$24:H124))))</f>
        <v/>
      </c>
      <c r="I124" s="55" t="str">
        <f t="shared" ca="1" si="3"/>
        <v/>
      </c>
      <c r="J124" s="55" t="str">
        <f t="shared" ca="1" si="4"/>
        <v/>
      </c>
      <c r="K124" s="55">
        <f t="shared" ca="1" si="5"/>
        <v>0.10257645640146593</v>
      </c>
    </row>
    <row r="125" spans="2:11" s="67" customFormat="1" x14ac:dyDescent="0.25">
      <c r="B125" s="55" t="str">
        <f t="array" ref="B125">IFERROR(INDEX('Paths database'!$Z$60:$AC$1991,'Paths database'!$AF161,COLUMNS($B$23:B124)),"")</f>
        <v/>
      </c>
      <c r="C125" s="55" t="str">
        <f t="array" ref="C125">IFERROR(INDEX('Paths database'!$Z$60:$AC$1991,'Paths database'!$AF161,COLUMNS($B$23:C124)),"")</f>
        <v/>
      </c>
      <c r="D125" s="55" t="str">
        <f t="array" ref="D125">IFERROR(INDEX('Paths database'!$Z$60:$AC$1991,'Paths database'!$AF161,COLUMNS($B$23:D124)),"")</f>
        <v/>
      </c>
      <c r="E125" s="64" t="str">
        <f t="array" ref="E125">IFERROR(INDEX('Paths database'!$Z$60:$AC$1991,'Paths database'!$AF161,COLUMNS($B$23:E124)),"")</f>
        <v/>
      </c>
      <c r="G125" s="55" t="str">
        <f t="array" aca="1" ref="G125" ca="1">IF(ROWS(G$24:G125)&gt;$F$24,"",INDEX(B$24:B$149,SMALL(IF(ISNUMBER($E$24:$E$149),ROW($E$24:$E$149)-ROW($E$24)+1),ROWS(G$24:G125))))</f>
        <v/>
      </c>
      <c r="H125" s="55" t="str">
        <f t="array" aca="1" ref="H125" ca="1">IF(ROWS(H$24:H125)&gt;$F$24,"",INDEX(E$24:E$149,SMALL(IF(ISNUMBER($E$24:$E$149),ROW($E$24:$E$149)-ROW($E$24)+1),ROWS(H$24:H125))))</f>
        <v/>
      </c>
      <c r="I125" s="55" t="str">
        <f t="shared" ca="1" si="3"/>
        <v/>
      </c>
      <c r="J125" s="55" t="str">
        <f t="shared" ca="1" si="4"/>
        <v/>
      </c>
      <c r="K125" s="55">
        <f t="shared" ca="1" si="5"/>
        <v>0.10257645640146593</v>
      </c>
    </row>
    <row r="126" spans="2:11" s="67" customFormat="1" x14ac:dyDescent="0.25">
      <c r="B126" s="55" t="str">
        <f t="array" ref="B126">IFERROR(INDEX('Paths database'!$Z$60:$AC$1991,'Paths database'!$AF162,COLUMNS($B$23:B125)),"")</f>
        <v/>
      </c>
      <c r="C126" s="55" t="str">
        <f t="array" ref="C126">IFERROR(INDEX('Paths database'!$Z$60:$AC$1991,'Paths database'!$AF162,COLUMNS($B$23:C125)),"")</f>
        <v/>
      </c>
      <c r="D126" s="55" t="str">
        <f t="array" ref="D126">IFERROR(INDEX('Paths database'!$Z$60:$AC$1991,'Paths database'!$AF162,COLUMNS($B$23:D125)),"")</f>
        <v/>
      </c>
      <c r="E126" s="64" t="str">
        <f t="array" ref="E126">IFERROR(INDEX('Paths database'!$Z$60:$AC$1991,'Paths database'!$AF162,COLUMNS($B$23:E125)),"")</f>
        <v/>
      </c>
      <c r="G126" s="55" t="str">
        <f t="array" aca="1" ref="G126" ca="1">IF(ROWS(G$24:G126)&gt;$F$24,"",INDEX(B$24:B$149,SMALL(IF(ISNUMBER($E$24:$E$149),ROW($E$24:$E$149)-ROW($E$24)+1),ROWS(G$24:G126))))</f>
        <v/>
      </c>
      <c r="H126" s="55" t="str">
        <f t="array" aca="1" ref="H126" ca="1">IF(ROWS(H$24:H126)&gt;$F$24,"",INDEX(E$24:E$149,SMALL(IF(ISNUMBER($E$24:$E$149),ROW($E$24:$E$149)-ROW($E$24)+1),ROWS(H$24:H126))))</f>
        <v/>
      </c>
      <c r="I126" s="55" t="str">
        <f t="shared" ca="1" si="3"/>
        <v/>
      </c>
      <c r="J126" s="55" t="str">
        <f t="shared" ca="1" si="4"/>
        <v/>
      </c>
      <c r="K126" s="55">
        <f t="shared" ca="1" si="5"/>
        <v>0.10257645640146593</v>
      </c>
    </row>
    <row r="127" spans="2:11" s="67" customFormat="1" x14ac:dyDescent="0.25">
      <c r="B127" s="55" t="str">
        <f t="array" ref="B127">IFERROR(INDEX('Paths database'!$Z$60:$AC$1991,'Paths database'!$AF163,COLUMNS($B$23:B126)),"")</f>
        <v/>
      </c>
      <c r="C127" s="55" t="str">
        <f t="array" ref="C127">IFERROR(INDEX('Paths database'!$Z$60:$AC$1991,'Paths database'!$AF163,COLUMNS($B$23:C126)),"")</f>
        <v/>
      </c>
      <c r="D127" s="55" t="str">
        <f t="array" ref="D127">IFERROR(INDEX('Paths database'!$Z$60:$AC$1991,'Paths database'!$AF163,COLUMNS($B$23:D126)),"")</f>
        <v/>
      </c>
      <c r="E127" s="64" t="str">
        <f t="array" ref="E127">IFERROR(INDEX('Paths database'!$Z$60:$AC$1991,'Paths database'!$AF163,COLUMNS($B$23:E126)),"")</f>
        <v/>
      </c>
      <c r="G127" s="55" t="str">
        <f t="array" aca="1" ref="G127" ca="1">IF(ROWS(G$24:G127)&gt;$F$24,"",INDEX(B$24:B$149,SMALL(IF(ISNUMBER($E$24:$E$149),ROW($E$24:$E$149)-ROW($E$24)+1),ROWS(G$24:G127))))</f>
        <v/>
      </c>
      <c r="H127" s="55" t="str">
        <f t="array" aca="1" ref="H127" ca="1">IF(ROWS(H$24:H127)&gt;$F$24,"",INDEX(E$24:E$149,SMALL(IF(ISNUMBER($E$24:$E$149),ROW($E$24:$E$149)-ROW($E$24)+1),ROWS(H$24:H127))))</f>
        <v/>
      </c>
      <c r="I127" s="55" t="str">
        <f t="shared" ca="1" si="3"/>
        <v/>
      </c>
      <c r="J127" s="55" t="str">
        <f t="shared" ca="1" si="4"/>
        <v/>
      </c>
      <c r="K127" s="55">
        <f t="shared" ca="1" si="5"/>
        <v>0.10257645640146593</v>
      </c>
    </row>
    <row r="128" spans="2:11" s="67" customFormat="1" x14ac:dyDescent="0.25">
      <c r="B128" s="55" t="str">
        <f t="array" ref="B128">IFERROR(INDEX('Paths database'!$Z$60:$AC$1991,'Paths database'!$AF164,COLUMNS($B$23:B127)),"")</f>
        <v/>
      </c>
      <c r="C128" s="55" t="str">
        <f t="array" ref="C128">IFERROR(INDEX('Paths database'!$Z$60:$AC$1991,'Paths database'!$AF164,COLUMNS($B$23:C127)),"")</f>
        <v/>
      </c>
      <c r="D128" s="55" t="str">
        <f t="array" ref="D128">IFERROR(INDEX('Paths database'!$Z$60:$AC$1991,'Paths database'!$AF164,COLUMNS($B$23:D127)),"")</f>
        <v/>
      </c>
      <c r="E128" s="64" t="str">
        <f t="array" ref="E128">IFERROR(INDEX('Paths database'!$Z$60:$AC$1991,'Paths database'!$AF164,COLUMNS($B$23:E127)),"")</f>
        <v/>
      </c>
      <c r="G128" s="55" t="str">
        <f t="array" aca="1" ref="G128" ca="1">IF(ROWS(G$24:G128)&gt;$F$24,"",INDEX(B$24:B$149,SMALL(IF(ISNUMBER($E$24:$E$149),ROW($E$24:$E$149)-ROW($E$24)+1),ROWS(G$24:G128))))</f>
        <v/>
      </c>
      <c r="H128" s="55" t="str">
        <f t="array" aca="1" ref="H128" ca="1">IF(ROWS(H$24:H128)&gt;$F$24,"",INDEX(E$24:E$149,SMALL(IF(ISNUMBER($E$24:$E$149),ROW($E$24:$E$149)-ROW($E$24)+1),ROWS(H$24:H128))))</f>
        <v/>
      </c>
      <c r="I128" s="55" t="str">
        <f t="shared" ca="1" si="3"/>
        <v/>
      </c>
      <c r="J128" s="55" t="str">
        <f t="shared" ca="1" si="4"/>
        <v/>
      </c>
      <c r="K128" s="55">
        <f t="shared" ca="1" si="5"/>
        <v>0.10257645640146593</v>
      </c>
    </row>
    <row r="129" spans="2:11" s="67" customFormat="1" x14ac:dyDescent="0.25">
      <c r="B129" s="55" t="str">
        <f t="array" ref="B129">IFERROR(INDEX('Paths database'!$Z$60:$AC$1991,'Paths database'!$AF165,COLUMNS($B$23:B128)),"")</f>
        <v/>
      </c>
      <c r="C129" s="55" t="str">
        <f t="array" ref="C129">IFERROR(INDEX('Paths database'!$Z$60:$AC$1991,'Paths database'!$AF165,COLUMNS($B$23:C128)),"")</f>
        <v/>
      </c>
      <c r="D129" s="55" t="str">
        <f t="array" ref="D129">IFERROR(INDEX('Paths database'!$Z$60:$AC$1991,'Paths database'!$AF165,COLUMNS($B$23:D128)),"")</f>
        <v/>
      </c>
      <c r="E129" s="64" t="str">
        <f t="array" ref="E129">IFERROR(INDEX('Paths database'!$Z$60:$AC$1991,'Paths database'!$AF165,COLUMNS($B$23:E128)),"")</f>
        <v/>
      </c>
      <c r="G129" s="55" t="str">
        <f t="array" aca="1" ref="G129" ca="1">IF(ROWS(G$24:G129)&gt;$F$24,"",INDEX(B$24:B$149,SMALL(IF(ISNUMBER($E$24:$E$149),ROW($E$24:$E$149)-ROW($E$24)+1),ROWS(G$24:G129))))</f>
        <v/>
      </c>
      <c r="H129" s="55" t="str">
        <f t="array" aca="1" ref="H129" ca="1">IF(ROWS(H$24:H129)&gt;$F$24,"",INDEX(E$24:E$149,SMALL(IF(ISNUMBER($E$24:$E$149),ROW($E$24:$E$149)-ROW($E$24)+1),ROWS(H$24:H129))))</f>
        <v/>
      </c>
      <c r="I129" s="55" t="str">
        <f t="shared" ca="1" si="3"/>
        <v/>
      </c>
      <c r="J129" s="55" t="str">
        <f t="shared" ca="1" si="4"/>
        <v/>
      </c>
      <c r="K129" s="55">
        <f t="shared" ca="1" si="5"/>
        <v>0.10257645640146593</v>
      </c>
    </row>
    <row r="130" spans="2:11" s="67" customFormat="1" x14ac:dyDescent="0.25">
      <c r="B130" s="55" t="str">
        <f t="array" ref="B130">IFERROR(INDEX('Paths database'!$Z$60:$AC$1991,'Paths database'!$AF166,COLUMNS($B$23:B129)),"")</f>
        <v/>
      </c>
      <c r="C130" s="55" t="str">
        <f t="array" ref="C130">IFERROR(INDEX('Paths database'!$Z$60:$AC$1991,'Paths database'!$AF166,COLUMNS($B$23:C129)),"")</f>
        <v/>
      </c>
      <c r="D130" s="55" t="str">
        <f t="array" ref="D130">IFERROR(INDEX('Paths database'!$Z$60:$AC$1991,'Paths database'!$AF166,COLUMNS($B$23:D129)),"")</f>
        <v/>
      </c>
      <c r="E130" s="64" t="str">
        <f t="array" ref="E130">IFERROR(INDEX('Paths database'!$Z$60:$AC$1991,'Paths database'!$AF166,COLUMNS($B$23:E129)),"")</f>
        <v/>
      </c>
      <c r="G130" s="55" t="str">
        <f t="array" aca="1" ref="G130" ca="1">IF(ROWS(G$24:G130)&gt;$F$24,"",INDEX(B$24:B$149,SMALL(IF(ISNUMBER($E$24:$E$149),ROW($E$24:$E$149)-ROW($E$24)+1),ROWS(G$24:G130))))</f>
        <v/>
      </c>
      <c r="H130" s="55" t="str">
        <f t="array" aca="1" ref="H130" ca="1">IF(ROWS(H$24:H130)&gt;$F$24,"",INDEX(E$24:E$149,SMALL(IF(ISNUMBER($E$24:$E$149),ROW($E$24:$E$149)-ROW($E$24)+1),ROWS(H$24:H130))))</f>
        <v/>
      </c>
      <c r="I130" s="55" t="str">
        <f t="shared" ca="1" si="3"/>
        <v/>
      </c>
      <c r="J130" s="55" t="str">
        <f t="shared" ca="1" si="4"/>
        <v/>
      </c>
      <c r="K130" s="55">
        <f t="shared" ca="1" si="5"/>
        <v>0.10257645640146593</v>
      </c>
    </row>
    <row r="131" spans="2:11" s="67" customFormat="1" x14ac:dyDescent="0.25">
      <c r="B131" s="55" t="str">
        <f t="array" ref="B131">IFERROR(INDEX('Paths database'!$Z$60:$AC$1991,'Paths database'!$AF167,COLUMNS($B$23:B130)),"")</f>
        <v/>
      </c>
      <c r="C131" s="55" t="str">
        <f t="array" ref="C131">IFERROR(INDEX('Paths database'!$Z$60:$AC$1991,'Paths database'!$AF167,COLUMNS($B$23:C130)),"")</f>
        <v/>
      </c>
      <c r="D131" s="55" t="str">
        <f t="array" ref="D131">IFERROR(INDEX('Paths database'!$Z$60:$AC$1991,'Paths database'!$AF167,COLUMNS($B$23:D130)),"")</f>
        <v/>
      </c>
      <c r="E131" s="64" t="str">
        <f t="array" ref="E131">IFERROR(INDEX('Paths database'!$Z$60:$AC$1991,'Paths database'!$AF167,COLUMNS($B$23:E130)),"")</f>
        <v/>
      </c>
      <c r="G131" s="55" t="str">
        <f t="array" aca="1" ref="G131" ca="1">IF(ROWS(G$24:G131)&gt;$F$24,"",INDEX(B$24:B$149,SMALL(IF(ISNUMBER($E$24:$E$149),ROW($E$24:$E$149)-ROW($E$24)+1),ROWS(G$24:G131))))</f>
        <v/>
      </c>
      <c r="H131" s="55" t="str">
        <f t="array" aca="1" ref="H131" ca="1">IF(ROWS(H$24:H131)&gt;$F$24,"",INDEX(E$24:E$149,SMALL(IF(ISNUMBER($E$24:$E$149),ROW($E$24:$E$149)-ROW($E$24)+1),ROWS(H$24:H131))))</f>
        <v/>
      </c>
      <c r="I131" s="55" t="str">
        <f t="shared" ca="1" si="3"/>
        <v/>
      </c>
      <c r="J131" s="55" t="str">
        <f t="shared" ca="1" si="4"/>
        <v/>
      </c>
      <c r="K131" s="55">
        <f t="shared" ca="1" si="5"/>
        <v>0.10257645640146593</v>
      </c>
    </row>
    <row r="132" spans="2:11" s="67" customFormat="1" x14ac:dyDescent="0.25">
      <c r="B132" s="55" t="str">
        <f t="array" ref="B132">IFERROR(INDEX('Paths database'!$Z$60:$AC$1991,'Paths database'!$AF168,COLUMNS($B$23:B131)),"")</f>
        <v/>
      </c>
      <c r="C132" s="55" t="str">
        <f t="array" ref="C132">IFERROR(INDEX('Paths database'!$Z$60:$AC$1991,'Paths database'!$AF168,COLUMNS($B$23:C131)),"")</f>
        <v/>
      </c>
      <c r="D132" s="55" t="str">
        <f t="array" ref="D132">IFERROR(INDEX('Paths database'!$Z$60:$AC$1991,'Paths database'!$AF168,COLUMNS($B$23:D131)),"")</f>
        <v/>
      </c>
      <c r="E132" s="64" t="str">
        <f t="array" ref="E132">IFERROR(INDEX('Paths database'!$Z$60:$AC$1991,'Paths database'!$AF168,COLUMNS($B$23:E131)),"")</f>
        <v/>
      </c>
      <c r="G132" s="55" t="str">
        <f t="array" aca="1" ref="G132" ca="1">IF(ROWS(G$24:G132)&gt;$F$24,"",INDEX(B$24:B$149,SMALL(IF(ISNUMBER($E$24:$E$149),ROW($E$24:$E$149)-ROW($E$24)+1),ROWS(G$24:G132))))</f>
        <v/>
      </c>
      <c r="H132" s="55" t="str">
        <f t="array" aca="1" ref="H132" ca="1">IF(ROWS(H$24:H132)&gt;$F$24,"",INDEX(E$24:E$149,SMALL(IF(ISNUMBER($E$24:$E$149),ROW($E$24:$E$149)-ROW($E$24)+1),ROWS(H$24:H132))))</f>
        <v/>
      </c>
      <c r="I132" s="55" t="str">
        <f t="shared" ca="1" si="3"/>
        <v/>
      </c>
      <c r="J132" s="55" t="str">
        <f t="shared" ca="1" si="4"/>
        <v/>
      </c>
      <c r="K132" s="55">
        <f t="shared" ca="1" si="5"/>
        <v>0.10257645640146593</v>
      </c>
    </row>
    <row r="133" spans="2:11" s="67" customFormat="1" x14ac:dyDescent="0.25">
      <c r="B133" s="55" t="str">
        <f t="array" ref="B133">IFERROR(INDEX('Paths database'!$Z$60:$AC$1991,'Paths database'!$AF169,COLUMNS($B$23:B132)),"")</f>
        <v/>
      </c>
      <c r="C133" s="55" t="str">
        <f t="array" ref="C133">IFERROR(INDEX('Paths database'!$Z$60:$AC$1991,'Paths database'!$AF169,COLUMNS($B$23:C132)),"")</f>
        <v/>
      </c>
      <c r="D133" s="55" t="str">
        <f t="array" ref="D133">IFERROR(INDEX('Paths database'!$Z$60:$AC$1991,'Paths database'!$AF169,COLUMNS($B$23:D132)),"")</f>
        <v/>
      </c>
      <c r="E133" s="64" t="str">
        <f t="array" ref="E133">IFERROR(INDEX('Paths database'!$Z$60:$AC$1991,'Paths database'!$AF169,COLUMNS($B$23:E132)),"")</f>
        <v/>
      </c>
      <c r="G133" s="55" t="str">
        <f t="array" aca="1" ref="G133" ca="1">IF(ROWS(G$24:G133)&gt;$F$24,"",INDEX(B$24:B$149,SMALL(IF(ISNUMBER($E$24:$E$149),ROW($E$24:$E$149)-ROW($E$24)+1),ROWS(G$24:G133))))</f>
        <v/>
      </c>
      <c r="H133" s="55" t="str">
        <f t="array" aca="1" ref="H133" ca="1">IF(ROWS(H$24:H133)&gt;$F$24,"",INDEX(E$24:E$149,SMALL(IF(ISNUMBER($E$24:$E$149),ROW($E$24:$E$149)-ROW($E$24)+1),ROWS(H$24:H133))))</f>
        <v/>
      </c>
      <c r="I133" s="55" t="str">
        <f t="shared" ca="1" si="3"/>
        <v/>
      </c>
      <c r="J133" s="55" t="str">
        <f t="shared" ca="1" si="4"/>
        <v/>
      </c>
      <c r="K133" s="55">
        <f t="shared" ca="1" si="5"/>
        <v>0.10257645640146593</v>
      </c>
    </row>
    <row r="134" spans="2:11" s="67" customFormat="1" x14ac:dyDescent="0.25">
      <c r="B134" s="55" t="str">
        <f t="array" ref="B134">IFERROR(INDEX('Paths database'!$Z$60:$AC$1991,'Paths database'!$AF170,COLUMNS($B$23:B133)),"")</f>
        <v/>
      </c>
      <c r="C134" s="55" t="str">
        <f t="array" ref="C134">IFERROR(INDEX('Paths database'!$Z$60:$AC$1991,'Paths database'!$AF170,COLUMNS($B$23:C133)),"")</f>
        <v/>
      </c>
      <c r="D134" s="55" t="str">
        <f t="array" ref="D134">IFERROR(INDEX('Paths database'!$Z$60:$AC$1991,'Paths database'!$AF170,COLUMNS($B$23:D133)),"")</f>
        <v/>
      </c>
      <c r="E134" s="64" t="str">
        <f t="array" ref="E134">IFERROR(INDEX('Paths database'!$Z$60:$AC$1991,'Paths database'!$AF170,COLUMNS($B$23:E133)),"")</f>
        <v/>
      </c>
      <c r="G134" s="55" t="str">
        <f t="array" aca="1" ref="G134" ca="1">IF(ROWS(G$24:G134)&gt;$F$24,"",INDEX(B$24:B$149,SMALL(IF(ISNUMBER($E$24:$E$149),ROW($E$24:$E$149)-ROW($E$24)+1),ROWS(G$24:G134))))</f>
        <v/>
      </c>
      <c r="H134" s="55" t="str">
        <f t="array" aca="1" ref="H134" ca="1">IF(ROWS(H$24:H134)&gt;$F$24,"",INDEX(E$24:E$149,SMALL(IF(ISNUMBER($E$24:$E$149),ROW($E$24:$E$149)-ROW($E$24)+1),ROWS(H$24:H134))))</f>
        <v/>
      </c>
      <c r="I134" s="55" t="str">
        <f t="shared" ca="1" si="3"/>
        <v/>
      </c>
      <c r="J134" s="55" t="str">
        <f t="shared" ca="1" si="4"/>
        <v/>
      </c>
      <c r="K134" s="55">
        <f t="shared" ca="1" si="5"/>
        <v>0.10257645640146593</v>
      </c>
    </row>
    <row r="135" spans="2:11" s="67" customFormat="1" x14ac:dyDescent="0.25">
      <c r="B135" s="55" t="str">
        <f t="array" ref="B135">IFERROR(INDEX('Paths database'!$Z$60:$AC$1991,'Paths database'!$AF171,COLUMNS($B$23:B134)),"")</f>
        <v/>
      </c>
      <c r="C135" s="55" t="str">
        <f t="array" ref="C135">IFERROR(INDEX('Paths database'!$Z$60:$AC$1991,'Paths database'!$AF171,COLUMNS($B$23:C134)),"")</f>
        <v/>
      </c>
      <c r="D135" s="55" t="str">
        <f t="array" ref="D135">IFERROR(INDEX('Paths database'!$Z$60:$AC$1991,'Paths database'!$AF171,COLUMNS($B$23:D134)),"")</f>
        <v/>
      </c>
      <c r="E135" s="64" t="str">
        <f t="array" ref="E135">IFERROR(INDEX('Paths database'!$Z$60:$AC$1991,'Paths database'!$AF171,COLUMNS($B$23:E134)),"")</f>
        <v/>
      </c>
      <c r="G135" s="55" t="str">
        <f t="array" aca="1" ref="G135" ca="1">IF(ROWS(G$24:G135)&gt;$F$24,"",INDEX(B$24:B$149,SMALL(IF(ISNUMBER($E$24:$E$149),ROW($E$24:$E$149)-ROW($E$24)+1),ROWS(G$24:G135))))</f>
        <v/>
      </c>
      <c r="H135" s="55" t="str">
        <f t="array" aca="1" ref="H135" ca="1">IF(ROWS(H$24:H135)&gt;$F$24,"",INDEX(E$24:E$149,SMALL(IF(ISNUMBER($E$24:$E$149),ROW($E$24:$E$149)-ROW($E$24)+1),ROWS(H$24:H135))))</f>
        <v/>
      </c>
      <c r="I135" s="55" t="str">
        <f t="shared" ca="1" si="3"/>
        <v/>
      </c>
      <c r="J135" s="55" t="str">
        <f t="shared" ca="1" si="4"/>
        <v/>
      </c>
      <c r="K135" s="55">
        <f t="shared" ca="1" si="5"/>
        <v>0.10257645640146593</v>
      </c>
    </row>
    <row r="136" spans="2:11" s="67" customFormat="1" x14ac:dyDescent="0.25">
      <c r="B136" s="55" t="str">
        <f t="array" ref="B136">IFERROR(INDEX('Paths database'!$Z$60:$AC$1991,'Paths database'!$AF172,COLUMNS($B$23:B135)),"")</f>
        <v/>
      </c>
      <c r="C136" s="55" t="str">
        <f t="array" ref="C136">IFERROR(INDEX('Paths database'!$Z$60:$AC$1991,'Paths database'!$AF172,COLUMNS($B$23:C135)),"")</f>
        <v/>
      </c>
      <c r="D136" s="55" t="str">
        <f t="array" ref="D136">IFERROR(INDEX('Paths database'!$Z$60:$AC$1991,'Paths database'!$AF172,COLUMNS($B$23:D135)),"")</f>
        <v/>
      </c>
      <c r="E136" s="64" t="str">
        <f t="array" ref="E136">IFERROR(INDEX('Paths database'!$Z$60:$AC$1991,'Paths database'!$AF172,COLUMNS($B$23:E135)),"")</f>
        <v/>
      </c>
      <c r="G136" s="55" t="str">
        <f t="array" aca="1" ref="G136" ca="1">IF(ROWS(G$24:G136)&gt;$F$24,"",INDEX(B$24:B$149,SMALL(IF(ISNUMBER($E$24:$E$149),ROW($E$24:$E$149)-ROW($E$24)+1),ROWS(G$24:G136))))</f>
        <v/>
      </c>
      <c r="H136" s="55" t="str">
        <f t="array" aca="1" ref="H136" ca="1">IF(ROWS(H$24:H136)&gt;$F$24,"",INDEX(E$24:E$149,SMALL(IF(ISNUMBER($E$24:$E$149),ROW($E$24:$E$149)-ROW($E$24)+1),ROWS(H$24:H136))))</f>
        <v/>
      </c>
      <c r="I136" s="55" t="str">
        <f t="shared" ca="1" si="3"/>
        <v/>
      </c>
      <c r="J136" s="55" t="str">
        <f t="shared" ca="1" si="4"/>
        <v/>
      </c>
      <c r="K136" s="55">
        <f t="shared" ca="1" si="5"/>
        <v>0.10257645640146593</v>
      </c>
    </row>
    <row r="137" spans="2:11" s="67" customFormat="1" x14ac:dyDescent="0.25">
      <c r="B137" s="55" t="str">
        <f t="array" ref="B137">IFERROR(INDEX('Paths database'!$Z$60:$AC$1991,'Paths database'!$AF173,COLUMNS($B$23:B136)),"")</f>
        <v/>
      </c>
      <c r="C137" s="55" t="str">
        <f t="array" ref="C137">IFERROR(INDEX('Paths database'!$Z$60:$AC$1991,'Paths database'!$AF173,COLUMNS($B$23:C136)),"")</f>
        <v/>
      </c>
      <c r="D137" s="55" t="str">
        <f t="array" ref="D137">IFERROR(INDEX('Paths database'!$Z$60:$AC$1991,'Paths database'!$AF173,COLUMNS($B$23:D136)),"")</f>
        <v/>
      </c>
      <c r="E137" s="64" t="str">
        <f t="array" ref="E137">IFERROR(INDEX('Paths database'!$Z$60:$AC$1991,'Paths database'!$AF173,COLUMNS($B$23:E136)),"")</f>
        <v/>
      </c>
      <c r="G137" s="55" t="str">
        <f t="array" aca="1" ref="G137" ca="1">IF(ROWS(G$24:G137)&gt;$F$24,"",INDEX(B$24:B$149,SMALL(IF(ISNUMBER($E$24:$E$149),ROW($E$24:$E$149)-ROW($E$24)+1),ROWS(G$24:G137))))</f>
        <v/>
      </c>
      <c r="H137" s="55" t="str">
        <f t="array" aca="1" ref="H137" ca="1">IF(ROWS(H$24:H137)&gt;$F$24,"",INDEX(E$24:E$149,SMALL(IF(ISNUMBER($E$24:$E$149),ROW($E$24:$E$149)-ROW($E$24)+1),ROWS(H$24:H137))))</f>
        <v/>
      </c>
      <c r="I137" s="55" t="str">
        <f t="shared" ca="1" si="3"/>
        <v/>
      </c>
      <c r="J137" s="55" t="str">
        <f t="shared" ca="1" si="4"/>
        <v/>
      </c>
      <c r="K137" s="55">
        <f t="shared" ca="1" si="5"/>
        <v>0.10257645640146593</v>
      </c>
    </row>
    <row r="138" spans="2:11" s="67" customFormat="1" x14ac:dyDescent="0.25">
      <c r="B138" s="55" t="str">
        <f t="array" ref="B138">IFERROR(INDEX('Paths database'!$Z$60:$AC$1991,'Paths database'!$AF174,COLUMNS($B$23:B137)),"")</f>
        <v/>
      </c>
      <c r="C138" s="55" t="str">
        <f t="array" ref="C138">IFERROR(INDEX('Paths database'!$Z$60:$AC$1991,'Paths database'!$AF174,COLUMNS($B$23:C137)),"")</f>
        <v/>
      </c>
      <c r="D138" s="55" t="str">
        <f t="array" ref="D138">IFERROR(INDEX('Paths database'!$Z$60:$AC$1991,'Paths database'!$AF174,COLUMNS($B$23:D137)),"")</f>
        <v/>
      </c>
      <c r="E138" s="64" t="str">
        <f t="array" ref="E138">IFERROR(INDEX('Paths database'!$Z$60:$AC$1991,'Paths database'!$AF174,COLUMNS($B$23:E137)),"")</f>
        <v/>
      </c>
      <c r="G138" s="55" t="str">
        <f t="array" aca="1" ref="G138" ca="1">IF(ROWS(G$24:G138)&gt;$F$24,"",INDEX(B$24:B$149,SMALL(IF(ISNUMBER($E$24:$E$149),ROW($E$24:$E$149)-ROW($E$24)+1),ROWS(G$24:G138))))</f>
        <v/>
      </c>
      <c r="H138" s="55" t="str">
        <f t="array" aca="1" ref="H138" ca="1">IF(ROWS(H$24:H138)&gt;$F$24,"",INDEX(E$24:E$149,SMALL(IF(ISNUMBER($E$24:$E$149),ROW($E$24:$E$149)-ROW($E$24)+1),ROWS(H$24:H138))))</f>
        <v/>
      </c>
      <c r="I138" s="55" t="str">
        <f t="shared" ca="1" si="3"/>
        <v/>
      </c>
      <c r="J138" s="55" t="str">
        <f t="shared" ca="1" si="4"/>
        <v/>
      </c>
      <c r="K138" s="55">
        <f t="shared" ca="1" si="5"/>
        <v>0.10257645640146593</v>
      </c>
    </row>
    <row r="139" spans="2:11" s="67" customFormat="1" x14ac:dyDescent="0.25">
      <c r="B139" s="55" t="str">
        <f t="array" ref="B139">IFERROR(INDEX('Paths database'!$Z$60:$AC$1991,'Paths database'!$AF175,COLUMNS($B$23:B138)),"")</f>
        <v/>
      </c>
      <c r="C139" s="55" t="str">
        <f t="array" ref="C139">IFERROR(INDEX('Paths database'!$Z$60:$AC$1991,'Paths database'!$AF175,COLUMNS($B$23:C138)),"")</f>
        <v/>
      </c>
      <c r="D139" s="55" t="str">
        <f t="array" ref="D139">IFERROR(INDEX('Paths database'!$Z$60:$AC$1991,'Paths database'!$AF175,COLUMNS($B$23:D138)),"")</f>
        <v/>
      </c>
      <c r="E139" s="64" t="str">
        <f t="array" ref="E139">IFERROR(INDEX('Paths database'!$Z$60:$AC$1991,'Paths database'!$AF175,COLUMNS($B$23:E138)),"")</f>
        <v/>
      </c>
      <c r="G139" s="55" t="str">
        <f t="array" aca="1" ref="G139" ca="1">IF(ROWS(G$24:G139)&gt;$F$24,"",INDEX(B$24:B$149,SMALL(IF(ISNUMBER($E$24:$E$149),ROW($E$24:$E$149)-ROW($E$24)+1),ROWS(G$24:G139))))</f>
        <v/>
      </c>
      <c r="H139" s="55" t="str">
        <f t="array" aca="1" ref="H139" ca="1">IF(ROWS(H$24:H139)&gt;$F$24,"",INDEX(E$24:E$149,SMALL(IF(ISNUMBER($E$24:$E$149),ROW($E$24:$E$149)-ROW($E$24)+1),ROWS(H$24:H139))))</f>
        <v/>
      </c>
      <c r="I139" s="55" t="str">
        <f t="shared" ca="1" si="3"/>
        <v/>
      </c>
      <c r="J139" s="55" t="str">
        <f t="shared" ca="1" si="4"/>
        <v/>
      </c>
      <c r="K139" s="55">
        <f t="shared" ca="1" si="5"/>
        <v>0.10257645640146593</v>
      </c>
    </row>
    <row r="140" spans="2:11" s="67" customFormat="1" x14ac:dyDescent="0.25">
      <c r="B140" s="55" t="str">
        <f t="array" ref="B140">IFERROR(INDEX('Paths database'!$Z$60:$AC$1991,'Paths database'!$AF176,COLUMNS($B$23:B139)),"")</f>
        <v/>
      </c>
      <c r="C140" s="55" t="str">
        <f t="array" ref="C140">IFERROR(INDEX('Paths database'!$Z$60:$AC$1991,'Paths database'!$AF176,COLUMNS($B$23:C139)),"")</f>
        <v/>
      </c>
      <c r="D140" s="55" t="str">
        <f t="array" ref="D140">IFERROR(INDEX('Paths database'!$Z$60:$AC$1991,'Paths database'!$AF176,COLUMNS($B$23:D139)),"")</f>
        <v/>
      </c>
      <c r="E140" s="64" t="str">
        <f t="array" ref="E140">IFERROR(INDEX('Paths database'!$Z$60:$AC$1991,'Paths database'!$AF176,COLUMNS($B$23:E139)),"")</f>
        <v/>
      </c>
      <c r="G140" s="55" t="str">
        <f t="array" aca="1" ref="G140" ca="1">IF(ROWS(G$24:G140)&gt;$F$24,"",INDEX(B$24:B$149,SMALL(IF(ISNUMBER($E$24:$E$149),ROW($E$24:$E$149)-ROW($E$24)+1),ROWS(G$24:G140))))</f>
        <v/>
      </c>
      <c r="H140" s="55" t="str">
        <f t="array" aca="1" ref="H140" ca="1">IF(ROWS(H$24:H140)&gt;$F$24,"",INDEX(E$24:E$149,SMALL(IF(ISNUMBER($E$24:$E$149),ROW($E$24:$E$149)-ROW($E$24)+1),ROWS(H$24:H140))))</f>
        <v/>
      </c>
      <c r="I140" s="55" t="str">
        <f t="shared" ca="1" si="3"/>
        <v/>
      </c>
      <c r="J140" s="55" t="str">
        <f t="shared" ca="1" si="4"/>
        <v/>
      </c>
      <c r="K140" s="55">
        <f t="shared" ca="1" si="5"/>
        <v>0.10257645640146593</v>
      </c>
    </row>
    <row r="141" spans="2:11" s="67" customFormat="1" x14ac:dyDescent="0.25">
      <c r="B141" s="55" t="str">
        <f t="array" ref="B141">IFERROR(INDEX('Paths database'!$Z$60:$AC$1991,'Paths database'!$AF177,COLUMNS($B$23:B140)),"")</f>
        <v/>
      </c>
      <c r="C141" s="55" t="str">
        <f t="array" ref="C141">IFERROR(INDEX('Paths database'!$Z$60:$AC$1991,'Paths database'!$AF177,COLUMNS($B$23:C140)),"")</f>
        <v/>
      </c>
      <c r="D141" s="55" t="str">
        <f t="array" ref="D141">IFERROR(INDEX('Paths database'!$Z$60:$AC$1991,'Paths database'!$AF177,COLUMNS($B$23:D140)),"")</f>
        <v/>
      </c>
      <c r="E141" s="64" t="str">
        <f t="array" ref="E141">IFERROR(INDEX('Paths database'!$Z$60:$AC$1991,'Paths database'!$AF177,COLUMNS($B$23:E140)),"")</f>
        <v/>
      </c>
      <c r="G141" s="55" t="str">
        <f t="array" aca="1" ref="G141" ca="1">IF(ROWS(G$24:G141)&gt;$F$24,"",INDEX(B$24:B$149,SMALL(IF(ISNUMBER($E$24:$E$149),ROW($E$24:$E$149)-ROW($E$24)+1),ROWS(G$24:G141))))</f>
        <v/>
      </c>
      <c r="H141" s="55" t="str">
        <f t="array" aca="1" ref="H141" ca="1">IF(ROWS(H$24:H141)&gt;$F$24,"",INDEX(E$24:E$149,SMALL(IF(ISNUMBER($E$24:$E$149),ROW($E$24:$E$149)-ROW($E$24)+1),ROWS(H$24:H141))))</f>
        <v/>
      </c>
      <c r="I141" s="55" t="str">
        <f t="shared" ca="1" si="3"/>
        <v/>
      </c>
      <c r="J141" s="55" t="str">
        <f t="shared" ca="1" si="4"/>
        <v/>
      </c>
      <c r="K141" s="55">
        <f t="shared" ca="1" si="5"/>
        <v>0.10257645640146593</v>
      </c>
    </row>
    <row r="142" spans="2:11" x14ac:dyDescent="0.25">
      <c r="B142" s="55" t="str">
        <f t="array" ref="B142">IFERROR(INDEX('Paths database'!$Z$60:$AC$1991,'Paths database'!$AF178,COLUMNS($B$23:B141)),"")</f>
        <v/>
      </c>
      <c r="C142" s="55" t="str">
        <f t="array" ref="C142">IFERROR(INDEX('Paths database'!$Z$60:$AC$1991,'Paths database'!$AF178,COLUMNS($B$23:C141)),"")</f>
        <v/>
      </c>
      <c r="D142" s="55" t="str">
        <f t="array" ref="D142">IFERROR(INDEX('Paths database'!$Z$60:$AC$1991,'Paths database'!$AF178,COLUMNS($B$23:D141)),"")</f>
        <v/>
      </c>
      <c r="E142" s="64" t="str">
        <f t="array" ref="E142">IFERROR(INDEX('Paths database'!$Z$60:$AC$1991,'Paths database'!$AF178,COLUMNS($B$23:E141)),"")</f>
        <v/>
      </c>
      <c r="G142" s="55" t="str">
        <f t="array" aca="1" ref="G142" ca="1">IF(ROWS(G$24:G142)&gt;$F$24,"",INDEX(B$24:B$149,SMALL(IF(ISNUMBER($E$24:$E$149),ROW($E$24:$E$149)-ROW($E$24)+1),ROWS(G$24:G142))))</f>
        <v/>
      </c>
      <c r="H142" s="55" t="str">
        <f t="array" aca="1" ref="H142" ca="1">IF(ROWS(H$24:H142)&gt;$F$24,"",INDEX(E$24:E$149,SMALL(IF(ISNUMBER($E$24:$E$149),ROW($E$24:$E$149)-ROW($E$24)+1),ROWS(H$24:H142))))</f>
        <v/>
      </c>
      <c r="I142" s="55" t="str">
        <f t="shared" ca="1" si="3"/>
        <v/>
      </c>
      <c r="J142" s="55" t="str">
        <f t="shared" ca="1" si="4"/>
        <v/>
      </c>
      <c r="K142" s="55">
        <f t="shared" ca="1" si="5"/>
        <v>0.10257645640146593</v>
      </c>
    </row>
    <row r="143" spans="2:11" x14ac:dyDescent="0.25">
      <c r="B143" s="55" t="str">
        <f t="array" ref="B143">IFERROR(INDEX('Paths database'!$Z$60:$AC$1991,'Paths database'!$AF179,COLUMNS($B$23:B142)),"")</f>
        <v/>
      </c>
      <c r="C143" s="55" t="str">
        <f t="array" ref="C143">IFERROR(INDEX('Paths database'!$Z$60:$AC$1991,'Paths database'!$AF179,COLUMNS($B$23:C142)),"")</f>
        <v/>
      </c>
      <c r="D143" s="55" t="str">
        <f t="array" ref="D143">IFERROR(INDEX('Paths database'!$Z$60:$AC$1991,'Paths database'!$AF179,COLUMNS($B$23:D142)),"")</f>
        <v/>
      </c>
      <c r="E143" s="64" t="str">
        <f t="array" ref="E143">IFERROR(INDEX('Paths database'!$Z$60:$AC$1991,'Paths database'!$AF179,COLUMNS($B$23:E142)),"")</f>
        <v/>
      </c>
      <c r="G143" s="55" t="str">
        <f t="array" aca="1" ref="G143" ca="1">IF(ROWS(G$24:G143)&gt;$F$24,"",INDEX(B$24:B$149,SMALL(IF(ISNUMBER($E$24:$E$149),ROW($E$24:$E$149)-ROW($E$24)+1),ROWS(G$24:G143))))</f>
        <v/>
      </c>
      <c r="H143" s="55" t="str">
        <f t="array" aca="1" ref="H143" ca="1">IF(ROWS(H$24:H143)&gt;$F$24,"",INDEX(E$24:E$149,SMALL(IF(ISNUMBER($E$24:$E$149),ROW($E$24:$E$149)-ROW($E$24)+1),ROWS(H$24:H143))))</f>
        <v/>
      </c>
      <c r="I143" s="55" t="str">
        <f t="shared" ca="1" si="3"/>
        <v/>
      </c>
      <c r="J143" s="55" t="str">
        <f t="shared" ca="1" si="4"/>
        <v/>
      </c>
      <c r="K143" s="55">
        <f t="shared" ca="1" si="5"/>
        <v>0.10257645640146593</v>
      </c>
    </row>
    <row r="144" spans="2:11" x14ac:dyDescent="0.25">
      <c r="B144" s="55" t="str">
        <f t="array" ref="B144">IFERROR(INDEX('Paths database'!$Z$60:$AC$1991,'Paths database'!$AF180,COLUMNS($B$23:B143)),"")</f>
        <v/>
      </c>
      <c r="C144" s="55" t="str">
        <f t="array" ref="C144">IFERROR(INDEX('Paths database'!$Z$60:$AC$1991,'Paths database'!$AF180,COLUMNS($B$23:C143)),"")</f>
        <v/>
      </c>
      <c r="D144" s="55" t="str">
        <f t="array" ref="D144">IFERROR(INDEX('Paths database'!$Z$60:$AC$1991,'Paths database'!$AF180,COLUMNS($B$23:D143)),"")</f>
        <v/>
      </c>
      <c r="E144" s="64" t="str">
        <f t="array" ref="E144">IFERROR(INDEX('Paths database'!$Z$60:$AC$1991,'Paths database'!$AF180,COLUMNS($B$23:E143)),"")</f>
        <v/>
      </c>
      <c r="G144" s="55" t="str">
        <f t="array" aca="1" ref="G144" ca="1">IF(ROWS(G$24:G144)&gt;$F$24,"",INDEX(B$24:B$149,SMALL(IF(ISNUMBER($E$24:$E$149),ROW($E$24:$E$149)-ROW($E$24)+1),ROWS(G$24:G144))))</f>
        <v/>
      </c>
      <c r="H144" s="55" t="str">
        <f t="array" aca="1" ref="H144" ca="1">IF(ROWS(H$24:H144)&gt;$F$24,"",INDEX(E$24:E$149,SMALL(IF(ISNUMBER($E$24:$E$149),ROW($E$24:$E$149)-ROW($E$24)+1),ROWS(H$24:H144))))</f>
        <v/>
      </c>
      <c r="I144" s="55" t="str">
        <f t="shared" ca="1" si="3"/>
        <v/>
      </c>
      <c r="J144" s="55" t="str">
        <f t="shared" ca="1" si="4"/>
        <v/>
      </c>
      <c r="K144" s="55">
        <f t="shared" ca="1" si="5"/>
        <v>0.10257645640146593</v>
      </c>
    </row>
    <row r="145" spans="2:11" x14ac:dyDescent="0.25">
      <c r="B145" s="55" t="str">
        <f t="array" ref="B145">IFERROR(INDEX('Paths database'!$Z$60:$AC$1991,'Paths database'!$AF181,COLUMNS($B$23:B144)),"")</f>
        <v/>
      </c>
      <c r="C145" s="55" t="str">
        <f t="array" ref="C145">IFERROR(INDEX('Paths database'!$Z$60:$AC$1991,'Paths database'!$AF181,COLUMNS($B$23:C144)),"")</f>
        <v/>
      </c>
      <c r="D145" s="55" t="str">
        <f t="array" ref="D145">IFERROR(INDEX('Paths database'!$Z$60:$AC$1991,'Paths database'!$AF181,COLUMNS($B$23:D144)),"")</f>
        <v/>
      </c>
      <c r="E145" s="64" t="str">
        <f t="array" ref="E145">IFERROR(INDEX('Paths database'!$Z$60:$AC$1991,'Paths database'!$AF181,COLUMNS($B$23:E144)),"")</f>
        <v/>
      </c>
      <c r="G145" s="55" t="str">
        <f t="array" aca="1" ref="G145" ca="1">IF(ROWS(G$24:G145)&gt;$F$24,"",INDEX(B$24:B$149,SMALL(IF(ISNUMBER($E$24:$E$149),ROW($E$24:$E$149)-ROW($E$24)+1),ROWS(G$24:G145))))</f>
        <v/>
      </c>
      <c r="H145" s="55" t="str">
        <f t="array" aca="1" ref="H145" ca="1">IF(ROWS(H$24:H145)&gt;$F$24,"",INDEX(E$24:E$149,SMALL(IF(ISNUMBER($E$24:$E$149),ROW($E$24:$E$149)-ROW($E$24)+1),ROWS(H$24:H145))))</f>
        <v/>
      </c>
      <c r="I145" s="55" t="str">
        <f t="shared" ca="1" si="3"/>
        <v/>
      </c>
      <c r="J145" s="55" t="str">
        <f t="shared" ca="1" si="4"/>
        <v/>
      </c>
      <c r="K145" s="55">
        <f t="shared" ca="1" si="5"/>
        <v>0.10257645640146593</v>
      </c>
    </row>
    <row r="146" spans="2:11" x14ac:dyDescent="0.25">
      <c r="B146" s="55" t="str">
        <f t="array" ref="B146">IFERROR(INDEX('Paths database'!$Z$60:$AC$1991,'Paths database'!$AF182,COLUMNS($B$23:B145)),"")</f>
        <v/>
      </c>
      <c r="C146" s="55" t="str">
        <f t="array" ref="C146">IFERROR(INDEX('Paths database'!$Z$60:$AC$1991,'Paths database'!$AF182,COLUMNS($B$23:C145)),"")</f>
        <v/>
      </c>
      <c r="D146" s="55" t="str">
        <f t="array" ref="D146">IFERROR(INDEX('Paths database'!$Z$60:$AC$1991,'Paths database'!$AF182,COLUMNS($B$23:D145)),"")</f>
        <v/>
      </c>
      <c r="E146" s="64" t="str">
        <f t="array" ref="E146">IFERROR(INDEX('Paths database'!$Z$60:$AC$1991,'Paths database'!$AF182,COLUMNS($B$23:E145)),"")</f>
        <v/>
      </c>
      <c r="G146" s="55" t="str">
        <f t="array" aca="1" ref="G146" ca="1">IF(ROWS(G$24:G146)&gt;$F$24,"",INDEX(B$24:B$149,SMALL(IF(ISNUMBER($E$24:$E$149),ROW($E$24:$E$149)-ROW($E$24)+1),ROWS(G$24:G146))))</f>
        <v/>
      </c>
      <c r="H146" s="55" t="str">
        <f t="array" aca="1" ref="H146" ca="1">IF(ROWS(H$24:H146)&gt;$F$24,"",INDEX(E$24:E$149,SMALL(IF(ISNUMBER($E$24:$E$149),ROW($E$24:$E$149)-ROW($E$24)+1),ROWS(H$24:H146))))</f>
        <v/>
      </c>
      <c r="I146" s="55" t="str">
        <f t="shared" ca="1" si="3"/>
        <v/>
      </c>
      <c r="J146" s="55" t="str">
        <f t="shared" ca="1" si="4"/>
        <v/>
      </c>
      <c r="K146" s="55">
        <f t="shared" ca="1" si="5"/>
        <v>0.10257645640146593</v>
      </c>
    </row>
    <row r="147" spans="2:11" x14ac:dyDescent="0.25">
      <c r="B147" s="55" t="str">
        <f t="array" ref="B147">IFERROR(INDEX('Paths database'!$Z$60:$AC$1991,'Paths database'!$AF183,COLUMNS($B$23:B146)),"")</f>
        <v/>
      </c>
      <c r="C147" s="55" t="str">
        <f t="array" ref="C147">IFERROR(INDEX('Paths database'!$Z$60:$AC$1991,'Paths database'!$AF183,COLUMNS($B$23:C146)),"")</f>
        <v/>
      </c>
      <c r="D147" s="55" t="str">
        <f t="array" ref="D147">IFERROR(INDEX('Paths database'!$Z$60:$AC$1991,'Paths database'!$AF183,COLUMNS($B$23:D146)),"")</f>
        <v/>
      </c>
      <c r="E147" s="64" t="str">
        <f t="array" ref="E147">IFERROR(INDEX('Paths database'!$Z$60:$AC$1991,'Paths database'!$AF183,COLUMNS($B$23:E146)),"")</f>
        <v/>
      </c>
      <c r="G147" s="55" t="str">
        <f t="array" aca="1" ref="G147" ca="1">IF(ROWS(G$24:G147)&gt;$F$24,"",INDEX(B$24:B$149,SMALL(IF(ISNUMBER($E$24:$E$149),ROW($E$24:$E$149)-ROW($E$24)+1),ROWS(G$24:G147))))</f>
        <v/>
      </c>
      <c r="H147" s="55" t="str">
        <f t="array" aca="1" ref="H147" ca="1">IF(ROWS(H$24:H147)&gt;$F$24,"",INDEX(E$24:E$149,SMALL(IF(ISNUMBER($E$24:$E$149),ROW($E$24:$E$149)-ROW($E$24)+1),ROWS(H$24:H147))))</f>
        <v/>
      </c>
      <c r="I147" s="55" t="str">
        <f t="shared" ca="1" si="3"/>
        <v/>
      </c>
      <c r="J147" s="55" t="str">
        <f t="shared" ca="1" si="4"/>
        <v/>
      </c>
      <c r="K147" s="55">
        <f t="shared" ca="1" si="5"/>
        <v>0.10257645640146593</v>
      </c>
    </row>
    <row r="148" spans="2:11" x14ac:dyDescent="0.25">
      <c r="B148" s="55" t="str">
        <f t="array" ref="B148">IFERROR(INDEX('Paths database'!$Z$60:$AC$1991,'Paths database'!$AF184,COLUMNS($B$23:B147)),"")</f>
        <v/>
      </c>
      <c r="C148" s="55" t="str">
        <f t="array" ref="C148">IFERROR(INDEX('Paths database'!$Z$60:$AC$1991,'Paths database'!$AF184,COLUMNS($B$23:C147)),"")</f>
        <v/>
      </c>
      <c r="D148" s="55" t="str">
        <f t="array" ref="D148">IFERROR(INDEX('Paths database'!$Z$60:$AC$1991,'Paths database'!$AF184,COLUMNS($B$23:D147)),"")</f>
        <v/>
      </c>
      <c r="E148" s="64" t="str">
        <f t="array" ref="E148">IFERROR(INDEX('Paths database'!$Z$60:$AC$1991,'Paths database'!$AF184,COLUMNS($B$23:E147)),"")</f>
        <v/>
      </c>
      <c r="G148" s="55" t="str">
        <f t="array" aca="1" ref="G148" ca="1">IF(ROWS(G$24:G148)&gt;$F$24,"",INDEX(B$24:B$149,SMALL(IF(ISNUMBER($E$24:$E$149),ROW($E$24:$E$149)-ROW($E$24)+1),ROWS(G$24:G148))))</f>
        <v/>
      </c>
      <c r="H148" s="55" t="str">
        <f t="array" aca="1" ref="H148" ca="1">IF(ROWS(H$24:H148)&gt;$F$24,"",INDEX(E$24:E$149,SMALL(IF(ISNUMBER($E$24:$E$149),ROW($E$24:$E$149)-ROW($E$24)+1),ROWS(H$24:H148))))</f>
        <v/>
      </c>
      <c r="I148" s="55" t="str">
        <f t="shared" ca="1" si="3"/>
        <v/>
      </c>
      <c r="J148" s="55" t="str">
        <f t="shared" ca="1" si="4"/>
        <v/>
      </c>
      <c r="K148" s="55">
        <f t="shared" ca="1" si="5"/>
        <v>0.10257645640146593</v>
      </c>
    </row>
    <row r="149" spans="2:11" x14ac:dyDescent="0.25">
      <c r="B149" s="55" t="str">
        <f t="array" ref="B149">IFERROR(INDEX('Paths database'!$Z$60:$AC$1991,'Paths database'!$AF185,COLUMNS($B$23:B148)),"")</f>
        <v/>
      </c>
      <c r="C149" s="55" t="str">
        <f t="array" ref="C149">IFERROR(INDEX('Paths database'!$Z$60:$AC$1991,'Paths database'!$AF185,COLUMNS($B$23:C148)),"")</f>
        <v/>
      </c>
      <c r="D149" s="55" t="str">
        <f t="array" ref="D149">IFERROR(INDEX('Paths database'!$Z$60:$AC$1991,'Paths database'!$AF185,COLUMNS($B$23:D148)),"")</f>
        <v/>
      </c>
      <c r="E149" s="64" t="str">
        <f t="array" ref="E149">IFERROR(INDEX('Paths database'!$Z$60:$AC$1991,'Paths database'!$AF185,COLUMNS($B$23:E148)),"")</f>
        <v/>
      </c>
      <c r="G149" s="55" t="str">
        <f t="array" aca="1" ref="G149" ca="1">IF(ROWS(G$24:G149)&gt;$F$24,"",INDEX(B$24:B$149,SMALL(IF(ISNUMBER($E$24:$E$149),ROW($E$24:$E$149)-ROW($E$24)+1),ROWS(G$24:G149))))</f>
        <v/>
      </c>
      <c r="H149" s="55" t="str">
        <f t="array" aca="1" ref="H149" ca="1">IF(ROWS(H$24:H149)&gt;$F$24,"",INDEX(E$24:E$149,SMALL(IF(ISNUMBER($E$24:$E$149),ROW($E$24:$E$149)-ROW($E$24)+1),ROWS(H$24:H149))))</f>
        <v/>
      </c>
      <c r="I149" s="55" t="str">
        <f t="shared" ca="1" si="3"/>
        <v/>
      </c>
      <c r="J149" s="55" t="str">
        <f t="shared" ca="1" si="4"/>
        <v/>
      </c>
      <c r="K149" s="55">
        <f t="shared" ca="1" si="5"/>
        <v>0.10257645640146593</v>
      </c>
    </row>
  </sheetData>
  <sheetProtection sheet="1" objects="1" scenarios="1" selectLockedCells="1"/>
  <dataValidations xWindow="165" yWindow="522" count="1">
    <dataValidation allowBlank="1" showInputMessage="1" showErrorMessage="1" prompt="Select the cell to the left to activate the drop-down menu." sqref="C10 C16"/>
  </dataValidations>
  <pageMargins left="0.7" right="0.7" top="0.75" bottom="0.75" header="0.3" footer="0.3"/>
  <pageSetup paperSize="9" orientation="portrait" horizontalDpi="4294967294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65" yWindow="522" count="2">
        <x14:dataValidation type="list" allowBlank="1" showInputMessage="1" showErrorMessage="1" prompt="Select the merit to be displayed">
          <x14:formula1>
            <xm:f>Assumptions!$C$77:$C$80</xm:f>
          </x14:formula1>
          <xm:sqref>B10</xm:sqref>
        </x14:dataValidation>
        <x14:dataValidation type="list" allowBlank="1" showInputMessage="1" showErrorMessage="1" prompt="Select the merit to be displayed">
          <x14:formula1>
            <xm:f>'(1) Introduction'!$B$126:$B$132</xm:f>
          </x14:formula1>
          <xm:sqref>B16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H162"/>
  <sheetViews>
    <sheetView zoomScaleNormal="100" workbookViewId="0">
      <pane ySplit="2" topLeftCell="A3" activePane="bottomLeft" state="frozen"/>
      <selection activeCell="H21" sqref="H21"/>
      <selection pane="bottomLeft" activeCell="H21" sqref="H21"/>
    </sheetView>
  </sheetViews>
  <sheetFormatPr defaultColWidth="9.140625" defaultRowHeight="15" x14ac:dyDescent="0.25"/>
  <cols>
    <col min="2" max="2" width="47" customWidth="1"/>
    <col min="3" max="3" width="20.28515625" customWidth="1"/>
    <col min="4" max="4" width="14.42578125" bestFit="1" customWidth="1"/>
    <col min="5" max="5" width="11" customWidth="1"/>
  </cols>
  <sheetData>
    <row r="2" spans="2:3" s="3" customFormat="1" ht="31.5" x14ac:dyDescent="0.5">
      <c r="B2" s="3" t="s">
        <v>182</v>
      </c>
    </row>
    <row r="5" spans="2:3" ht="23.25" x14ac:dyDescent="0.35">
      <c r="B5" s="9" t="s">
        <v>183</v>
      </c>
    </row>
    <row r="7" spans="2:3" x14ac:dyDescent="0.25">
      <c r="B7" t="s">
        <v>184</v>
      </c>
      <c r="C7" s="68" t="s">
        <v>85</v>
      </c>
    </row>
    <row r="8" spans="2:3" x14ac:dyDescent="0.25">
      <c r="C8" s="68" t="s">
        <v>185</v>
      </c>
    </row>
    <row r="12" spans="2:3" ht="23.25" x14ac:dyDescent="0.35">
      <c r="B12" s="9" t="s">
        <v>186</v>
      </c>
    </row>
    <row r="14" spans="2:3" x14ac:dyDescent="0.25">
      <c r="B14" t="s">
        <v>87</v>
      </c>
      <c r="C14" s="69">
        <v>1E-8</v>
      </c>
    </row>
    <row r="15" spans="2:3" x14ac:dyDescent="0.25">
      <c r="C15" s="69">
        <v>0.01</v>
      </c>
    </row>
    <row r="16" spans="2:3" x14ac:dyDescent="0.25">
      <c r="C16" s="69">
        <v>0.02</v>
      </c>
    </row>
    <row r="17" spans="2:8" x14ac:dyDescent="0.25">
      <c r="C17" s="69">
        <v>0.03</v>
      </c>
    </row>
    <row r="18" spans="2:8" x14ac:dyDescent="0.25">
      <c r="C18" s="69">
        <v>0.04</v>
      </c>
    </row>
    <row r="19" spans="2:8" x14ac:dyDescent="0.25">
      <c r="C19" s="69">
        <v>0.05</v>
      </c>
      <c r="H19" s="54"/>
    </row>
    <row r="20" spans="2:8" x14ac:dyDescent="0.25">
      <c r="C20" s="69">
        <v>0.06</v>
      </c>
      <c r="H20" s="54"/>
    </row>
    <row r="21" spans="2:8" x14ac:dyDescent="0.25">
      <c r="C21" s="68"/>
      <c r="H21" s="54"/>
    </row>
    <row r="22" spans="2:8" x14ac:dyDescent="0.25">
      <c r="C22" s="68"/>
      <c r="H22" s="54"/>
    </row>
    <row r="24" spans="2:8" ht="23.25" x14ac:dyDescent="0.35">
      <c r="B24" s="9" t="s">
        <v>187</v>
      </c>
    </row>
    <row r="26" spans="2:8" ht="18" x14ac:dyDescent="0.35">
      <c r="B26" t="s">
        <v>88</v>
      </c>
      <c r="C26">
        <v>20</v>
      </c>
      <c r="D26" t="s">
        <v>188</v>
      </c>
      <c r="E26" t="s">
        <v>189</v>
      </c>
    </row>
    <row r="27" spans="2:8" ht="18" x14ac:dyDescent="0.35">
      <c r="C27">
        <v>45</v>
      </c>
      <c r="D27" t="s">
        <v>188</v>
      </c>
      <c r="E27" t="s">
        <v>190</v>
      </c>
    </row>
    <row r="28" spans="2:8" ht="18" x14ac:dyDescent="0.35">
      <c r="C28">
        <v>70</v>
      </c>
      <c r="D28" t="s">
        <v>188</v>
      </c>
      <c r="E28" t="s">
        <v>191</v>
      </c>
    </row>
    <row r="29" spans="2:8" ht="18" x14ac:dyDescent="0.35">
      <c r="B29" t="s">
        <v>90</v>
      </c>
      <c r="C29">
        <v>10</v>
      </c>
      <c r="D29" t="s">
        <v>192</v>
      </c>
      <c r="E29" t="s">
        <v>193</v>
      </c>
    </row>
    <row r="30" spans="2:8" ht="18" x14ac:dyDescent="0.35">
      <c r="C30">
        <v>30</v>
      </c>
      <c r="D30" t="s">
        <v>192</v>
      </c>
      <c r="E30" t="s">
        <v>194</v>
      </c>
    </row>
    <row r="31" spans="2:8" ht="18" x14ac:dyDescent="0.35">
      <c r="C31">
        <v>50</v>
      </c>
      <c r="D31" t="s">
        <v>192</v>
      </c>
      <c r="E31" t="s">
        <v>195</v>
      </c>
    </row>
    <row r="32" spans="2:8" ht="18" x14ac:dyDescent="0.35">
      <c r="B32" s="7" t="s">
        <v>92</v>
      </c>
      <c r="C32" s="59">
        <f>3/DollarInEuro2010/euroDeflator2010</f>
        <v>2.291495376620317</v>
      </c>
      <c r="D32" t="s">
        <v>192</v>
      </c>
      <c r="E32" t="s">
        <v>454</v>
      </c>
      <c r="H32" s="7"/>
    </row>
    <row r="33" spans="2:8" ht="18" x14ac:dyDescent="0.35">
      <c r="C33" s="59">
        <f>AVERAGE(C32,C34)</f>
        <v>5.2704393662267295</v>
      </c>
      <c r="D33" t="s">
        <v>192</v>
      </c>
      <c r="E33" t="s">
        <v>454</v>
      </c>
      <c r="H33" s="7"/>
    </row>
    <row r="34" spans="2:8" ht="18" x14ac:dyDescent="0.35">
      <c r="C34" s="59">
        <f>10.8/DollarInEuro2010/euroDeflator2010</f>
        <v>8.2493833558331424</v>
      </c>
      <c r="D34" t="s">
        <v>192</v>
      </c>
      <c r="E34" t="s">
        <v>454</v>
      </c>
      <c r="H34" s="7"/>
    </row>
    <row r="35" spans="2:8" ht="18" x14ac:dyDescent="0.35">
      <c r="B35" s="7" t="s">
        <v>93</v>
      </c>
      <c r="C35" s="59">
        <v>5</v>
      </c>
      <c r="D35" t="s">
        <v>192</v>
      </c>
      <c r="E35" t="s">
        <v>464</v>
      </c>
      <c r="H35" s="7"/>
    </row>
    <row r="36" spans="2:8" ht="18" x14ac:dyDescent="0.35">
      <c r="C36" s="59">
        <v>35</v>
      </c>
      <c r="D36" t="s">
        <v>192</v>
      </c>
      <c r="E36" t="s">
        <v>194</v>
      </c>
      <c r="H36" s="7"/>
    </row>
    <row r="37" spans="2:8" ht="18" x14ac:dyDescent="0.35">
      <c r="C37" s="59">
        <v>65</v>
      </c>
      <c r="D37" t="s">
        <v>192</v>
      </c>
      <c r="E37" t="s">
        <v>465</v>
      </c>
      <c r="H37" s="7"/>
    </row>
    <row r="38" spans="2:8" ht="15.75" x14ac:dyDescent="0.25">
      <c r="H38" s="7"/>
    </row>
    <row r="39" spans="2:8" ht="15.75" x14ac:dyDescent="0.25">
      <c r="H39" s="7"/>
    </row>
    <row r="41" spans="2:8" ht="23.25" x14ac:dyDescent="0.35">
      <c r="B41" s="9" t="s">
        <v>196</v>
      </c>
    </row>
    <row r="43" spans="2:8" ht="18" x14ac:dyDescent="0.35">
      <c r="B43" t="s">
        <v>150</v>
      </c>
      <c r="C43">
        <v>10</v>
      </c>
      <c r="D43" t="s">
        <v>197</v>
      </c>
      <c r="E43" t="s">
        <v>193</v>
      </c>
    </row>
    <row r="44" spans="2:8" ht="18" x14ac:dyDescent="0.35">
      <c r="C44">
        <v>35</v>
      </c>
      <c r="D44" t="s">
        <v>198</v>
      </c>
      <c r="E44" t="s">
        <v>199</v>
      </c>
    </row>
    <row r="45" spans="2:8" ht="18" x14ac:dyDescent="0.35">
      <c r="C45">
        <v>60</v>
      </c>
      <c r="D45" t="s">
        <v>200</v>
      </c>
      <c r="E45" t="s">
        <v>190</v>
      </c>
    </row>
    <row r="49" spans="2:4" ht="23.25" x14ac:dyDescent="0.35">
      <c r="B49" s="9" t="s">
        <v>151</v>
      </c>
    </row>
    <row r="51" spans="2:4" ht="18" x14ac:dyDescent="0.35">
      <c r="B51" t="s">
        <v>201</v>
      </c>
      <c r="C51">
        <v>0</v>
      </c>
      <c r="D51" t="s">
        <v>202</v>
      </c>
    </row>
    <row r="52" spans="2:4" ht="18" x14ac:dyDescent="0.35">
      <c r="C52">
        <v>50</v>
      </c>
      <c r="D52" t="s">
        <v>202</v>
      </c>
    </row>
    <row r="53" spans="2:4" ht="18" x14ac:dyDescent="0.35">
      <c r="C53">
        <v>100</v>
      </c>
      <c r="D53" t="s">
        <v>202</v>
      </c>
    </row>
    <row r="54" spans="2:4" ht="18" x14ac:dyDescent="0.35">
      <c r="C54">
        <v>500</v>
      </c>
      <c r="D54" t="s">
        <v>202</v>
      </c>
    </row>
    <row r="55" spans="2:4" ht="18" x14ac:dyDescent="0.35">
      <c r="C55">
        <v>1000</v>
      </c>
      <c r="D55" t="s">
        <v>202</v>
      </c>
    </row>
    <row r="59" spans="2:4" ht="23.25" x14ac:dyDescent="0.35">
      <c r="B59" s="9" t="s">
        <v>203</v>
      </c>
    </row>
    <row r="61" spans="2:4" x14ac:dyDescent="0.25">
      <c r="B61" t="s">
        <v>100</v>
      </c>
      <c r="C61">
        <v>6</v>
      </c>
    </row>
    <row r="62" spans="2:4" x14ac:dyDescent="0.25">
      <c r="C62">
        <v>7</v>
      </c>
    </row>
    <row r="63" spans="2:4" x14ac:dyDescent="0.25">
      <c r="C63">
        <v>8</v>
      </c>
    </row>
    <row r="64" spans="2:4" x14ac:dyDescent="0.25">
      <c r="C64">
        <v>9</v>
      </c>
    </row>
    <row r="68" spans="2:4" ht="26.25" x14ac:dyDescent="0.45">
      <c r="B68" s="9" t="s">
        <v>204</v>
      </c>
    </row>
    <row r="70" spans="2:4" x14ac:dyDescent="0.25">
      <c r="B70" t="s">
        <v>205</v>
      </c>
      <c r="C70" s="68" t="s">
        <v>455</v>
      </c>
    </row>
    <row r="71" spans="2:4" x14ac:dyDescent="0.25">
      <c r="C71" s="68" t="s">
        <v>456</v>
      </c>
    </row>
    <row r="75" spans="2:4" ht="23.25" x14ac:dyDescent="0.35">
      <c r="B75" s="9" t="s">
        <v>206</v>
      </c>
    </row>
    <row r="77" spans="2:4" x14ac:dyDescent="0.25">
      <c r="B77" t="s">
        <v>207</v>
      </c>
      <c r="C77" t="s">
        <v>114</v>
      </c>
      <c r="D77" t="s">
        <v>208</v>
      </c>
    </row>
    <row r="78" spans="2:4" x14ac:dyDescent="0.25">
      <c r="C78" t="s">
        <v>126</v>
      </c>
      <c r="D78" t="s">
        <v>208</v>
      </c>
    </row>
    <row r="79" spans="2:4" x14ac:dyDescent="0.25">
      <c r="C79" t="s">
        <v>120</v>
      </c>
      <c r="D79" t="s">
        <v>209</v>
      </c>
    </row>
    <row r="80" spans="2:4" x14ac:dyDescent="0.25">
      <c r="C80" t="s">
        <v>132</v>
      </c>
      <c r="D80" t="s">
        <v>209</v>
      </c>
    </row>
    <row r="84" spans="2:3" ht="23.25" x14ac:dyDescent="0.35">
      <c r="B84" s="9" t="s">
        <v>71</v>
      </c>
    </row>
    <row r="86" spans="2:3" x14ac:dyDescent="0.25">
      <c r="B86" t="s">
        <v>210</v>
      </c>
      <c r="C86" t="s">
        <v>141</v>
      </c>
    </row>
    <row r="87" spans="2:3" x14ac:dyDescent="0.25">
      <c r="C87" s="54" t="s">
        <v>211</v>
      </c>
    </row>
    <row r="88" spans="2:3" x14ac:dyDescent="0.25">
      <c r="C88" s="54" t="s">
        <v>212</v>
      </c>
    </row>
    <row r="89" spans="2:3" x14ac:dyDescent="0.25">
      <c r="C89" s="54" t="s">
        <v>213</v>
      </c>
    </row>
    <row r="90" spans="2:3" x14ac:dyDescent="0.25">
      <c r="C90" s="54" t="s">
        <v>540</v>
      </c>
    </row>
    <row r="91" spans="2:3" x14ac:dyDescent="0.25">
      <c r="C91" s="443" t="s">
        <v>515</v>
      </c>
    </row>
    <row r="92" spans="2:3" x14ac:dyDescent="0.25">
      <c r="C92" s="54"/>
    </row>
    <row r="93" spans="2:3" x14ac:dyDescent="0.25">
      <c r="B93" t="s">
        <v>214</v>
      </c>
      <c r="C93" t="s">
        <v>141</v>
      </c>
    </row>
    <row r="94" spans="2:3" x14ac:dyDescent="0.25">
      <c r="C94" s="54" t="s">
        <v>212</v>
      </c>
    </row>
    <row r="95" spans="2:3" x14ac:dyDescent="0.25">
      <c r="C95" s="54" t="s">
        <v>540</v>
      </c>
    </row>
    <row r="96" spans="2:3" x14ac:dyDescent="0.25">
      <c r="C96" s="443" t="s">
        <v>515</v>
      </c>
    </row>
    <row r="97" spans="2:3" x14ac:dyDescent="0.25">
      <c r="C97" s="54"/>
    </row>
    <row r="98" spans="2:3" x14ac:dyDescent="0.25">
      <c r="B98" t="s">
        <v>215</v>
      </c>
      <c r="C98" t="s">
        <v>159</v>
      </c>
    </row>
    <row r="99" spans="2:3" x14ac:dyDescent="0.25">
      <c r="C99" s="54" t="s">
        <v>517</v>
      </c>
    </row>
    <row r="100" spans="2:3" x14ac:dyDescent="0.25">
      <c r="C100" s="54" t="s">
        <v>468</v>
      </c>
    </row>
    <row r="101" spans="2:3" x14ac:dyDescent="0.25">
      <c r="C101" s="54" t="s">
        <v>212</v>
      </c>
    </row>
    <row r="102" spans="2:3" x14ac:dyDescent="0.25">
      <c r="C102" s="54" t="s">
        <v>540</v>
      </c>
    </row>
    <row r="103" spans="2:3" x14ac:dyDescent="0.25">
      <c r="C103" s="443" t="s">
        <v>515</v>
      </c>
    </row>
    <row r="105" spans="2:3" x14ac:dyDescent="0.25">
      <c r="B105" t="s">
        <v>217</v>
      </c>
      <c r="C105" t="s">
        <v>161</v>
      </c>
    </row>
    <row r="106" spans="2:3" x14ac:dyDescent="0.25">
      <c r="C106" s="54" t="s">
        <v>517</v>
      </c>
    </row>
    <row r="107" spans="2:3" x14ac:dyDescent="0.25">
      <c r="C107" s="54" t="s">
        <v>469</v>
      </c>
    </row>
    <row r="108" spans="2:3" x14ac:dyDescent="0.25">
      <c r="C108" s="54" t="s">
        <v>212</v>
      </c>
    </row>
    <row r="109" spans="2:3" x14ac:dyDescent="0.25">
      <c r="C109" s="54" t="s">
        <v>540</v>
      </c>
    </row>
    <row r="110" spans="2:3" x14ac:dyDescent="0.25">
      <c r="C110" s="443" t="s">
        <v>515</v>
      </c>
    </row>
    <row r="114" spans="2:3" ht="23.25" x14ac:dyDescent="0.35">
      <c r="B114" s="9" t="s">
        <v>27</v>
      </c>
    </row>
    <row r="116" spans="2:3" x14ac:dyDescent="0.25">
      <c r="B116" t="s">
        <v>49</v>
      </c>
      <c r="C116" t="s">
        <v>486</v>
      </c>
    </row>
    <row r="117" spans="2:3" x14ac:dyDescent="0.25">
      <c r="B117" t="s">
        <v>51</v>
      </c>
      <c r="C117" t="s">
        <v>487</v>
      </c>
    </row>
    <row r="118" spans="2:3" x14ac:dyDescent="0.25">
      <c r="B118" t="s">
        <v>52</v>
      </c>
      <c r="C118" t="s">
        <v>488</v>
      </c>
    </row>
    <row r="119" spans="2:3" x14ac:dyDescent="0.25">
      <c r="B119" t="s">
        <v>53</v>
      </c>
      <c r="C119" t="s">
        <v>509</v>
      </c>
    </row>
    <row r="120" spans="2:3" x14ac:dyDescent="0.25">
      <c r="B120" t="s">
        <v>54</v>
      </c>
      <c r="C120" t="s">
        <v>508</v>
      </c>
    </row>
    <row r="121" spans="2:3" x14ac:dyDescent="0.25">
      <c r="B121" t="s">
        <v>55</v>
      </c>
      <c r="C121" t="s">
        <v>507</v>
      </c>
    </row>
    <row r="122" spans="2:3" x14ac:dyDescent="0.25">
      <c r="B122" t="s">
        <v>56</v>
      </c>
      <c r="C122" t="s">
        <v>489</v>
      </c>
    </row>
    <row r="123" spans="2:3" x14ac:dyDescent="0.25">
      <c r="B123" t="s">
        <v>57</v>
      </c>
      <c r="C123" t="s">
        <v>490</v>
      </c>
    </row>
    <row r="124" spans="2:3" x14ac:dyDescent="0.25">
      <c r="B124" t="s">
        <v>58</v>
      </c>
      <c r="C124" t="s">
        <v>491</v>
      </c>
    </row>
    <row r="125" spans="2:3" x14ac:dyDescent="0.25">
      <c r="B125" t="s">
        <v>59</v>
      </c>
      <c r="C125" t="s">
        <v>492</v>
      </c>
    </row>
    <row r="126" spans="2:3" x14ac:dyDescent="0.25">
      <c r="B126" t="s">
        <v>60</v>
      </c>
      <c r="C126" t="s">
        <v>493</v>
      </c>
    </row>
    <row r="127" spans="2:3" x14ac:dyDescent="0.25">
      <c r="B127" t="s">
        <v>174</v>
      </c>
      <c r="C127" t="s">
        <v>495</v>
      </c>
    </row>
    <row r="129" spans="2:3" x14ac:dyDescent="0.25">
      <c r="B129" s="60" t="s">
        <v>62</v>
      </c>
      <c r="C129" t="s">
        <v>504</v>
      </c>
    </row>
    <row r="130" spans="2:3" x14ac:dyDescent="0.25">
      <c r="B130" s="60" t="s">
        <v>155</v>
      </c>
      <c r="C130" t="s">
        <v>503</v>
      </c>
    </row>
    <row r="131" spans="2:3" x14ac:dyDescent="0.25">
      <c r="B131" s="60" t="s">
        <v>130</v>
      </c>
      <c r="C131" t="s">
        <v>502</v>
      </c>
    </row>
    <row r="132" spans="2:3" x14ac:dyDescent="0.25">
      <c r="B132" s="61" t="s">
        <v>63</v>
      </c>
      <c r="C132" t="s">
        <v>176</v>
      </c>
    </row>
    <row r="133" spans="2:3" x14ac:dyDescent="0.25">
      <c r="B133" s="61" t="s">
        <v>177</v>
      </c>
      <c r="C133" t="s">
        <v>494</v>
      </c>
    </row>
    <row r="135" spans="2:3" x14ac:dyDescent="0.25">
      <c r="B135" s="62" t="s">
        <v>128</v>
      </c>
      <c r="C135" t="s">
        <v>472</v>
      </c>
    </row>
    <row r="136" spans="2:3" x14ac:dyDescent="0.25">
      <c r="B136" s="62" t="s">
        <v>157</v>
      </c>
      <c r="C136" t="s">
        <v>474</v>
      </c>
    </row>
    <row r="137" spans="2:3" x14ac:dyDescent="0.25">
      <c r="B137" s="62" t="s">
        <v>122</v>
      </c>
      <c r="C137" t="s">
        <v>473</v>
      </c>
    </row>
    <row r="138" spans="2:3" x14ac:dyDescent="0.25">
      <c r="B138" s="62" t="s">
        <v>116</v>
      </c>
      <c r="C138" t="s">
        <v>179</v>
      </c>
    </row>
    <row r="139" spans="2:3" x14ac:dyDescent="0.25">
      <c r="B139" s="62" t="s">
        <v>65</v>
      </c>
      <c r="C139" t="s">
        <v>506</v>
      </c>
    </row>
    <row r="140" spans="2:3" x14ac:dyDescent="0.25">
      <c r="B140" s="61" t="s">
        <v>66</v>
      </c>
      <c r="C140" t="s">
        <v>505</v>
      </c>
    </row>
    <row r="141" spans="2:3" x14ac:dyDescent="0.25">
      <c r="B141" s="66" t="s">
        <v>180</v>
      </c>
      <c r="C141" t="s">
        <v>496</v>
      </c>
    </row>
    <row r="143" spans="2:3" x14ac:dyDescent="0.25">
      <c r="B143" s="63" t="s">
        <v>570</v>
      </c>
      <c r="C143" t="s">
        <v>475</v>
      </c>
    </row>
    <row r="144" spans="2:3" x14ac:dyDescent="0.25">
      <c r="B144" s="63" t="s">
        <v>543</v>
      </c>
      <c r="C144" t="s">
        <v>476</v>
      </c>
    </row>
    <row r="145" spans="2:3" x14ac:dyDescent="0.25">
      <c r="B145" s="63" t="s">
        <v>553</v>
      </c>
      <c r="C145" t="s">
        <v>477</v>
      </c>
    </row>
    <row r="146" spans="2:3" x14ac:dyDescent="0.25">
      <c r="B146" s="63" t="s">
        <v>552</v>
      </c>
      <c r="C146" t="s">
        <v>478</v>
      </c>
    </row>
    <row r="147" spans="2:3" x14ac:dyDescent="0.25">
      <c r="B147" s="63" t="s">
        <v>551</v>
      </c>
      <c r="C147" t="s">
        <v>479</v>
      </c>
    </row>
    <row r="148" spans="2:3" x14ac:dyDescent="0.25">
      <c r="B148" t="s">
        <v>443</v>
      </c>
      <c r="C148" t="s">
        <v>497</v>
      </c>
    </row>
    <row r="149" spans="2:3" x14ac:dyDescent="0.25">
      <c r="B149" t="s">
        <v>444</v>
      </c>
      <c r="C149" t="s">
        <v>498</v>
      </c>
    </row>
    <row r="150" spans="2:3" x14ac:dyDescent="0.25">
      <c r="B150" t="s">
        <v>446</v>
      </c>
      <c r="C150" t="s">
        <v>499</v>
      </c>
    </row>
    <row r="151" spans="2:3" x14ac:dyDescent="0.25">
      <c r="B151" s="63" t="s">
        <v>162</v>
      </c>
      <c r="C151" t="s">
        <v>484</v>
      </c>
    </row>
    <row r="152" spans="2:3" x14ac:dyDescent="0.25">
      <c r="B152" s="63" t="s">
        <v>163</v>
      </c>
      <c r="C152" t="s">
        <v>485</v>
      </c>
    </row>
    <row r="153" spans="2:3" x14ac:dyDescent="0.25">
      <c r="B153" s="63" t="s">
        <v>164</v>
      </c>
      <c r="C153" t="s">
        <v>448</v>
      </c>
    </row>
    <row r="154" spans="2:3" x14ac:dyDescent="0.25">
      <c r="B154" s="63" t="s">
        <v>165</v>
      </c>
      <c r="C154" t="s">
        <v>449</v>
      </c>
    </row>
    <row r="155" spans="2:3" x14ac:dyDescent="0.25">
      <c r="B155" s="63" t="s">
        <v>547</v>
      </c>
      <c r="C155" t="s">
        <v>480</v>
      </c>
    </row>
    <row r="156" spans="2:3" x14ac:dyDescent="0.25">
      <c r="B156" s="63" t="s">
        <v>548</v>
      </c>
      <c r="C156" t="s">
        <v>481</v>
      </c>
    </row>
    <row r="157" spans="2:3" x14ac:dyDescent="0.25">
      <c r="B157" s="63" t="s">
        <v>549</v>
      </c>
      <c r="C157" t="s">
        <v>482</v>
      </c>
    </row>
    <row r="158" spans="2:3" x14ac:dyDescent="0.25">
      <c r="B158" s="63" t="s">
        <v>550</v>
      </c>
      <c r="C158" t="s">
        <v>483</v>
      </c>
    </row>
    <row r="159" spans="2:3" x14ac:dyDescent="0.25">
      <c r="B159" s="54" t="s">
        <v>442</v>
      </c>
      <c r="C159" t="s">
        <v>518</v>
      </c>
    </row>
    <row r="160" spans="2:3" x14ac:dyDescent="0.25">
      <c r="B160" s="54" t="s">
        <v>440</v>
      </c>
      <c r="C160" t="s">
        <v>519</v>
      </c>
    </row>
    <row r="161" spans="2:3" x14ac:dyDescent="0.25">
      <c r="B161" s="54" t="s">
        <v>441</v>
      </c>
      <c r="C161" t="s">
        <v>500</v>
      </c>
    </row>
    <row r="162" spans="2:3" x14ac:dyDescent="0.25">
      <c r="B162" s="54" t="s">
        <v>447</v>
      </c>
      <c r="C162" t="s">
        <v>501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B2:P65"/>
  <sheetViews>
    <sheetView zoomScaleNormal="100" workbookViewId="0">
      <selection activeCell="H21" sqref="H21"/>
    </sheetView>
  </sheetViews>
  <sheetFormatPr defaultColWidth="9.140625" defaultRowHeight="15" x14ac:dyDescent="0.25"/>
  <cols>
    <col min="2" max="2" width="33.85546875" bestFit="1" customWidth="1"/>
    <col min="3" max="4" width="9.140625" customWidth="1"/>
  </cols>
  <sheetData>
    <row r="2" spans="2:5" s="3" customFormat="1" ht="31.5" x14ac:dyDescent="0.5">
      <c r="B2" s="3" t="s">
        <v>219</v>
      </c>
    </row>
    <row r="5" spans="2:5" s="9" customFormat="1" ht="23.25" x14ac:dyDescent="0.35">
      <c r="B5" s="9" t="s">
        <v>220</v>
      </c>
      <c r="C5" s="10"/>
    </row>
    <row r="6" spans="2:5" x14ac:dyDescent="0.25">
      <c r="C6" s="15"/>
      <c r="D6" s="15"/>
    </row>
    <row r="7" spans="2:5" x14ac:dyDescent="0.25">
      <c r="B7" t="s">
        <v>221</v>
      </c>
      <c r="C7">
        <v>120</v>
      </c>
      <c r="D7" t="s">
        <v>222</v>
      </c>
      <c r="E7" s="29" t="s">
        <v>459</v>
      </c>
    </row>
    <row r="8" spans="2:5" x14ac:dyDescent="0.25">
      <c r="B8" t="s">
        <v>223</v>
      </c>
      <c r="C8">
        <v>144</v>
      </c>
      <c r="D8" t="s">
        <v>222</v>
      </c>
      <c r="E8" t="s">
        <v>459</v>
      </c>
    </row>
    <row r="9" spans="2:5" x14ac:dyDescent="0.25">
      <c r="B9" t="s">
        <v>224</v>
      </c>
      <c r="C9" s="59">
        <v>45.4</v>
      </c>
      <c r="D9" t="s">
        <v>222</v>
      </c>
      <c r="E9" t="s">
        <v>225</v>
      </c>
    </row>
    <row r="10" spans="2:5" x14ac:dyDescent="0.25">
      <c r="B10" t="s">
        <v>226</v>
      </c>
      <c r="C10" s="59">
        <v>11.877777777777778</v>
      </c>
      <c r="D10" t="s">
        <v>222</v>
      </c>
      <c r="E10" t="s">
        <v>225</v>
      </c>
    </row>
    <row r="11" spans="2:5" x14ac:dyDescent="0.25">
      <c r="C11" s="59"/>
    </row>
    <row r="12" spans="2:5" x14ac:dyDescent="0.25">
      <c r="C12" s="59"/>
    </row>
    <row r="13" spans="2:5" x14ac:dyDescent="0.25">
      <c r="C13" s="59"/>
    </row>
    <row r="14" spans="2:5" s="9" customFormat="1" ht="26.25" x14ac:dyDescent="0.45">
      <c r="B14" s="9" t="s">
        <v>227</v>
      </c>
      <c r="C14" s="10"/>
    </row>
    <row r="15" spans="2:5" x14ac:dyDescent="0.25">
      <c r="C15" s="59"/>
    </row>
    <row r="16" spans="2:5" x14ac:dyDescent="0.25">
      <c r="B16" t="s">
        <v>127</v>
      </c>
      <c r="C16" s="54">
        <v>5.6099999999999997E-2</v>
      </c>
      <c r="D16" t="s">
        <v>228</v>
      </c>
      <c r="E16" s="29" t="s">
        <v>458</v>
      </c>
    </row>
    <row r="17" spans="2:6" x14ac:dyDescent="0.25">
      <c r="B17" t="s">
        <v>117</v>
      </c>
      <c r="C17" s="54">
        <v>0.112</v>
      </c>
      <c r="D17" t="s">
        <v>228</v>
      </c>
      <c r="E17" s="29" t="s">
        <v>458</v>
      </c>
    </row>
    <row r="21" spans="2:6" s="10" customFormat="1" ht="23.25" x14ac:dyDescent="0.35">
      <c r="B21" s="9" t="s">
        <v>229</v>
      </c>
    </row>
    <row r="22" spans="2:6" x14ac:dyDescent="0.25">
      <c r="B22" s="15"/>
    </row>
    <row r="23" spans="2:6" x14ac:dyDescent="0.25">
      <c r="C23" t="s">
        <v>230</v>
      </c>
      <c r="D23" t="s">
        <v>231</v>
      </c>
      <c r="E23" t="s">
        <v>232</v>
      </c>
      <c r="F23" t="s">
        <v>450</v>
      </c>
    </row>
    <row r="24" spans="2:6" x14ac:dyDescent="0.25">
      <c r="B24">
        <v>2000</v>
      </c>
      <c r="C24" s="54">
        <v>1.1000000000000001</v>
      </c>
      <c r="D24" s="54">
        <v>1.19</v>
      </c>
      <c r="F24" s="54">
        <v>1.0858989999999999</v>
      </c>
    </row>
    <row r="25" spans="2:6" x14ac:dyDescent="0.25">
      <c r="B25">
        <v>2001</v>
      </c>
      <c r="C25" s="54">
        <v>1.06</v>
      </c>
      <c r="D25" s="54">
        <v>1.18</v>
      </c>
    </row>
    <row r="26" spans="2:6" x14ac:dyDescent="0.25">
      <c r="B26">
        <v>2002</v>
      </c>
      <c r="C26" s="54">
        <v>1.1299999999999999</v>
      </c>
      <c r="D26" s="54">
        <v>1.2</v>
      </c>
    </row>
    <row r="27" spans="2:6" x14ac:dyDescent="0.25">
      <c r="B27">
        <v>2003</v>
      </c>
      <c r="C27" s="54">
        <v>1.26</v>
      </c>
      <c r="D27" s="54">
        <v>1.1100000000000001</v>
      </c>
    </row>
    <row r="28" spans="2:6" x14ac:dyDescent="0.25">
      <c r="B28">
        <v>2004</v>
      </c>
      <c r="C28" s="54">
        <v>1.45</v>
      </c>
      <c r="D28" s="54">
        <v>1.17</v>
      </c>
    </row>
    <row r="29" spans="2:6" x14ac:dyDescent="0.25">
      <c r="B29">
        <v>2005</v>
      </c>
      <c r="C29" s="54">
        <v>1.48</v>
      </c>
      <c r="D29" s="54">
        <v>1.19</v>
      </c>
    </row>
    <row r="30" spans="2:6" x14ac:dyDescent="0.25">
      <c r="B30">
        <v>2006</v>
      </c>
      <c r="C30" s="54">
        <v>1.54</v>
      </c>
      <c r="D30" s="54">
        <v>1.23</v>
      </c>
    </row>
    <row r="31" spans="2:6" x14ac:dyDescent="0.25">
      <c r="B31">
        <v>2007</v>
      </c>
      <c r="C31" s="54">
        <v>1.72</v>
      </c>
      <c r="D31" s="54">
        <v>1.26</v>
      </c>
    </row>
    <row r="32" spans="2:6" x14ac:dyDescent="0.25">
      <c r="B32">
        <v>2008</v>
      </c>
      <c r="C32" s="54">
        <v>1.62</v>
      </c>
      <c r="D32" s="54">
        <v>1.1100000000000001</v>
      </c>
    </row>
    <row r="33" spans="2:6" x14ac:dyDescent="0.25">
      <c r="B33">
        <v>2009</v>
      </c>
      <c r="C33" s="54">
        <v>1.41</v>
      </c>
      <c r="D33" s="54">
        <v>1.01</v>
      </c>
    </row>
    <row r="34" spans="2:6" x14ac:dyDescent="0.25">
      <c r="B34">
        <v>2010</v>
      </c>
      <c r="C34" s="54">
        <v>1.44</v>
      </c>
      <c r="D34" s="54">
        <v>1.08</v>
      </c>
      <c r="E34" s="54">
        <v>0.72600399999999998</v>
      </c>
      <c r="F34" s="54">
        <v>1.327</v>
      </c>
    </row>
    <row r="35" spans="2:6" x14ac:dyDescent="0.25">
      <c r="B35">
        <v>2011</v>
      </c>
      <c r="C35" s="54">
        <v>1.52</v>
      </c>
      <c r="D35" s="54">
        <v>1.0900000000000001</v>
      </c>
    </row>
    <row r="36" spans="2:6" x14ac:dyDescent="0.25">
      <c r="B36">
        <v>2012</v>
      </c>
      <c r="C36" s="54">
        <v>1.53</v>
      </c>
      <c r="D36" s="54">
        <v>1.19</v>
      </c>
    </row>
    <row r="37" spans="2:6" x14ac:dyDescent="0.25">
      <c r="B37">
        <v>2013</v>
      </c>
      <c r="C37" s="54">
        <v>1.54</v>
      </c>
      <c r="D37" s="54">
        <v>1.1599999999999999</v>
      </c>
    </row>
    <row r="38" spans="2:6" x14ac:dyDescent="0.25">
      <c r="B38">
        <v>2014</v>
      </c>
      <c r="C38" s="54">
        <v>1.65</v>
      </c>
      <c r="D38" s="54">
        <v>1.24</v>
      </c>
    </row>
    <row r="42" spans="2:6" s="10" customFormat="1" ht="23.25" x14ac:dyDescent="0.35">
      <c r="B42" s="9" t="s">
        <v>233</v>
      </c>
    </row>
    <row r="44" spans="2:6" x14ac:dyDescent="0.25">
      <c r="C44" t="s">
        <v>234</v>
      </c>
      <c r="D44" t="s">
        <v>235</v>
      </c>
    </row>
    <row r="45" spans="2:6" x14ac:dyDescent="0.25">
      <c r="B45">
        <v>2000</v>
      </c>
      <c r="C45" s="54">
        <v>0.73</v>
      </c>
      <c r="D45" s="54">
        <v>0.88412550585287863</v>
      </c>
    </row>
    <row r="46" spans="2:6" x14ac:dyDescent="0.25">
      <c r="B46">
        <v>2001</v>
      </c>
      <c r="C46" s="54">
        <v>0.73</v>
      </c>
      <c r="D46" s="54">
        <v>0.89930362612503101</v>
      </c>
    </row>
    <row r="47" spans="2:6" x14ac:dyDescent="0.25">
      <c r="B47">
        <v>2002</v>
      </c>
      <c r="C47" s="54">
        <v>0.75</v>
      </c>
      <c r="D47" s="54">
        <v>0.90689268626110719</v>
      </c>
    </row>
    <row r="48" spans="2:6" x14ac:dyDescent="0.25">
      <c r="B48">
        <v>2003</v>
      </c>
      <c r="C48" s="54">
        <v>0.77</v>
      </c>
      <c r="D48" s="54">
        <v>0.91353311388017389</v>
      </c>
    </row>
    <row r="49" spans="2:16" x14ac:dyDescent="0.25">
      <c r="B49">
        <v>2004</v>
      </c>
      <c r="C49" s="54">
        <v>0.79</v>
      </c>
      <c r="D49" s="54">
        <v>0.93345439673737396</v>
      </c>
      <c r="M49" s="70"/>
      <c r="N49" s="70"/>
      <c r="O49" s="70"/>
      <c r="P49" s="70"/>
    </row>
    <row r="50" spans="2:16" x14ac:dyDescent="0.25">
      <c r="B50">
        <v>2005</v>
      </c>
      <c r="C50" s="54">
        <v>0.81</v>
      </c>
      <c r="D50" s="54">
        <v>0.94863251700952633</v>
      </c>
      <c r="M50" s="70"/>
      <c r="N50" s="70"/>
      <c r="O50" s="70"/>
      <c r="P50" s="70"/>
    </row>
    <row r="51" spans="2:16" x14ac:dyDescent="0.25">
      <c r="B51">
        <v>2006</v>
      </c>
      <c r="C51" s="54">
        <v>0.84</v>
      </c>
      <c r="D51" s="54">
        <v>0.97898875755383119</v>
      </c>
    </row>
    <row r="52" spans="2:16" x14ac:dyDescent="0.25">
      <c r="B52">
        <v>2007</v>
      </c>
      <c r="C52" s="54">
        <v>0.86</v>
      </c>
      <c r="D52" s="54">
        <v>1.0074477330641169</v>
      </c>
    </row>
    <row r="53" spans="2:16" x14ac:dyDescent="0.25">
      <c r="B53">
        <v>2008</v>
      </c>
      <c r="C53" s="54">
        <v>0.88</v>
      </c>
      <c r="D53" s="54">
        <v>1.0112422631321552</v>
      </c>
    </row>
    <row r="54" spans="2:16" x14ac:dyDescent="0.25">
      <c r="B54">
        <v>2009</v>
      </c>
      <c r="C54" s="54">
        <v>0.9</v>
      </c>
      <c r="D54" s="54">
        <v>0.96760516734971691</v>
      </c>
    </row>
    <row r="55" spans="2:16" x14ac:dyDescent="0.25">
      <c r="B55">
        <v>2010</v>
      </c>
      <c r="C55" s="54">
        <v>0.93</v>
      </c>
      <c r="D55" s="54">
        <v>0.98657781768990738</v>
      </c>
    </row>
    <row r="56" spans="2:16" x14ac:dyDescent="0.25">
      <c r="B56">
        <v>2011</v>
      </c>
      <c r="C56" s="54">
        <v>0.95</v>
      </c>
      <c r="D56" s="54">
        <v>1.0017559379620598</v>
      </c>
    </row>
    <row r="57" spans="2:16" x14ac:dyDescent="0.25">
      <c r="B57">
        <v>2012</v>
      </c>
      <c r="C57" s="54">
        <v>0.97</v>
      </c>
      <c r="D57" s="54">
        <v>0.99511551034299317</v>
      </c>
    </row>
    <row r="58" spans="2:16" x14ac:dyDescent="0.25">
      <c r="B58">
        <v>2013</v>
      </c>
      <c r="C58" s="54">
        <v>0.98</v>
      </c>
      <c r="D58" s="54">
        <v>0.99132098027495508</v>
      </c>
    </row>
    <row r="59" spans="2:16" x14ac:dyDescent="0.25">
      <c r="B59">
        <v>2014</v>
      </c>
      <c r="C59" s="54">
        <v>1</v>
      </c>
      <c r="D59" s="54">
        <v>1</v>
      </c>
    </row>
    <row r="63" spans="2:16" s="10" customFormat="1" ht="23.25" x14ac:dyDescent="0.35">
      <c r="B63" s="9" t="s">
        <v>236</v>
      </c>
    </row>
    <row r="65" spans="2:4" x14ac:dyDescent="0.25">
      <c r="B65" s="23" t="s">
        <v>237</v>
      </c>
      <c r="C65" s="54">
        <v>0.2</v>
      </c>
      <c r="D65" t="s">
        <v>99</v>
      </c>
    </row>
  </sheetData>
  <hyperlinks>
    <hyperlink ref="E17" r:id="rId1"/>
    <hyperlink ref="E16" r:id="rId2"/>
    <hyperlink ref="E7" r:id="rId3"/>
  </hyperlinks>
  <pageMargins left="0.7" right="0.7" top="0.75" bottom="0.75" header="0.3" footer="0.3"/>
  <pageSetup paperSize="9" orientation="portrait" horizontalDpi="4294967294" verticalDpi="0" r:id="rId4"/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  <pageSetUpPr fitToPage="1"/>
  </sheetPr>
  <dimension ref="B2:CO137"/>
  <sheetViews>
    <sheetView zoomScale="85" zoomScaleNormal="85" workbookViewId="0">
      <pane xSplit="2" topLeftCell="C1" activePane="topRight" state="frozen"/>
      <selection activeCell="H21" sqref="H21"/>
      <selection pane="topRight" activeCell="H21" sqref="H21"/>
    </sheetView>
  </sheetViews>
  <sheetFormatPr defaultColWidth="9.140625" defaultRowHeight="15" x14ac:dyDescent="0.25"/>
  <cols>
    <col min="1" max="1" width="9.140625" style="63"/>
    <col min="2" max="2" width="50.7109375" style="63" customWidth="1"/>
    <col min="3" max="3" width="23.7109375" style="74" customWidth="1"/>
    <col min="4" max="49" width="7.28515625" style="74" customWidth="1"/>
    <col min="50" max="51" width="9.140625" style="74" customWidth="1"/>
    <col min="52" max="52" width="9.28515625" style="74" customWidth="1"/>
    <col min="53" max="55" width="9.140625" style="74" customWidth="1"/>
    <col min="56" max="57" width="9.140625" style="74"/>
    <col min="58" max="58" width="11.7109375" style="74" bestFit="1" customWidth="1"/>
    <col min="59" max="65" width="9.140625" style="74"/>
    <col min="66" max="66" width="9.7109375" style="74" bestFit="1" customWidth="1"/>
    <col min="67" max="67" width="9.140625" style="74"/>
    <col min="68" max="68" width="9.7109375" style="74" bestFit="1" customWidth="1"/>
    <col min="69" max="89" width="9.140625" style="74"/>
    <col min="90" max="16384" width="9.140625" style="63"/>
  </cols>
  <sheetData>
    <row r="2" spans="2:89" s="71" customFormat="1" ht="31.5" x14ac:dyDescent="0.25">
      <c r="B2" s="71" t="s">
        <v>238</v>
      </c>
      <c r="C2" s="72"/>
      <c r="D2" s="72"/>
      <c r="E2" s="72"/>
      <c r="F2" s="73"/>
      <c r="G2" s="73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</row>
    <row r="4" spans="2:89" x14ac:dyDescent="0.25">
      <c r="BJ4" s="235"/>
      <c r="BK4" s="235"/>
      <c r="BL4" s="235"/>
      <c r="BM4" s="235"/>
    </row>
    <row r="5" spans="2:89" x14ac:dyDescent="0.25">
      <c r="BJ5" s="235"/>
      <c r="BK5" s="235"/>
      <c r="BL5" s="235"/>
      <c r="BM5" s="235"/>
    </row>
    <row r="6" spans="2:89" x14ac:dyDescent="0.25">
      <c r="C6" s="63"/>
      <c r="D6" s="75" t="s">
        <v>239</v>
      </c>
      <c r="E6" s="74" t="s">
        <v>194</v>
      </c>
      <c r="BJ6" s="235"/>
      <c r="BK6" s="235"/>
      <c r="BL6" s="235"/>
      <c r="BM6" s="235"/>
    </row>
    <row r="7" spans="2:89" x14ac:dyDescent="0.25">
      <c r="C7" s="63"/>
      <c r="D7" s="76" t="s">
        <v>240</v>
      </c>
      <c r="E7" s="74" t="s">
        <v>241</v>
      </c>
      <c r="G7" s="63"/>
      <c r="H7" s="63"/>
      <c r="BJ7" s="135"/>
      <c r="BK7" s="135"/>
    </row>
    <row r="8" spans="2:89" x14ac:dyDescent="0.25">
      <c r="BJ8" s="135"/>
      <c r="BK8" s="135"/>
    </row>
    <row r="9" spans="2:89" x14ac:dyDescent="0.25">
      <c r="BJ9" s="235"/>
      <c r="BK9" s="235"/>
    </row>
    <row r="11" spans="2:89" s="82" customFormat="1" ht="23.25" x14ac:dyDescent="0.25">
      <c r="B11" s="77"/>
      <c r="C11" s="78" t="s">
        <v>242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8" t="s">
        <v>243</v>
      </c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80" t="s">
        <v>71</v>
      </c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</row>
    <row r="12" spans="2:89" x14ac:dyDescent="0.25">
      <c r="C12" s="83"/>
      <c r="AX12" s="83"/>
      <c r="BJ12" s="84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</row>
    <row r="13" spans="2:89" s="86" customFormat="1" ht="21" x14ac:dyDescent="0.25">
      <c r="B13" s="86" t="s">
        <v>244</v>
      </c>
      <c r="C13" s="87" t="s">
        <v>245</v>
      </c>
      <c r="D13" s="88"/>
      <c r="E13" s="88"/>
      <c r="F13" s="88"/>
      <c r="G13" s="89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7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90"/>
      <c r="BK13" s="91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</row>
    <row r="14" spans="2:89" x14ac:dyDescent="0.25">
      <c r="C14" s="83"/>
      <c r="AX14" s="83"/>
      <c r="BJ14" s="84"/>
      <c r="BK14" s="93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</row>
    <row r="15" spans="2:89" s="102" customFormat="1" x14ac:dyDescent="0.25">
      <c r="B15" s="94"/>
      <c r="C15" s="95" t="s">
        <v>246</v>
      </c>
      <c r="D15" s="96" t="s">
        <v>247</v>
      </c>
      <c r="E15" s="97"/>
      <c r="F15" s="98" t="s">
        <v>248</v>
      </c>
      <c r="G15" s="98"/>
      <c r="H15" s="98"/>
      <c r="I15" s="98"/>
      <c r="J15" s="98" t="s">
        <v>249</v>
      </c>
      <c r="K15" s="98"/>
      <c r="L15" s="98"/>
      <c r="M15" s="98"/>
      <c r="N15" s="98" t="s">
        <v>250</v>
      </c>
      <c r="O15" s="98"/>
      <c r="P15" s="98"/>
      <c r="Q15" s="98"/>
      <c r="R15" s="98" t="s">
        <v>251</v>
      </c>
      <c r="S15" s="98"/>
      <c r="T15" s="98"/>
      <c r="U15" s="98"/>
      <c r="V15" s="98" t="s">
        <v>252</v>
      </c>
      <c r="W15" s="98"/>
      <c r="X15" s="98"/>
      <c r="Y15" s="98"/>
      <c r="Z15" s="98" t="s">
        <v>253</v>
      </c>
      <c r="AA15" s="98"/>
      <c r="AB15" s="98"/>
      <c r="AC15" s="98"/>
      <c r="AD15" s="98" t="s">
        <v>329</v>
      </c>
      <c r="AE15" s="98"/>
      <c r="AF15" s="98"/>
      <c r="AG15" s="98"/>
      <c r="AH15" s="98" t="s">
        <v>78</v>
      </c>
      <c r="AI15" s="98"/>
      <c r="AJ15" s="98"/>
      <c r="AK15" s="98"/>
      <c r="AL15" s="98" t="s">
        <v>80</v>
      </c>
      <c r="AM15" s="98"/>
      <c r="AN15" s="98"/>
      <c r="AO15" s="98"/>
      <c r="AP15" s="99" t="s">
        <v>534</v>
      </c>
      <c r="AQ15" s="99"/>
      <c r="AR15" s="99"/>
      <c r="AS15" s="99"/>
      <c r="AT15" s="98" t="s">
        <v>82</v>
      </c>
      <c r="AU15" s="98"/>
      <c r="AV15" s="98"/>
      <c r="AW15" s="98"/>
      <c r="AX15" s="95" t="s">
        <v>251</v>
      </c>
      <c r="AY15" s="98"/>
      <c r="AZ15" s="98"/>
      <c r="BA15" s="98"/>
      <c r="BB15" s="98" t="s">
        <v>252</v>
      </c>
      <c r="BC15" s="98"/>
      <c r="BD15" s="98"/>
      <c r="BE15" s="98"/>
      <c r="BF15" s="98" t="s">
        <v>254</v>
      </c>
      <c r="BG15" s="98"/>
      <c r="BH15" s="98"/>
      <c r="BI15" s="98"/>
      <c r="BJ15" s="100" t="s">
        <v>72</v>
      </c>
      <c r="BK15" s="101"/>
      <c r="BL15" s="101"/>
      <c r="BM15" s="99"/>
      <c r="BN15" s="99" t="s">
        <v>77</v>
      </c>
      <c r="BO15" s="99"/>
      <c r="BP15" s="99"/>
      <c r="BQ15" s="99"/>
      <c r="BR15" s="99" t="s">
        <v>329</v>
      </c>
      <c r="BS15" s="99"/>
      <c r="BT15" s="99"/>
      <c r="BU15" s="99"/>
      <c r="BV15" s="99" t="s">
        <v>78</v>
      </c>
      <c r="BW15" s="99"/>
      <c r="BX15" s="99"/>
      <c r="BY15" s="99"/>
      <c r="BZ15" s="99" t="s">
        <v>80</v>
      </c>
      <c r="CA15" s="99"/>
      <c r="CB15" s="99"/>
      <c r="CC15" s="99"/>
      <c r="CD15" s="99" t="s">
        <v>534</v>
      </c>
      <c r="CE15" s="99"/>
      <c r="CF15" s="99"/>
      <c r="CG15" s="99"/>
      <c r="CH15" s="99" t="s">
        <v>82</v>
      </c>
      <c r="CI15" s="99"/>
      <c r="CJ15" s="99"/>
      <c r="CK15" s="99"/>
    </row>
    <row r="16" spans="2:89" s="102" customFormat="1" x14ac:dyDescent="0.25">
      <c r="B16" s="103"/>
      <c r="C16" s="104"/>
      <c r="D16" s="105"/>
      <c r="E16" s="106"/>
      <c r="F16" s="107">
        <v>2025</v>
      </c>
      <c r="G16" s="107"/>
      <c r="H16" s="107">
        <v>2050</v>
      </c>
      <c r="I16" s="107"/>
      <c r="J16" s="107">
        <v>2025</v>
      </c>
      <c r="K16" s="107"/>
      <c r="L16" s="107">
        <v>2050</v>
      </c>
      <c r="M16" s="107"/>
      <c r="N16" s="107">
        <v>2025</v>
      </c>
      <c r="O16" s="107"/>
      <c r="P16" s="107">
        <v>2050</v>
      </c>
      <c r="Q16" s="107"/>
      <c r="R16" s="107">
        <v>2025</v>
      </c>
      <c r="S16" s="106"/>
      <c r="T16" s="107">
        <v>2050</v>
      </c>
      <c r="U16" s="106"/>
      <c r="V16" s="107">
        <v>2025</v>
      </c>
      <c r="W16" s="106"/>
      <c r="X16" s="107">
        <v>2050</v>
      </c>
      <c r="Y16" s="107"/>
      <c r="Z16" s="107">
        <v>2025</v>
      </c>
      <c r="AA16" s="107"/>
      <c r="AB16" s="107">
        <v>2050</v>
      </c>
      <c r="AC16" s="107"/>
      <c r="AD16" s="107">
        <v>2025</v>
      </c>
      <c r="AE16" s="107"/>
      <c r="AF16" s="107">
        <v>2050</v>
      </c>
      <c r="AG16" s="107"/>
      <c r="AH16" s="107">
        <v>2025</v>
      </c>
      <c r="AI16" s="107"/>
      <c r="AJ16" s="107">
        <v>2050</v>
      </c>
      <c r="AK16" s="107"/>
      <c r="AL16" s="107">
        <v>2025</v>
      </c>
      <c r="AM16" s="107"/>
      <c r="AN16" s="107">
        <v>2050</v>
      </c>
      <c r="AO16" s="107"/>
      <c r="AP16" s="107">
        <v>2025</v>
      </c>
      <c r="AQ16" s="108"/>
      <c r="AR16" s="108">
        <v>2050</v>
      </c>
      <c r="AS16" s="109"/>
      <c r="AT16" s="107">
        <v>2025</v>
      </c>
      <c r="AU16" s="107"/>
      <c r="AV16" s="107">
        <v>2050</v>
      </c>
      <c r="AW16" s="110"/>
      <c r="AX16" s="111">
        <v>2025</v>
      </c>
      <c r="AY16" s="107"/>
      <c r="AZ16" s="107">
        <v>2050</v>
      </c>
      <c r="BA16" s="107"/>
      <c r="BB16" s="107">
        <v>2025</v>
      </c>
      <c r="BC16" s="107"/>
      <c r="BD16" s="107">
        <v>2050</v>
      </c>
      <c r="BE16" s="107"/>
      <c r="BF16" s="107">
        <v>2025</v>
      </c>
      <c r="BG16" s="107"/>
      <c r="BH16" s="107">
        <v>2050</v>
      </c>
      <c r="BI16" s="107"/>
      <c r="BJ16" s="112">
        <v>2025</v>
      </c>
      <c r="BK16" s="108"/>
      <c r="BL16" s="108">
        <v>2050</v>
      </c>
      <c r="BM16" s="108"/>
      <c r="BN16" s="108">
        <v>2025</v>
      </c>
      <c r="BO16" s="108"/>
      <c r="BP16" s="108">
        <v>2050</v>
      </c>
      <c r="BQ16" s="108"/>
      <c r="BR16" s="108">
        <v>2025</v>
      </c>
      <c r="BS16" s="108"/>
      <c r="BT16" s="108">
        <v>2050</v>
      </c>
      <c r="BU16" s="108"/>
      <c r="BV16" s="108">
        <v>2025</v>
      </c>
      <c r="BW16" s="108"/>
      <c r="BX16" s="108">
        <v>2050</v>
      </c>
      <c r="BY16" s="108"/>
      <c r="BZ16" s="108">
        <v>2025</v>
      </c>
      <c r="CA16" s="113"/>
      <c r="CB16" s="108">
        <v>2050</v>
      </c>
      <c r="CC16" s="113"/>
      <c r="CD16" s="108">
        <v>2025</v>
      </c>
      <c r="CE16" s="113"/>
      <c r="CF16" s="108">
        <v>2050</v>
      </c>
      <c r="CG16" s="108"/>
      <c r="CH16" s="108">
        <v>2025</v>
      </c>
      <c r="CI16" s="108"/>
      <c r="CJ16" s="108">
        <v>2050</v>
      </c>
      <c r="CK16" s="108"/>
    </row>
    <row r="17" spans="2:92" s="114" customFormat="1" x14ac:dyDescent="0.25">
      <c r="B17" s="114" t="s">
        <v>49</v>
      </c>
      <c r="C17" s="84" t="s">
        <v>255</v>
      </c>
      <c r="D17" s="115">
        <v>72</v>
      </c>
      <c r="E17" s="116" t="s">
        <v>256</v>
      </c>
      <c r="F17" s="93">
        <v>0.9</v>
      </c>
      <c r="G17" s="93" t="s">
        <v>99</v>
      </c>
      <c r="H17" s="93">
        <f>F17</f>
        <v>0.9</v>
      </c>
      <c r="I17" s="93" t="s">
        <v>99</v>
      </c>
      <c r="J17" s="117">
        <v>0.9</v>
      </c>
      <c r="K17" s="85" t="s">
        <v>99</v>
      </c>
      <c r="L17" s="117">
        <f>J17</f>
        <v>0.9</v>
      </c>
      <c r="M17" s="85" t="s">
        <v>99</v>
      </c>
      <c r="N17" s="118">
        <v>40</v>
      </c>
      <c r="O17" s="85" t="s">
        <v>257</v>
      </c>
      <c r="P17" s="118">
        <f>N17</f>
        <v>40</v>
      </c>
      <c r="Q17" s="85" t="s">
        <v>257</v>
      </c>
      <c r="R17" s="119">
        <f>startYearWeighting*626+(1-startYearWeighting)*377</f>
        <v>426.8</v>
      </c>
      <c r="S17" s="85" t="s">
        <v>258</v>
      </c>
      <c r="T17" s="119">
        <v>377</v>
      </c>
      <c r="U17" s="85" t="s">
        <v>258</v>
      </c>
      <c r="V17" s="120">
        <f>((startYearWeighting*42+(1-startYearWeighting)*26)*interestRate*(1+interestRate)^N17/((1+interestRate)^N17-1)/J17/31.54)+(startYearWeighting*0.15+(1-startYearWeighting)*0.06)</f>
        <v>0.14636739409863048</v>
      </c>
      <c r="W17" s="85" t="s">
        <v>259</v>
      </c>
      <c r="X17" s="120">
        <f>(26*interestRate*(1+interestRate)^P17/((1+interestRate)^P17-1)/J17/31.54)+0.06</f>
        <v>0.12087507693713671</v>
      </c>
      <c r="Y17" s="85" t="s">
        <v>259</v>
      </c>
      <c r="Z17" s="115">
        <f>electricityPrice</f>
        <v>45</v>
      </c>
      <c r="AA17" s="85" t="s">
        <v>260</v>
      </c>
      <c r="AB17" s="115">
        <f>electricityPrice</f>
        <v>45</v>
      </c>
      <c r="AC17" s="85" t="s">
        <v>260</v>
      </c>
      <c r="AD17" s="115">
        <f>electricityMix</f>
        <v>50</v>
      </c>
      <c r="AE17" s="85" t="s">
        <v>462</v>
      </c>
      <c r="AF17" s="115">
        <f>AD17</f>
        <v>50</v>
      </c>
      <c r="AG17" s="443" t="s">
        <v>462</v>
      </c>
      <c r="AH17" s="115">
        <v>9</v>
      </c>
      <c r="AI17" s="85" t="s">
        <v>44</v>
      </c>
      <c r="AJ17" s="115">
        <v>9</v>
      </c>
      <c r="AK17" s="85" t="s">
        <v>44</v>
      </c>
      <c r="AL17" s="120">
        <f>IF('H2-FlexibilityCurtailment'!$F$18=0,100,IF('Merit calculation'!D17*'Merit calculation'!J17*8760/1000/'H2-FlexibilityCurtailment'!$F$18/F17&gt;100%,1,'Merit calculation'!D17*'Merit calculation'!J17*8760/1000/'H2-FlexibilityCurtailment'!$F$18/F17))</f>
        <v>1</v>
      </c>
      <c r="AM17" s="443" t="s">
        <v>262</v>
      </c>
      <c r="AN17" s="120">
        <f>IF('H2-FlexibilityCurtailment'!$F$19=0,100,IF('Merit calculation'!D17*'Merit calculation'!L17*8760/1000/'H2-FlexibilityCurtailment'!$F$19/H17&gt;100%,1,'Merit calculation'!D17*'Merit calculation'!L17*8760/1000/'H2-FlexibilityCurtailment'!$F$19/H17))</f>
        <v>1</v>
      </c>
      <c r="AO17" s="443" t="s">
        <v>262</v>
      </c>
      <c r="AP17" s="115">
        <v>100</v>
      </c>
      <c r="AQ17" s="74" t="s">
        <v>262</v>
      </c>
      <c r="AR17" s="115">
        <v>100</v>
      </c>
      <c r="AS17" s="74" t="s">
        <v>262</v>
      </c>
      <c r="AT17" s="121">
        <v>2</v>
      </c>
      <c r="AU17" s="85" t="s">
        <v>263</v>
      </c>
      <c r="AV17" s="121">
        <v>2</v>
      </c>
      <c r="AW17" s="85" t="s">
        <v>263</v>
      </c>
      <c r="AX17" s="122">
        <f t="shared" ref="AX17:AX27" si="0">R17/euroDeflator2010</f>
        <v>432.60652362867955</v>
      </c>
      <c r="AY17" s="85" t="s">
        <v>264</v>
      </c>
      <c r="AZ17" s="119">
        <f t="shared" ref="AZ17:AZ27" si="1">T17/euroDeflator2010</f>
        <v>382.12900517341188</v>
      </c>
      <c r="BA17" s="85" t="s">
        <v>264</v>
      </c>
      <c r="BB17" s="123">
        <f t="shared" ref="BB17:BB27" si="2">V17/euroDeflator2010</f>
        <v>0.14835869150327421</v>
      </c>
      <c r="BC17" s="443" t="s">
        <v>268</v>
      </c>
      <c r="BD17" s="123">
        <f t="shared" ref="BD17:BD27" si="3">X17/euroDeflator2010</f>
        <v>0.12251955676458269</v>
      </c>
      <c r="BE17" s="443" t="s">
        <v>268</v>
      </c>
      <c r="BF17" s="120">
        <f>(Z17/3.6+AD17/3.6/1000*CO2price)/F17/1000*energyContentH2</f>
        <v>1.7314814814814814</v>
      </c>
      <c r="BG17" s="85" t="s">
        <v>265</v>
      </c>
      <c r="BH17" s="120">
        <f>(AB17/3.6+AF17/3.6/1000*CO2price)/H17/1000*energyContentH2</f>
        <v>1.7314814814814814</v>
      </c>
      <c r="BI17" s="85" t="s">
        <v>265</v>
      </c>
      <c r="BJ17" s="124">
        <f>(interestRate*(1+interestRate)^N17/((1+interestRate)^N17-1)*AX17/J17/31.54+BB17)/1000*energyContentH2+BF17</f>
        <v>1.8708304725052733</v>
      </c>
      <c r="BK17" s="123" t="s">
        <v>265</v>
      </c>
      <c r="BL17" s="123">
        <f t="shared" ref="BL17:BL27" si="4">(interestRate*(1+interestRate)^P17/((1+interestRate)^P17-1)*AZ17/L17/31.54+BD17)/1000*energyContentH2+BH17</f>
        <v>1.8535475171694296</v>
      </c>
      <c r="BM17" s="93" t="s">
        <v>265</v>
      </c>
      <c r="BN17" s="126" t="s">
        <v>266</v>
      </c>
      <c r="BO17" s="127" t="s">
        <v>99</v>
      </c>
      <c r="BP17" s="126" t="s">
        <v>266</v>
      </c>
      <c r="BQ17" s="127" t="s">
        <v>99</v>
      </c>
      <c r="BR17" s="93">
        <f>AD17/1000/3.6/F17*energyContentH2</f>
        <v>1.8518518518518519</v>
      </c>
      <c r="BS17" s="85" t="s">
        <v>451</v>
      </c>
      <c r="BT17" s="93">
        <f>AF17/1000/3.6/H17*energyContentH2</f>
        <v>1.8518518518518519</v>
      </c>
      <c r="BU17" s="85" t="s">
        <v>451</v>
      </c>
      <c r="BV17" s="85">
        <f>AH17</f>
        <v>9</v>
      </c>
      <c r="BW17" s="85" t="str">
        <f>AI17</f>
        <v>TRL</v>
      </c>
      <c r="BX17" s="85">
        <f>AJ17</f>
        <v>9</v>
      </c>
      <c r="BY17" s="85" t="s">
        <v>44</v>
      </c>
      <c r="BZ17" s="128">
        <f t="shared" ref="BZ17:BZ27" si="5">AL17</f>
        <v>1</v>
      </c>
      <c r="CA17" s="85" t="s">
        <v>262</v>
      </c>
      <c r="CB17" s="128">
        <f t="shared" ref="CB17:CB27" si="6">AN17</f>
        <v>1</v>
      </c>
      <c r="CC17" s="85" t="s">
        <v>262</v>
      </c>
      <c r="CD17" s="129">
        <f>AP17</f>
        <v>100</v>
      </c>
      <c r="CE17" s="85" t="s">
        <v>262</v>
      </c>
      <c r="CF17" s="129">
        <f>AR17</f>
        <v>100</v>
      </c>
      <c r="CG17" s="85" t="s">
        <v>262</v>
      </c>
      <c r="CH17" s="131">
        <f t="shared" ref="CH17:CH28" si="7">IF(PAmedium="Default",(6-AT17)/5*100,IF(PAmedium="High",(6-(AT17-1))/5*100,(6-(AT17+1))/5*100))</f>
        <v>80</v>
      </c>
      <c r="CI17" s="443" t="s">
        <v>516</v>
      </c>
      <c r="CJ17" s="131">
        <f t="shared" ref="CJ17:CJ28" si="8">IF(PAmedium="Default",(6-AV17)/5*100,IF(PAmedium="High",(6-(AV17-1))/5*100,(6-(AV17+1))/5*100))</f>
        <v>80</v>
      </c>
      <c r="CK17" s="443" t="s">
        <v>516</v>
      </c>
    </row>
    <row r="18" spans="2:92" s="114" customFormat="1" x14ac:dyDescent="0.25">
      <c r="B18" s="114" t="s">
        <v>51</v>
      </c>
      <c r="C18" s="84" t="s">
        <v>255</v>
      </c>
      <c r="D18" s="115">
        <v>33</v>
      </c>
      <c r="E18" s="116" t="s">
        <v>256</v>
      </c>
      <c r="F18" s="93">
        <v>0.9</v>
      </c>
      <c r="G18" s="93" t="s">
        <v>99</v>
      </c>
      <c r="H18" s="93">
        <f t="shared" ref="H18:H27" si="9">F18</f>
        <v>0.9</v>
      </c>
      <c r="I18" s="93" t="s">
        <v>99</v>
      </c>
      <c r="J18" s="117">
        <v>0.9</v>
      </c>
      <c r="K18" s="85" t="s">
        <v>99</v>
      </c>
      <c r="L18" s="117">
        <f t="shared" ref="L18:L27" si="10">J18</f>
        <v>0.9</v>
      </c>
      <c r="M18" s="85" t="s">
        <v>99</v>
      </c>
      <c r="N18" s="118">
        <v>40</v>
      </c>
      <c r="O18" s="85" t="s">
        <v>257</v>
      </c>
      <c r="P18" s="118">
        <f t="shared" ref="P18:P27" si="11">N18</f>
        <v>40</v>
      </c>
      <c r="Q18" s="85" t="s">
        <v>257</v>
      </c>
      <c r="R18" s="119">
        <f>startYearWeighting*1779+(1-startYearWeighting)*445</f>
        <v>711.8</v>
      </c>
      <c r="S18" s="85" t="s">
        <v>258</v>
      </c>
      <c r="T18" s="119">
        <v>445</v>
      </c>
      <c r="U18" s="85" t="s">
        <v>258</v>
      </c>
      <c r="V18" s="120">
        <f>((startYearWeighting*90+(1-startYearWeighting)*10)*interestRate*(1+interestRate)^N18/((1+interestRate)^N18-1)/J18/31.54)+(startYearWeighting*0.06+(1-startYearWeighting)*0.06)</f>
        <v>0.12087507693713671</v>
      </c>
      <c r="W18" s="85" t="s">
        <v>259</v>
      </c>
      <c r="X18" s="120">
        <f>(10*interestRate*(1+interestRate)^P18/((1+interestRate)^P18-1)/J18/31.54)+0.06</f>
        <v>8.3413491129667963E-2</v>
      </c>
      <c r="Y18" s="85" t="s">
        <v>259</v>
      </c>
      <c r="Z18" s="115">
        <f>electricityPrice</f>
        <v>45</v>
      </c>
      <c r="AA18" s="85" t="s">
        <v>260</v>
      </c>
      <c r="AB18" s="115">
        <f>electricityPrice</f>
        <v>45</v>
      </c>
      <c r="AC18" s="85" t="s">
        <v>260</v>
      </c>
      <c r="AD18" s="115">
        <f>electricityMix</f>
        <v>50</v>
      </c>
      <c r="AE18" s="443" t="s">
        <v>462</v>
      </c>
      <c r="AF18" s="115">
        <f>AD18</f>
        <v>50</v>
      </c>
      <c r="AG18" s="443" t="s">
        <v>462</v>
      </c>
      <c r="AH18" s="115">
        <v>9</v>
      </c>
      <c r="AI18" s="85" t="s">
        <v>44</v>
      </c>
      <c r="AJ18" s="115">
        <v>9</v>
      </c>
      <c r="AK18" s="85" t="s">
        <v>44</v>
      </c>
      <c r="AL18" s="120">
        <f>IF('H2-FlexibilityCurtailment'!$F$18=0,100,IF('Merit calculation'!D18*'Merit calculation'!J18*8760/1000/'H2-FlexibilityCurtailment'!$F$18/F18&gt;100%,1,'Merit calculation'!D18*'Merit calculation'!J18*8760/1000/'H2-FlexibilityCurtailment'!$F$18/F18))</f>
        <v>1</v>
      </c>
      <c r="AM18" s="443" t="s">
        <v>262</v>
      </c>
      <c r="AN18" s="120">
        <f>IF('H2-FlexibilityCurtailment'!$F$19=0,100,IF('Merit calculation'!D18*'Merit calculation'!L18*8760/1000/'H2-FlexibilityCurtailment'!$F$19/H18&gt;100%,1,'Merit calculation'!D18*'Merit calculation'!L18*8760/1000/'H2-FlexibilityCurtailment'!$F$19/H18))</f>
        <v>1</v>
      </c>
      <c r="AO18" s="443" t="s">
        <v>262</v>
      </c>
      <c r="AP18" s="115">
        <v>100</v>
      </c>
      <c r="AQ18" s="74" t="s">
        <v>262</v>
      </c>
      <c r="AR18" s="115">
        <v>100</v>
      </c>
      <c r="AS18" s="74" t="s">
        <v>262</v>
      </c>
      <c r="AT18" s="121">
        <v>1.5</v>
      </c>
      <c r="AU18" s="85" t="s">
        <v>263</v>
      </c>
      <c r="AV18" s="121">
        <v>1.5</v>
      </c>
      <c r="AW18" s="85" t="s">
        <v>263</v>
      </c>
      <c r="AX18" s="122">
        <f t="shared" si="0"/>
        <v>721.48388828231975</v>
      </c>
      <c r="AY18" s="85" t="s">
        <v>264</v>
      </c>
      <c r="AZ18" s="119">
        <f t="shared" si="1"/>
        <v>451.05413077498218</v>
      </c>
      <c r="BA18" s="85" t="s">
        <v>264</v>
      </c>
      <c r="BB18" s="120">
        <f t="shared" si="2"/>
        <v>0.12251955676458269</v>
      </c>
      <c r="BC18" s="443" t="s">
        <v>268</v>
      </c>
      <c r="BD18" s="120">
        <f t="shared" si="3"/>
        <v>8.4548314014379927E-2</v>
      </c>
      <c r="BE18" s="443" t="s">
        <v>268</v>
      </c>
      <c r="BF18" s="120">
        <f>(Z18/3.6+AD18/3.6/1000*CO2price)/F18/1000*energyContentH2</f>
        <v>1.7314814814814814</v>
      </c>
      <c r="BG18" s="85" t="s">
        <v>265</v>
      </c>
      <c r="BH18" s="120">
        <f>(AB18/3.6+AF18/3.6/1000*CO2price)/H18/1000*energyContentH2</f>
        <v>1.7314814814814814</v>
      </c>
      <c r="BI18" s="85" t="s">
        <v>265</v>
      </c>
      <c r="BJ18" s="124">
        <f t="shared" ref="BJ18:BJ27" si="12">(interestRate*(1+interestRate)^N18/((1+interestRate)^N18-1)*AX18/J18/31.54+BB18)/1000*energyContentH2+BF18</f>
        <v>1.9488933077151886</v>
      </c>
      <c r="BK18" s="125" t="s">
        <v>265</v>
      </c>
      <c r="BL18" s="125">
        <f t="shared" si="4"/>
        <v>1.8683563018420086</v>
      </c>
      <c r="BM18" s="93" t="s">
        <v>265</v>
      </c>
      <c r="BN18" s="126" t="s">
        <v>266</v>
      </c>
      <c r="BO18" s="127" t="s">
        <v>99</v>
      </c>
      <c r="BP18" s="126" t="s">
        <v>266</v>
      </c>
      <c r="BQ18" s="127" t="s">
        <v>99</v>
      </c>
      <c r="BR18" s="93">
        <f>AD18/1000/3.6/F18*energyContentH2</f>
        <v>1.8518518518518519</v>
      </c>
      <c r="BS18" s="85" t="s">
        <v>267</v>
      </c>
      <c r="BT18" s="93">
        <f>AF18/1000/3.6/H18*energyContentH2</f>
        <v>1.8518518518518519</v>
      </c>
      <c r="BU18" s="85" t="s">
        <v>267</v>
      </c>
      <c r="BV18" s="85">
        <f t="shared" ref="BV18:BV28" si="13">AH18</f>
        <v>9</v>
      </c>
      <c r="BW18" s="85" t="s">
        <v>44</v>
      </c>
      <c r="BX18" s="85">
        <f t="shared" ref="BX18:BX28" si="14">AJ18</f>
        <v>9</v>
      </c>
      <c r="BY18" s="85" t="s">
        <v>44</v>
      </c>
      <c r="BZ18" s="128">
        <f>AL18</f>
        <v>1</v>
      </c>
      <c r="CA18" s="85" t="s">
        <v>262</v>
      </c>
      <c r="CB18" s="128">
        <f t="shared" si="6"/>
        <v>1</v>
      </c>
      <c r="CC18" s="85" t="s">
        <v>262</v>
      </c>
      <c r="CD18" s="129">
        <f t="shared" ref="CD18:CD28" si="15">AP18</f>
        <v>100</v>
      </c>
      <c r="CE18" s="85" t="s">
        <v>262</v>
      </c>
      <c r="CF18" s="129">
        <f t="shared" ref="CF18:CF28" si="16">AR18</f>
        <v>100</v>
      </c>
      <c r="CG18" s="85" t="s">
        <v>262</v>
      </c>
      <c r="CH18" s="131">
        <f t="shared" si="7"/>
        <v>90</v>
      </c>
      <c r="CI18" s="443" t="s">
        <v>516</v>
      </c>
      <c r="CJ18" s="131">
        <f t="shared" si="8"/>
        <v>90</v>
      </c>
      <c r="CK18" s="443" t="s">
        <v>516</v>
      </c>
    </row>
    <row r="19" spans="2:92" s="114" customFormat="1" x14ac:dyDescent="0.25">
      <c r="B19" s="114" t="s">
        <v>52</v>
      </c>
      <c r="C19" s="84" t="s">
        <v>255</v>
      </c>
      <c r="D19" s="115">
        <v>0.6</v>
      </c>
      <c r="E19" s="116" t="s">
        <v>256</v>
      </c>
      <c r="F19" s="93">
        <v>0.9</v>
      </c>
      <c r="G19" s="93" t="s">
        <v>99</v>
      </c>
      <c r="H19" s="93">
        <f t="shared" si="9"/>
        <v>0.9</v>
      </c>
      <c r="I19" s="93" t="s">
        <v>99</v>
      </c>
      <c r="J19" s="117">
        <v>0.7</v>
      </c>
      <c r="K19" s="85" t="s">
        <v>99</v>
      </c>
      <c r="L19" s="117">
        <f t="shared" si="10"/>
        <v>0.7</v>
      </c>
      <c r="M19" s="85" t="s">
        <v>99</v>
      </c>
      <c r="N19" s="118">
        <v>20</v>
      </c>
      <c r="O19" s="85" t="s">
        <v>257</v>
      </c>
      <c r="P19" s="118">
        <f t="shared" si="11"/>
        <v>20</v>
      </c>
      <c r="Q19" s="85" t="s">
        <v>257</v>
      </c>
      <c r="R19" s="119">
        <f>startYearWeighting*1941+(1-startYearWeighting)*512</f>
        <v>797.80000000000007</v>
      </c>
      <c r="S19" s="85" t="s">
        <v>258</v>
      </c>
      <c r="T19" s="119">
        <v>512</v>
      </c>
      <c r="U19" s="85" t="s">
        <v>258</v>
      </c>
      <c r="V19" s="120">
        <f>((startYearWeighting*137+(1-startYearWeighting)*25)*interestRate*(1+interestRate)^N19/((1+interestRate)^N19-1)/J19/31.54)+(startYearWeighting*0.96+(1-startYearWeighting)*0.17)</f>
        <v>0.51517945469257898</v>
      </c>
      <c r="W19" s="85" t="s">
        <v>259</v>
      </c>
      <c r="X19" s="120">
        <f>(25*interestRate*(1+interestRate)^P19/((1+interestRate)^P19-1)/J19/31.54)+0.17</f>
        <v>0.26872334108258383</v>
      </c>
      <c r="Y19" s="85" t="s">
        <v>259</v>
      </c>
      <c r="Z19" s="115">
        <f>electricityPrice</f>
        <v>45</v>
      </c>
      <c r="AA19" s="85" t="s">
        <v>260</v>
      </c>
      <c r="AB19" s="115">
        <f>electricityPrice</f>
        <v>45</v>
      </c>
      <c r="AC19" s="85" t="s">
        <v>260</v>
      </c>
      <c r="AD19" s="115">
        <f>electricityMix</f>
        <v>50</v>
      </c>
      <c r="AE19" s="443" t="s">
        <v>462</v>
      </c>
      <c r="AF19" s="115">
        <f>AD19</f>
        <v>50</v>
      </c>
      <c r="AG19" s="443" t="s">
        <v>462</v>
      </c>
      <c r="AH19" s="115">
        <v>9</v>
      </c>
      <c r="AI19" s="85" t="s">
        <v>44</v>
      </c>
      <c r="AJ19" s="115">
        <v>9</v>
      </c>
      <c r="AK19" s="85" t="s">
        <v>44</v>
      </c>
      <c r="AL19" s="120">
        <f>IF('H2-FlexibilityCurtailment'!$F$18=0,100,IF('Merit calculation'!D19*'Merit calculation'!J19*8760/1000/'H2-FlexibilityCurtailment'!$F$18/F19&gt;100%,1,'Merit calculation'!D19*'Merit calculation'!J19*8760/1000/'H2-FlexibilityCurtailment'!$F$18/F19))</f>
        <v>0.14583333333333334</v>
      </c>
      <c r="AM19" s="443" t="s">
        <v>262</v>
      </c>
      <c r="AN19" s="120">
        <f>IF('H2-FlexibilityCurtailment'!$F$19=0,100,IF('Merit calculation'!D19*'Merit calculation'!L19*8760/1000/'H2-FlexibilityCurtailment'!$F$19/H19&gt;100%,1,'Merit calculation'!D19*'Merit calculation'!L19*8760/1000/'H2-FlexibilityCurtailment'!$F$19/H19))</f>
        <v>0.14583333333333334</v>
      </c>
      <c r="AO19" s="443" t="s">
        <v>262</v>
      </c>
      <c r="AP19" s="115">
        <v>100</v>
      </c>
      <c r="AQ19" s="74" t="s">
        <v>262</v>
      </c>
      <c r="AR19" s="115">
        <v>100</v>
      </c>
      <c r="AS19" s="74" t="s">
        <v>262</v>
      </c>
      <c r="AT19" s="121">
        <v>1.5</v>
      </c>
      <c r="AU19" s="85" t="s">
        <v>263</v>
      </c>
      <c r="AV19" s="121">
        <v>1.5</v>
      </c>
      <c r="AW19" s="85" t="s">
        <v>263</v>
      </c>
      <c r="AX19" s="122">
        <f t="shared" si="0"/>
        <v>808.65390007254109</v>
      </c>
      <c r="AY19" s="85" t="s">
        <v>264</v>
      </c>
      <c r="AZ19" s="119">
        <f t="shared" si="1"/>
        <v>518.96565158829412</v>
      </c>
      <c r="BA19" s="85" t="s">
        <v>264</v>
      </c>
      <c r="BB19" s="120">
        <f t="shared" si="2"/>
        <v>0.52218836208874275</v>
      </c>
      <c r="BC19" s="443" t="s">
        <v>268</v>
      </c>
      <c r="BD19" s="120">
        <f t="shared" si="3"/>
        <v>0.27237926523809869</v>
      </c>
      <c r="BE19" s="443" t="s">
        <v>268</v>
      </c>
      <c r="BF19" s="120">
        <f>(Z19/3.6+AD19/3.6/1000*CO2price)/F19/1000*energyContentH2</f>
        <v>1.7314814814814814</v>
      </c>
      <c r="BG19" s="85" t="s">
        <v>265</v>
      </c>
      <c r="BH19" s="120">
        <f>(AB19/3.6+AF19/3.6/1000*CO2price)/H19/1000*energyContentH2</f>
        <v>1.7314814814814814</v>
      </c>
      <c r="BI19" s="85" t="s">
        <v>265</v>
      </c>
      <c r="BJ19" s="124">
        <f t="shared" si="12"/>
        <v>2.1773425559463213</v>
      </c>
      <c r="BK19" s="125" t="s">
        <v>265</v>
      </c>
      <c r="BL19" s="125">
        <f t="shared" si="4"/>
        <v>2.0100903038631563</v>
      </c>
      <c r="BM19" s="93" t="s">
        <v>265</v>
      </c>
      <c r="BN19" s="126" t="s">
        <v>266</v>
      </c>
      <c r="BO19" s="127" t="s">
        <v>99</v>
      </c>
      <c r="BP19" s="126" t="s">
        <v>266</v>
      </c>
      <c r="BQ19" s="127" t="s">
        <v>99</v>
      </c>
      <c r="BR19" s="93">
        <f>AD19/1000/3.6/F19*energyContentH2</f>
        <v>1.8518518518518519</v>
      </c>
      <c r="BS19" s="85" t="s">
        <v>267</v>
      </c>
      <c r="BT19" s="93">
        <f>AF19/1000/3.6/H19*energyContentH2</f>
        <v>1.8518518518518519</v>
      </c>
      <c r="BU19" s="85" t="s">
        <v>267</v>
      </c>
      <c r="BV19" s="85">
        <f t="shared" si="13"/>
        <v>9</v>
      </c>
      <c r="BW19" s="85" t="s">
        <v>44</v>
      </c>
      <c r="BX19" s="85">
        <f t="shared" si="14"/>
        <v>9</v>
      </c>
      <c r="BY19" s="85" t="s">
        <v>44</v>
      </c>
      <c r="BZ19" s="128">
        <f>AL19</f>
        <v>0.14583333333333334</v>
      </c>
      <c r="CA19" s="85" t="s">
        <v>262</v>
      </c>
      <c r="CB19" s="128">
        <f t="shared" si="6"/>
        <v>0.14583333333333334</v>
      </c>
      <c r="CC19" s="85" t="s">
        <v>262</v>
      </c>
      <c r="CD19" s="129">
        <f t="shared" si="15"/>
        <v>100</v>
      </c>
      <c r="CE19" s="85" t="s">
        <v>262</v>
      </c>
      <c r="CF19" s="129">
        <f t="shared" si="16"/>
        <v>100</v>
      </c>
      <c r="CG19" s="85" t="s">
        <v>262</v>
      </c>
      <c r="CH19" s="131">
        <f t="shared" si="7"/>
        <v>90</v>
      </c>
      <c r="CI19" s="443" t="s">
        <v>516</v>
      </c>
      <c r="CJ19" s="131">
        <f t="shared" si="8"/>
        <v>90</v>
      </c>
      <c r="CK19" s="443" t="s">
        <v>516</v>
      </c>
    </row>
    <row r="20" spans="2:92" s="114" customFormat="1" x14ac:dyDescent="0.25">
      <c r="B20" s="114" t="s">
        <v>53</v>
      </c>
      <c r="C20" s="84" t="s">
        <v>255</v>
      </c>
      <c r="D20" s="115">
        <v>33</v>
      </c>
      <c r="E20" s="116" t="s">
        <v>256</v>
      </c>
      <c r="F20" s="93">
        <v>0.9</v>
      </c>
      <c r="G20" s="93" t="s">
        <v>99</v>
      </c>
      <c r="H20" s="93">
        <f t="shared" si="9"/>
        <v>0.9</v>
      </c>
      <c r="I20" s="93" t="s">
        <v>99</v>
      </c>
      <c r="J20" s="117">
        <v>0.9</v>
      </c>
      <c r="K20" s="85" t="s">
        <v>99</v>
      </c>
      <c r="L20" s="117">
        <f t="shared" si="10"/>
        <v>0.9</v>
      </c>
      <c r="M20" s="85" t="s">
        <v>99</v>
      </c>
      <c r="N20" s="118">
        <v>29</v>
      </c>
      <c r="O20" s="85" t="s">
        <v>257</v>
      </c>
      <c r="P20" s="118">
        <f t="shared" si="11"/>
        <v>29</v>
      </c>
      <c r="Q20" s="85" t="s">
        <v>257</v>
      </c>
      <c r="R20" s="119">
        <f>startYearWeighting*2638+(1-startYearWeighting)*1291</f>
        <v>1560.4</v>
      </c>
      <c r="S20" s="85" t="s">
        <v>258</v>
      </c>
      <c r="T20" s="119">
        <v>1291</v>
      </c>
      <c r="U20" s="85" t="s">
        <v>258</v>
      </c>
      <c r="V20" s="120">
        <f>((startYearWeighting*132+(1-startYearWeighting)*65)*interestRate*(1+interestRate)^N20/((1+interestRate)^N20-1)/J20/31.54)+(startYearWeighting*0.93+(1-startYearWeighting)*0)</f>
        <v>0.38922136613433655</v>
      </c>
      <c r="W20" s="85" t="s">
        <v>259</v>
      </c>
      <c r="X20" s="120">
        <f>(65*interestRate*(1+interestRate)^P20/((1+interestRate)^P20-1)/J20/31.54)+0</f>
        <v>0.16848710202464126</v>
      </c>
      <c r="Y20" s="85" t="s">
        <v>259</v>
      </c>
      <c r="Z20" s="131">
        <f>biomassPrice</f>
        <v>5.2704393662267295</v>
      </c>
      <c r="AA20" s="85" t="s">
        <v>268</v>
      </c>
      <c r="AB20" s="131">
        <f>biomassPrice</f>
        <v>5.2704393662267295</v>
      </c>
      <c r="AC20" s="85" t="s">
        <v>268</v>
      </c>
      <c r="AD20" s="120">
        <v>0</v>
      </c>
      <c r="AE20" s="85" t="s">
        <v>269</v>
      </c>
      <c r="AF20" s="120">
        <v>0</v>
      </c>
      <c r="AG20" s="85" t="s">
        <v>270</v>
      </c>
      <c r="AH20" s="115">
        <v>6</v>
      </c>
      <c r="AI20" s="85" t="s">
        <v>44</v>
      </c>
      <c r="AJ20" s="115">
        <v>9</v>
      </c>
      <c r="AK20" s="85" t="s">
        <v>44</v>
      </c>
      <c r="AL20" s="444">
        <v>0</v>
      </c>
      <c r="AM20" s="443" t="s">
        <v>262</v>
      </c>
      <c r="AN20" s="444">
        <v>0</v>
      </c>
      <c r="AO20" s="85" t="s">
        <v>262</v>
      </c>
      <c r="AP20" s="115">
        <v>100</v>
      </c>
      <c r="AQ20" s="74" t="s">
        <v>262</v>
      </c>
      <c r="AR20" s="115">
        <v>100</v>
      </c>
      <c r="AS20" s="74" t="s">
        <v>262</v>
      </c>
      <c r="AT20" s="121">
        <v>2.5</v>
      </c>
      <c r="AU20" s="85" t="s">
        <v>263</v>
      </c>
      <c r="AV20" s="121">
        <v>2.5</v>
      </c>
      <c r="AW20" s="85" t="s">
        <v>263</v>
      </c>
      <c r="AX20" s="122">
        <f t="shared" si="0"/>
        <v>1581.628911598387</v>
      </c>
      <c r="AY20" s="85" t="s">
        <v>264</v>
      </c>
      <c r="AZ20" s="119">
        <f t="shared" si="1"/>
        <v>1308.5637816415774</v>
      </c>
      <c r="BA20" s="85" t="s">
        <v>264</v>
      </c>
      <c r="BB20" s="120">
        <f t="shared" si="2"/>
        <v>0.3945166404062343</v>
      </c>
      <c r="BC20" s="443" t="s">
        <v>268</v>
      </c>
      <c r="BD20" s="120">
        <f t="shared" si="3"/>
        <v>0.17077933337195575</v>
      </c>
      <c r="BE20" s="443" t="s">
        <v>268</v>
      </c>
      <c r="BF20" s="120">
        <f t="shared" ref="BF20:BF27" si="17">(Z20+AD20*CO2price)/F20/1000*energyContentH2</f>
        <v>0.70272524883023058</v>
      </c>
      <c r="BG20" s="85" t="s">
        <v>265</v>
      </c>
      <c r="BH20" s="120">
        <f t="shared" ref="BH20:BH27" si="18">(AB20+AF20*CO2price)/H20/1000*energyContentH2</f>
        <v>0.70272524883023058</v>
      </c>
      <c r="BI20" s="85" t="s">
        <v>265</v>
      </c>
      <c r="BJ20" s="124">
        <f>(interestRate*(1+interestRate)^N20/((1+interestRate)^N20-1)*AX20/J20/31.54+BB20)/1000*energyContentH2+BF20</f>
        <v>1.2420378397594705</v>
      </c>
      <c r="BK20" s="125" t="s">
        <v>265</v>
      </c>
      <c r="BL20" s="125">
        <f t="shared" si="4"/>
        <v>1.130251604619225</v>
      </c>
      <c r="BM20" s="93" t="s">
        <v>265</v>
      </c>
      <c r="BN20" s="126" t="s">
        <v>266</v>
      </c>
      <c r="BO20" s="127" t="s">
        <v>99</v>
      </c>
      <c r="BP20" s="126" t="s">
        <v>266</v>
      </c>
      <c r="BQ20" s="127" t="s">
        <v>99</v>
      </c>
      <c r="BR20" s="93">
        <f t="shared" ref="BR20:BR27" si="19">AD20/F20*energyContentH2</f>
        <v>0</v>
      </c>
      <c r="BS20" s="85" t="s">
        <v>267</v>
      </c>
      <c r="BT20" s="93">
        <f t="shared" ref="BT20:BT27" si="20">AF20/H20*energyContentH2</f>
        <v>0</v>
      </c>
      <c r="BU20" s="85" t="s">
        <v>267</v>
      </c>
      <c r="BV20" s="85">
        <f t="shared" si="13"/>
        <v>6</v>
      </c>
      <c r="BW20" s="85" t="s">
        <v>44</v>
      </c>
      <c r="BX20" s="85">
        <f t="shared" si="14"/>
        <v>9</v>
      </c>
      <c r="BY20" s="85" t="s">
        <v>44</v>
      </c>
      <c r="BZ20" s="85">
        <f t="shared" si="5"/>
        <v>0</v>
      </c>
      <c r="CA20" s="85" t="s">
        <v>262</v>
      </c>
      <c r="CB20" s="85">
        <f t="shared" si="6"/>
        <v>0</v>
      </c>
      <c r="CC20" s="85" t="s">
        <v>262</v>
      </c>
      <c r="CD20" s="129">
        <f t="shared" si="15"/>
        <v>100</v>
      </c>
      <c r="CE20" s="85" t="s">
        <v>262</v>
      </c>
      <c r="CF20" s="129">
        <f t="shared" si="16"/>
        <v>100</v>
      </c>
      <c r="CG20" s="85" t="s">
        <v>262</v>
      </c>
      <c r="CH20" s="131">
        <f t="shared" si="7"/>
        <v>70</v>
      </c>
      <c r="CI20" s="443" t="s">
        <v>516</v>
      </c>
      <c r="CJ20" s="131">
        <f t="shared" si="8"/>
        <v>70</v>
      </c>
      <c r="CK20" s="443" t="s">
        <v>516</v>
      </c>
    </row>
    <row r="21" spans="2:92" s="134" customFormat="1" x14ac:dyDescent="0.25">
      <c r="B21" s="61" t="s">
        <v>54</v>
      </c>
      <c r="C21" s="84" t="s">
        <v>255</v>
      </c>
      <c r="D21" s="115">
        <v>33</v>
      </c>
      <c r="E21" s="116" t="s">
        <v>256</v>
      </c>
      <c r="F21" s="120">
        <v>0.9</v>
      </c>
      <c r="G21" s="130" t="s">
        <v>99</v>
      </c>
      <c r="H21" s="93">
        <f t="shared" si="9"/>
        <v>0.9</v>
      </c>
      <c r="I21" s="130" t="s">
        <v>99</v>
      </c>
      <c r="J21" s="117">
        <v>0.9</v>
      </c>
      <c r="K21" s="130" t="s">
        <v>99</v>
      </c>
      <c r="L21" s="117">
        <f t="shared" si="10"/>
        <v>0.9</v>
      </c>
      <c r="M21" s="130" t="s">
        <v>99</v>
      </c>
      <c r="N21" s="75">
        <v>29</v>
      </c>
      <c r="O21" s="85" t="s">
        <v>257</v>
      </c>
      <c r="P21" s="118">
        <f t="shared" si="11"/>
        <v>29</v>
      </c>
      <c r="Q21" s="85" t="s">
        <v>257</v>
      </c>
      <c r="R21" s="131">
        <f>startYearWeighting*2651+(1-startYearWeighting)*1309</f>
        <v>1577.4</v>
      </c>
      <c r="S21" s="116" t="s">
        <v>258</v>
      </c>
      <c r="T21" s="131">
        <v>1309</v>
      </c>
      <c r="U21" s="116" t="s">
        <v>258</v>
      </c>
      <c r="V21" s="120">
        <f>((startYearWeighting*112+(1-startYearWeighting)*65)*interestRate*(1+interestRate)^N21/((1+interestRate)^N21-1)/J21/31.54) + (startYearWeighting*0.93+(1-startYearWeighting)*0)</f>
        <v>0.37885292908666635</v>
      </c>
      <c r="W21" s="116" t="s">
        <v>259</v>
      </c>
      <c r="X21" s="120">
        <f>(65*interestRate*(1+interestRate)^P21/((1+interestRate)^P21-1)/J21/31.54)+0</f>
        <v>0.16848710202464126</v>
      </c>
      <c r="Y21" s="116" t="s">
        <v>259</v>
      </c>
      <c r="Z21" s="131">
        <f>biomassPrice</f>
        <v>5.2704393662267295</v>
      </c>
      <c r="AA21" s="85" t="s">
        <v>268</v>
      </c>
      <c r="AB21" s="131">
        <f>biomassPrice</f>
        <v>5.2704393662267295</v>
      </c>
      <c r="AC21" s="85" t="s">
        <v>268</v>
      </c>
      <c r="AD21" s="132">
        <f>-CO2emissionBiomass*0.9</f>
        <v>-0.1008</v>
      </c>
      <c r="AE21" s="85" t="s">
        <v>269</v>
      </c>
      <c r="AF21" s="132">
        <f>-CO2emissionBiomass*0.9</f>
        <v>-0.1008</v>
      </c>
      <c r="AG21" s="116" t="s">
        <v>270</v>
      </c>
      <c r="AH21" s="115">
        <v>6</v>
      </c>
      <c r="AI21" s="85" t="s">
        <v>44</v>
      </c>
      <c r="AJ21" s="115">
        <v>9</v>
      </c>
      <c r="AK21" s="85" t="s">
        <v>44</v>
      </c>
      <c r="AL21" s="444">
        <v>0</v>
      </c>
      <c r="AM21" s="443" t="s">
        <v>262</v>
      </c>
      <c r="AN21" s="444">
        <v>0</v>
      </c>
      <c r="AO21" s="85" t="s">
        <v>262</v>
      </c>
      <c r="AP21" s="115">
        <v>80</v>
      </c>
      <c r="AQ21" s="74" t="s">
        <v>262</v>
      </c>
      <c r="AR21" s="115">
        <v>100</v>
      </c>
      <c r="AS21" s="74" t="s">
        <v>262</v>
      </c>
      <c r="AT21" s="121">
        <v>3</v>
      </c>
      <c r="AU21" s="85" t="s">
        <v>263</v>
      </c>
      <c r="AV21" s="121">
        <v>3</v>
      </c>
      <c r="AW21" s="85" t="s">
        <v>263</v>
      </c>
      <c r="AX21" s="122">
        <f t="shared" si="0"/>
        <v>1598.8601929987797</v>
      </c>
      <c r="AY21" s="85" t="s">
        <v>264</v>
      </c>
      <c r="AZ21" s="119">
        <f t="shared" si="1"/>
        <v>1326.8086678302284</v>
      </c>
      <c r="BA21" s="85" t="s">
        <v>264</v>
      </c>
      <c r="BB21" s="133">
        <f t="shared" si="2"/>
        <v>0.38400714296796012</v>
      </c>
      <c r="BC21" s="443" t="s">
        <v>268</v>
      </c>
      <c r="BD21" s="133">
        <f t="shared" si="3"/>
        <v>0.17077933337195575</v>
      </c>
      <c r="BE21" s="443" t="s">
        <v>268</v>
      </c>
      <c r="BF21" s="120">
        <f t="shared" si="17"/>
        <v>0.23232524883023059</v>
      </c>
      <c r="BG21" s="85" t="s">
        <v>265</v>
      </c>
      <c r="BH21" s="120">
        <f t="shared" si="18"/>
        <v>0.23232524883023059</v>
      </c>
      <c r="BI21" s="85" t="s">
        <v>265</v>
      </c>
      <c r="BJ21" s="124">
        <f t="shared" si="12"/>
        <v>0.77573654376039736</v>
      </c>
      <c r="BK21" s="125" t="s">
        <v>265</v>
      </c>
      <c r="BL21" s="125">
        <f t="shared" si="4"/>
        <v>0.66552673323589295</v>
      </c>
      <c r="BM21" s="93" t="s">
        <v>265</v>
      </c>
      <c r="BN21" s="126" t="s">
        <v>266</v>
      </c>
      <c r="BO21" s="127" t="s">
        <v>99</v>
      </c>
      <c r="BP21" s="126" t="s">
        <v>266</v>
      </c>
      <c r="BQ21" s="127" t="s">
        <v>99</v>
      </c>
      <c r="BR21" s="93">
        <f>AD21/F21*energyContentH2</f>
        <v>-13.44</v>
      </c>
      <c r="BS21" s="85" t="s">
        <v>267</v>
      </c>
      <c r="BT21" s="93">
        <f t="shared" si="20"/>
        <v>-13.44</v>
      </c>
      <c r="BU21" s="85" t="s">
        <v>267</v>
      </c>
      <c r="BV21" s="85">
        <f t="shared" si="13"/>
        <v>6</v>
      </c>
      <c r="BW21" s="85" t="s">
        <v>44</v>
      </c>
      <c r="BX21" s="85">
        <f t="shared" si="14"/>
        <v>9</v>
      </c>
      <c r="BY21" s="85" t="s">
        <v>44</v>
      </c>
      <c r="BZ21" s="85">
        <f t="shared" si="5"/>
        <v>0</v>
      </c>
      <c r="CA21" s="85" t="s">
        <v>262</v>
      </c>
      <c r="CB21" s="85">
        <f t="shared" si="6"/>
        <v>0</v>
      </c>
      <c r="CC21" s="85" t="s">
        <v>262</v>
      </c>
      <c r="CD21" s="129">
        <f t="shared" si="15"/>
        <v>80</v>
      </c>
      <c r="CE21" s="85" t="s">
        <v>262</v>
      </c>
      <c r="CF21" s="129">
        <f t="shared" si="16"/>
        <v>100</v>
      </c>
      <c r="CG21" s="85" t="s">
        <v>262</v>
      </c>
      <c r="CH21" s="131">
        <f t="shared" si="7"/>
        <v>60</v>
      </c>
      <c r="CI21" s="443" t="s">
        <v>516</v>
      </c>
      <c r="CJ21" s="131">
        <f t="shared" si="8"/>
        <v>60</v>
      </c>
      <c r="CK21" s="443" t="s">
        <v>516</v>
      </c>
    </row>
    <row r="22" spans="2:92" s="114" customFormat="1" x14ac:dyDescent="0.25">
      <c r="B22" s="114" t="s">
        <v>55</v>
      </c>
      <c r="C22" s="84" t="s">
        <v>255</v>
      </c>
      <c r="D22" s="115">
        <v>0.7</v>
      </c>
      <c r="E22" s="116" t="s">
        <v>256</v>
      </c>
      <c r="F22" s="93">
        <v>0.71</v>
      </c>
      <c r="G22" s="93" t="s">
        <v>99</v>
      </c>
      <c r="H22" s="93">
        <f t="shared" si="9"/>
        <v>0.71</v>
      </c>
      <c r="I22" s="93" t="s">
        <v>99</v>
      </c>
      <c r="J22" s="117">
        <v>0.9</v>
      </c>
      <c r="K22" s="85" t="s">
        <v>99</v>
      </c>
      <c r="L22" s="117">
        <f t="shared" si="10"/>
        <v>0.9</v>
      </c>
      <c r="M22" s="85" t="s">
        <v>99</v>
      </c>
      <c r="N22" s="118">
        <v>29</v>
      </c>
      <c r="O22" s="85" t="s">
        <v>257</v>
      </c>
      <c r="P22" s="118">
        <f t="shared" si="11"/>
        <v>29</v>
      </c>
      <c r="Q22" s="85" t="s">
        <v>257</v>
      </c>
      <c r="R22" s="119">
        <f>startYearWeighting*4101+(1-startYearWeighting)*3099</f>
        <v>3299.4000000000005</v>
      </c>
      <c r="S22" s="85" t="s">
        <v>258</v>
      </c>
      <c r="T22" s="119">
        <v>3099</v>
      </c>
      <c r="U22" s="85" t="s">
        <v>258</v>
      </c>
      <c r="V22" s="120">
        <f>(82*interestRate*(1+interestRate)^N22/((1+interestRate)^N22-1)/J22/31.54)+(startYearWeighting*1.83+(1-startYearWeighting)*0)</f>
        <v>0.57855295947723973</v>
      </c>
      <c r="W22" s="85" t="s">
        <v>259</v>
      </c>
      <c r="X22" s="120">
        <f>(82*interestRate*(1+interestRate)^P22/((1+interestRate)^P22-1)/J22/31.54)+0</f>
        <v>0.21255295947723971</v>
      </c>
      <c r="Y22" s="85" t="s">
        <v>259</v>
      </c>
      <c r="Z22" s="131">
        <f>biomassPrice</f>
        <v>5.2704393662267295</v>
      </c>
      <c r="AA22" s="85" t="s">
        <v>268</v>
      </c>
      <c r="AB22" s="131">
        <f>biomassPrice</f>
        <v>5.2704393662267295</v>
      </c>
      <c r="AC22" s="85" t="s">
        <v>268</v>
      </c>
      <c r="AD22" s="120">
        <v>0</v>
      </c>
      <c r="AE22" s="85" t="s">
        <v>269</v>
      </c>
      <c r="AF22" s="120">
        <v>0</v>
      </c>
      <c r="AG22" s="85" t="s">
        <v>270</v>
      </c>
      <c r="AH22" s="115">
        <v>6</v>
      </c>
      <c r="AI22" s="85" t="s">
        <v>44</v>
      </c>
      <c r="AJ22" s="115">
        <v>9</v>
      </c>
      <c r="AK22" s="85" t="s">
        <v>44</v>
      </c>
      <c r="AL22" s="115">
        <v>0</v>
      </c>
      <c r="AM22" s="85" t="s">
        <v>262</v>
      </c>
      <c r="AN22" s="115">
        <v>0</v>
      </c>
      <c r="AO22" s="85" t="s">
        <v>262</v>
      </c>
      <c r="AP22" s="115">
        <v>100</v>
      </c>
      <c r="AQ22" s="74" t="s">
        <v>262</v>
      </c>
      <c r="AR22" s="115">
        <v>100</v>
      </c>
      <c r="AS22" s="74" t="s">
        <v>262</v>
      </c>
      <c r="AT22" s="121">
        <v>2.5</v>
      </c>
      <c r="AU22" s="85" t="s">
        <v>263</v>
      </c>
      <c r="AV22" s="121">
        <v>2.5</v>
      </c>
      <c r="AW22" s="85" t="s">
        <v>263</v>
      </c>
      <c r="AX22" s="122">
        <f t="shared" si="0"/>
        <v>3344.2876383797225</v>
      </c>
      <c r="AY22" s="85" t="s">
        <v>264</v>
      </c>
      <c r="AZ22" s="119">
        <f t="shared" si="1"/>
        <v>3141.161238812741</v>
      </c>
      <c r="BA22" s="85" t="s">
        <v>264</v>
      </c>
      <c r="BB22" s="120">
        <f t="shared" si="2"/>
        <v>0.58642404998719067</v>
      </c>
      <c r="BC22" s="443" t="s">
        <v>268</v>
      </c>
      <c r="BD22" s="120">
        <f t="shared" si="3"/>
        <v>0.21544469748462106</v>
      </c>
      <c r="BE22" s="443" t="s">
        <v>268</v>
      </c>
      <c r="BF22" s="120">
        <f t="shared" si="17"/>
        <v>0.8907784844326867</v>
      </c>
      <c r="BG22" s="85" t="s">
        <v>265</v>
      </c>
      <c r="BH22" s="120">
        <f t="shared" si="18"/>
        <v>0.8907784844326867</v>
      </c>
      <c r="BI22" s="85" t="s">
        <v>265</v>
      </c>
      <c r="BJ22" s="124">
        <f>(interestRate*(1+interestRate)^N22/((1+interestRate)^N22-1)*AX22/J22/31.54+BB22)/1000*energyContentH2+BF22</f>
        <v>2.0014004458664063</v>
      </c>
      <c r="BK22" s="125" t="s">
        <v>265</v>
      </c>
      <c r="BL22" s="125">
        <f t="shared" si="4"/>
        <v>1.8936998249671932</v>
      </c>
      <c r="BM22" s="93" t="s">
        <v>265</v>
      </c>
      <c r="BN22" s="126" t="s">
        <v>266</v>
      </c>
      <c r="BO22" s="127" t="s">
        <v>99</v>
      </c>
      <c r="BP22" s="126" t="s">
        <v>266</v>
      </c>
      <c r="BQ22" s="127" t="s">
        <v>99</v>
      </c>
      <c r="BR22" s="93">
        <f t="shared" si="19"/>
        <v>0</v>
      </c>
      <c r="BS22" s="85" t="s">
        <v>267</v>
      </c>
      <c r="BT22" s="93">
        <f t="shared" si="20"/>
        <v>0</v>
      </c>
      <c r="BU22" s="85" t="s">
        <v>267</v>
      </c>
      <c r="BV22" s="85">
        <f t="shared" si="13"/>
        <v>6</v>
      </c>
      <c r="BW22" s="85" t="s">
        <v>44</v>
      </c>
      <c r="BX22" s="85">
        <f t="shared" si="14"/>
        <v>9</v>
      </c>
      <c r="BY22" s="85" t="s">
        <v>44</v>
      </c>
      <c r="BZ22" s="85">
        <f t="shared" si="5"/>
        <v>0</v>
      </c>
      <c r="CA22" s="85" t="s">
        <v>262</v>
      </c>
      <c r="CB22" s="85">
        <f t="shared" si="6"/>
        <v>0</v>
      </c>
      <c r="CC22" s="85" t="s">
        <v>262</v>
      </c>
      <c r="CD22" s="129">
        <f t="shared" si="15"/>
        <v>100</v>
      </c>
      <c r="CE22" s="85" t="s">
        <v>262</v>
      </c>
      <c r="CF22" s="129">
        <f t="shared" si="16"/>
        <v>100</v>
      </c>
      <c r="CG22" s="85" t="s">
        <v>262</v>
      </c>
      <c r="CH22" s="131">
        <f t="shared" si="7"/>
        <v>70</v>
      </c>
      <c r="CI22" s="443" t="s">
        <v>516</v>
      </c>
      <c r="CJ22" s="131">
        <f t="shared" si="8"/>
        <v>70</v>
      </c>
      <c r="CK22" s="443" t="s">
        <v>516</v>
      </c>
    </row>
    <row r="23" spans="2:92" s="114" customFormat="1" x14ac:dyDescent="0.25">
      <c r="B23" s="114" t="s">
        <v>56</v>
      </c>
      <c r="C23" s="84" t="s">
        <v>255</v>
      </c>
      <c r="D23" s="115">
        <v>235</v>
      </c>
      <c r="E23" s="116" t="s">
        <v>256</v>
      </c>
      <c r="F23" s="120">
        <v>0.9</v>
      </c>
      <c r="G23" s="93" t="s">
        <v>99</v>
      </c>
      <c r="H23" s="93">
        <f t="shared" si="9"/>
        <v>0.9</v>
      </c>
      <c r="I23" s="93" t="s">
        <v>99</v>
      </c>
      <c r="J23" s="117">
        <v>0.9</v>
      </c>
      <c r="K23" s="93" t="s">
        <v>99</v>
      </c>
      <c r="L23" s="117">
        <f t="shared" si="10"/>
        <v>0.9</v>
      </c>
      <c r="M23" s="93" t="s">
        <v>99</v>
      </c>
      <c r="N23" s="118">
        <v>29</v>
      </c>
      <c r="O23" s="85" t="s">
        <v>257</v>
      </c>
      <c r="P23" s="118">
        <f t="shared" si="11"/>
        <v>29</v>
      </c>
      <c r="Q23" s="85" t="s">
        <v>257</v>
      </c>
      <c r="R23" s="131">
        <f>startYearWeighting*519.31+(1-startYearWeighting)*519</f>
        <v>519.06200000000001</v>
      </c>
      <c r="S23" s="85" t="s">
        <v>258</v>
      </c>
      <c r="T23" s="131">
        <v>519.30999999999995</v>
      </c>
      <c r="U23" s="85" t="s">
        <v>258</v>
      </c>
      <c r="V23" s="135">
        <f>(21*interestRate*(1+interestRate)^N23/((1+interestRate)^N23-1)/J23/31.54)+(startYearWeighting*0.18+(1-startYearWeighting)*0)</f>
        <v>9.0434294500268714E-2</v>
      </c>
      <c r="W23" s="85" t="s">
        <v>259</v>
      </c>
      <c r="X23" s="135">
        <f>(21*interestRate*(1+interestRate)^P23/((1+interestRate)^P23-1)/J23/31.54)+0</f>
        <v>5.4434294500268716E-2</v>
      </c>
      <c r="Y23" s="85" t="s">
        <v>259</v>
      </c>
      <c r="Z23" s="131">
        <f>biomassPrice</f>
        <v>5.2704393662267295</v>
      </c>
      <c r="AA23" s="85" t="s">
        <v>268</v>
      </c>
      <c r="AB23" s="131">
        <f>biomassPrice</f>
        <v>5.2704393662267295</v>
      </c>
      <c r="AC23" s="85" t="s">
        <v>268</v>
      </c>
      <c r="AD23" s="120">
        <v>0</v>
      </c>
      <c r="AE23" s="85" t="s">
        <v>269</v>
      </c>
      <c r="AF23" s="120">
        <v>0</v>
      </c>
      <c r="AG23" s="85" t="s">
        <v>270</v>
      </c>
      <c r="AH23" s="136">
        <f>AH20</f>
        <v>6</v>
      </c>
      <c r="AI23" s="85" t="s">
        <v>44</v>
      </c>
      <c r="AJ23" s="444">
        <v>9</v>
      </c>
      <c r="AK23" s="85" t="s">
        <v>44</v>
      </c>
      <c r="AL23" s="115">
        <v>0</v>
      </c>
      <c r="AM23" s="85" t="s">
        <v>262</v>
      </c>
      <c r="AN23" s="115">
        <v>0</v>
      </c>
      <c r="AO23" s="85" t="s">
        <v>262</v>
      </c>
      <c r="AP23" s="136">
        <f>AP20</f>
        <v>100</v>
      </c>
      <c r="AQ23" s="74" t="s">
        <v>262</v>
      </c>
      <c r="AR23" s="137">
        <f>AP23</f>
        <v>100</v>
      </c>
      <c r="AS23" s="74" t="s">
        <v>262</v>
      </c>
      <c r="AT23" s="121">
        <v>2</v>
      </c>
      <c r="AU23" s="85" t="s">
        <v>263</v>
      </c>
      <c r="AV23" s="121">
        <v>2</v>
      </c>
      <c r="AW23" s="85" t="s">
        <v>263</v>
      </c>
      <c r="AX23" s="122">
        <f t="shared" si="0"/>
        <v>526.12372860297478</v>
      </c>
      <c r="AY23" s="85" t="s">
        <v>264</v>
      </c>
      <c r="AZ23" s="119">
        <f t="shared" si="1"/>
        <v>526.3751025904628</v>
      </c>
      <c r="BA23" s="85" t="s">
        <v>264</v>
      </c>
      <c r="BB23" s="120">
        <f t="shared" si="2"/>
        <v>9.1664633928241479E-2</v>
      </c>
      <c r="BC23" s="443" t="s">
        <v>268</v>
      </c>
      <c r="BD23" s="120">
        <f t="shared" si="3"/>
        <v>5.517486155093955E-2</v>
      </c>
      <c r="BE23" s="443" t="s">
        <v>268</v>
      </c>
      <c r="BF23" s="120">
        <f t="shared" si="17"/>
        <v>0.70272524883023058</v>
      </c>
      <c r="BG23" s="85" t="s">
        <v>265</v>
      </c>
      <c r="BH23" s="120">
        <f t="shared" si="18"/>
        <v>0.70272524883023058</v>
      </c>
      <c r="BI23" s="85" t="s">
        <v>265</v>
      </c>
      <c r="BJ23" s="124">
        <f t="shared" si="12"/>
        <v>0.87737742768078397</v>
      </c>
      <c r="BK23" s="125" t="s">
        <v>265</v>
      </c>
      <c r="BL23" s="125">
        <f t="shared" si="4"/>
        <v>0.8730768456564485</v>
      </c>
      <c r="BM23" s="93" t="s">
        <v>265</v>
      </c>
      <c r="BN23" s="126" t="s">
        <v>266</v>
      </c>
      <c r="BO23" s="127" t="s">
        <v>99</v>
      </c>
      <c r="BP23" s="126" t="s">
        <v>266</v>
      </c>
      <c r="BQ23" s="127" t="s">
        <v>99</v>
      </c>
      <c r="BR23" s="93">
        <f>AD23/F23*energyContentH2</f>
        <v>0</v>
      </c>
      <c r="BS23" s="85" t="s">
        <v>267</v>
      </c>
      <c r="BT23" s="93">
        <f t="shared" si="20"/>
        <v>0</v>
      </c>
      <c r="BU23" s="85" t="s">
        <v>267</v>
      </c>
      <c r="BV23" s="115">
        <f t="shared" si="13"/>
        <v>6</v>
      </c>
      <c r="BW23" s="85" t="s">
        <v>44</v>
      </c>
      <c r="BX23" s="115">
        <f t="shared" si="14"/>
        <v>9</v>
      </c>
      <c r="BY23" s="85" t="s">
        <v>44</v>
      </c>
      <c r="BZ23" s="85">
        <f t="shared" si="5"/>
        <v>0</v>
      </c>
      <c r="CA23" s="85" t="s">
        <v>262</v>
      </c>
      <c r="CB23" s="85">
        <f t="shared" si="6"/>
        <v>0</v>
      </c>
      <c r="CC23" s="85" t="s">
        <v>262</v>
      </c>
      <c r="CD23" s="138">
        <f t="shared" si="15"/>
        <v>100</v>
      </c>
      <c r="CE23" s="85" t="s">
        <v>262</v>
      </c>
      <c r="CF23" s="138">
        <f t="shared" si="16"/>
        <v>100</v>
      </c>
      <c r="CG23" s="85" t="s">
        <v>262</v>
      </c>
      <c r="CH23" s="131">
        <f t="shared" si="7"/>
        <v>80</v>
      </c>
      <c r="CI23" s="443" t="s">
        <v>516</v>
      </c>
      <c r="CJ23" s="131">
        <f t="shared" si="8"/>
        <v>80</v>
      </c>
      <c r="CK23" s="443" t="s">
        <v>516</v>
      </c>
    </row>
    <row r="24" spans="2:92" s="134" customFormat="1" x14ac:dyDescent="0.25">
      <c r="B24" s="61" t="s">
        <v>57</v>
      </c>
      <c r="C24" s="84" t="s">
        <v>255</v>
      </c>
      <c r="D24" s="130">
        <v>1530</v>
      </c>
      <c r="E24" s="130" t="s">
        <v>256</v>
      </c>
      <c r="F24" s="133">
        <v>0.9</v>
      </c>
      <c r="G24" s="130" t="s">
        <v>99</v>
      </c>
      <c r="H24" s="93">
        <f t="shared" si="9"/>
        <v>0.9</v>
      </c>
      <c r="I24" s="130" t="s">
        <v>99</v>
      </c>
      <c r="J24" s="117">
        <v>0.9</v>
      </c>
      <c r="K24" s="130" t="s">
        <v>99</v>
      </c>
      <c r="L24" s="117">
        <f t="shared" si="10"/>
        <v>0.9</v>
      </c>
      <c r="M24" s="130" t="s">
        <v>99</v>
      </c>
      <c r="N24" s="139">
        <v>40</v>
      </c>
      <c r="O24" s="85" t="s">
        <v>257</v>
      </c>
      <c r="P24" s="118">
        <f t="shared" si="11"/>
        <v>40</v>
      </c>
      <c r="Q24" s="85" t="s">
        <v>257</v>
      </c>
      <c r="R24" s="140">
        <f>startYearWeighting*201+(1-startYearWeighting)*158</f>
        <v>166.60000000000002</v>
      </c>
      <c r="S24" s="130" t="s">
        <v>258</v>
      </c>
      <c r="T24" s="140">
        <v>158</v>
      </c>
      <c r="U24" s="130" t="s">
        <v>258</v>
      </c>
      <c r="V24" s="133">
        <f>((startYearWeighting*9.84+(1-startYearWeighting)*7.65)*interestRate*(1+interestRate)^N24/((1+interestRate)^N24-1)/J24/31.54)+(startYearWeighting*0.08+(1-startYearWeighting)*0.05)</f>
        <v>7.4936831625675465E-2</v>
      </c>
      <c r="W24" s="130" t="s">
        <v>259</v>
      </c>
      <c r="X24" s="133">
        <f>(7.65*interestRate*(1+interestRate)^P24/((1+interestRate)^P24-1)/J24/31.54)+0.05</f>
        <v>6.7911320714196005E-2</v>
      </c>
      <c r="Y24" s="130" t="s">
        <v>259</v>
      </c>
      <c r="Z24" s="141">
        <f>naturalGasPrice</f>
        <v>30</v>
      </c>
      <c r="AA24" s="130" t="s">
        <v>268</v>
      </c>
      <c r="AB24" s="141">
        <f>naturalGasPrice</f>
        <v>30</v>
      </c>
      <c r="AC24" s="130" t="s">
        <v>268</v>
      </c>
      <c r="AD24" s="133">
        <f>CO2emissionNG</f>
        <v>5.6099999999999997E-2</v>
      </c>
      <c r="AE24" s="85" t="s">
        <v>269</v>
      </c>
      <c r="AF24" s="133">
        <f>CO2emissionNG</f>
        <v>5.6099999999999997E-2</v>
      </c>
      <c r="AG24" s="130" t="s">
        <v>270</v>
      </c>
      <c r="AH24" s="115">
        <v>9</v>
      </c>
      <c r="AI24" s="85" t="s">
        <v>44</v>
      </c>
      <c r="AJ24" s="115">
        <v>9</v>
      </c>
      <c r="AK24" s="85" t="s">
        <v>44</v>
      </c>
      <c r="AL24" s="115">
        <v>0</v>
      </c>
      <c r="AM24" s="85" t="s">
        <v>262</v>
      </c>
      <c r="AN24" s="115">
        <v>0</v>
      </c>
      <c r="AO24" s="85" t="s">
        <v>262</v>
      </c>
      <c r="AP24" s="115">
        <v>100</v>
      </c>
      <c r="AQ24" s="74" t="s">
        <v>262</v>
      </c>
      <c r="AR24" s="115">
        <v>100</v>
      </c>
      <c r="AS24" s="74" t="s">
        <v>262</v>
      </c>
      <c r="AT24" s="121">
        <v>1.5</v>
      </c>
      <c r="AU24" s="85" t="s">
        <v>263</v>
      </c>
      <c r="AV24" s="121">
        <v>1.5</v>
      </c>
      <c r="AW24" s="85" t="s">
        <v>263</v>
      </c>
      <c r="AX24" s="122">
        <f t="shared" si="0"/>
        <v>168.86655772384728</v>
      </c>
      <c r="AY24" s="85" t="s">
        <v>264</v>
      </c>
      <c r="AZ24" s="119">
        <f t="shared" si="1"/>
        <v>160.14955654482512</v>
      </c>
      <c r="BA24" s="85" t="s">
        <v>264</v>
      </c>
      <c r="BB24" s="133">
        <f t="shared" si="2"/>
        <v>7.5956331352697165E-2</v>
      </c>
      <c r="BC24" s="443" t="s">
        <v>268</v>
      </c>
      <c r="BD24" s="133">
        <f t="shared" si="3"/>
        <v>6.8835239852860053E-2</v>
      </c>
      <c r="BE24" s="443" t="s">
        <v>268</v>
      </c>
      <c r="BF24" s="120">
        <f t="shared" si="17"/>
        <v>4.2618</v>
      </c>
      <c r="BG24" s="85" t="s">
        <v>265</v>
      </c>
      <c r="BH24" s="120">
        <f t="shared" si="18"/>
        <v>4.2618</v>
      </c>
      <c r="BI24" s="85" t="s">
        <v>265</v>
      </c>
      <c r="BJ24" s="124">
        <f t="shared" si="12"/>
        <v>4.3183598275787016</v>
      </c>
      <c r="BK24" s="125" t="s">
        <v>265</v>
      </c>
      <c r="BL24" s="125">
        <f t="shared" si="4"/>
        <v>4.3150561514413335</v>
      </c>
      <c r="BM24" s="93" t="s">
        <v>265</v>
      </c>
      <c r="BN24" s="126" t="s">
        <v>266</v>
      </c>
      <c r="BO24" s="127" t="s">
        <v>99</v>
      </c>
      <c r="BP24" s="126" t="s">
        <v>266</v>
      </c>
      <c r="BQ24" s="127" t="s">
        <v>99</v>
      </c>
      <c r="BR24" s="93">
        <f>AD24/F24*energyContentH2</f>
        <v>7.4799999999999995</v>
      </c>
      <c r="BS24" s="85" t="s">
        <v>267</v>
      </c>
      <c r="BT24" s="93">
        <f t="shared" si="20"/>
        <v>7.4799999999999995</v>
      </c>
      <c r="BU24" s="85" t="s">
        <v>267</v>
      </c>
      <c r="BV24" s="85">
        <f t="shared" si="13"/>
        <v>9</v>
      </c>
      <c r="BW24" s="85" t="s">
        <v>44</v>
      </c>
      <c r="BX24" s="85">
        <f t="shared" si="14"/>
        <v>9</v>
      </c>
      <c r="BY24" s="85" t="s">
        <v>44</v>
      </c>
      <c r="BZ24" s="85">
        <f t="shared" si="5"/>
        <v>0</v>
      </c>
      <c r="CA24" s="85" t="s">
        <v>262</v>
      </c>
      <c r="CB24" s="85">
        <f t="shared" si="6"/>
        <v>0</v>
      </c>
      <c r="CC24" s="85" t="s">
        <v>262</v>
      </c>
      <c r="CD24" s="129">
        <f t="shared" si="15"/>
        <v>100</v>
      </c>
      <c r="CE24" s="85" t="s">
        <v>262</v>
      </c>
      <c r="CF24" s="129">
        <f t="shared" si="16"/>
        <v>100</v>
      </c>
      <c r="CG24" s="85" t="s">
        <v>262</v>
      </c>
      <c r="CH24" s="131">
        <f t="shared" si="7"/>
        <v>90</v>
      </c>
      <c r="CI24" s="443" t="s">
        <v>516</v>
      </c>
      <c r="CJ24" s="131">
        <f t="shared" si="8"/>
        <v>90</v>
      </c>
      <c r="CK24" s="443" t="s">
        <v>516</v>
      </c>
    </row>
    <row r="25" spans="2:92" s="114" customFormat="1" x14ac:dyDescent="0.25">
      <c r="B25" s="114" t="s">
        <v>58</v>
      </c>
      <c r="C25" s="84" t="s">
        <v>255</v>
      </c>
      <c r="D25" s="115">
        <v>33</v>
      </c>
      <c r="E25" s="116" t="s">
        <v>256</v>
      </c>
      <c r="F25" s="93">
        <v>0.9</v>
      </c>
      <c r="G25" s="93" t="s">
        <v>99</v>
      </c>
      <c r="H25" s="93">
        <f t="shared" si="9"/>
        <v>0.9</v>
      </c>
      <c r="I25" s="93" t="s">
        <v>99</v>
      </c>
      <c r="J25" s="117">
        <v>0.9</v>
      </c>
      <c r="K25" s="85" t="s">
        <v>99</v>
      </c>
      <c r="L25" s="117">
        <f t="shared" si="10"/>
        <v>0.9</v>
      </c>
      <c r="M25" s="85" t="s">
        <v>99</v>
      </c>
      <c r="N25" s="118">
        <v>30</v>
      </c>
      <c r="O25" s="85" t="s">
        <v>257</v>
      </c>
      <c r="P25" s="118">
        <f t="shared" si="11"/>
        <v>30</v>
      </c>
      <c r="Q25" s="85" t="s">
        <v>257</v>
      </c>
      <c r="R25" s="119">
        <f>startYearWeighting*431+(1-startYearWeighting)*344</f>
        <v>361.4</v>
      </c>
      <c r="S25" s="85" t="s">
        <v>258</v>
      </c>
      <c r="T25" s="119">
        <v>344</v>
      </c>
      <c r="U25" s="85" t="s">
        <v>258</v>
      </c>
      <c r="V25" s="120">
        <f>((startYearWeighting*16+(1-startYearWeighting)*13)*interestRate*(1+interestRate)^N25/((1+interestRate)^N25-1)/J25/31.54)+(startYearWeighting*0.14+(1-startYearWeighting)*0.05)</f>
        <v>0.10280677785755803</v>
      </c>
      <c r="W25" s="85" t="s">
        <v>259</v>
      </c>
      <c r="X25" s="120">
        <f>(13*interestRate*(1+interestRate)^P25/((1+interestRate)^P25-1)/J25/31.54)+0.05</f>
        <v>8.3271184716783408E-2</v>
      </c>
      <c r="Y25" s="85" t="s">
        <v>259</v>
      </c>
      <c r="Z25" s="141">
        <f>naturalGasPrice</f>
        <v>30</v>
      </c>
      <c r="AA25" s="130" t="s">
        <v>268</v>
      </c>
      <c r="AB25" s="141">
        <f>naturalGasPrice</f>
        <v>30</v>
      </c>
      <c r="AC25" s="130" t="s">
        <v>268</v>
      </c>
      <c r="AD25" s="133">
        <f>CO2emissionNG</f>
        <v>5.6099999999999997E-2</v>
      </c>
      <c r="AE25" s="85" t="s">
        <v>269</v>
      </c>
      <c r="AF25" s="133">
        <f>CO2emissionNG</f>
        <v>5.6099999999999997E-2</v>
      </c>
      <c r="AG25" s="85" t="s">
        <v>270</v>
      </c>
      <c r="AH25" s="115">
        <v>9</v>
      </c>
      <c r="AI25" s="85" t="s">
        <v>44</v>
      </c>
      <c r="AJ25" s="115">
        <v>9</v>
      </c>
      <c r="AK25" s="85" t="s">
        <v>44</v>
      </c>
      <c r="AL25" s="115">
        <v>0</v>
      </c>
      <c r="AM25" s="85" t="s">
        <v>262</v>
      </c>
      <c r="AN25" s="115">
        <v>0</v>
      </c>
      <c r="AO25" s="85" t="s">
        <v>262</v>
      </c>
      <c r="AP25" s="115">
        <v>100</v>
      </c>
      <c r="AQ25" s="74" t="s">
        <v>262</v>
      </c>
      <c r="AR25" s="115">
        <v>100</v>
      </c>
      <c r="AS25" s="74" t="s">
        <v>262</v>
      </c>
      <c r="AT25" s="121">
        <v>1.5</v>
      </c>
      <c r="AU25" s="85" t="s">
        <v>263</v>
      </c>
      <c r="AV25" s="121">
        <v>1.5</v>
      </c>
      <c r="AW25" s="85" t="s">
        <v>263</v>
      </c>
      <c r="AX25" s="122">
        <f t="shared" si="0"/>
        <v>366.31677047658098</v>
      </c>
      <c r="AY25" s="85" t="s">
        <v>264</v>
      </c>
      <c r="AZ25" s="119">
        <f t="shared" si="1"/>
        <v>348.68004716088507</v>
      </c>
      <c r="BA25" s="85" t="s">
        <v>264</v>
      </c>
      <c r="BB25" s="120">
        <f t="shared" si="2"/>
        <v>0.10420544230183712</v>
      </c>
      <c r="BC25" s="443" t="s">
        <v>268</v>
      </c>
      <c r="BD25" s="120">
        <f t="shared" si="3"/>
        <v>8.4404071552880267E-2</v>
      </c>
      <c r="BE25" s="443" t="s">
        <v>268</v>
      </c>
      <c r="BF25" s="120">
        <f t="shared" si="17"/>
        <v>4.2618</v>
      </c>
      <c r="BG25" s="85" t="s">
        <v>265</v>
      </c>
      <c r="BH25" s="120">
        <f t="shared" si="18"/>
        <v>4.2618</v>
      </c>
      <c r="BI25" s="85" t="s">
        <v>265</v>
      </c>
      <c r="BJ25" s="124">
        <f>(interestRate*(1+interestRate)^N25/((1+interestRate)^N25-1)*AX25/J25/31.54+BB25)/1000*energyContentH2+BF25</f>
        <v>4.3868073570951305</v>
      </c>
      <c r="BK25" s="125" t="s">
        <v>265</v>
      </c>
      <c r="BL25" s="125">
        <f t="shared" si="4"/>
        <v>4.3790146263353904</v>
      </c>
      <c r="BM25" s="93" t="s">
        <v>265</v>
      </c>
      <c r="BN25" s="126" t="s">
        <v>266</v>
      </c>
      <c r="BO25" s="127" t="s">
        <v>99</v>
      </c>
      <c r="BP25" s="126" t="s">
        <v>266</v>
      </c>
      <c r="BQ25" s="127" t="s">
        <v>99</v>
      </c>
      <c r="BR25" s="93">
        <f t="shared" si="19"/>
        <v>7.4799999999999995</v>
      </c>
      <c r="BS25" s="85" t="s">
        <v>267</v>
      </c>
      <c r="BT25" s="93">
        <f t="shared" si="20"/>
        <v>7.4799999999999995</v>
      </c>
      <c r="BU25" s="85" t="s">
        <v>267</v>
      </c>
      <c r="BV25" s="85">
        <f t="shared" si="13"/>
        <v>9</v>
      </c>
      <c r="BW25" s="85" t="s">
        <v>44</v>
      </c>
      <c r="BX25" s="85">
        <f t="shared" si="14"/>
        <v>9</v>
      </c>
      <c r="BY25" s="85" t="s">
        <v>44</v>
      </c>
      <c r="BZ25" s="85">
        <f t="shared" si="5"/>
        <v>0</v>
      </c>
      <c r="CA25" s="85" t="s">
        <v>262</v>
      </c>
      <c r="CB25" s="85">
        <f t="shared" si="6"/>
        <v>0</v>
      </c>
      <c r="CC25" s="85" t="s">
        <v>262</v>
      </c>
      <c r="CD25" s="129">
        <f t="shared" si="15"/>
        <v>100</v>
      </c>
      <c r="CE25" s="85" t="s">
        <v>262</v>
      </c>
      <c r="CF25" s="129">
        <f t="shared" si="16"/>
        <v>100</v>
      </c>
      <c r="CG25" s="85" t="s">
        <v>262</v>
      </c>
      <c r="CH25" s="131">
        <f t="shared" si="7"/>
        <v>90</v>
      </c>
      <c r="CI25" s="443" t="s">
        <v>516</v>
      </c>
      <c r="CJ25" s="131">
        <f t="shared" si="8"/>
        <v>90</v>
      </c>
      <c r="CK25" s="443" t="s">
        <v>516</v>
      </c>
    </row>
    <row r="26" spans="2:92" s="114" customFormat="1" x14ac:dyDescent="0.25">
      <c r="B26" s="114" t="s">
        <v>59</v>
      </c>
      <c r="C26" s="84" t="s">
        <v>255</v>
      </c>
      <c r="D26" s="115">
        <v>2</v>
      </c>
      <c r="E26" s="116" t="s">
        <v>256</v>
      </c>
      <c r="F26" s="93">
        <v>0.86</v>
      </c>
      <c r="G26" s="93" t="s">
        <v>99</v>
      </c>
      <c r="H26" s="93">
        <f t="shared" si="9"/>
        <v>0.86</v>
      </c>
      <c r="I26" s="93" t="s">
        <v>99</v>
      </c>
      <c r="J26" s="117">
        <v>0.7</v>
      </c>
      <c r="K26" s="85" t="s">
        <v>99</v>
      </c>
      <c r="L26" s="117">
        <f t="shared" si="10"/>
        <v>0.7</v>
      </c>
      <c r="M26" s="85" t="s">
        <v>99</v>
      </c>
      <c r="N26" s="118">
        <v>20</v>
      </c>
      <c r="O26" s="85" t="s">
        <v>257</v>
      </c>
      <c r="P26" s="118">
        <f t="shared" si="11"/>
        <v>20</v>
      </c>
      <c r="Q26" s="85" t="s">
        <v>257</v>
      </c>
      <c r="R26" s="119">
        <f>startYearWeighting*486+(1-startYearWeighting)*377</f>
        <v>398.8</v>
      </c>
      <c r="S26" s="85" t="s">
        <v>258</v>
      </c>
      <c r="T26" s="119">
        <v>377</v>
      </c>
      <c r="U26" s="85" t="s">
        <v>258</v>
      </c>
      <c r="V26" s="120">
        <f>((startYearWeighting*28+(1-startYearWeighting)*28)*interestRate*(1+interestRate)^N26/((1+interestRate)^N26-1)/J26/31.54)+(startYearWeighting*0.04+(1-startYearWeighting)*0.04)</f>
        <v>0.15057014201249386</v>
      </c>
      <c r="W26" s="85" t="s">
        <v>259</v>
      </c>
      <c r="X26" s="120">
        <f>(28*interestRate*(1+interestRate)^P26/((1+interestRate)^P26-1)/J26/31.54)+0.04</f>
        <v>0.15057014201249386</v>
      </c>
      <c r="Y26" s="85" t="s">
        <v>259</v>
      </c>
      <c r="Z26" s="141">
        <f>naturalGasPrice</f>
        <v>30</v>
      </c>
      <c r="AA26" s="130" t="s">
        <v>268</v>
      </c>
      <c r="AB26" s="141">
        <f>naturalGasPrice</f>
        <v>30</v>
      </c>
      <c r="AC26" s="130" t="s">
        <v>268</v>
      </c>
      <c r="AD26" s="133">
        <f>CO2emissionNG</f>
        <v>5.6099999999999997E-2</v>
      </c>
      <c r="AE26" s="85" t="s">
        <v>269</v>
      </c>
      <c r="AF26" s="133">
        <f>CO2emissionNG</f>
        <v>5.6099999999999997E-2</v>
      </c>
      <c r="AG26" s="85" t="s">
        <v>270</v>
      </c>
      <c r="AH26" s="115">
        <v>9</v>
      </c>
      <c r="AI26" s="85" t="s">
        <v>44</v>
      </c>
      <c r="AJ26" s="115">
        <v>9</v>
      </c>
      <c r="AK26" s="85" t="s">
        <v>44</v>
      </c>
      <c r="AL26" s="115">
        <v>0</v>
      </c>
      <c r="AM26" s="85" t="s">
        <v>262</v>
      </c>
      <c r="AN26" s="115">
        <v>0</v>
      </c>
      <c r="AO26" s="85" t="s">
        <v>262</v>
      </c>
      <c r="AP26" s="115">
        <v>100</v>
      </c>
      <c r="AQ26" s="74" t="s">
        <v>262</v>
      </c>
      <c r="AR26" s="115">
        <v>100</v>
      </c>
      <c r="AS26" s="74" t="s">
        <v>262</v>
      </c>
      <c r="AT26" s="121">
        <v>1</v>
      </c>
      <c r="AU26" s="85" t="s">
        <v>263</v>
      </c>
      <c r="AV26" s="121">
        <v>1</v>
      </c>
      <c r="AW26" s="85" t="s">
        <v>263</v>
      </c>
      <c r="AX26" s="122">
        <f t="shared" si="0"/>
        <v>404.22558955744472</v>
      </c>
      <c r="AY26" s="85" t="s">
        <v>264</v>
      </c>
      <c r="AZ26" s="119">
        <f t="shared" si="1"/>
        <v>382.12900517341188</v>
      </c>
      <c r="BA26" s="85" t="s">
        <v>264</v>
      </c>
      <c r="BB26" s="120">
        <f t="shared" si="2"/>
        <v>0.15261861691260908</v>
      </c>
      <c r="BC26" s="443" t="s">
        <v>268</v>
      </c>
      <c r="BD26" s="120">
        <f t="shared" si="3"/>
        <v>0.15261861691260908</v>
      </c>
      <c r="BE26" s="443" t="s">
        <v>268</v>
      </c>
      <c r="BF26" s="120">
        <f>(Z26+AD26*CO2price)/F26/1000*energyContentH2</f>
        <v>4.4600232558139536</v>
      </c>
      <c r="BG26" s="85" t="s">
        <v>265</v>
      </c>
      <c r="BH26" s="120">
        <f t="shared" si="18"/>
        <v>4.4600232558139536</v>
      </c>
      <c r="BI26" s="85" t="s">
        <v>265</v>
      </c>
      <c r="BJ26" s="124">
        <f t="shared" si="12"/>
        <v>4.6698886934539701</v>
      </c>
      <c r="BK26" s="125" t="s">
        <v>265</v>
      </c>
      <c r="BL26" s="125">
        <f t="shared" si="4"/>
        <v>4.659417739996826</v>
      </c>
      <c r="BM26" s="93" t="s">
        <v>265</v>
      </c>
      <c r="BN26" s="126" t="s">
        <v>266</v>
      </c>
      <c r="BO26" s="127" t="s">
        <v>99</v>
      </c>
      <c r="BP26" s="126" t="s">
        <v>266</v>
      </c>
      <c r="BQ26" s="127" t="s">
        <v>99</v>
      </c>
      <c r="BR26" s="93">
        <f t="shared" si="19"/>
        <v>7.8279069767441856</v>
      </c>
      <c r="BS26" s="85" t="s">
        <v>267</v>
      </c>
      <c r="BT26" s="93">
        <f t="shared" si="20"/>
        <v>7.8279069767441856</v>
      </c>
      <c r="BU26" s="85" t="s">
        <v>267</v>
      </c>
      <c r="BV26" s="85">
        <f t="shared" si="13"/>
        <v>9</v>
      </c>
      <c r="BW26" s="85" t="s">
        <v>44</v>
      </c>
      <c r="BX26" s="85">
        <f t="shared" si="14"/>
        <v>9</v>
      </c>
      <c r="BY26" s="85" t="s">
        <v>44</v>
      </c>
      <c r="BZ26" s="85">
        <f t="shared" si="5"/>
        <v>0</v>
      </c>
      <c r="CA26" s="85" t="s">
        <v>262</v>
      </c>
      <c r="CB26" s="85">
        <f t="shared" si="6"/>
        <v>0</v>
      </c>
      <c r="CC26" s="85" t="s">
        <v>262</v>
      </c>
      <c r="CD26" s="129">
        <f t="shared" si="15"/>
        <v>100</v>
      </c>
      <c r="CE26" s="85" t="s">
        <v>262</v>
      </c>
      <c r="CF26" s="129">
        <f t="shared" si="16"/>
        <v>100</v>
      </c>
      <c r="CG26" s="85" t="s">
        <v>262</v>
      </c>
      <c r="CH26" s="131">
        <f t="shared" si="7"/>
        <v>100</v>
      </c>
      <c r="CI26" s="443" t="s">
        <v>516</v>
      </c>
      <c r="CJ26" s="131">
        <f t="shared" si="8"/>
        <v>100</v>
      </c>
      <c r="CK26" s="443" t="s">
        <v>516</v>
      </c>
    </row>
    <row r="27" spans="2:92" s="114" customFormat="1" x14ac:dyDescent="0.25">
      <c r="B27" s="114" t="s">
        <v>60</v>
      </c>
      <c r="C27" s="84" t="s">
        <v>255</v>
      </c>
      <c r="D27" s="115">
        <v>0.7</v>
      </c>
      <c r="E27" s="116" t="s">
        <v>256</v>
      </c>
      <c r="F27" s="93">
        <v>0.9</v>
      </c>
      <c r="G27" s="93" t="s">
        <v>99</v>
      </c>
      <c r="H27" s="93">
        <f t="shared" si="9"/>
        <v>0.9</v>
      </c>
      <c r="I27" s="93" t="s">
        <v>99</v>
      </c>
      <c r="J27" s="117">
        <v>0.7</v>
      </c>
      <c r="K27" s="85" t="s">
        <v>99</v>
      </c>
      <c r="L27" s="117">
        <f t="shared" si="10"/>
        <v>0.7</v>
      </c>
      <c r="M27" s="85" t="s">
        <v>99</v>
      </c>
      <c r="N27" s="118">
        <v>20</v>
      </c>
      <c r="O27" s="85" t="s">
        <v>257</v>
      </c>
      <c r="P27" s="118">
        <f t="shared" si="11"/>
        <v>20</v>
      </c>
      <c r="Q27" s="85" t="s">
        <v>257</v>
      </c>
      <c r="R27" s="119">
        <f>startYearWeighting*1848+(1-startYearWeighting)*1158</f>
        <v>1296</v>
      </c>
      <c r="S27" s="85" t="s">
        <v>258</v>
      </c>
      <c r="T27" s="119">
        <v>1158</v>
      </c>
      <c r="U27" s="85" t="s">
        <v>258</v>
      </c>
      <c r="V27" s="120">
        <f>((startYearWeighting*45+(1-startYearWeighting)*23)*interestRate*(1+interestRate)^N27/((1+interestRate)^N27-1)/J27/31.54)+(startYearWeighting*0.65+(1-startYearWeighting)*0.4)</f>
        <v>0.558200781826512</v>
      </c>
      <c r="W27" s="85" t="s">
        <v>259</v>
      </c>
      <c r="X27" s="120">
        <f>(23*interestRate*(1+interestRate)^P27/((1+interestRate)^P27-1)/J27/31.54)+0.4</f>
        <v>0.49082547379597713</v>
      </c>
      <c r="Y27" s="85" t="s">
        <v>259</v>
      </c>
      <c r="Z27" s="141">
        <f>naturalGasPrice</f>
        <v>30</v>
      </c>
      <c r="AA27" s="130" t="s">
        <v>268</v>
      </c>
      <c r="AB27" s="141">
        <f>naturalGasPrice</f>
        <v>30</v>
      </c>
      <c r="AC27" s="130" t="s">
        <v>268</v>
      </c>
      <c r="AD27" s="133">
        <f>CO2emissionNG</f>
        <v>5.6099999999999997E-2</v>
      </c>
      <c r="AE27" s="85" t="s">
        <v>269</v>
      </c>
      <c r="AF27" s="133">
        <f>CO2emissionNG</f>
        <v>5.6099999999999997E-2</v>
      </c>
      <c r="AG27" s="85" t="s">
        <v>270</v>
      </c>
      <c r="AH27" s="115">
        <v>9</v>
      </c>
      <c r="AI27" s="85" t="s">
        <v>44</v>
      </c>
      <c r="AJ27" s="115">
        <v>9</v>
      </c>
      <c r="AK27" s="85" t="s">
        <v>44</v>
      </c>
      <c r="AL27" s="115">
        <v>0</v>
      </c>
      <c r="AM27" s="85" t="s">
        <v>262</v>
      </c>
      <c r="AN27" s="115">
        <v>0</v>
      </c>
      <c r="AO27" s="85" t="s">
        <v>262</v>
      </c>
      <c r="AP27" s="115">
        <v>100</v>
      </c>
      <c r="AQ27" s="74" t="s">
        <v>262</v>
      </c>
      <c r="AR27" s="115">
        <v>100</v>
      </c>
      <c r="AS27" s="74" t="s">
        <v>262</v>
      </c>
      <c r="AT27" s="121">
        <v>1</v>
      </c>
      <c r="AU27" s="85" t="s">
        <v>263</v>
      </c>
      <c r="AV27" s="121">
        <v>1</v>
      </c>
      <c r="AW27" s="85" t="s">
        <v>263</v>
      </c>
      <c r="AX27" s="122">
        <f t="shared" si="0"/>
        <v>1313.6318055828694</v>
      </c>
      <c r="AY27" s="85" t="s">
        <v>264</v>
      </c>
      <c r="AZ27" s="119">
        <f t="shared" si="1"/>
        <v>1173.754344803212</v>
      </c>
      <c r="BA27" s="85" t="s">
        <v>264</v>
      </c>
      <c r="BB27" s="120">
        <f t="shared" si="2"/>
        <v>0.56579498526892769</v>
      </c>
      <c r="BC27" s="443" t="s">
        <v>268</v>
      </c>
      <c r="BD27" s="120">
        <f t="shared" si="3"/>
        <v>0.49750305043879384</v>
      </c>
      <c r="BE27" s="443" t="s">
        <v>268</v>
      </c>
      <c r="BF27" s="120">
        <f t="shared" si="17"/>
        <v>4.2618</v>
      </c>
      <c r="BG27" s="85" t="s">
        <v>265</v>
      </c>
      <c r="BH27" s="120">
        <f t="shared" si="18"/>
        <v>4.2618</v>
      </c>
      <c r="BI27" s="85" t="s">
        <v>265</v>
      </c>
      <c r="BJ27" s="124">
        <f t="shared" si="12"/>
        <v>4.9521887780698144</v>
      </c>
      <c r="BK27" s="125" t="s">
        <v>265</v>
      </c>
      <c r="BL27" s="125">
        <f t="shared" si="4"/>
        <v>4.8777097285926816</v>
      </c>
      <c r="BM27" s="93" t="s">
        <v>265</v>
      </c>
      <c r="BN27" s="126" t="s">
        <v>266</v>
      </c>
      <c r="BO27" s="127" t="s">
        <v>99</v>
      </c>
      <c r="BP27" s="126" t="s">
        <v>266</v>
      </c>
      <c r="BQ27" s="127" t="s">
        <v>99</v>
      </c>
      <c r="BR27" s="93">
        <f t="shared" si="19"/>
        <v>7.4799999999999995</v>
      </c>
      <c r="BS27" s="85" t="s">
        <v>267</v>
      </c>
      <c r="BT27" s="93">
        <f t="shared" si="20"/>
        <v>7.4799999999999995</v>
      </c>
      <c r="BU27" s="85" t="s">
        <v>267</v>
      </c>
      <c r="BV27" s="85">
        <f t="shared" si="13"/>
        <v>9</v>
      </c>
      <c r="BW27" s="85" t="s">
        <v>44</v>
      </c>
      <c r="BX27" s="85">
        <f t="shared" si="14"/>
        <v>9</v>
      </c>
      <c r="BY27" s="85" t="s">
        <v>44</v>
      </c>
      <c r="BZ27" s="85">
        <f t="shared" si="5"/>
        <v>0</v>
      </c>
      <c r="CA27" s="85" t="s">
        <v>262</v>
      </c>
      <c r="CB27" s="85">
        <f t="shared" si="6"/>
        <v>0</v>
      </c>
      <c r="CC27" s="85" t="s">
        <v>262</v>
      </c>
      <c r="CD27" s="129">
        <f t="shared" si="15"/>
        <v>100</v>
      </c>
      <c r="CE27" s="85" t="s">
        <v>262</v>
      </c>
      <c r="CF27" s="129">
        <f t="shared" si="16"/>
        <v>100</v>
      </c>
      <c r="CG27" s="85" t="s">
        <v>262</v>
      </c>
      <c r="CH27" s="131">
        <f t="shared" si="7"/>
        <v>100</v>
      </c>
      <c r="CI27" s="443" t="s">
        <v>516</v>
      </c>
      <c r="CJ27" s="131">
        <f t="shared" si="8"/>
        <v>100</v>
      </c>
      <c r="CK27" s="443" t="s">
        <v>516</v>
      </c>
    </row>
    <row r="28" spans="2:92" s="114" customFormat="1" x14ac:dyDescent="0.25">
      <c r="B28" s="114" t="s">
        <v>174</v>
      </c>
      <c r="C28" s="84" t="s">
        <v>99</v>
      </c>
      <c r="D28" s="115" t="s">
        <v>99</v>
      </c>
      <c r="E28" s="116" t="s">
        <v>99</v>
      </c>
      <c r="F28" s="132">
        <v>1</v>
      </c>
      <c r="G28" s="116" t="s">
        <v>99</v>
      </c>
      <c r="H28" s="132">
        <v>1</v>
      </c>
      <c r="I28" s="93" t="s">
        <v>99</v>
      </c>
      <c r="J28" s="115" t="s">
        <v>99</v>
      </c>
      <c r="K28" s="93" t="s">
        <v>99</v>
      </c>
      <c r="L28" s="115" t="s">
        <v>99</v>
      </c>
      <c r="M28" s="93" t="s">
        <v>99</v>
      </c>
      <c r="N28" s="115" t="s">
        <v>99</v>
      </c>
      <c r="O28" s="85" t="s">
        <v>99</v>
      </c>
      <c r="P28" s="115" t="s">
        <v>99</v>
      </c>
      <c r="Q28" s="85" t="s">
        <v>99</v>
      </c>
      <c r="R28" s="132">
        <v>0</v>
      </c>
      <c r="S28" s="85" t="s">
        <v>259</v>
      </c>
      <c r="T28" s="132">
        <v>0</v>
      </c>
      <c r="U28" s="85" t="s">
        <v>259</v>
      </c>
      <c r="V28" s="132">
        <v>0</v>
      </c>
      <c r="W28" s="85" t="s">
        <v>259</v>
      </c>
      <c r="X28" s="132">
        <v>0</v>
      </c>
      <c r="Y28" s="85" t="s">
        <v>259</v>
      </c>
      <c r="Z28" s="132">
        <v>0</v>
      </c>
      <c r="AA28" s="85" t="s">
        <v>259</v>
      </c>
      <c r="AB28" s="132">
        <v>0</v>
      </c>
      <c r="AC28" s="85" t="s">
        <v>259</v>
      </c>
      <c r="AD28" s="120">
        <v>0</v>
      </c>
      <c r="AE28" s="85" t="s">
        <v>269</v>
      </c>
      <c r="AF28" s="120">
        <v>0</v>
      </c>
      <c r="AG28" s="85" t="s">
        <v>270</v>
      </c>
      <c r="AH28" s="118">
        <v>9</v>
      </c>
      <c r="AI28" s="85" t="s">
        <v>44</v>
      </c>
      <c r="AJ28" s="118">
        <v>9</v>
      </c>
      <c r="AK28" s="85" t="s">
        <v>44</v>
      </c>
      <c r="AL28" s="115">
        <v>0</v>
      </c>
      <c r="AM28" s="85" t="s">
        <v>262</v>
      </c>
      <c r="AN28" s="115">
        <v>0</v>
      </c>
      <c r="AO28" s="85" t="s">
        <v>262</v>
      </c>
      <c r="AP28" s="118">
        <v>100</v>
      </c>
      <c r="AQ28" s="85" t="s">
        <v>262</v>
      </c>
      <c r="AR28" s="118">
        <v>100</v>
      </c>
      <c r="AS28" s="85" t="s">
        <v>262</v>
      </c>
      <c r="AT28" s="142">
        <v>1</v>
      </c>
      <c r="AU28" s="85" t="s">
        <v>263</v>
      </c>
      <c r="AV28" s="142">
        <v>1</v>
      </c>
      <c r="AW28" s="85" t="s">
        <v>263</v>
      </c>
      <c r="AX28" s="143" t="s">
        <v>99</v>
      </c>
      <c r="AY28" s="85" t="s">
        <v>99</v>
      </c>
      <c r="AZ28" s="115" t="s">
        <v>99</v>
      </c>
      <c r="BA28" s="85" t="s">
        <v>99</v>
      </c>
      <c r="BB28" s="115" t="s">
        <v>99</v>
      </c>
      <c r="BC28" s="85" t="s">
        <v>99</v>
      </c>
      <c r="BD28" s="115" t="s">
        <v>99</v>
      </c>
      <c r="BE28" s="85" t="s">
        <v>99</v>
      </c>
      <c r="BF28" s="115" t="s">
        <v>99</v>
      </c>
      <c r="BG28" s="85" t="s">
        <v>99</v>
      </c>
      <c r="BH28" s="115" t="s">
        <v>99</v>
      </c>
      <c r="BI28" s="85" t="s">
        <v>99</v>
      </c>
      <c r="BJ28" s="144">
        <f>R28+V28+Z28</f>
        <v>0</v>
      </c>
      <c r="BK28" s="125" t="s">
        <v>271</v>
      </c>
      <c r="BL28" s="145">
        <f>T28+X28+AB28</f>
        <v>0</v>
      </c>
      <c r="BM28" s="125" t="s">
        <v>271</v>
      </c>
      <c r="BN28" s="126" t="s">
        <v>266</v>
      </c>
      <c r="BO28" s="127" t="s">
        <v>99</v>
      </c>
      <c r="BP28" s="126" t="s">
        <v>266</v>
      </c>
      <c r="BQ28" s="127" t="s">
        <v>99</v>
      </c>
      <c r="BR28" s="93">
        <f>AD28</f>
        <v>0</v>
      </c>
      <c r="BS28" s="85" t="s">
        <v>272</v>
      </c>
      <c r="BT28" s="93">
        <f>AF28</f>
        <v>0</v>
      </c>
      <c r="BU28" s="85" t="s">
        <v>272</v>
      </c>
      <c r="BV28" s="85">
        <f t="shared" si="13"/>
        <v>9</v>
      </c>
      <c r="BW28" s="85" t="s">
        <v>44</v>
      </c>
      <c r="BX28" s="85">
        <f t="shared" si="14"/>
        <v>9</v>
      </c>
      <c r="BY28" s="85" t="s">
        <v>44</v>
      </c>
      <c r="BZ28" s="119">
        <f>AL28</f>
        <v>0</v>
      </c>
      <c r="CA28" s="85" t="s">
        <v>262</v>
      </c>
      <c r="CB28" s="119">
        <f>AN28</f>
        <v>0</v>
      </c>
      <c r="CC28" s="85" t="s">
        <v>262</v>
      </c>
      <c r="CD28" s="85">
        <f t="shared" si="15"/>
        <v>100</v>
      </c>
      <c r="CE28" s="85" t="s">
        <v>262</v>
      </c>
      <c r="CF28" s="85">
        <f t="shared" si="16"/>
        <v>100</v>
      </c>
      <c r="CG28" s="85" t="s">
        <v>262</v>
      </c>
      <c r="CH28" s="131">
        <f t="shared" si="7"/>
        <v>100</v>
      </c>
      <c r="CI28" s="443" t="s">
        <v>516</v>
      </c>
      <c r="CJ28" s="131">
        <f t="shared" si="8"/>
        <v>100</v>
      </c>
      <c r="CK28" s="443" t="s">
        <v>516</v>
      </c>
    </row>
    <row r="29" spans="2:92" s="114" customFormat="1" x14ac:dyDescent="0.25">
      <c r="C29" s="84"/>
      <c r="D29" s="115"/>
      <c r="E29" s="116"/>
      <c r="F29" s="93"/>
      <c r="G29" s="93"/>
      <c r="H29" s="93"/>
      <c r="I29" s="93"/>
      <c r="J29" s="93"/>
      <c r="K29" s="85"/>
      <c r="L29" s="93"/>
      <c r="M29" s="85"/>
      <c r="N29" s="85"/>
      <c r="O29" s="85"/>
      <c r="P29" s="85"/>
      <c r="Q29" s="85"/>
      <c r="R29" s="119"/>
      <c r="S29" s="85"/>
      <c r="T29" s="119"/>
      <c r="U29" s="85"/>
      <c r="V29" s="120"/>
      <c r="W29" s="85"/>
      <c r="X29" s="120"/>
      <c r="Y29" s="85"/>
      <c r="Z29" s="141"/>
      <c r="AA29" s="130"/>
      <c r="AB29" s="141"/>
      <c r="AC29" s="130"/>
      <c r="AD29" s="130"/>
      <c r="AE29" s="130"/>
      <c r="AF29" s="121"/>
      <c r="AG29" s="85"/>
      <c r="AH29" s="115"/>
      <c r="AI29" s="85"/>
      <c r="AJ29" s="115"/>
      <c r="AK29" s="85"/>
      <c r="AL29" s="115"/>
      <c r="AM29" s="85"/>
      <c r="AN29" s="115"/>
      <c r="AO29" s="85"/>
      <c r="AP29" s="115"/>
      <c r="AQ29" s="85"/>
      <c r="AR29" s="115"/>
      <c r="AS29" s="85"/>
      <c r="AT29" s="115"/>
      <c r="AU29" s="85"/>
      <c r="AV29" s="115"/>
      <c r="AW29" s="85"/>
      <c r="AX29" s="122"/>
      <c r="AY29" s="85"/>
      <c r="AZ29" s="119"/>
      <c r="BA29" s="85"/>
      <c r="BB29" s="120"/>
      <c r="BC29" s="85"/>
      <c r="BD29" s="120"/>
      <c r="BE29" s="85"/>
      <c r="BF29" s="120"/>
      <c r="BG29" s="85"/>
      <c r="BH29" s="120"/>
      <c r="BI29" s="85"/>
      <c r="BJ29" s="124"/>
      <c r="BK29" s="93"/>
      <c r="BL29" s="93"/>
      <c r="BM29" s="93"/>
      <c r="BN29" s="115"/>
      <c r="BO29" s="116"/>
      <c r="BP29" s="115"/>
      <c r="BQ29" s="116"/>
      <c r="BR29" s="93"/>
      <c r="BS29" s="85"/>
      <c r="BT29" s="93"/>
      <c r="BU29" s="85"/>
      <c r="BV29" s="85"/>
      <c r="BW29" s="85"/>
      <c r="BX29" s="85"/>
      <c r="BY29" s="85"/>
      <c r="BZ29" s="115"/>
      <c r="CA29" s="85"/>
      <c r="CB29" s="115"/>
      <c r="CC29" s="85"/>
      <c r="CD29" s="85"/>
      <c r="CE29" s="85"/>
      <c r="CF29" s="85"/>
      <c r="CG29" s="85"/>
      <c r="CH29" s="85"/>
      <c r="CI29" s="85"/>
      <c r="CJ29" s="85"/>
      <c r="CK29" s="85"/>
    </row>
    <row r="30" spans="2:92" s="114" customFormat="1" x14ac:dyDescent="0.25">
      <c r="C30" s="84"/>
      <c r="D30" s="115"/>
      <c r="E30" s="116"/>
      <c r="F30" s="93"/>
      <c r="G30" s="93"/>
      <c r="H30" s="93"/>
      <c r="I30" s="93"/>
      <c r="J30" s="93"/>
      <c r="K30" s="85"/>
      <c r="L30" s="93"/>
      <c r="M30" s="85"/>
      <c r="N30" s="85"/>
      <c r="O30" s="85"/>
      <c r="P30" s="85"/>
      <c r="Q30" s="85"/>
      <c r="R30" s="119"/>
      <c r="S30" s="85"/>
      <c r="T30" s="119"/>
      <c r="U30" s="85"/>
      <c r="V30" s="120"/>
      <c r="W30" s="85"/>
      <c r="X30" s="120"/>
      <c r="Y30" s="85"/>
      <c r="Z30" s="141"/>
      <c r="AA30" s="130"/>
      <c r="AB30" s="141"/>
      <c r="AC30" s="130"/>
      <c r="AD30" s="130"/>
      <c r="AE30" s="130"/>
      <c r="AF30" s="121"/>
      <c r="AG30" s="85"/>
      <c r="AH30" s="115"/>
      <c r="AI30" s="85"/>
      <c r="AJ30" s="115"/>
      <c r="AK30" s="85"/>
      <c r="AL30" s="115"/>
      <c r="AM30" s="85"/>
      <c r="AN30" s="115"/>
      <c r="AO30" s="85"/>
      <c r="AP30" s="115"/>
      <c r="AQ30" s="85"/>
      <c r="AR30" s="115"/>
      <c r="AS30" s="85"/>
      <c r="AT30" s="115"/>
      <c r="AU30" s="85"/>
      <c r="AV30" s="115"/>
      <c r="AW30" s="85"/>
      <c r="AX30" s="122"/>
      <c r="AY30" s="85"/>
      <c r="AZ30" s="119"/>
      <c r="BA30" s="85"/>
      <c r="BB30" s="120"/>
      <c r="BC30" s="85"/>
      <c r="BD30" s="120"/>
      <c r="BE30" s="85"/>
      <c r="BF30" s="120"/>
      <c r="BG30" s="85"/>
      <c r="BH30" s="120"/>
      <c r="BI30" s="85"/>
      <c r="BJ30" s="124"/>
      <c r="BK30" s="93"/>
      <c r="BL30" s="93"/>
      <c r="BM30" s="93"/>
      <c r="BN30" s="115"/>
      <c r="BO30" s="116"/>
      <c r="BP30" s="115"/>
      <c r="BQ30" s="116"/>
      <c r="BR30" s="93"/>
      <c r="BS30" s="85"/>
      <c r="BT30" s="93"/>
      <c r="BU30" s="85"/>
      <c r="BV30" s="85"/>
      <c r="BW30" s="85"/>
      <c r="BX30" s="85"/>
      <c r="BY30" s="85"/>
      <c r="BZ30" s="115"/>
      <c r="CA30" s="85"/>
      <c r="CB30" s="115"/>
      <c r="CC30" s="85"/>
      <c r="CD30" s="85"/>
      <c r="CE30" s="85"/>
      <c r="CF30" s="85"/>
      <c r="CG30" s="85"/>
      <c r="CH30" s="85"/>
      <c r="CI30" s="85"/>
      <c r="CJ30" s="85"/>
      <c r="CK30" s="85"/>
    </row>
    <row r="31" spans="2:92" s="146" customFormat="1" x14ac:dyDescent="0.25">
      <c r="B31" s="146" t="s">
        <v>273</v>
      </c>
      <c r="C31" s="147"/>
      <c r="D31" s="148"/>
      <c r="E31" s="149"/>
      <c r="F31" s="150"/>
      <c r="G31" s="150"/>
      <c r="H31" s="150"/>
      <c r="I31" s="150"/>
      <c r="J31" s="150"/>
      <c r="L31" s="150"/>
      <c r="R31" s="151"/>
      <c r="T31" s="151"/>
      <c r="V31" s="152"/>
      <c r="X31" s="152"/>
      <c r="Z31" s="153"/>
      <c r="AA31" s="154"/>
      <c r="AB31" s="153"/>
      <c r="AC31" s="154"/>
      <c r="AD31" s="154"/>
      <c r="AE31" s="154"/>
      <c r="AF31" s="155"/>
      <c r="AH31" s="148"/>
      <c r="AJ31" s="148"/>
      <c r="AL31" s="148"/>
      <c r="AN31" s="148"/>
      <c r="AP31" s="148"/>
      <c r="AR31" s="148"/>
      <c r="AT31" s="148"/>
      <c r="AV31" s="148"/>
      <c r="AX31" s="156"/>
      <c r="AZ31" s="151"/>
      <c r="BB31" s="152"/>
      <c r="BD31" s="152"/>
      <c r="BF31" s="152"/>
      <c r="BH31" s="152"/>
      <c r="BJ31" s="157"/>
      <c r="BK31" s="150"/>
      <c r="BL31" s="150"/>
      <c r="BM31" s="150"/>
      <c r="BN31" s="148"/>
      <c r="BO31" s="149"/>
      <c r="BP31" s="148"/>
      <c r="BQ31" s="149"/>
      <c r="BR31" s="150"/>
      <c r="BT31" s="150"/>
      <c r="BZ31" s="148"/>
      <c r="CB31" s="148"/>
    </row>
    <row r="32" spans="2:92" s="146" customFormat="1" x14ac:dyDescent="0.25">
      <c r="B32" s="158" t="s">
        <v>274</v>
      </c>
      <c r="C32" s="147" t="s">
        <v>275</v>
      </c>
      <c r="D32" s="148" t="s">
        <v>240</v>
      </c>
      <c r="E32" s="149" t="s">
        <v>240</v>
      </c>
      <c r="F32" s="150">
        <f>1/1.433</f>
        <v>0.69783670621074667</v>
      </c>
      <c r="G32" s="150" t="s">
        <v>99</v>
      </c>
      <c r="H32" s="150">
        <f>1/1.433</f>
        <v>0.69783670621074667</v>
      </c>
      <c r="I32" s="150" t="s">
        <v>99</v>
      </c>
      <c r="J32" s="150">
        <f>0.9</f>
        <v>0.9</v>
      </c>
      <c r="K32" s="146" t="s">
        <v>99</v>
      </c>
      <c r="L32" s="150">
        <v>0.9</v>
      </c>
      <c r="M32" s="146" t="s">
        <v>99</v>
      </c>
      <c r="N32" s="146">
        <v>40</v>
      </c>
      <c r="O32" s="146" t="s">
        <v>257</v>
      </c>
      <c r="P32" s="146">
        <v>40</v>
      </c>
      <c r="Q32" s="146" t="s">
        <v>257</v>
      </c>
      <c r="R32" s="151">
        <v>0</v>
      </c>
      <c r="S32" s="146" t="s">
        <v>276</v>
      </c>
      <c r="T32" s="151">
        <v>0</v>
      </c>
      <c r="U32" s="146" t="s">
        <v>276</v>
      </c>
      <c r="V32" s="152">
        <f>44.8342/31.54+0.0322</f>
        <v>1.4537028535193406</v>
      </c>
      <c r="W32" s="146" t="s">
        <v>277</v>
      </c>
      <c r="X32" s="152">
        <f>44.8342/31.54+0.0322</f>
        <v>1.4537028535193406</v>
      </c>
      <c r="Y32" s="146" t="s">
        <v>277</v>
      </c>
      <c r="Z32" s="148" t="e">
        <f>#REF!</f>
        <v>#REF!</v>
      </c>
      <c r="AA32" s="146" t="s">
        <v>278</v>
      </c>
      <c r="AB32" s="148" t="e">
        <f>#REF!</f>
        <v>#REF!</v>
      </c>
      <c r="AC32" s="146" t="s">
        <v>278</v>
      </c>
      <c r="AD32" s="148" t="e">
        <f>#REF!</f>
        <v>#REF!</v>
      </c>
      <c r="AE32" s="146" t="s">
        <v>261</v>
      </c>
      <c r="AF32" s="148" t="e">
        <f>#REF!</f>
        <v>#REF!</v>
      </c>
      <c r="AG32" s="146" t="s">
        <v>261</v>
      </c>
      <c r="AH32" s="148">
        <v>7</v>
      </c>
      <c r="AI32" s="146" t="s">
        <v>44</v>
      </c>
      <c r="AJ32" s="148">
        <v>9</v>
      </c>
      <c r="AK32" s="146" t="s">
        <v>44</v>
      </c>
      <c r="AL32" s="148" t="s">
        <v>240</v>
      </c>
      <c r="AM32" s="146" t="s">
        <v>262</v>
      </c>
      <c r="AN32" s="148" t="s">
        <v>240</v>
      </c>
      <c r="AO32" s="146" t="s">
        <v>262</v>
      </c>
      <c r="AP32" s="148">
        <v>80</v>
      </c>
      <c r="AQ32" s="146" t="s">
        <v>262</v>
      </c>
      <c r="AR32" s="148">
        <v>100</v>
      </c>
      <c r="AS32" s="146" t="s">
        <v>262</v>
      </c>
      <c r="AT32" s="155">
        <v>4</v>
      </c>
      <c r="AU32" s="149" t="s">
        <v>263</v>
      </c>
      <c r="AV32" s="155">
        <v>4</v>
      </c>
      <c r="AW32" s="149" t="s">
        <v>263</v>
      </c>
      <c r="AX32" s="156"/>
      <c r="AZ32" s="150"/>
      <c r="BB32" s="152"/>
      <c r="BD32" s="152"/>
      <c r="BF32" s="149"/>
      <c r="BH32" s="149"/>
      <c r="BJ32" s="157"/>
      <c r="BK32" s="150"/>
      <c r="BL32" s="150"/>
      <c r="BM32" s="150"/>
      <c r="BN32" s="159" t="s">
        <v>266</v>
      </c>
      <c r="BO32" s="160" t="s">
        <v>99</v>
      </c>
      <c r="BP32" s="159" t="s">
        <v>266</v>
      </c>
      <c r="BQ32" s="160" t="s">
        <v>99</v>
      </c>
      <c r="BZ32" s="148" t="s">
        <v>266</v>
      </c>
      <c r="CA32" s="149" t="s">
        <v>99</v>
      </c>
      <c r="CB32" s="148" t="s">
        <v>266</v>
      </c>
      <c r="CC32" s="149" t="s">
        <v>99</v>
      </c>
      <c r="CD32" s="152"/>
      <c r="CF32" s="152"/>
      <c r="CH32" s="149"/>
      <c r="CI32" s="149"/>
      <c r="CJ32" s="149"/>
      <c r="CK32" s="149"/>
      <c r="CL32" s="149"/>
      <c r="CN32" s="149"/>
    </row>
    <row r="33" spans="2:93" s="154" customFormat="1" x14ac:dyDescent="0.25">
      <c r="B33" s="154" t="s">
        <v>279</v>
      </c>
      <c r="C33" s="161" t="s">
        <v>240</v>
      </c>
      <c r="D33" s="148" t="s">
        <v>240</v>
      </c>
      <c r="E33" s="149" t="s">
        <v>240</v>
      </c>
      <c r="F33" s="148" t="s">
        <v>240</v>
      </c>
      <c r="G33" s="154" t="s">
        <v>99</v>
      </c>
      <c r="H33" s="148" t="s">
        <v>240</v>
      </c>
      <c r="I33" s="154" t="s">
        <v>99</v>
      </c>
      <c r="J33" s="148" t="s">
        <v>240</v>
      </c>
      <c r="K33" s="154" t="s">
        <v>99</v>
      </c>
      <c r="L33" s="148" t="s">
        <v>240</v>
      </c>
      <c r="M33" s="154" t="s">
        <v>99</v>
      </c>
      <c r="N33" s="148" t="s">
        <v>240</v>
      </c>
      <c r="O33" s="154" t="s">
        <v>257</v>
      </c>
      <c r="P33" s="148" t="s">
        <v>240</v>
      </c>
      <c r="Q33" s="154" t="s">
        <v>257</v>
      </c>
      <c r="R33" s="148" t="s">
        <v>240</v>
      </c>
      <c r="S33" s="149" t="s">
        <v>240</v>
      </c>
      <c r="T33" s="162" t="s">
        <v>240</v>
      </c>
      <c r="U33" s="149" t="s">
        <v>240</v>
      </c>
      <c r="V33" s="148" t="s">
        <v>240</v>
      </c>
      <c r="W33" s="149" t="s">
        <v>240</v>
      </c>
      <c r="X33" s="148" t="s">
        <v>240</v>
      </c>
      <c r="Y33" s="149" t="s">
        <v>240</v>
      </c>
      <c r="Z33" s="148" t="s">
        <v>240</v>
      </c>
      <c r="AA33" s="149" t="s">
        <v>240</v>
      </c>
      <c r="AB33" s="148" t="s">
        <v>240</v>
      </c>
      <c r="AC33" s="149" t="s">
        <v>240</v>
      </c>
      <c r="AD33" s="148" t="s">
        <v>240</v>
      </c>
      <c r="AE33" s="149" t="s">
        <v>240</v>
      </c>
      <c r="AF33" s="148" t="s">
        <v>240</v>
      </c>
      <c r="AG33" s="149" t="s">
        <v>240</v>
      </c>
      <c r="AH33" s="154">
        <v>5</v>
      </c>
      <c r="AI33" s="154" t="s">
        <v>44</v>
      </c>
      <c r="AJ33" s="154">
        <v>7</v>
      </c>
      <c r="AK33" s="154" t="s">
        <v>44</v>
      </c>
      <c r="AL33" s="148" t="s">
        <v>240</v>
      </c>
      <c r="AM33" s="154" t="s">
        <v>262</v>
      </c>
      <c r="AN33" s="148" t="s">
        <v>240</v>
      </c>
      <c r="AO33" s="154" t="s">
        <v>262</v>
      </c>
      <c r="AP33" s="148" t="s">
        <v>240</v>
      </c>
      <c r="AQ33" s="154" t="s">
        <v>262</v>
      </c>
      <c r="AR33" s="148" t="s">
        <v>240</v>
      </c>
      <c r="AS33" s="154" t="s">
        <v>262</v>
      </c>
      <c r="AT33" s="155">
        <v>4</v>
      </c>
      <c r="AU33" s="149" t="s">
        <v>263</v>
      </c>
      <c r="AV33" s="155">
        <v>4</v>
      </c>
      <c r="AW33" s="149" t="s">
        <v>263</v>
      </c>
      <c r="AX33" s="163"/>
      <c r="BJ33" s="163"/>
      <c r="BN33" s="159" t="s">
        <v>266</v>
      </c>
      <c r="BO33" s="160" t="s">
        <v>99</v>
      </c>
      <c r="BP33" s="159" t="s">
        <v>266</v>
      </c>
      <c r="BQ33" s="160" t="s">
        <v>99</v>
      </c>
      <c r="BZ33" s="148" t="s">
        <v>266</v>
      </c>
      <c r="CA33" s="149" t="s">
        <v>99</v>
      </c>
      <c r="CB33" s="148" t="s">
        <v>266</v>
      </c>
      <c r="CC33" s="149" t="s">
        <v>99</v>
      </c>
      <c r="CI33" s="149"/>
      <c r="CK33" s="149"/>
    </row>
    <row r="34" spans="2:93" s="146" customFormat="1" x14ac:dyDescent="0.25">
      <c r="B34" s="158" t="s">
        <v>280</v>
      </c>
      <c r="C34" s="147" t="s">
        <v>275</v>
      </c>
      <c r="D34" s="148" t="s">
        <v>240</v>
      </c>
      <c r="E34" s="149" t="s">
        <v>240</v>
      </c>
      <c r="F34" s="150">
        <f>1/3.033</f>
        <v>0.32970656116056712</v>
      </c>
      <c r="G34" s="150" t="s">
        <v>99</v>
      </c>
      <c r="H34" s="150">
        <f>1/3.033</f>
        <v>0.32970656116056712</v>
      </c>
      <c r="I34" s="150" t="s">
        <v>99</v>
      </c>
      <c r="J34" s="150">
        <v>0.9</v>
      </c>
      <c r="K34" s="146" t="s">
        <v>99</v>
      </c>
      <c r="L34" s="150">
        <v>0.9</v>
      </c>
      <c r="M34" s="146" t="s">
        <v>99</v>
      </c>
      <c r="N34" s="146">
        <v>40</v>
      </c>
      <c r="O34" s="146" t="s">
        <v>257</v>
      </c>
      <c r="P34" s="146">
        <v>40</v>
      </c>
      <c r="Q34" s="146" t="s">
        <v>257</v>
      </c>
      <c r="R34" s="151">
        <v>0</v>
      </c>
      <c r="S34" s="146" t="s">
        <v>276</v>
      </c>
      <c r="T34" s="151">
        <v>0</v>
      </c>
      <c r="U34" s="146" t="s">
        <v>276</v>
      </c>
      <c r="V34" s="152">
        <f>104.8337/31.54+2.4252</f>
        <v>5.7490332276474314</v>
      </c>
      <c r="W34" s="146" t="s">
        <v>277</v>
      </c>
      <c r="X34" s="152">
        <f>104.8337/31.54+2.4252</f>
        <v>5.7490332276474314</v>
      </c>
      <c r="Y34" s="146" t="s">
        <v>277</v>
      </c>
      <c r="Z34" s="148" t="s">
        <v>240</v>
      </c>
      <c r="AA34" s="146" t="s">
        <v>240</v>
      </c>
      <c r="AB34" s="148" t="s">
        <v>240</v>
      </c>
      <c r="AC34" s="149" t="s">
        <v>240</v>
      </c>
      <c r="AD34" s="164">
        <v>0</v>
      </c>
      <c r="AE34" s="146" t="s">
        <v>270</v>
      </c>
      <c r="AF34" s="164">
        <v>0</v>
      </c>
      <c r="AG34" s="146" t="s">
        <v>270</v>
      </c>
      <c r="AH34" s="148">
        <v>3</v>
      </c>
      <c r="AI34" s="146" t="s">
        <v>44</v>
      </c>
      <c r="AJ34" s="148">
        <v>7</v>
      </c>
      <c r="AK34" s="146" t="s">
        <v>44</v>
      </c>
      <c r="AL34" s="148" t="s">
        <v>240</v>
      </c>
      <c r="AM34" s="146" t="s">
        <v>262</v>
      </c>
      <c r="AN34" s="148" t="s">
        <v>240</v>
      </c>
      <c r="AO34" s="146" t="s">
        <v>262</v>
      </c>
      <c r="AP34" s="148">
        <v>50</v>
      </c>
      <c r="AQ34" s="146" t="s">
        <v>262</v>
      </c>
      <c r="AR34" s="148">
        <v>100</v>
      </c>
      <c r="AS34" s="146" t="s">
        <v>262</v>
      </c>
      <c r="AT34" s="155">
        <v>3</v>
      </c>
      <c r="AU34" s="149" t="s">
        <v>263</v>
      </c>
      <c r="AV34" s="155">
        <v>3</v>
      </c>
      <c r="AW34" s="149" t="s">
        <v>263</v>
      </c>
      <c r="AX34" s="156"/>
      <c r="AZ34" s="150"/>
      <c r="BB34" s="152"/>
      <c r="BD34" s="152"/>
      <c r="BF34" s="149"/>
      <c r="BH34" s="149"/>
      <c r="BJ34" s="157"/>
      <c r="BK34" s="150"/>
      <c r="BL34" s="150"/>
      <c r="BM34" s="150"/>
      <c r="BN34" s="159" t="s">
        <v>266</v>
      </c>
      <c r="BO34" s="160" t="s">
        <v>99</v>
      </c>
      <c r="BP34" s="159" t="s">
        <v>266</v>
      </c>
      <c r="BQ34" s="160" t="s">
        <v>99</v>
      </c>
      <c r="BZ34" s="148" t="s">
        <v>266</v>
      </c>
      <c r="CA34" s="149" t="s">
        <v>99</v>
      </c>
      <c r="CB34" s="148" t="s">
        <v>266</v>
      </c>
      <c r="CC34" s="149" t="s">
        <v>99</v>
      </c>
      <c r="CD34" s="152"/>
      <c r="CF34" s="152"/>
      <c r="CH34" s="149"/>
      <c r="CI34" s="149"/>
      <c r="CJ34" s="149"/>
      <c r="CK34" s="149"/>
      <c r="CL34" s="164"/>
      <c r="CN34" s="164"/>
    </row>
    <row r="35" spans="2:93" s="146" customFormat="1" x14ac:dyDescent="0.25">
      <c r="B35" s="158" t="s">
        <v>281</v>
      </c>
      <c r="C35" s="147" t="s">
        <v>275</v>
      </c>
      <c r="D35" s="148" t="s">
        <v>240</v>
      </c>
      <c r="E35" s="149" t="s">
        <v>240</v>
      </c>
      <c r="F35" s="150">
        <f>1/3.033</f>
        <v>0.32970656116056712</v>
      </c>
      <c r="G35" s="150" t="s">
        <v>99</v>
      </c>
      <c r="H35" s="150">
        <f>1/3.033</f>
        <v>0.32970656116056712</v>
      </c>
      <c r="I35" s="150" t="s">
        <v>99</v>
      </c>
      <c r="J35" s="150">
        <v>0.9</v>
      </c>
      <c r="K35" s="146" t="s">
        <v>99</v>
      </c>
      <c r="L35" s="150">
        <v>0.9</v>
      </c>
      <c r="M35" s="146" t="s">
        <v>99</v>
      </c>
      <c r="N35" s="146">
        <v>40</v>
      </c>
      <c r="O35" s="146" t="s">
        <v>257</v>
      </c>
      <c r="P35" s="146">
        <v>40</v>
      </c>
      <c r="Q35" s="146" t="s">
        <v>257</v>
      </c>
      <c r="R35" s="151">
        <v>0</v>
      </c>
      <c r="S35" s="146" t="s">
        <v>276</v>
      </c>
      <c r="T35" s="151">
        <v>0</v>
      </c>
      <c r="U35" s="146" t="s">
        <v>276</v>
      </c>
      <c r="V35" s="152">
        <f>157.9813/31.54+2.1769</f>
        <v>7.1858188332276471</v>
      </c>
      <c r="W35" s="146" t="s">
        <v>277</v>
      </c>
      <c r="X35" s="152">
        <f>157.9813/31.54+2.1769</f>
        <v>7.1858188332276471</v>
      </c>
      <c r="Y35" s="146" t="s">
        <v>277</v>
      </c>
      <c r="Z35" s="148" t="s">
        <v>240</v>
      </c>
      <c r="AA35" s="149" t="s">
        <v>240</v>
      </c>
      <c r="AB35" s="148" t="s">
        <v>240</v>
      </c>
      <c r="AC35" s="149" t="s">
        <v>240</v>
      </c>
      <c r="AD35" s="164">
        <v>0</v>
      </c>
      <c r="AE35" s="146" t="s">
        <v>270</v>
      </c>
      <c r="AF35" s="164">
        <v>0</v>
      </c>
      <c r="AG35" s="146" t="s">
        <v>270</v>
      </c>
      <c r="AH35" s="148">
        <v>3</v>
      </c>
      <c r="AI35" s="146" t="s">
        <v>44</v>
      </c>
      <c r="AJ35" s="148">
        <v>7</v>
      </c>
      <c r="AK35" s="146" t="s">
        <v>44</v>
      </c>
      <c r="AL35" s="148" t="s">
        <v>240</v>
      </c>
      <c r="AM35" s="146" t="s">
        <v>262</v>
      </c>
      <c r="AN35" s="148" t="s">
        <v>240</v>
      </c>
      <c r="AO35" s="146" t="s">
        <v>262</v>
      </c>
      <c r="AP35" s="148">
        <v>100</v>
      </c>
      <c r="AQ35" s="146" t="s">
        <v>262</v>
      </c>
      <c r="AR35" s="148">
        <v>100</v>
      </c>
      <c r="AS35" s="146" t="s">
        <v>262</v>
      </c>
      <c r="AT35" s="155">
        <v>3</v>
      </c>
      <c r="AU35" s="149" t="s">
        <v>263</v>
      </c>
      <c r="AV35" s="155">
        <v>3</v>
      </c>
      <c r="AW35" s="149" t="s">
        <v>263</v>
      </c>
      <c r="AX35" s="156"/>
      <c r="AZ35" s="150"/>
      <c r="BB35" s="152"/>
      <c r="BD35" s="152"/>
      <c r="BF35" s="149"/>
      <c r="BH35" s="149"/>
      <c r="BJ35" s="157"/>
      <c r="BK35" s="150"/>
      <c r="BL35" s="150"/>
      <c r="BM35" s="150"/>
      <c r="BN35" s="159" t="s">
        <v>266</v>
      </c>
      <c r="BO35" s="160" t="s">
        <v>99</v>
      </c>
      <c r="BP35" s="159" t="s">
        <v>266</v>
      </c>
      <c r="BQ35" s="160" t="s">
        <v>99</v>
      </c>
      <c r="BZ35" s="148" t="s">
        <v>266</v>
      </c>
      <c r="CA35" s="149" t="s">
        <v>99</v>
      </c>
      <c r="CB35" s="148" t="s">
        <v>266</v>
      </c>
      <c r="CC35" s="149" t="s">
        <v>99</v>
      </c>
      <c r="CD35" s="152"/>
      <c r="CF35" s="152"/>
      <c r="CH35" s="149"/>
      <c r="CI35" s="149"/>
      <c r="CJ35" s="149"/>
      <c r="CK35" s="149"/>
      <c r="CL35" s="164"/>
      <c r="CN35" s="164"/>
    </row>
    <row r="36" spans="2:93" s="146" customFormat="1" x14ac:dyDescent="0.25">
      <c r="B36" s="158" t="s">
        <v>282</v>
      </c>
      <c r="C36" s="147" t="s">
        <v>275</v>
      </c>
      <c r="D36" s="148" t="s">
        <v>240</v>
      </c>
      <c r="E36" s="149" t="s">
        <v>240</v>
      </c>
      <c r="F36" s="150">
        <f>1/(0.0516+1.3578)</f>
        <v>0.70952178231871721</v>
      </c>
      <c r="G36" s="150" t="s">
        <v>99</v>
      </c>
      <c r="H36" s="150">
        <f>1/(0.0516+1.3578)</f>
        <v>0.70952178231871721</v>
      </c>
      <c r="I36" s="150" t="s">
        <v>99</v>
      </c>
      <c r="J36" s="150">
        <v>0.9</v>
      </c>
      <c r="K36" s="146" t="s">
        <v>99</v>
      </c>
      <c r="L36" s="150">
        <v>0.9</v>
      </c>
      <c r="M36" s="146" t="s">
        <v>99</v>
      </c>
      <c r="N36" s="146">
        <v>40</v>
      </c>
      <c r="O36" s="146" t="s">
        <v>257</v>
      </c>
      <c r="P36" s="146">
        <v>40</v>
      </c>
      <c r="Q36" s="146" t="s">
        <v>257</v>
      </c>
      <c r="R36" s="151">
        <f>119.3</f>
        <v>119.3</v>
      </c>
      <c r="S36" s="146" t="s">
        <v>276</v>
      </c>
      <c r="T36" s="151">
        <f>119.3</f>
        <v>119.3</v>
      </c>
      <c r="U36" s="146" t="s">
        <v>276</v>
      </c>
      <c r="V36" s="152">
        <f>12.5157/31.54+0.5661</f>
        <v>0.96291991122384279</v>
      </c>
      <c r="W36" s="146" t="s">
        <v>277</v>
      </c>
      <c r="X36" s="152">
        <f>12.5157/31.54+0.5661</f>
        <v>0.96291991122384279</v>
      </c>
      <c r="Y36" s="146" t="s">
        <v>277</v>
      </c>
      <c r="Z36" s="148" t="e">
        <f>#REF!</f>
        <v>#REF!</v>
      </c>
      <c r="AA36" s="146" t="s">
        <v>278</v>
      </c>
      <c r="AB36" s="148" t="e">
        <f>#REF!</f>
        <v>#REF!</v>
      </c>
      <c r="AC36" s="146" t="s">
        <v>278</v>
      </c>
      <c r="AD36" s="164">
        <f>0.0153*1.3578-0.0177</f>
        <v>3.0743399999999983E-3</v>
      </c>
      <c r="AE36" s="146" t="s">
        <v>270</v>
      </c>
      <c r="AF36" s="164">
        <f>0.0153*1.3578-0.0177</f>
        <v>3.0743399999999983E-3</v>
      </c>
      <c r="AG36" s="146" t="s">
        <v>270</v>
      </c>
      <c r="AH36" s="148">
        <v>6</v>
      </c>
      <c r="AI36" s="146" t="s">
        <v>44</v>
      </c>
      <c r="AJ36" s="148">
        <v>9</v>
      </c>
      <c r="AK36" s="146" t="s">
        <v>44</v>
      </c>
      <c r="AL36" s="148" t="s">
        <v>240</v>
      </c>
      <c r="AM36" s="146" t="s">
        <v>262</v>
      </c>
      <c r="AN36" s="148" t="s">
        <v>240</v>
      </c>
      <c r="AO36" s="146" t="s">
        <v>262</v>
      </c>
      <c r="AP36" s="148">
        <v>80</v>
      </c>
      <c r="AQ36" s="146" t="s">
        <v>262</v>
      </c>
      <c r="AR36" s="148">
        <v>100</v>
      </c>
      <c r="AS36" s="146" t="s">
        <v>262</v>
      </c>
      <c r="AT36" s="155">
        <v>4</v>
      </c>
      <c r="AU36" s="149" t="s">
        <v>263</v>
      </c>
      <c r="AV36" s="155">
        <v>4</v>
      </c>
      <c r="AW36" s="149" t="s">
        <v>263</v>
      </c>
      <c r="AX36" s="156"/>
      <c r="AZ36" s="150"/>
      <c r="BB36" s="152"/>
      <c r="BD36" s="152"/>
      <c r="BF36" s="149"/>
      <c r="BH36" s="149"/>
      <c r="BJ36" s="157"/>
      <c r="BK36" s="150"/>
      <c r="BL36" s="150"/>
      <c r="BM36" s="150"/>
      <c r="BN36" s="159" t="s">
        <v>266</v>
      </c>
      <c r="BO36" s="160" t="s">
        <v>99</v>
      </c>
      <c r="BP36" s="159" t="s">
        <v>266</v>
      </c>
      <c r="BQ36" s="160" t="s">
        <v>99</v>
      </c>
      <c r="BZ36" s="148" t="s">
        <v>266</v>
      </c>
      <c r="CA36" s="149" t="s">
        <v>99</v>
      </c>
      <c r="CB36" s="148" t="s">
        <v>266</v>
      </c>
      <c r="CC36" s="149" t="s">
        <v>99</v>
      </c>
      <c r="CD36" s="152"/>
      <c r="CF36" s="152"/>
      <c r="CH36" s="149"/>
      <c r="CI36" s="149"/>
      <c r="CJ36" s="149"/>
      <c r="CK36" s="149"/>
      <c r="CL36" s="164"/>
      <c r="CN36" s="164"/>
    </row>
    <row r="37" spans="2:93" s="146" customFormat="1" x14ac:dyDescent="0.25">
      <c r="B37" s="158" t="s">
        <v>283</v>
      </c>
      <c r="C37" s="147" t="s">
        <v>275</v>
      </c>
      <c r="D37" s="148" t="s">
        <v>240</v>
      </c>
      <c r="E37" s="149" t="s">
        <v>240</v>
      </c>
      <c r="F37" s="150">
        <f>(6.1954+1)/10.4809</f>
        <v>0.68652501216498585</v>
      </c>
      <c r="G37" s="150" t="s">
        <v>99</v>
      </c>
      <c r="H37" s="150">
        <f>(4+1)/6</f>
        <v>0.83333333333333337</v>
      </c>
      <c r="I37" s="150" t="s">
        <v>99</v>
      </c>
      <c r="J37" s="150">
        <v>0.9</v>
      </c>
      <c r="K37" s="146" t="s">
        <v>99</v>
      </c>
      <c r="L37" s="150">
        <v>0.9</v>
      </c>
      <c r="M37" s="146" t="s">
        <v>99</v>
      </c>
      <c r="N37" s="146">
        <v>40</v>
      </c>
      <c r="O37" s="146" t="s">
        <v>257</v>
      </c>
      <c r="P37" s="146">
        <v>40</v>
      </c>
      <c r="Q37" s="146" t="s">
        <v>257</v>
      </c>
      <c r="R37" s="151">
        <v>4892.5972000000002</v>
      </c>
      <c r="S37" s="146" t="s">
        <v>276</v>
      </c>
      <c r="T37" s="151">
        <v>4892.5972000000002</v>
      </c>
      <c r="U37" s="146" t="s">
        <v>276</v>
      </c>
      <c r="V37" s="152">
        <f>427.1919/31.54+1.9913</f>
        <v>15.535748319594166</v>
      </c>
      <c r="W37" s="146" t="s">
        <v>277</v>
      </c>
      <c r="X37" s="152">
        <f>275.8127/31.54+1.9913</f>
        <v>10.73615415345593</v>
      </c>
      <c r="Y37" s="146" t="s">
        <v>277</v>
      </c>
      <c r="Z37" s="148" t="s">
        <v>240</v>
      </c>
      <c r="AA37" s="149" t="s">
        <v>240</v>
      </c>
      <c r="AB37" s="148" t="s">
        <v>240</v>
      </c>
      <c r="AC37" s="149" t="s">
        <v>240</v>
      </c>
      <c r="AD37" s="164">
        <f>0.0258/0.987*10.4809/6.1954</f>
        <v>4.4221327854483267E-2</v>
      </c>
      <c r="AE37" s="146" t="s">
        <v>270</v>
      </c>
      <c r="AF37" s="164">
        <f>0.0258/0.99*6/4</f>
        <v>3.9090909090909093E-2</v>
      </c>
      <c r="AG37" s="146" t="s">
        <v>270</v>
      </c>
      <c r="AH37" s="148">
        <v>9</v>
      </c>
      <c r="AI37" s="146" t="s">
        <v>44</v>
      </c>
      <c r="AJ37" s="148">
        <v>9</v>
      </c>
      <c r="AK37" s="146" t="s">
        <v>44</v>
      </c>
      <c r="AL37" s="148" t="s">
        <v>240</v>
      </c>
      <c r="AM37" s="146" t="s">
        <v>262</v>
      </c>
      <c r="AN37" s="148" t="s">
        <v>240</v>
      </c>
      <c r="AO37" s="146" t="s">
        <v>262</v>
      </c>
      <c r="AP37" s="148">
        <v>100</v>
      </c>
      <c r="AQ37" s="146" t="s">
        <v>262</v>
      </c>
      <c r="AR37" s="148">
        <v>100</v>
      </c>
      <c r="AS37" s="146" t="s">
        <v>262</v>
      </c>
      <c r="AT37" s="155">
        <v>3.5</v>
      </c>
      <c r="AU37" s="149" t="s">
        <v>263</v>
      </c>
      <c r="AV37" s="155">
        <v>3.5</v>
      </c>
      <c r="AW37" s="149" t="s">
        <v>263</v>
      </c>
      <c r="AX37" s="156"/>
      <c r="AZ37" s="150"/>
      <c r="BB37" s="152"/>
      <c r="BD37" s="152"/>
      <c r="BF37" s="149"/>
      <c r="BH37" s="149"/>
      <c r="BJ37" s="157"/>
      <c r="BK37" s="150"/>
      <c r="BL37" s="150"/>
      <c r="BM37" s="150"/>
      <c r="BN37" s="159" t="s">
        <v>266</v>
      </c>
      <c r="BO37" s="160" t="s">
        <v>99</v>
      </c>
      <c r="BP37" s="159" t="s">
        <v>266</v>
      </c>
      <c r="BQ37" s="160" t="s">
        <v>99</v>
      </c>
      <c r="BZ37" s="148" t="s">
        <v>266</v>
      </c>
      <c r="CA37" s="149" t="s">
        <v>99</v>
      </c>
      <c r="CB37" s="148" t="s">
        <v>266</v>
      </c>
      <c r="CC37" s="149" t="s">
        <v>99</v>
      </c>
      <c r="CD37" s="152"/>
      <c r="CF37" s="152"/>
      <c r="CH37" s="149"/>
      <c r="CI37" s="149"/>
      <c r="CJ37" s="149"/>
      <c r="CK37" s="149"/>
      <c r="CL37" s="164"/>
      <c r="CN37" s="164"/>
    </row>
    <row r="38" spans="2:93" s="146" customFormat="1" x14ac:dyDescent="0.25">
      <c r="B38" s="158" t="s">
        <v>284</v>
      </c>
      <c r="C38" s="147" t="s">
        <v>275</v>
      </c>
      <c r="D38" s="148" t="s">
        <v>240</v>
      </c>
      <c r="E38" s="149" t="s">
        <v>240</v>
      </c>
      <c r="F38" s="150">
        <f>1/(0+1.6482)</f>
        <v>0.60672248513529903</v>
      </c>
      <c r="G38" s="150" t="s">
        <v>99</v>
      </c>
      <c r="H38" s="150">
        <f>1/(0+1.6482)</f>
        <v>0.60672248513529903</v>
      </c>
      <c r="I38" s="150" t="s">
        <v>99</v>
      </c>
      <c r="J38" s="150">
        <v>0.9</v>
      </c>
      <c r="K38" s="146" t="s">
        <v>99</v>
      </c>
      <c r="L38" s="150">
        <v>0.9</v>
      </c>
      <c r="M38" s="146" t="s">
        <v>99</v>
      </c>
      <c r="N38" s="146">
        <v>40</v>
      </c>
      <c r="O38" s="146" t="s">
        <v>257</v>
      </c>
      <c r="P38" s="146">
        <v>40</v>
      </c>
      <c r="Q38" s="146" t="s">
        <v>257</v>
      </c>
      <c r="R38" s="151">
        <v>462.16849999999999</v>
      </c>
      <c r="S38" s="146" t="s">
        <v>276</v>
      </c>
      <c r="T38" s="151">
        <v>462.16849999999999</v>
      </c>
      <c r="U38" s="146" t="s">
        <v>276</v>
      </c>
      <c r="V38" s="152">
        <f>68.9532/31.54+0.1881</f>
        <v>2.3743143310082435</v>
      </c>
      <c r="W38" s="146" t="s">
        <v>277</v>
      </c>
      <c r="X38" s="152">
        <f>68.9532/31.54+0.1881</f>
        <v>2.3743143310082435</v>
      </c>
      <c r="Y38" s="146" t="s">
        <v>277</v>
      </c>
      <c r="Z38" s="148" t="s">
        <v>240</v>
      </c>
      <c r="AA38" s="149" t="s">
        <v>240</v>
      </c>
      <c r="AB38" s="148" t="s">
        <v>240</v>
      </c>
      <c r="AC38" s="149" t="s">
        <v>240</v>
      </c>
      <c r="AD38" s="164">
        <f>0.0258/0.987*1.6482</f>
        <v>4.3083647416413379E-2</v>
      </c>
      <c r="AE38" s="146" t="s">
        <v>270</v>
      </c>
      <c r="AF38" s="164">
        <f>0.0258/0.99*1.6482</f>
        <v>4.2953090909090913E-2</v>
      </c>
      <c r="AG38" s="146" t="s">
        <v>270</v>
      </c>
      <c r="AH38" s="148">
        <v>6</v>
      </c>
      <c r="AI38" s="146" t="s">
        <v>44</v>
      </c>
      <c r="AJ38" s="148">
        <v>9</v>
      </c>
      <c r="AK38" s="146" t="s">
        <v>44</v>
      </c>
      <c r="AL38" s="148" t="s">
        <v>240</v>
      </c>
      <c r="AM38" s="146" t="s">
        <v>262</v>
      </c>
      <c r="AN38" s="148" t="s">
        <v>240</v>
      </c>
      <c r="AO38" s="146" t="s">
        <v>262</v>
      </c>
      <c r="AP38" s="148">
        <v>80</v>
      </c>
      <c r="AQ38" s="146" t="s">
        <v>262</v>
      </c>
      <c r="AR38" s="148">
        <v>100</v>
      </c>
      <c r="AS38" s="146" t="s">
        <v>262</v>
      </c>
      <c r="AT38" s="155">
        <v>4</v>
      </c>
      <c r="AU38" s="149" t="s">
        <v>263</v>
      </c>
      <c r="AV38" s="155">
        <v>4</v>
      </c>
      <c r="AW38" s="149" t="s">
        <v>263</v>
      </c>
      <c r="AX38" s="156"/>
      <c r="AZ38" s="150"/>
      <c r="BB38" s="152"/>
      <c r="BD38" s="152"/>
      <c r="BF38" s="149"/>
      <c r="BH38" s="149"/>
      <c r="BJ38" s="157"/>
      <c r="BK38" s="150"/>
      <c r="BL38" s="150"/>
      <c r="BM38" s="150"/>
      <c r="BN38" s="159" t="s">
        <v>266</v>
      </c>
      <c r="BO38" s="160" t="s">
        <v>99</v>
      </c>
      <c r="BP38" s="159" t="s">
        <v>266</v>
      </c>
      <c r="BQ38" s="160" t="s">
        <v>99</v>
      </c>
      <c r="BZ38" s="148" t="s">
        <v>266</v>
      </c>
      <c r="CA38" s="149" t="s">
        <v>99</v>
      </c>
      <c r="CB38" s="148" t="s">
        <v>266</v>
      </c>
      <c r="CC38" s="149" t="s">
        <v>99</v>
      </c>
      <c r="CD38" s="152"/>
      <c r="CF38" s="152"/>
      <c r="CH38" s="149"/>
      <c r="CI38" s="149"/>
      <c r="CJ38" s="149"/>
      <c r="CK38" s="149"/>
      <c r="CL38" s="164"/>
      <c r="CN38" s="164"/>
    </row>
    <row r="39" spans="2:93" s="146" customFormat="1" x14ac:dyDescent="0.25">
      <c r="B39" s="158" t="s">
        <v>285</v>
      </c>
      <c r="C39" s="147" t="s">
        <v>275</v>
      </c>
      <c r="D39" s="148" t="s">
        <v>240</v>
      </c>
      <c r="E39" s="149" t="s">
        <v>240</v>
      </c>
      <c r="F39" s="150">
        <f>1/1.4085</f>
        <v>0.70997515086971952</v>
      </c>
      <c r="G39" s="150" t="s">
        <v>99</v>
      </c>
      <c r="H39" s="150">
        <f>1/1.4085</f>
        <v>0.70997515086971952</v>
      </c>
      <c r="I39" s="150" t="s">
        <v>99</v>
      </c>
      <c r="J39" s="150">
        <v>0.9</v>
      </c>
      <c r="K39" s="146" t="s">
        <v>99</v>
      </c>
      <c r="L39" s="150">
        <v>0.9</v>
      </c>
      <c r="M39" s="146" t="s">
        <v>99</v>
      </c>
      <c r="N39" s="146">
        <v>20</v>
      </c>
      <c r="O39" s="146" t="s">
        <v>257</v>
      </c>
      <c r="P39" s="146">
        <v>20</v>
      </c>
      <c r="Q39" s="146" t="s">
        <v>257</v>
      </c>
      <c r="R39" s="151">
        <v>925.11210000000005</v>
      </c>
      <c r="S39" s="146" t="s">
        <v>276</v>
      </c>
      <c r="T39" s="151">
        <v>925.11210000000005</v>
      </c>
      <c r="U39" s="146" t="s">
        <v>276</v>
      </c>
      <c r="V39" s="152">
        <f>46.2556/31.54+0.2934</f>
        <v>1.7599694356372861</v>
      </c>
      <c r="W39" s="146" t="s">
        <v>277</v>
      </c>
      <c r="X39" s="152">
        <f>46.2556/31.54+0.2934</f>
        <v>1.7599694356372861</v>
      </c>
      <c r="Y39" s="146" t="s">
        <v>277</v>
      </c>
      <c r="Z39" s="148" t="s">
        <v>240</v>
      </c>
      <c r="AA39" s="149" t="s">
        <v>240</v>
      </c>
      <c r="AB39" s="148" t="s">
        <v>240</v>
      </c>
      <c r="AC39" s="149" t="s">
        <v>240</v>
      </c>
      <c r="AD39" s="164">
        <f>0.0201*1.4085</f>
        <v>2.8310850000000002E-2</v>
      </c>
      <c r="AE39" s="146" t="s">
        <v>270</v>
      </c>
      <c r="AF39" s="164">
        <f>0.0201*1.4085</f>
        <v>2.8310850000000002E-2</v>
      </c>
      <c r="AG39" s="146" t="s">
        <v>270</v>
      </c>
      <c r="AH39" s="148">
        <v>9</v>
      </c>
      <c r="AI39" s="146" t="s">
        <v>44</v>
      </c>
      <c r="AJ39" s="148">
        <v>9</v>
      </c>
      <c r="AK39" s="146" t="s">
        <v>44</v>
      </c>
      <c r="AL39" s="148" t="s">
        <v>240</v>
      </c>
      <c r="AM39" s="146" t="s">
        <v>262</v>
      </c>
      <c r="AN39" s="148" t="s">
        <v>240</v>
      </c>
      <c r="AO39" s="146" t="s">
        <v>262</v>
      </c>
      <c r="AP39" s="148">
        <v>100</v>
      </c>
      <c r="AQ39" s="146" t="s">
        <v>262</v>
      </c>
      <c r="AR39" s="148">
        <v>100</v>
      </c>
      <c r="AS39" s="146" t="s">
        <v>262</v>
      </c>
      <c r="AT39" s="155">
        <v>3.5</v>
      </c>
      <c r="AU39" s="146" t="s">
        <v>263</v>
      </c>
      <c r="AV39" s="155">
        <v>3.5</v>
      </c>
      <c r="AW39" s="146" t="s">
        <v>263</v>
      </c>
      <c r="AX39" s="156"/>
      <c r="AZ39" s="150"/>
      <c r="BB39" s="152"/>
      <c r="BD39" s="152"/>
      <c r="BF39" s="149"/>
      <c r="BH39" s="149"/>
      <c r="BJ39" s="157"/>
      <c r="BK39" s="150"/>
      <c r="BL39" s="150"/>
      <c r="BM39" s="150"/>
      <c r="BN39" s="159" t="s">
        <v>266</v>
      </c>
      <c r="BO39" s="160" t="s">
        <v>99</v>
      </c>
      <c r="BP39" s="159" t="s">
        <v>266</v>
      </c>
      <c r="BQ39" s="160" t="s">
        <v>99</v>
      </c>
      <c r="BZ39" s="148" t="s">
        <v>266</v>
      </c>
      <c r="CA39" s="149" t="s">
        <v>99</v>
      </c>
      <c r="CB39" s="148" t="s">
        <v>266</v>
      </c>
      <c r="CC39" s="149" t="s">
        <v>99</v>
      </c>
      <c r="CD39" s="152"/>
      <c r="CF39" s="152"/>
      <c r="CH39" s="149"/>
      <c r="CJ39" s="149"/>
      <c r="CL39" s="164"/>
      <c r="CN39" s="164"/>
    </row>
    <row r="40" spans="2:93" s="146" customFormat="1" ht="30" x14ac:dyDescent="0.25">
      <c r="B40" s="158" t="s">
        <v>286</v>
      </c>
      <c r="C40" s="147" t="s">
        <v>275</v>
      </c>
      <c r="D40" s="148" t="s">
        <v>240</v>
      </c>
      <c r="E40" s="149" t="s">
        <v>240</v>
      </c>
      <c r="F40" s="150">
        <f>1/(0.0668+1.5385)</f>
        <v>0.62293652276832989</v>
      </c>
      <c r="G40" s="150" t="s">
        <v>99</v>
      </c>
      <c r="H40" s="150">
        <f>1/(0.0668+1.5385)</f>
        <v>0.62293652276832989</v>
      </c>
      <c r="I40" s="150" t="s">
        <v>99</v>
      </c>
      <c r="J40" s="150">
        <v>0.7</v>
      </c>
      <c r="K40" s="150" t="s">
        <v>99</v>
      </c>
      <c r="L40" s="150">
        <v>0.7</v>
      </c>
      <c r="M40" s="146" t="s">
        <v>99</v>
      </c>
      <c r="N40" s="146">
        <v>20</v>
      </c>
      <c r="O40" s="146" t="s">
        <v>257</v>
      </c>
      <c r="P40" s="146">
        <v>20</v>
      </c>
      <c r="Q40" s="146" t="s">
        <v>257</v>
      </c>
      <c r="R40" s="151">
        <v>2401.6922</v>
      </c>
      <c r="S40" s="146" t="s">
        <v>276</v>
      </c>
      <c r="T40" s="151">
        <v>2401.6922</v>
      </c>
      <c r="U40" s="146" t="s">
        <v>276</v>
      </c>
      <c r="V40" s="152">
        <f>129.0846/31.54+0.8186</f>
        <v>4.911326696258719</v>
      </c>
      <c r="W40" s="146" t="s">
        <v>277</v>
      </c>
      <c r="X40" s="152">
        <f>46.2556/31.54+0.2934</f>
        <v>1.7599694356372861</v>
      </c>
      <c r="Y40" s="146" t="s">
        <v>277</v>
      </c>
      <c r="Z40" s="148" t="s">
        <v>240</v>
      </c>
      <c r="AA40" s="149" t="s">
        <v>240</v>
      </c>
      <c r="AB40" s="148" t="s">
        <v>240</v>
      </c>
      <c r="AC40" s="149" t="s">
        <v>240</v>
      </c>
      <c r="AD40" s="164">
        <f>0.0201/0.989*1.5385</f>
        <v>3.126779575328615E-2</v>
      </c>
      <c r="AE40" s="146" t="s">
        <v>270</v>
      </c>
      <c r="AF40" s="164">
        <f>0.0201/0.98*1.5385</f>
        <v>3.1554948979591838E-2</v>
      </c>
      <c r="AG40" s="146" t="s">
        <v>270</v>
      </c>
      <c r="AH40" s="148">
        <v>6</v>
      </c>
      <c r="AI40" s="146" t="s">
        <v>44</v>
      </c>
      <c r="AJ40" s="148">
        <v>9</v>
      </c>
      <c r="AK40" s="146" t="s">
        <v>44</v>
      </c>
      <c r="AL40" s="148" t="s">
        <v>240</v>
      </c>
      <c r="AM40" s="146" t="s">
        <v>262</v>
      </c>
      <c r="AN40" s="148" t="s">
        <v>240</v>
      </c>
      <c r="AO40" s="146" t="s">
        <v>262</v>
      </c>
      <c r="AP40" s="148" t="s">
        <v>240</v>
      </c>
      <c r="AQ40" s="146" t="s">
        <v>262</v>
      </c>
      <c r="AR40" s="148">
        <v>100</v>
      </c>
      <c r="AS40" s="146" t="s">
        <v>262</v>
      </c>
      <c r="AT40" s="155">
        <v>4</v>
      </c>
      <c r="AU40" s="146" t="s">
        <v>263</v>
      </c>
      <c r="AV40" s="155">
        <v>4</v>
      </c>
      <c r="AW40" s="146" t="s">
        <v>263</v>
      </c>
      <c r="AX40" s="156"/>
      <c r="AZ40" s="150"/>
      <c r="BB40" s="152"/>
      <c r="BD40" s="152"/>
      <c r="BF40" s="149"/>
      <c r="BH40" s="149"/>
      <c r="BJ40" s="157"/>
      <c r="BK40" s="150"/>
      <c r="BL40" s="150"/>
      <c r="BM40" s="150"/>
      <c r="BN40" s="159" t="s">
        <v>266</v>
      </c>
      <c r="BO40" s="160" t="s">
        <v>99</v>
      </c>
      <c r="BP40" s="159" t="s">
        <v>266</v>
      </c>
      <c r="BQ40" s="160" t="s">
        <v>99</v>
      </c>
      <c r="BZ40" s="148" t="s">
        <v>266</v>
      </c>
      <c r="CA40" s="149" t="s">
        <v>99</v>
      </c>
      <c r="CB40" s="148" t="s">
        <v>266</v>
      </c>
      <c r="CC40" s="149" t="s">
        <v>99</v>
      </c>
      <c r="CD40" s="152"/>
      <c r="CF40" s="152"/>
      <c r="CH40" s="149"/>
      <c r="CJ40" s="149"/>
      <c r="CL40" s="164"/>
      <c r="CN40" s="164"/>
    </row>
    <row r="41" spans="2:93" s="176" customFormat="1" x14ac:dyDescent="0.25">
      <c r="B41" s="165"/>
      <c r="C41" s="166"/>
      <c r="D41" s="167"/>
      <c r="E41" s="168"/>
      <c r="F41" s="169"/>
      <c r="G41" s="169"/>
      <c r="H41" s="169"/>
      <c r="I41" s="169"/>
      <c r="J41" s="169"/>
      <c r="K41" s="169"/>
      <c r="L41" s="169"/>
      <c r="M41" s="170"/>
      <c r="N41" s="170"/>
      <c r="O41" s="170"/>
      <c r="P41" s="170"/>
      <c r="Q41" s="170"/>
      <c r="R41" s="171"/>
      <c r="S41" s="170"/>
      <c r="T41" s="171"/>
      <c r="U41" s="170"/>
      <c r="V41" s="172"/>
      <c r="W41" s="170"/>
      <c r="X41" s="172"/>
      <c r="Y41" s="170"/>
      <c r="Z41" s="167"/>
      <c r="AA41" s="170"/>
      <c r="AB41" s="167"/>
      <c r="AC41" s="170"/>
      <c r="AD41" s="173"/>
      <c r="AE41" s="170"/>
      <c r="AF41" s="173"/>
      <c r="AG41" s="170"/>
      <c r="AH41" s="167"/>
      <c r="AI41" s="170"/>
      <c r="AJ41" s="167"/>
      <c r="AK41" s="170"/>
      <c r="AL41" s="167"/>
      <c r="AM41" s="170"/>
      <c r="AN41" s="167"/>
      <c r="AO41" s="170"/>
      <c r="AP41" s="167"/>
      <c r="AQ41" s="170"/>
      <c r="AR41" s="167"/>
      <c r="AS41" s="170"/>
      <c r="AT41" s="167"/>
      <c r="AU41" s="170"/>
      <c r="AV41" s="167"/>
      <c r="AW41" s="170"/>
      <c r="AX41" s="174"/>
      <c r="AY41" s="170"/>
      <c r="AZ41" s="169"/>
      <c r="BA41" s="170"/>
      <c r="BB41" s="172"/>
      <c r="BC41" s="170"/>
      <c r="BD41" s="172"/>
      <c r="BE41" s="170"/>
      <c r="BF41" s="168"/>
      <c r="BG41" s="170"/>
      <c r="BH41" s="168"/>
      <c r="BI41" s="170"/>
      <c r="BJ41" s="175"/>
      <c r="BK41" s="169"/>
      <c r="BL41" s="169"/>
      <c r="BM41" s="169"/>
      <c r="BN41" s="115"/>
      <c r="BO41" s="116"/>
      <c r="BP41" s="115"/>
      <c r="BQ41" s="116"/>
      <c r="BV41" s="170"/>
      <c r="BW41" s="170"/>
      <c r="BX41" s="170"/>
      <c r="BY41" s="170"/>
      <c r="BZ41" s="171"/>
      <c r="CA41" s="170"/>
      <c r="CB41" s="169"/>
      <c r="CC41" s="170"/>
      <c r="CD41" s="172"/>
      <c r="CE41" s="170"/>
      <c r="CF41" s="172"/>
      <c r="CG41" s="170"/>
      <c r="CH41" s="168"/>
      <c r="CI41" s="170"/>
      <c r="CJ41" s="168"/>
      <c r="CK41" s="170"/>
      <c r="CL41" s="173"/>
      <c r="CM41" s="170"/>
      <c r="CN41" s="173"/>
      <c r="CO41" s="170"/>
    </row>
    <row r="42" spans="2:93" s="176" customFormat="1" x14ac:dyDescent="0.25">
      <c r="B42" s="165"/>
      <c r="C42" s="166"/>
      <c r="D42" s="167"/>
      <c r="E42" s="168"/>
      <c r="F42" s="169"/>
      <c r="G42" s="169"/>
      <c r="H42" s="169"/>
      <c r="I42" s="169"/>
      <c r="J42" s="169"/>
      <c r="K42" s="169"/>
      <c r="L42" s="169"/>
      <c r="M42" s="170"/>
      <c r="N42" s="170"/>
      <c r="O42" s="170"/>
      <c r="P42" s="170"/>
      <c r="Q42" s="170"/>
      <c r="R42" s="171"/>
      <c r="S42" s="170"/>
      <c r="T42" s="171"/>
      <c r="U42" s="170"/>
      <c r="V42" s="177"/>
      <c r="W42" s="170"/>
      <c r="X42" s="172"/>
      <c r="Y42" s="170"/>
      <c r="Z42" s="167"/>
      <c r="AA42" s="170"/>
      <c r="AB42" s="167"/>
      <c r="AC42" s="170"/>
      <c r="AD42" s="173"/>
      <c r="AE42" s="170"/>
      <c r="AF42" s="173"/>
      <c r="AG42" s="170"/>
      <c r="AH42" s="167"/>
      <c r="AI42" s="170"/>
      <c r="AJ42" s="167"/>
      <c r="AK42" s="170"/>
      <c r="AL42" s="167"/>
      <c r="AM42" s="170"/>
      <c r="AN42" s="167"/>
      <c r="AO42" s="170"/>
      <c r="AP42" s="167"/>
      <c r="AQ42" s="170"/>
      <c r="AR42" s="167"/>
      <c r="AS42" s="170"/>
      <c r="AT42" s="167"/>
      <c r="AU42" s="170"/>
      <c r="AV42" s="167"/>
      <c r="AW42" s="170"/>
      <c r="AX42" s="174"/>
      <c r="AY42" s="170"/>
      <c r="AZ42" s="169"/>
      <c r="BA42" s="170"/>
      <c r="BB42" s="172"/>
      <c r="BC42" s="170"/>
      <c r="BD42" s="172"/>
      <c r="BE42" s="170"/>
      <c r="BF42" s="168"/>
      <c r="BG42" s="170"/>
      <c r="BH42" s="168"/>
      <c r="BI42" s="170"/>
      <c r="BJ42" s="175"/>
      <c r="BK42" s="169"/>
      <c r="BL42" s="169"/>
      <c r="BM42" s="169"/>
      <c r="BN42" s="115"/>
      <c r="BO42" s="116"/>
      <c r="BP42" s="115"/>
      <c r="BQ42" s="116"/>
      <c r="BV42" s="170"/>
      <c r="BW42" s="170"/>
      <c r="BX42" s="170"/>
      <c r="BY42" s="170"/>
      <c r="BZ42" s="171"/>
      <c r="CA42" s="170"/>
      <c r="CB42" s="169"/>
      <c r="CC42" s="170"/>
      <c r="CD42" s="172"/>
      <c r="CE42" s="170"/>
      <c r="CF42" s="172"/>
      <c r="CG42" s="170"/>
      <c r="CH42" s="168"/>
      <c r="CI42" s="170"/>
      <c r="CJ42" s="168"/>
      <c r="CK42" s="170"/>
      <c r="CL42" s="173"/>
      <c r="CM42" s="170"/>
      <c r="CN42" s="173"/>
      <c r="CO42" s="170"/>
    </row>
    <row r="43" spans="2:93" s="114" customFormat="1" x14ac:dyDescent="0.25">
      <c r="C43" s="84"/>
      <c r="D43" s="115"/>
      <c r="E43" s="116"/>
      <c r="F43" s="93"/>
      <c r="G43" s="93"/>
      <c r="H43" s="93"/>
      <c r="I43" s="93"/>
      <c r="J43" s="93"/>
      <c r="K43" s="85"/>
      <c r="L43" s="93"/>
      <c r="M43" s="85"/>
      <c r="N43" s="85"/>
      <c r="O43" s="85"/>
      <c r="P43" s="85"/>
      <c r="Q43" s="85"/>
      <c r="R43" s="119"/>
      <c r="S43" s="85"/>
      <c r="T43" s="119"/>
      <c r="U43" s="85"/>
      <c r="V43" s="178"/>
      <c r="W43" s="85"/>
      <c r="X43" s="120"/>
      <c r="Y43" s="85"/>
      <c r="Z43" s="115"/>
      <c r="AA43" s="85"/>
      <c r="AB43" s="115"/>
      <c r="AC43" s="85"/>
      <c r="AD43" s="179"/>
      <c r="AE43" s="85"/>
      <c r="AF43" s="179"/>
      <c r="AG43" s="85"/>
      <c r="AH43" s="115"/>
      <c r="AI43" s="85"/>
      <c r="AJ43" s="115"/>
      <c r="AK43" s="85"/>
      <c r="AL43" s="115"/>
      <c r="AM43" s="85"/>
      <c r="AN43" s="115"/>
      <c r="AO43" s="85"/>
      <c r="AP43" s="115"/>
      <c r="AQ43" s="85"/>
      <c r="AR43" s="115"/>
      <c r="AS43" s="85"/>
      <c r="AT43" s="115"/>
      <c r="AU43" s="116"/>
      <c r="AV43" s="115"/>
      <c r="AW43" s="116"/>
      <c r="AX43" s="122"/>
      <c r="AY43" s="85"/>
      <c r="AZ43" s="93"/>
      <c r="BA43" s="85"/>
      <c r="BB43" s="120"/>
      <c r="BC43" s="85"/>
      <c r="BD43" s="120"/>
      <c r="BE43" s="85"/>
      <c r="BF43" s="116"/>
      <c r="BG43" s="85"/>
      <c r="BH43" s="116"/>
      <c r="BI43" s="85"/>
      <c r="BJ43" s="124"/>
      <c r="BK43" s="93"/>
      <c r="BL43" s="93"/>
      <c r="BM43" s="93"/>
      <c r="BN43" s="93"/>
      <c r="BO43" s="85"/>
      <c r="BP43" s="93"/>
      <c r="BQ43" s="93"/>
      <c r="BR43" s="116"/>
      <c r="BV43" s="85"/>
      <c r="BW43" s="116"/>
      <c r="BX43" s="85"/>
      <c r="BY43" s="85"/>
      <c r="BZ43" s="85"/>
      <c r="CA43" s="85"/>
      <c r="CB43" s="85"/>
      <c r="CC43" s="119"/>
      <c r="CD43" s="85"/>
      <c r="CE43" s="93"/>
      <c r="CF43" s="85"/>
      <c r="CG43" s="120"/>
      <c r="CH43" s="85"/>
      <c r="CI43" s="116"/>
      <c r="CJ43" s="85"/>
      <c r="CK43" s="116"/>
      <c r="CL43" s="85"/>
      <c r="CM43" s="179"/>
      <c r="CN43" s="85"/>
    </row>
    <row r="44" spans="2:93" s="86" customFormat="1" ht="21" x14ac:dyDescent="0.25">
      <c r="B44" s="86" t="s">
        <v>61</v>
      </c>
      <c r="C44" s="87" t="s">
        <v>287</v>
      </c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17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92"/>
      <c r="AI44" s="92"/>
      <c r="AJ44" s="92"/>
      <c r="AK44" s="88"/>
      <c r="AL44" s="88"/>
      <c r="AM44" s="88"/>
      <c r="AN44" s="88"/>
      <c r="AO44" s="88"/>
      <c r="AP44" s="92"/>
      <c r="AQ44" s="92"/>
      <c r="AR44" s="92"/>
      <c r="AS44" s="92"/>
      <c r="AT44" s="88"/>
      <c r="AU44" s="88"/>
      <c r="AV44" s="88"/>
      <c r="AW44" s="88"/>
      <c r="AX44" s="90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0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88"/>
      <c r="CJ44" s="92"/>
      <c r="CK44" s="88"/>
    </row>
    <row r="45" spans="2:93" x14ac:dyDescent="0.25">
      <c r="C45" s="83"/>
      <c r="D45" s="180"/>
      <c r="E45" s="180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2"/>
      <c r="AI45" s="182"/>
      <c r="AJ45" s="182"/>
      <c r="AK45" s="181"/>
      <c r="AP45" s="85"/>
      <c r="AQ45" s="85"/>
      <c r="AR45" s="85"/>
      <c r="AS45" s="85"/>
      <c r="AX45" s="183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3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J45" s="182"/>
    </row>
    <row r="46" spans="2:93" s="185" customFormat="1" x14ac:dyDescent="0.25">
      <c r="B46" s="184"/>
      <c r="C46" s="95" t="s">
        <v>246</v>
      </c>
      <c r="D46" s="96" t="s">
        <v>247</v>
      </c>
      <c r="E46" s="97"/>
      <c r="F46" s="98" t="s">
        <v>248</v>
      </c>
      <c r="G46" s="98"/>
      <c r="H46" s="98"/>
      <c r="I46" s="98"/>
      <c r="J46" s="98" t="s">
        <v>249</v>
      </c>
      <c r="K46" s="98"/>
      <c r="L46" s="98"/>
      <c r="M46" s="98"/>
      <c r="N46" s="98" t="s">
        <v>250</v>
      </c>
      <c r="O46" s="98"/>
      <c r="P46" s="98"/>
      <c r="Q46" s="98"/>
      <c r="R46" s="98" t="s">
        <v>251</v>
      </c>
      <c r="S46" s="98"/>
      <c r="T46" s="98"/>
      <c r="U46" s="98"/>
      <c r="V46" s="98" t="s">
        <v>252</v>
      </c>
      <c r="W46" s="98"/>
      <c r="X46" s="98"/>
      <c r="Y46" s="98"/>
      <c r="Z46" s="98" t="s">
        <v>253</v>
      </c>
      <c r="AA46" s="98"/>
      <c r="AB46" s="98"/>
      <c r="AC46" s="98"/>
      <c r="AD46" s="98" t="s">
        <v>329</v>
      </c>
      <c r="AE46" s="98"/>
      <c r="AF46" s="98"/>
      <c r="AG46" s="98"/>
      <c r="AH46" s="99" t="s">
        <v>78</v>
      </c>
      <c r="AI46" s="99"/>
      <c r="AJ46" s="99"/>
      <c r="AK46" s="98"/>
      <c r="AL46" s="98" t="s">
        <v>80</v>
      </c>
      <c r="AM46" s="98"/>
      <c r="AN46" s="98"/>
      <c r="AO46" s="98"/>
      <c r="AP46" s="99" t="s">
        <v>534</v>
      </c>
      <c r="AQ46" s="99"/>
      <c r="AR46" s="99"/>
      <c r="AS46" s="99"/>
      <c r="AT46" s="98" t="s">
        <v>82</v>
      </c>
      <c r="AU46" s="98"/>
      <c r="AV46" s="98"/>
      <c r="AW46" s="98"/>
      <c r="AX46" s="100" t="s">
        <v>251</v>
      </c>
      <c r="AY46" s="99"/>
      <c r="AZ46" s="99"/>
      <c r="BA46" s="99"/>
      <c r="BB46" s="99" t="s">
        <v>252</v>
      </c>
      <c r="BC46" s="99"/>
      <c r="BD46" s="99"/>
      <c r="BE46" s="99"/>
      <c r="BF46" s="99" t="s">
        <v>253</v>
      </c>
      <c r="BG46" s="99"/>
      <c r="BH46" s="99"/>
      <c r="BI46" s="99"/>
      <c r="BJ46" s="100" t="s">
        <v>72</v>
      </c>
      <c r="BK46" s="99"/>
      <c r="BL46" s="99"/>
      <c r="BM46" s="99"/>
      <c r="BN46" s="99" t="s">
        <v>77</v>
      </c>
      <c r="BO46" s="99"/>
      <c r="BP46" s="99"/>
      <c r="BQ46" s="99"/>
      <c r="BR46" s="99" t="s">
        <v>329</v>
      </c>
      <c r="BS46" s="99"/>
      <c r="BT46" s="99"/>
      <c r="BU46" s="99"/>
      <c r="BV46" s="99" t="s">
        <v>78</v>
      </c>
      <c r="BW46" s="99"/>
      <c r="BX46" s="99"/>
      <c r="BY46" s="99"/>
      <c r="BZ46" s="99" t="s">
        <v>80</v>
      </c>
      <c r="CA46" s="99"/>
      <c r="CB46" s="99"/>
      <c r="CC46" s="99"/>
      <c r="CD46" s="99" t="s">
        <v>534</v>
      </c>
      <c r="CE46" s="99"/>
      <c r="CF46" s="99"/>
      <c r="CG46" s="99"/>
      <c r="CH46" s="99" t="s">
        <v>82</v>
      </c>
      <c r="CI46" s="98"/>
      <c r="CJ46" s="99"/>
      <c r="CK46" s="98"/>
    </row>
    <row r="47" spans="2:93" s="187" customFormat="1" x14ac:dyDescent="0.25">
      <c r="B47" s="186"/>
      <c r="C47" s="104"/>
      <c r="D47" s="105"/>
      <c r="E47" s="106"/>
      <c r="F47" s="107">
        <v>2025</v>
      </c>
      <c r="G47" s="107"/>
      <c r="H47" s="107">
        <v>2050</v>
      </c>
      <c r="I47" s="107"/>
      <c r="J47" s="107">
        <v>2025</v>
      </c>
      <c r="K47" s="107"/>
      <c r="L47" s="107">
        <v>2050</v>
      </c>
      <c r="M47" s="107"/>
      <c r="N47" s="107">
        <v>2025</v>
      </c>
      <c r="O47" s="107"/>
      <c r="P47" s="107">
        <v>2050</v>
      </c>
      <c r="Q47" s="107"/>
      <c r="R47" s="107">
        <v>2025</v>
      </c>
      <c r="S47" s="106"/>
      <c r="T47" s="107">
        <v>2050</v>
      </c>
      <c r="U47" s="106"/>
      <c r="V47" s="107">
        <v>2025</v>
      </c>
      <c r="W47" s="106"/>
      <c r="X47" s="107">
        <v>2050</v>
      </c>
      <c r="Y47" s="107"/>
      <c r="Z47" s="107">
        <v>2025</v>
      </c>
      <c r="AA47" s="107"/>
      <c r="AB47" s="107">
        <v>2050</v>
      </c>
      <c r="AC47" s="107"/>
      <c r="AD47" s="107">
        <v>2025</v>
      </c>
      <c r="AE47" s="107"/>
      <c r="AF47" s="107">
        <v>2050</v>
      </c>
      <c r="AG47" s="107"/>
      <c r="AH47" s="107">
        <v>2025</v>
      </c>
      <c r="AI47" s="107"/>
      <c r="AJ47" s="107">
        <v>2050</v>
      </c>
      <c r="AK47" s="107"/>
      <c r="AL47" s="107">
        <v>2025</v>
      </c>
      <c r="AM47" s="107"/>
      <c r="AN47" s="107">
        <v>2050</v>
      </c>
      <c r="AO47" s="107"/>
      <c r="AP47" s="107">
        <v>2025</v>
      </c>
      <c r="AQ47" s="108"/>
      <c r="AR47" s="108">
        <v>2050</v>
      </c>
      <c r="AS47" s="109"/>
      <c r="AT47" s="107">
        <v>2025</v>
      </c>
      <c r="AU47" s="107"/>
      <c r="AV47" s="107">
        <v>2050</v>
      </c>
      <c r="AW47" s="110"/>
      <c r="AX47" s="111">
        <v>2025</v>
      </c>
      <c r="AY47" s="107"/>
      <c r="AZ47" s="107">
        <v>2050</v>
      </c>
      <c r="BA47" s="107"/>
      <c r="BB47" s="107">
        <v>2025</v>
      </c>
      <c r="BC47" s="107"/>
      <c r="BD47" s="107">
        <v>2050</v>
      </c>
      <c r="BE47" s="107"/>
      <c r="BF47" s="107">
        <v>2025</v>
      </c>
      <c r="BG47" s="107"/>
      <c r="BH47" s="107">
        <v>2050</v>
      </c>
      <c r="BI47" s="107"/>
      <c r="BJ47" s="112">
        <v>2025</v>
      </c>
      <c r="BK47" s="108"/>
      <c r="BL47" s="108">
        <v>2050</v>
      </c>
      <c r="BM47" s="108"/>
      <c r="BN47" s="108">
        <v>2025</v>
      </c>
      <c r="BO47" s="108"/>
      <c r="BP47" s="108">
        <v>2050</v>
      </c>
      <c r="BQ47" s="108"/>
      <c r="BR47" s="108">
        <v>2025</v>
      </c>
      <c r="BS47" s="108"/>
      <c r="BT47" s="108">
        <v>2050</v>
      </c>
      <c r="BU47" s="108"/>
      <c r="BV47" s="108">
        <v>2025</v>
      </c>
      <c r="BW47" s="108"/>
      <c r="BX47" s="108">
        <v>2050</v>
      </c>
      <c r="BY47" s="108"/>
      <c r="BZ47" s="108">
        <v>2025</v>
      </c>
      <c r="CA47" s="113"/>
      <c r="CB47" s="108">
        <v>2050</v>
      </c>
      <c r="CC47" s="113"/>
      <c r="CD47" s="108">
        <v>2025</v>
      </c>
      <c r="CE47" s="113"/>
      <c r="CF47" s="108">
        <v>2050</v>
      </c>
      <c r="CG47" s="108"/>
      <c r="CH47" s="108">
        <v>2025</v>
      </c>
      <c r="CI47" s="110"/>
      <c r="CJ47" s="108">
        <v>2050</v>
      </c>
      <c r="CK47" s="110"/>
    </row>
    <row r="48" spans="2:93" x14ac:dyDescent="0.25">
      <c r="B48" s="60" t="s">
        <v>62</v>
      </c>
      <c r="C48" s="84" t="s">
        <v>255</v>
      </c>
      <c r="D48" s="76" t="s">
        <v>240</v>
      </c>
      <c r="E48" s="188" t="s">
        <v>240</v>
      </c>
      <c r="F48" s="132">
        <v>0.99</v>
      </c>
      <c r="G48" s="93" t="s">
        <v>99</v>
      </c>
      <c r="H48" s="132">
        <v>0.99</v>
      </c>
      <c r="I48" s="93" t="s">
        <v>99</v>
      </c>
      <c r="J48" s="132">
        <v>1</v>
      </c>
      <c r="K48" s="93" t="s">
        <v>99</v>
      </c>
      <c r="L48" s="132">
        <v>1</v>
      </c>
      <c r="M48" s="93" t="s">
        <v>99</v>
      </c>
      <c r="N48" s="85">
        <v>30</v>
      </c>
      <c r="O48" s="85" t="s">
        <v>257</v>
      </c>
      <c r="P48" s="85">
        <v>30</v>
      </c>
      <c r="Q48" s="85" t="s">
        <v>257</v>
      </c>
      <c r="R48" s="93">
        <f>3.5*startYearWeighting+2.7*(1-startYearWeighting)</f>
        <v>2.8600000000000003</v>
      </c>
      <c r="S48" s="85" t="s">
        <v>466</v>
      </c>
      <c r="T48" s="93">
        <f>2.7</f>
        <v>2.7</v>
      </c>
      <c r="U48" s="443" t="s">
        <v>466</v>
      </c>
      <c r="V48" s="135">
        <f>0.3*startYearWeighting+0.2*(1-startYearWeighting)</f>
        <v>0.22000000000000003</v>
      </c>
      <c r="W48" s="443" t="s">
        <v>466</v>
      </c>
      <c r="X48" s="135">
        <f>0.2</f>
        <v>0.2</v>
      </c>
      <c r="Y48" s="443" t="s">
        <v>466</v>
      </c>
      <c r="Z48" s="115">
        <v>0</v>
      </c>
      <c r="AA48" s="130" t="s">
        <v>268</v>
      </c>
      <c r="AB48" s="115">
        <v>0</v>
      </c>
      <c r="AC48" s="130" t="s">
        <v>268</v>
      </c>
      <c r="AD48" s="126" t="s">
        <v>266</v>
      </c>
      <c r="AE48" s="127" t="s">
        <v>99</v>
      </c>
      <c r="AF48" s="126" t="s">
        <v>266</v>
      </c>
      <c r="AG48" s="127" t="s">
        <v>99</v>
      </c>
      <c r="AH48" s="115">
        <v>6</v>
      </c>
      <c r="AI48" s="85" t="s">
        <v>44</v>
      </c>
      <c r="AJ48" s="115">
        <v>8</v>
      </c>
      <c r="AK48" s="74" t="s">
        <v>44</v>
      </c>
      <c r="AL48" s="126" t="s">
        <v>266</v>
      </c>
      <c r="AM48" s="127" t="s">
        <v>99</v>
      </c>
      <c r="AN48" s="126" t="s">
        <v>266</v>
      </c>
      <c r="AO48" s="127" t="s">
        <v>99</v>
      </c>
      <c r="AP48" s="115">
        <v>0</v>
      </c>
      <c r="AQ48" s="85" t="s">
        <v>262</v>
      </c>
      <c r="AR48" s="115">
        <v>100</v>
      </c>
      <c r="AS48" s="85" t="s">
        <v>262</v>
      </c>
      <c r="AT48" s="121">
        <v>3</v>
      </c>
      <c r="AU48" s="85" t="s">
        <v>263</v>
      </c>
      <c r="AV48" s="121">
        <v>3</v>
      </c>
      <c r="AW48" s="85" t="s">
        <v>263</v>
      </c>
      <c r="AX48" s="124">
        <f>R48/euroDeflator2010</f>
        <v>2.8989096944189869</v>
      </c>
      <c r="AY48" s="443" t="s">
        <v>467</v>
      </c>
      <c r="AZ48" s="123">
        <f>T48/euroDeflator2010</f>
        <v>2.7367329282976449</v>
      </c>
      <c r="BA48" s="443" t="s">
        <v>467</v>
      </c>
      <c r="BB48" s="123">
        <f>V48/euroDeflator2010</f>
        <v>0.22299305341684514</v>
      </c>
      <c r="BC48" s="443" t="s">
        <v>467</v>
      </c>
      <c r="BD48" s="123">
        <f>X48/euroDeflator2010</f>
        <v>0.20272095765167739</v>
      </c>
      <c r="BE48" s="443" t="s">
        <v>467</v>
      </c>
      <c r="BF48" s="123">
        <f>Z48/F48/1000*energyContentH2</f>
        <v>0</v>
      </c>
      <c r="BG48" s="85" t="s">
        <v>265</v>
      </c>
      <c r="BH48" s="123">
        <f>AB48/H48/1000*energyContentH2</f>
        <v>0</v>
      </c>
      <c r="BI48" s="85" t="s">
        <v>265</v>
      </c>
      <c r="BJ48" s="144">
        <f>(AX48+BB48)/N48/1000*energyContentH2+BF48</f>
        <v>1.2487610991343328E-2</v>
      </c>
      <c r="BK48" s="123" t="s">
        <v>265</v>
      </c>
      <c r="BL48" s="189">
        <f>(AZ48+BD48)/P48/1000*energyContentH2+BH48</f>
        <v>1.175781554379729E-2</v>
      </c>
      <c r="BM48" s="123" t="s">
        <v>265</v>
      </c>
      <c r="BN48" s="126" t="s">
        <v>266</v>
      </c>
      <c r="BO48" s="127" t="s">
        <v>99</v>
      </c>
      <c r="BP48" s="126" t="s">
        <v>266</v>
      </c>
      <c r="BQ48" s="127" t="s">
        <v>99</v>
      </c>
      <c r="BR48" s="126" t="s">
        <v>266</v>
      </c>
      <c r="BS48" s="127" t="s">
        <v>99</v>
      </c>
      <c r="BT48" s="126" t="s">
        <v>266</v>
      </c>
      <c r="BU48" s="127" t="s">
        <v>99</v>
      </c>
      <c r="BV48" s="85">
        <f>AH48</f>
        <v>6</v>
      </c>
      <c r="BW48" s="85" t="s">
        <v>44</v>
      </c>
      <c r="BX48" s="85">
        <f>AJ48</f>
        <v>8</v>
      </c>
      <c r="BY48" s="85" t="s">
        <v>44</v>
      </c>
      <c r="BZ48" s="126" t="s">
        <v>266</v>
      </c>
      <c r="CA48" s="127" t="s">
        <v>99</v>
      </c>
      <c r="CB48" s="126" t="s">
        <v>266</v>
      </c>
      <c r="CC48" s="127" t="s">
        <v>99</v>
      </c>
      <c r="CD48" s="85">
        <f>AP48</f>
        <v>0</v>
      </c>
      <c r="CE48" s="85" t="s">
        <v>262</v>
      </c>
      <c r="CF48" s="85">
        <f>AR48</f>
        <v>100</v>
      </c>
      <c r="CG48" s="85" t="s">
        <v>262</v>
      </c>
      <c r="CH48" s="131">
        <f>IF(PAmedium="Default",(6-AT48)/5*100,IF(PAmedium="High",(6-(AT48-1))/5*100,(6-(AT48+1))/5*100))</f>
        <v>60</v>
      </c>
      <c r="CI48" s="443" t="s">
        <v>516</v>
      </c>
      <c r="CJ48" s="131">
        <f>IF(PAmedium="Default",(6-AV48)/5*100,IF(PAmedium="High",(6-(AV48-1))/5*100,(6-(AV48+1))/5*100))</f>
        <v>60</v>
      </c>
      <c r="CK48" s="443" t="s">
        <v>516</v>
      </c>
    </row>
    <row r="49" spans="2:89" x14ac:dyDescent="0.25">
      <c r="B49" s="60" t="s">
        <v>155</v>
      </c>
      <c r="C49" s="84" t="s">
        <v>255</v>
      </c>
      <c r="D49" s="76" t="s">
        <v>240</v>
      </c>
      <c r="E49" s="188" t="s">
        <v>240</v>
      </c>
      <c r="F49" s="115">
        <v>0.98</v>
      </c>
      <c r="G49" s="93" t="s">
        <v>99</v>
      </c>
      <c r="H49" s="115">
        <v>0.98</v>
      </c>
      <c r="I49" s="93" t="s">
        <v>99</v>
      </c>
      <c r="J49" s="132">
        <v>1</v>
      </c>
      <c r="K49" s="93" t="s">
        <v>99</v>
      </c>
      <c r="L49" s="132">
        <v>1</v>
      </c>
      <c r="M49" s="93" t="s">
        <v>99</v>
      </c>
      <c r="N49" s="85">
        <v>22</v>
      </c>
      <c r="O49" s="85" t="s">
        <v>257</v>
      </c>
      <c r="P49" s="85">
        <v>22</v>
      </c>
      <c r="Q49" s="85" t="s">
        <v>257</v>
      </c>
      <c r="R49" s="93">
        <f>13.3*startYearWeighting+10.2*(1-startYearWeighting)</f>
        <v>10.82</v>
      </c>
      <c r="S49" s="443" t="s">
        <v>466</v>
      </c>
      <c r="T49" s="93">
        <f>10.2</f>
        <v>10.199999999999999</v>
      </c>
      <c r="U49" s="443" t="s">
        <v>466</v>
      </c>
      <c r="V49" s="135">
        <f>0.6*startYearWeighting+0.5*(1-startYearWeighting)</f>
        <v>0.52</v>
      </c>
      <c r="W49" s="443" t="s">
        <v>466</v>
      </c>
      <c r="X49" s="135">
        <f>0.5</f>
        <v>0.5</v>
      </c>
      <c r="Y49" s="443" t="s">
        <v>466</v>
      </c>
      <c r="Z49" s="115">
        <v>0</v>
      </c>
      <c r="AA49" s="130" t="s">
        <v>268</v>
      </c>
      <c r="AB49" s="115">
        <v>0</v>
      </c>
      <c r="AC49" s="130" t="s">
        <v>268</v>
      </c>
      <c r="AD49" s="126" t="s">
        <v>266</v>
      </c>
      <c r="AE49" s="127" t="s">
        <v>99</v>
      </c>
      <c r="AF49" s="126" t="s">
        <v>266</v>
      </c>
      <c r="AG49" s="127" t="s">
        <v>99</v>
      </c>
      <c r="AH49" s="115">
        <v>9</v>
      </c>
      <c r="AI49" s="85" t="s">
        <v>44</v>
      </c>
      <c r="AJ49" s="115">
        <v>9</v>
      </c>
      <c r="AK49" s="74" t="s">
        <v>44</v>
      </c>
      <c r="AL49" s="126" t="s">
        <v>266</v>
      </c>
      <c r="AM49" s="127" t="s">
        <v>99</v>
      </c>
      <c r="AN49" s="126" t="s">
        <v>266</v>
      </c>
      <c r="AO49" s="127" t="s">
        <v>99</v>
      </c>
      <c r="AP49" s="115">
        <v>80</v>
      </c>
      <c r="AQ49" s="85" t="s">
        <v>262</v>
      </c>
      <c r="AR49" s="115">
        <v>100</v>
      </c>
      <c r="AS49" s="85" t="s">
        <v>262</v>
      </c>
      <c r="AT49" s="121">
        <v>3</v>
      </c>
      <c r="AU49" s="85" t="s">
        <v>263</v>
      </c>
      <c r="AV49" s="121">
        <v>3</v>
      </c>
      <c r="AW49" s="85" t="s">
        <v>263</v>
      </c>
      <c r="AX49" s="124">
        <f>R49/euroDeflator2010</f>
        <v>10.967203808955746</v>
      </c>
      <c r="AY49" s="443" t="s">
        <v>467</v>
      </c>
      <c r="AZ49" s="125">
        <f>T49/euroDeflator2010</f>
        <v>10.338768840235545</v>
      </c>
      <c r="BA49" s="443" t="s">
        <v>467</v>
      </c>
      <c r="BB49" s="125">
        <f>V49/euroDeflator2010</f>
        <v>0.52707448989436123</v>
      </c>
      <c r="BC49" s="443" t="s">
        <v>467</v>
      </c>
      <c r="BD49" s="125">
        <f>X49/euroDeflator2010</f>
        <v>0.50680239412919348</v>
      </c>
      <c r="BE49" s="443" t="s">
        <v>467</v>
      </c>
      <c r="BF49" s="125">
        <f>Z49/F49/1000*energyContentH2</f>
        <v>0</v>
      </c>
      <c r="BG49" s="85" t="s">
        <v>265</v>
      </c>
      <c r="BH49" s="125">
        <f>AB49/H49/1000*energyContentH2</f>
        <v>0</v>
      </c>
      <c r="BI49" s="85" t="s">
        <v>265</v>
      </c>
      <c r="BJ49" s="144">
        <f>(AX49+BB49)/N49/1000*energyContentH2+BF49</f>
        <v>6.2696063448273304E-2</v>
      </c>
      <c r="BK49" s="125" t="s">
        <v>265</v>
      </c>
      <c r="BL49" s="145">
        <f>(AZ49+BD49)/P49/1000*energyContentH2+BH49</f>
        <v>5.9157661278353119E-2</v>
      </c>
      <c r="BM49" s="125" t="s">
        <v>265</v>
      </c>
      <c r="BN49" s="126" t="s">
        <v>266</v>
      </c>
      <c r="BO49" s="127" t="s">
        <v>99</v>
      </c>
      <c r="BP49" s="126" t="s">
        <v>266</v>
      </c>
      <c r="BQ49" s="127" t="s">
        <v>99</v>
      </c>
      <c r="BR49" s="126" t="s">
        <v>266</v>
      </c>
      <c r="BS49" s="127" t="s">
        <v>99</v>
      </c>
      <c r="BT49" s="126" t="s">
        <v>266</v>
      </c>
      <c r="BU49" s="127" t="s">
        <v>99</v>
      </c>
      <c r="BV49" s="85">
        <f>AH49</f>
        <v>9</v>
      </c>
      <c r="BW49" s="85" t="s">
        <v>44</v>
      </c>
      <c r="BX49" s="85">
        <f>AJ49</f>
        <v>9</v>
      </c>
      <c r="BY49" s="85" t="s">
        <v>44</v>
      </c>
      <c r="BZ49" s="126" t="s">
        <v>266</v>
      </c>
      <c r="CA49" s="127" t="s">
        <v>99</v>
      </c>
      <c r="CB49" s="126" t="s">
        <v>266</v>
      </c>
      <c r="CC49" s="127" t="s">
        <v>99</v>
      </c>
      <c r="CD49" s="85">
        <f>AP49</f>
        <v>80</v>
      </c>
      <c r="CE49" s="85" t="s">
        <v>262</v>
      </c>
      <c r="CF49" s="85">
        <f>AR49</f>
        <v>100</v>
      </c>
      <c r="CG49" s="85" t="s">
        <v>262</v>
      </c>
      <c r="CH49" s="131">
        <f>IF(PAmedium="Default",(6-AT49)/5*100,IF(PAmedium="High",(6-(AT49-1))/5*100,(6-(AT49+1))/5*100))</f>
        <v>60</v>
      </c>
      <c r="CI49" s="443" t="s">
        <v>516</v>
      </c>
      <c r="CJ49" s="131">
        <f>IF(PAmedium="Default",(6-AV49)/5*100,IF(PAmedium="High",(6-(AV49-1))/5*100,(6-(AV49+1))/5*100))</f>
        <v>60</v>
      </c>
      <c r="CK49" s="443" t="s">
        <v>516</v>
      </c>
    </row>
    <row r="50" spans="2:89" x14ac:dyDescent="0.25">
      <c r="B50" s="60" t="s">
        <v>130</v>
      </c>
      <c r="C50" s="84" t="s">
        <v>255</v>
      </c>
      <c r="D50" s="76" t="s">
        <v>240</v>
      </c>
      <c r="E50" s="188" t="s">
        <v>240</v>
      </c>
      <c r="F50" s="115">
        <v>0.98</v>
      </c>
      <c r="G50" s="93" t="s">
        <v>99</v>
      </c>
      <c r="H50" s="115">
        <v>0.98</v>
      </c>
      <c r="I50" s="93" t="s">
        <v>99</v>
      </c>
      <c r="J50" s="132">
        <v>1</v>
      </c>
      <c r="K50" s="93" t="s">
        <v>99</v>
      </c>
      <c r="L50" s="132">
        <v>1</v>
      </c>
      <c r="M50" s="93" t="s">
        <v>99</v>
      </c>
      <c r="N50" s="85">
        <v>22</v>
      </c>
      <c r="O50" s="85" t="s">
        <v>257</v>
      </c>
      <c r="P50" s="85">
        <v>22</v>
      </c>
      <c r="Q50" s="85" t="s">
        <v>257</v>
      </c>
      <c r="R50" s="93">
        <f>23.7*startYearWeighting+18.2*(1-startYearWeighting)</f>
        <v>19.3</v>
      </c>
      <c r="S50" s="443" t="s">
        <v>466</v>
      </c>
      <c r="T50" s="93">
        <f>18.2</f>
        <v>18.2</v>
      </c>
      <c r="U50" s="443" t="s">
        <v>466</v>
      </c>
      <c r="V50" s="135">
        <f>1.1*startYearWeighting+0.8*(1-startYearWeighting)</f>
        <v>0.8600000000000001</v>
      </c>
      <c r="W50" s="443" t="s">
        <v>466</v>
      </c>
      <c r="X50" s="135">
        <f>0.8</f>
        <v>0.8</v>
      </c>
      <c r="Y50" s="443" t="s">
        <v>466</v>
      </c>
      <c r="Z50" s="115">
        <v>0</v>
      </c>
      <c r="AA50" s="130" t="s">
        <v>268</v>
      </c>
      <c r="AB50" s="115">
        <v>0</v>
      </c>
      <c r="AC50" s="130" t="s">
        <v>268</v>
      </c>
      <c r="AD50" s="126" t="s">
        <v>266</v>
      </c>
      <c r="AE50" s="127" t="s">
        <v>99</v>
      </c>
      <c r="AF50" s="126" t="s">
        <v>266</v>
      </c>
      <c r="AG50" s="127" t="s">
        <v>99</v>
      </c>
      <c r="AH50" s="115">
        <v>9</v>
      </c>
      <c r="AI50" s="85" t="s">
        <v>44</v>
      </c>
      <c r="AJ50" s="115">
        <v>9</v>
      </c>
      <c r="AK50" s="74" t="s">
        <v>44</v>
      </c>
      <c r="AL50" s="126" t="s">
        <v>266</v>
      </c>
      <c r="AM50" s="127" t="s">
        <v>99</v>
      </c>
      <c r="AN50" s="126" t="s">
        <v>266</v>
      </c>
      <c r="AO50" s="127" t="s">
        <v>99</v>
      </c>
      <c r="AP50" s="115">
        <v>100</v>
      </c>
      <c r="AQ50" s="85" t="s">
        <v>262</v>
      </c>
      <c r="AR50" s="115">
        <v>100</v>
      </c>
      <c r="AS50" s="85" t="s">
        <v>262</v>
      </c>
      <c r="AT50" s="121">
        <v>3</v>
      </c>
      <c r="AU50" s="85" t="s">
        <v>263</v>
      </c>
      <c r="AV50" s="121">
        <v>3</v>
      </c>
      <c r="AW50" s="85" t="s">
        <v>263</v>
      </c>
      <c r="AX50" s="124">
        <f>R50/euroDeflator2010</f>
        <v>19.562572413386867</v>
      </c>
      <c r="AY50" s="443" t="s">
        <v>467</v>
      </c>
      <c r="AZ50" s="125">
        <f>T50/euroDeflator2010</f>
        <v>18.447607146302641</v>
      </c>
      <c r="BA50" s="443" t="s">
        <v>467</v>
      </c>
      <c r="BB50" s="125">
        <f>V50/euroDeflator2010</f>
        <v>0.8717001179022128</v>
      </c>
      <c r="BC50" s="443" t="s">
        <v>467</v>
      </c>
      <c r="BD50" s="125">
        <f>X50/euroDeflator2010</f>
        <v>0.81088383060670954</v>
      </c>
      <c r="BE50" s="443" t="s">
        <v>467</v>
      </c>
      <c r="BF50" s="125">
        <f>Z50/F50/1000*energyContentH2</f>
        <v>0</v>
      </c>
      <c r="BG50" s="85" t="s">
        <v>265</v>
      </c>
      <c r="BH50" s="125">
        <f>AB50/H50/1000*energyContentH2</f>
        <v>0</v>
      </c>
      <c r="BI50" s="85" t="s">
        <v>265</v>
      </c>
      <c r="BJ50" s="144">
        <f>(AX50+BB50)/N50/1000*energyContentH2+BF50</f>
        <v>0.11145966835248589</v>
      </c>
      <c r="BK50" s="125" t="s">
        <v>265</v>
      </c>
      <c r="BL50" s="145">
        <f>(AZ50+BD50)/P50/1000*energyContentH2+BH50</f>
        <v>0.10504631441950556</v>
      </c>
      <c r="BM50" s="125" t="s">
        <v>265</v>
      </c>
      <c r="BN50" s="126" t="s">
        <v>266</v>
      </c>
      <c r="BO50" s="127" t="s">
        <v>99</v>
      </c>
      <c r="BP50" s="126" t="s">
        <v>266</v>
      </c>
      <c r="BQ50" s="127" t="s">
        <v>99</v>
      </c>
      <c r="BR50" s="126" t="s">
        <v>266</v>
      </c>
      <c r="BS50" s="127" t="s">
        <v>99</v>
      </c>
      <c r="BT50" s="126" t="s">
        <v>266</v>
      </c>
      <c r="BU50" s="127" t="s">
        <v>99</v>
      </c>
      <c r="BV50" s="85">
        <f>AH50</f>
        <v>9</v>
      </c>
      <c r="BW50" s="85" t="s">
        <v>44</v>
      </c>
      <c r="BX50" s="85">
        <f>AJ50</f>
        <v>9</v>
      </c>
      <c r="BY50" s="85" t="s">
        <v>44</v>
      </c>
      <c r="BZ50" s="126" t="s">
        <v>266</v>
      </c>
      <c r="CA50" s="127" t="s">
        <v>99</v>
      </c>
      <c r="CB50" s="126" t="s">
        <v>266</v>
      </c>
      <c r="CC50" s="127" t="s">
        <v>99</v>
      </c>
      <c r="CD50" s="85">
        <f>AP50</f>
        <v>100</v>
      </c>
      <c r="CE50" s="85" t="s">
        <v>262</v>
      </c>
      <c r="CF50" s="85">
        <f>AR50</f>
        <v>100</v>
      </c>
      <c r="CG50" s="85" t="s">
        <v>262</v>
      </c>
      <c r="CH50" s="131">
        <f>IF(PAmedium="Default",(6-AT50)/5*100,IF(PAmedium="High",(6-(AT50-1))/5*100,(6-(AT50+1))/5*100))</f>
        <v>60</v>
      </c>
      <c r="CI50" s="443" t="s">
        <v>516</v>
      </c>
      <c r="CJ50" s="131">
        <f>IF(PAmedium="Default",(6-AV50)/5*100,IF(PAmedium="High",(6-(AV50-1))/5*100,(6-(AV50+1))/5*100))</f>
        <v>60</v>
      </c>
      <c r="CK50" s="443" t="s">
        <v>516</v>
      </c>
    </row>
    <row r="51" spans="2:89" s="114" customFormat="1" x14ac:dyDescent="0.25">
      <c r="B51" s="61" t="s">
        <v>63</v>
      </c>
      <c r="C51" s="84" t="s">
        <v>99</v>
      </c>
      <c r="D51" s="115" t="s">
        <v>99</v>
      </c>
      <c r="E51" s="116" t="s">
        <v>99</v>
      </c>
      <c r="F51" s="132">
        <v>1</v>
      </c>
      <c r="G51" s="116" t="s">
        <v>99</v>
      </c>
      <c r="H51" s="132">
        <v>1</v>
      </c>
      <c r="I51" s="93" t="s">
        <v>99</v>
      </c>
      <c r="J51" s="115" t="s">
        <v>99</v>
      </c>
      <c r="K51" s="93" t="s">
        <v>99</v>
      </c>
      <c r="L51" s="115" t="s">
        <v>99</v>
      </c>
      <c r="M51" s="93" t="s">
        <v>99</v>
      </c>
      <c r="N51" s="115" t="s">
        <v>99</v>
      </c>
      <c r="O51" s="85" t="s">
        <v>99</v>
      </c>
      <c r="P51" s="115" t="s">
        <v>99</v>
      </c>
      <c r="Q51" s="85" t="s">
        <v>99</v>
      </c>
      <c r="R51" s="132">
        <v>0</v>
      </c>
      <c r="S51" s="85" t="s">
        <v>259</v>
      </c>
      <c r="T51" s="132">
        <v>0</v>
      </c>
      <c r="U51" s="85" t="s">
        <v>259</v>
      </c>
      <c r="V51" s="132">
        <v>0</v>
      </c>
      <c r="W51" s="85" t="s">
        <v>259</v>
      </c>
      <c r="X51" s="132">
        <v>0</v>
      </c>
      <c r="Y51" s="85" t="s">
        <v>259</v>
      </c>
      <c r="Z51" s="132">
        <v>0</v>
      </c>
      <c r="AA51" s="85" t="s">
        <v>259</v>
      </c>
      <c r="AB51" s="132">
        <v>0</v>
      </c>
      <c r="AC51" s="85" t="s">
        <v>259</v>
      </c>
      <c r="AD51" s="126" t="s">
        <v>266</v>
      </c>
      <c r="AE51" s="127" t="s">
        <v>99</v>
      </c>
      <c r="AF51" s="126" t="s">
        <v>266</v>
      </c>
      <c r="AG51" s="127" t="s">
        <v>99</v>
      </c>
      <c r="AH51" s="118">
        <v>9</v>
      </c>
      <c r="AI51" s="85" t="s">
        <v>44</v>
      </c>
      <c r="AJ51" s="118">
        <v>9</v>
      </c>
      <c r="AK51" s="85" t="s">
        <v>44</v>
      </c>
      <c r="AL51" s="126" t="s">
        <v>266</v>
      </c>
      <c r="AM51" s="127" t="s">
        <v>99</v>
      </c>
      <c r="AN51" s="126" t="s">
        <v>266</v>
      </c>
      <c r="AO51" s="127" t="s">
        <v>99</v>
      </c>
      <c r="AP51" s="118">
        <v>100</v>
      </c>
      <c r="AQ51" s="85" t="s">
        <v>262</v>
      </c>
      <c r="AR51" s="118">
        <v>100</v>
      </c>
      <c r="AS51" s="85" t="s">
        <v>262</v>
      </c>
      <c r="AT51" s="142">
        <v>1</v>
      </c>
      <c r="AU51" s="85" t="s">
        <v>263</v>
      </c>
      <c r="AV51" s="142">
        <v>1</v>
      </c>
      <c r="AW51" s="85" t="s">
        <v>263</v>
      </c>
      <c r="AX51" s="143" t="s">
        <v>99</v>
      </c>
      <c r="AY51" s="85" t="s">
        <v>99</v>
      </c>
      <c r="AZ51" s="115" t="s">
        <v>99</v>
      </c>
      <c r="BA51" s="85" t="s">
        <v>99</v>
      </c>
      <c r="BB51" s="115" t="s">
        <v>99</v>
      </c>
      <c r="BC51" s="85" t="s">
        <v>99</v>
      </c>
      <c r="BD51" s="115" t="s">
        <v>99</v>
      </c>
      <c r="BE51" s="85" t="s">
        <v>99</v>
      </c>
      <c r="BF51" s="115" t="s">
        <v>99</v>
      </c>
      <c r="BG51" s="85" t="s">
        <v>99</v>
      </c>
      <c r="BH51" s="115" t="s">
        <v>99</v>
      </c>
      <c r="BI51" s="85" t="s">
        <v>99</v>
      </c>
      <c r="BJ51" s="144">
        <f>R51+V51+Z51</f>
        <v>0</v>
      </c>
      <c r="BK51" s="125" t="s">
        <v>265</v>
      </c>
      <c r="BL51" s="145">
        <f>T51+X51+AB51</f>
        <v>0</v>
      </c>
      <c r="BM51" s="125" t="s">
        <v>265</v>
      </c>
      <c r="BN51" s="126" t="s">
        <v>266</v>
      </c>
      <c r="BO51" s="127" t="s">
        <v>99</v>
      </c>
      <c r="BP51" s="126" t="s">
        <v>266</v>
      </c>
      <c r="BQ51" s="127" t="s">
        <v>99</v>
      </c>
      <c r="BR51" s="126" t="s">
        <v>266</v>
      </c>
      <c r="BS51" s="127" t="s">
        <v>99</v>
      </c>
      <c r="BT51" s="126" t="s">
        <v>266</v>
      </c>
      <c r="BU51" s="127" t="s">
        <v>99</v>
      </c>
      <c r="BV51" s="85">
        <f>AH51</f>
        <v>9</v>
      </c>
      <c r="BW51" s="85" t="s">
        <v>44</v>
      </c>
      <c r="BX51" s="85">
        <f>AJ51</f>
        <v>9</v>
      </c>
      <c r="BY51" s="85" t="s">
        <v>44</v>
      </c>
      <c r="BZ51" s="126" t="s">
        <v>266</v>
      </c>
      <c r="CA51" s="127" t="s">
        <v>99</v>
      </c>
      <c r="CB51" s="126" t="s">
        <v>266</v>
      </c>
      <c r="CC51" s="127" t="s">
        <v>99</v>
      </c>
      <c r="CD51" s="85">
        <f>AP51</f>
        <v>100</v>
      </c>
      <c r="CE51" s="85" t="s">
        <v>262</v>
      </c>
      <c r="CF51" s="85">
        <f>AR51</f>
        <v>100</v>
      </c>
      <c r="CG51" s="85" t="s">
        <v>262</v>
      </c>
      <c r="CH51" s="131">
        <f>IF(PAmedium="Default",(6-AT51)/5*100,IF(PAmedium="High",(6-(AT51-1))/5*100,(6-(AT51+1))/5*100))</f>
        <v>100</v>
      </c>
      <c r="CI51" s="443" t="s">
        <v>516</v>
      </c>
      <c r="CJ51" s="131">
        <f>IF(PAmedium="Default",(6-AV51)/5*100,IF(PAmedium="High",(6-(AV51-1))/5*100,(6-(AV51+1))/5*100))</f>
        <v>100</v>
      </c>
      <c r="CK51" s="443" t="s">
        <v>516</v>
      </c>
    </row>
    <row r="52" spans="2:89" s="114" customFormat="1" x14ac:dyDescent="0.25">
      <c r="B52" s="61" t="s">
        <v>177</v>
      </c>
      <c r="C52" s="84" t="s">
        <v>99</v>
      </c>
      <c r="D52" s="115" t="s">
        <v>99</v>
      </c>
      <c r="E52" s="116" t="s">
        <v>99</v>
      </c>
      <c r="F52" s="132">
        <v>1</v>
      </c>
      <c r="G52" s="116" t="s">
        <v>99</v>
      </c>
      <c r="H52" s="132">
        <v>1</v>
      </c>
      <c r="I52" s="93" t="s">
        <v>99</v>
      </c>
      <c r="J52" s="115" t="s">
        <v>99</v>
      </c>
      <c r="K52" s="93" t="s">
        <v>99</v>
      </c>
      <c r="L52" s="115" t="s">
        <v>99</v>
      </c>
      <c r="M52" s="93" t="s">
        <v>99</v>
      </c>
      <c r="N52" s="115" t="s">
        <v>99</v>
      </c>
      <c r="O52" s="85" t="s">
        <v>99</v>
      </c>
      <c r="P52" s="115" t="s">
        <v>99</v>
      </c>
      <c r="Q52" s="85" t="s">
        <v>99</v>
      </c>
      <c r="R52" s="132">
        <v>0</v>
      </c>
      <c r="S52" s="85" t="s">
        <v>259</v>
      </c>
      <c r="T52" s="132">
        <v>0</v>
      </c>
      <c r="U52" s="85" t="s">
        <v>259</v>
      </c>
      <c r="V52" s="132">
        <v>0</v>
      </c>
      <c r="W52" s="85" t="s">
        <v>259</v>
      </c>
      <c r="X52" s="132">
        <v>0</v>
      </c>
      <c r="Y52" s="85" t="s">
        <v>259</v>
      </c>
      <c r="Z52" s="132">
        <v>0</v>
      </c>
      <c r="AA52" s="85" t="s">
        <v>259</v>
      </c>
      <c r="AB52" s="132">
        <v>0</v>
      </c>
      <c r="AC52" s="85" t="s">
        <v>259</v>
      </c>
      <c r="AD52" s="126" t="s">
        <v>266</v>
      </c>
      <c r="AE52" s="127" t="s">
        <v>99</v>
      </c>
      <c r="AF52" s="126" t="s">
        <v>266</v>
      </c>
      <c r="AG52" s="127" t="s">
        <v>99</v>
      </c>
      <c r="AH52" s="118">
        <v>9</v>
      </c>
      <c r="AI52" s="85" t="s">
        <v>44</v>
      </c>
      <c r="AJ52" s="118">
        <v>9</v>
      </c>
      <c r="AK52" s="85" t="s">
        <v>44</v>
      </c>
      <c r="AL52" s="126" t="s">
        <v>266</v>
      </c>
      <c r="AM52" s="127" t="s">
        <v>99</v>
      </c>
      <c r="AN52" s="126" t="s">
        <v>266</v>
      </c>
      <c r="AO52" s="127" t="s">
        <v>99</v>
      </c>
      <c r="AP52" s="118">
        <v>100</v>
      </c>
      <c r="AQ52" s="85" t="s">
        <v>262</v>
      </c>
      <c r="AR52" s="118">
        <v>100</v>
      </c>
      <c r="AS52" s="85" t="s">
        <v>262</v>
      </c>
      <c r="AT52" s="142">
        <v>2</v>
      </c>
      <c r="AU52" s="85" t="s">
        <v>263</v>
      </c>
      <c r="AV52" s="142">
        <v>2</v>
      </c>
      <c r="AW52" s="85" t="s">
        <v>263</v>
      </c>
      <c r="AX52" s="143" t="s">
        <v>99</v>
      </c>
      <c r="AY52" s="85" t="s">
        <v>99</v>
      </c>
      <c r="AZ52" s="115" t="s">
        <v>99</v>
      </c>
      <c r="BA52" s="85" t="s">
        <v>99</v>
      </c>
      <c r="BB52" s="115" t="s">
        <v>99</v>
      </c>
      <c r="BC52" s="85" t="s">
        <v>99</v>
      </c>
      <c r="BD52" s="115" t="s">
        <v>99</v>
      </c>
      <c r="BE52" s="85" t="s">
        <v>99</v>
      </c>
      <c r="BF52" s="115" t="s">
        <v>99</v>
      </c>
      <c r="BG52" s="85" t="s">
        <v>99</v>
      </c>
      <c r="BH52" s="115" t="s">
        <v>99</v>
      </c>
      <c r="BI52" s="85" t="s">
        <v>99</v>
      </c>
      <c r="BJ52" s="144">
        <f>R52+V52+Z52</f>
        <v>0</v>
      </c>
      <c r="BK52" s="125" t="s">
        <v>265</v>
      </c>
      <c r="BL52" s="145">
        <f>T52+X52+AB52</f>
        <v>0</v>
      </c>
      <c r="BM52" s="125" t="s">
        <v>265</v>
      </c>
      <c r="BN52" s="126" t="s">
        <v>266</v>
      </c>
      <c r="BO52" s="127" t="s">
        <v>99</v>
      </c>
      <c r="BP52" s="126" t="s">
        <v>266</v>
      </c>
      <c r="BQ52" s="127" t="s">
        <v>99</v>
      </c>
      <c r="BR52" s="126" t="s">
        <v>266</v>
      </c>
      <c r="BS52" s="127" t="s">
        <v>99</v>
      </c>
      <c r="BT52" s="126" t="s">
        <v>266</v>
      </c>
      <c r="BU52" s="127" t="s">
        <v>99</v>
      </c>
      <c r="BV52" s="85">
        <f>AH52</f>
        <v>9</v>
      </c>
      <c r="BW52" s="85" t="s">
        <v>44</v>
      </c>
      <c r="BX52" s="85">
        <f>AJ52</f>
        <v>9</v>
      </c>
      <c r="BY52" s="85" t="s">
        <v>44</v>
      </c>
      <c r="BZ52" s="126" t="s">
        <v>266</v>
      </c>
      <c r="CA52" s="127" t="s">
        <v>99</v>
      </c>
      <c r="CB52" s="126" t="s">
        <v>266</v>
      </c>
      <c r="CC52" s="127" t="s">
        <v>99</v>
      </c>
      <c r="CD52" s="85">
        <f>AP52</f>
        <v>100</v>
      </c>
      <c r="CE52" s="85" t="s">
        <v>262</v>
      </c>
      <c r="CF52" s="85">
        <f>AR52</f>
        <v>100</v>
      </c>
      <c r="CG52" s="85" t="s">
        <v>262</v>
      </c>
      <c r="CH52" s="131">
        <f>IF(PAmedium="Default",(6-AT52)/5*100,IF(PAmedium="High",(6-(AT52-1))/5*100,(6-(AT52+1))/5*100))</f>
        <v>80</v>
      </c>
      <c r="CI52" s="443" t="s">
        <v>516</v>
      </c>
      <c r="CJ52" s="131">
        <f>IF(PAmedium="Default",(6-AV52)/5*100,IF(PAmedium="High",(6-(AV52-1))/5*100,(6-(AV52+1))/5*100))</f>
        <v>80</v>
      </c>
      <c r="CK52" s="443" t="s">
        <v>516</v>
      </c>
    </row>
    <row r="53" spans="2:89" s="114" customFormat="1" x14ac:dyDescent="0.25">
      <c r="B53" s="61"/>
      <c r="C53" s="84"/>
      <c r="D53" s="115"/>
      <c r="E53" s="116"/>
      <c r="F53" s="115"/>
      <c r="G53" s="93"/>
      <c r="H53" s="115"/>
      <c r="I53" s="93"/>
      <c r="J53" s="115"/>
      <c r="K53" s="93"/>
      <c r="L53" s="115"/>
      <c r="M53" s="93"/>
      <c r="N53" s="115"/>
      <c r="O53" s="85"/>
      <c r="P53" s="115"/>
      <c r="Q53" s="85"/>
      <c r="R53" s="115"/>
      <c r="S53" s="85"/>
      <c r="T53" s="115"/>
      <c r="U53" s="85"/>
      <c r="V53" s="115"/>
      <c r="W53" s="85"/>
      <c r="X53" s="115"/>
      <c r="Y53" s="85"/>
      <c r="Z53" s="115"/>
      <c r="AA53" s="85"/>
      <c r="AB53" s="115"/>
      <c r="AC53" s="85"/>
      <c r="AD53" s="115"/>
      <c r="AE53" s="116"/>
      <c r="AF53" s="115"/>
      <c r="AG53" s="116"/>
      <c r="AH53" s="115"/>
      <c r="AI53" s="85"/>
      <c r="AJ53" s="115"/>
      <c r="AK53" s="85"/>
      <c r="AL53" s="115"/>
      <c r="AM53" s="85"/>
      <c r="AN53" s="115"/>
      <c r="AO53" s="85"/>
      <c r="AP53" s="115"/>
      <c r="AQ53" s="85"/>
      <c r="AR53" s="115"/>
      <c r="AS53" s="85"/>
      <c r="AT53" s="115"/>
      <c r="AU53" s="85"/>
      <c r="AV53" s="115"/>
      <c r="AW53" s="85"/>
      <c r="AX53" s="143"/>
      <c r="AY53" s="85"/>
      <c r="AZ53" s="115"/>
      <c r="BA53" s="85"/>
      <c r="BB53" s="115"/>
      <c r="BC53" s="85"/>
      <c r="BD53" s="115"/>
      <c r="BE53" s="85"/>
      <c r="BF53" s="115"/>
      <c r="BG53" s="85"/>
      <c r="BH53" s="115"/>
      <c r="BI53" s="85"/>
      <c r="BJ53" s="190"/>
      <c r="BK53" s="125"/>
      <c r="BL53" s="191"/>
      <c r="BM53" s="125"/>
      <c r="BN53" s="115"/>
      <c r="BO53" s="116"/>
      <c r="BP53" s="115"/>
      <c r="BQ53" s="116"/>
      <c r="BR53" s="115"/>
      <c r="BS53" s="116"/>
      <c r="BT53" s="115"/>
      <c r="BU53" s="116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</row>
    <row r="54" spans="2:89" s="114" customFormat="1" x14ac:dyDescent="0.25">
      <c r="C54" s="84"/>
      <c r="D54" s="115"/>
      <c r="E54" s="116"/>
      <c r="F54" s="115"/>
      <c r="G54" s="93"/>
      <c r="H54" s="115"/>
      <c r="I54" s="93"/>
      <c r="J54" s="115"/>
      <c r="K54" s="93"/>
      <c r="L54" s="115"/>
      <c r="M54" s="93"/>
      <c r="N54" s="85"/>
      <c r="O54" s="85"/>
      <c r="P54" s="85"/>
      <c r="Q54" s="85"/>
      <c r="R54" s="119"/>
      <c r="S54" s="85"/>
      <c r="T54" s="115"/>
      <c r="U54" s="116"/>
      <c r="V54" s="120"/>
      <c r="W54" s="85"/>
      <c r="X54" s="115"/>
      <c r="Y54" s="116"/>
      <c r="Z54" s="115"/>
      <c r="AA54" s="116"/>
      <c r="AB54" s="115"/>
      <c r="AC54" s="116"/>
      <c r="AD54" s="115"/>
      <c r="AE54" s="116"/>
      <c r="AF54" s="115"/>
      <c r="AG54" s="116"/>
      <c r="AH54" s="115"/>
      <c r="AI54" s="85"/>
      <c r="AJ54" s="115"/>
      <c r="AK54" s="85"/>
      <c r="AL54" s="115"/>
      <c r="AM54" s="85"/>
      <c r="AN54" s="115"/>
      <c r="AO54" s="85"/>
      <c r="AP54" s="115"/>
      <c r="AQ54" s="85"/>
      <c r="AR54" s="115"/>
      <c r="AS54" s="85"/>
      <c r="AT54" s="115"/>
      <c r="AU54" s="85"/>
      <c r="AV54" s="115"/>
      <c r="AW54" s="85"/>
      <c r="AX54" s="122"/>
      <c r="AY54" s="85"/>
      <c r="AZ54" s="115"/>
      <c r="BA54" s="85"/>
      <c r="BB54" s="120"/>
      <c r="BC54" s="85"/>
      <c r="BD54" s="115"/>
      <c r="BE54" s="85"/>
      <c r="BF54" s="115"/>
      <c r="BG54" s="85"/>
      <c r="BH54" s="115"/>
      <c r="BI54" s="85"/>
      <c r="BJ54" s="143"/>
      <c r="BK54" s="93"/>
      <c r="BL54" s="115"/>
      <c r="BM54" s="93"/>
      <c r="BN54" s="115"/>
      <c r="BO54" s="93"/>
      <c r="BP54" s="115"/>
      <c r="BQ54" s="115"/>
      <c r="BR54" s="115"/>
      <c r="BS54" s="93"/>
      <c r="BT54" s="115"/>
      <c r="BU54" s="115"/>
      <c r="BV54" s="85"/>
      <c r="BW54" s="85"/>
      <c r="BX54" s="85"/>
      <c r="BY54" s="85"/>
      <c r="BZ54" s="119"/>
      <c r="CA54" s="85"/>
      <c r="CB54" s="115"/>
      <c r="CC54" s="116"/>
      <c r="CD54" s="120"/>
      <c r="CE54" s="85"/>
      <c r="CF54" s="115"/>
      <c r="CG54" s="116"/>
      <c r="CH54" s="115"/>
      <c r="CI54" s="85"/>
      <c r="CJ54" s="115"/>
      <c r="CK54" s="85"/>
    </row>
    <row r="55" spans="2:89" s="146" customFormat="1" x14ac:dyDescent="0.25">
      <c r="B55" s="146" t="s">
        <v>273</v>
      </c>
      <c r="C55" s="147"/>
      <c r="D55" s="148"/>
      <c r="E55" s="149"/>
      <c r="F55" s="148"/>
      <c r="G55" s="150"/>
      <c r="H55" s="148"/>
      <c r="I55" s="150"/>
      <c r="J55" s="148"/>
      <c r="K55" s="150"/>
      <c r="L55" s="148"/>
      <c r="M55" s="150"/>
      <c r="R55" s="151"/>
      <c r="T55" s="148"/>
      <c r="U55" s="149"/>
      <c r="V55" s="152"/>
      <c r="X55" s="148"/>
      <c r="Y55" s="149"/>
      <c r="Z55" s="148"/>
      <c r="AA55" s="149"/>
      <c r="AB55" s="148"/>
      <c r="AC55" s="149"/>
      <c r="AD55" s="148"/>
      <c r="AE55" s="149"/>
      <c r="AF55" s="148"/>
      <c r="AG55" s="149"/>
      <c r="AH55" s="148"/>
      <c r="AJ55" s="148"/>
      <c r="AL55" s="148"/>
      <c r="AN55" s="148"/>
      <c r="AP55" s="148"/>
      <c r="AR55" s="148"/>
      <c r="AT55" s="148"/>
      <c r="AV55" s="148"/>
      <c r="AX55" s="156"/>
      <c r="AZ55" s="148"/>
      <c r="BB55" s="152"/>
      <c r="BD55" s="148"/>
      <c r="BF55" s="148"/>
      <c r="BH55" s="148"/>
      <c r="BJ55" s="192"/>
      <c r="BK55" s="150"/>
      <c r="BL55" s="148"/>
      <c r="BM55" s="150"/>
      <c r="BN55" s="148"/>
      <c r="BO55" s="150"/>
      <c r="BP55" s="148"/>
      <c r="BQ55" s="148"/>
      <c r="BR55" s="148"/>
      <c r="BS55" s="150"/>
      <c r="BT55" s="148"/>
      <c r="BU55" s="148"/>
      <c r="BZ55" s="151"/>
      <c r="CB55" s="148"/>
      <c r="CC55" s="149"/>
      <c r="CD55" s="152"/>
      <c r="CF55" s="148"/>
      <c r="CG55" s="149"/>
      <c r="CH55" s="148"/>
      <c r="CJ55" s="148"/>
    </row>
    <row r="56" spans="2:89" s="146" customFormat="1" x14ac:dyDescent="0.25">
      <c r="B56" s="146" t="s">
        <v>289</v>
      </c>
      <c r="C56" s="161" t="s">
        <v>240</v>
      </c>
      <c r="D56" s="148" t="s">
        <v>240</v>
      </c>
      <c r="E56" s="149" t="s">
        <v>240</v>
      </c>
      <c r="F56" s="148" t="s">
        <v>240</v>
      </c>
      <c r="G56" s="150" t="s">
        <v>99</v>
      </c>
      <c r="H56" s="148" t="s">
        <v>240</v>
      </c>
      <c r="I56" s="150" t="s">
        <v>99</v>
      </c>
      <c r="J56" s="148" t="s">
        <v>240</v>
      </c>
      <c r="K56" s="150" t="s">
        <v>99</v>
      </c>
      <c r="L56" s="148" t="s">
        <v>240</v>
      </c>
      <c r="M56" s="150" t="s">
        <v>99</v>
      </c>
      <c r="N56" s="148" t="s">
        <v>240</v>
      </c>
      <c r="O56" s="146" t="s">
        <v>257</v>
      </c>
      <c r="P56" s="148" t="s">
        <v>240</v>
      </c>
      <c r="Q56" s="146" t="s">
        <v>257</v>
      </c>
      <c r="R56" s="148" t="s">
        <v>240</v>
      </c>
      <c r="S56" s="193" t="s">
        <v>258</v>
      </c>
      <c r="T56" s="148" t="s">
        <v>240</v>
      </c>
      <c r="U56" s="193" t="s">
        <v>258</v>
      </c>
      <c r="V56" s="148" t="s">
        <v>240</v>
      </c>
      <c r="W56" s="149" t="s">
        <v>240</v>
      </c>
      <c r="X56" s="148" t="s">
        <v>240</v>
      </c>
      <c r="Y56" s="149" t="s">
        <v>240</v>
      </c>
      <c r="Z56" s="148" t="s">
        <v>240</v>
      </c>
      <c r="AA56" s="149" t="s">
        <v>240</v>
      </c>
      <c r="AB56" s="148" t="s">
        <v>240</v>
      </c>
      <c r="AC56" s="149" t="s">
        <v>240</v>
      </c>
      <c r="AD56" s="148" t="s">
        <v>266</v>
      </c>
      <c r="AE56" s="149" t="s">
        <v>99</v>
      </c>
      <c r="AF56" s="148" t="s">
        <v>266</v>
      </c>
      <c r="AG56" s="149" t="s">
        <v>99</v>
      </c>
      <c r="AH56" s="148">
        <v>9</v>
      </c>
      <c r="AI56" s="146" t="s">
        <v>44</v>
      </c>
      <c r="AJ56" s="148">
        <v>9</v>
      </c>
      <c r="AK56" s="146" t="s">
        <v>44</v>
      </c>
      <c r="AL56" s="148" t="s">
        <v>240</v>
      </c>
      <c r="AM56" s="146" t="s">
        <v>262</v>
      </c>
      <c r="AN56" s="148" t="s">
        <v>240</v>
      </c>
      <c r="AO56" s="146" t="s">
        <v>262</v>
      </c>
      <c r="AP56" s="148" t="s">
        <v>240</v>
      </c>
      <c r="AQ56" s="146" t="s">
        <v>262</v>
      </c>
      <c r="AR56" s="148" t="s">
        <v>240</v>
      </c>
      <c r="AS56" s="146" t="s">
        <v>262</v>
      </c>
      <c r="AT56" s="148" t="s">
        <v>240</v>
      </c>
      <c r="AU56" s="146" t="s">
        <v>263</v>
      </c>
      <c r="AV56" s="148" t="s">
        <v>240</v>
      </c>
      <c r="AW56" s="146" t="s">
        <v>263</v>
      </c>
      <c r="AX56" s="156"/>
      <c r="AZ56" s="148"/>
      <c r="BB56" s="152"/>
      <c r="BD56" s="148"/>
      <c r="BF56" s="148"/>
      <c r="BH56" s="148"/>
      <c r="BJ56" s="192"/>
      <c r="BK56" s="150"/>
      <c r="BL56" s="148"/>
      <c r="BM56" s="150"/>
      <c r="BN56" s="148" t="s">
        <v>266</v>
      </c>
      <c r="BO56" s="149" t="s">
        <v>99</v>
      </c>
      <c r="BP56" s="148" t="s">
        <v>266</v>
      </c>
      <c r="BQ56" s="149" t="s">
        <v>99</v>
      </c>
      <c r="BR56" s="148" t="s">
        <v>266</v>
      </c>
      <c r="BS56" s="149" t="s">
        <v>99</v>
      </c>
      <c r="BT56" s="148" t="s">
        <v>266</v>
      </c>
      <c r="BU56" s="149" t="s">
        <v>99</v>
      </c>
      <c r="BZ56" s="148" t="s">
        <v>266</v>
      </c>
      <c r="CA56" s="149" t="s">
        <v>99</v>
      </c>
      <c r="CB56" s="148" t="s">
        <v>266</v>
      </c>
      <c r="CC56" s="149" t="s">
        <v>99</v>
      </c>
      <c r="CD56" s="152"/>
      <c r="CF56" s="148"/>
      <c r="CG56" s="149"/>
      <c r="CH56" s="148"/>
      <c r="CJ56" s="148"/>
    </row>
    <row r="57" spans="2:89" s="146" customFormat="1" x14ac:dyDescent="0.25">
      <c r="B57" s="146" t="s">
        <v>290</v>
      </c>
      <c r="C57" s="161" t="s">
        <v>240</v>
      </c>
      <c r="D57" s="148" t="s">
        <v>240</v>
      </c>
      <c r="E57" s="149" t="s">
        <v>240</v>
      </c>
      <c r="F57" s="148" t="s">
        <v>240</v>
      </c>
      <c r="G57" s="150" t="s">
        <v>99</v>
      </c>
      <c r="H57" s="148" t="s">
        <v>240</v>
      </c>
      <c r="I57" s="150" t="s">
        <v>99</v>
      </c>
      <c r="J57" s="148" t="s">
        <v>240</v>
      </c>
      <c r="K57" s="150" t="s">
        <v>99</v>
      </c>
      <c r="L57" s="148" t="s">
        <v>240</v>
      </c>
      <c r="M57" s="150" t="s">
        <v>99</v>
      </c>
      <c r="N57" s="148" t="s">
        <v>240</v>
      </c>
      <c r="O57" s="146" t="s">
        <v>257</v>
      </c>
      <c r="P57" s="148" t="s">
        <v>240</v>
      </c>
      <c r="Q57" s="146" t="s">
        <v>257</v>
      </c>
      <c r="R57" s="148" t="s">
        <v>240</v>
      </c>
      <c r="S57" s="193" t="s">
        <v>258</v>
      </c>
      <c r="T57" s="148" t="s">
        <v>240</v>
      </c>
      <c r="U57" s="193" t="s">
        <v>258</v>
      </c>
      <c r="V57" s="148" t="s">
        <v>240</v>
      </c>
      <c r="W57" s="149" t="s">
        <v>240</v>
      </c>
      <c r="X57" s="148" t="s">
        <v>240</v>
      </c>
      <c r="Y57" s="149" t="s">
        <v>240</v>
      </c>
      <c r="Z57" s="148" t="s">
        <v>240</v>
      </c>
      <c r="AA57" s="149" t="s">
        <v>240</v>
      </c>
      <c r="AB57" s="148" t="s">
        <v>240</v>
      </c>
      <c r="AC57" s="149" t="s">
        <v>240</v>
      </c>
      <c r="AD57" s="148" t="s">
        <v>266</v>
      </c>
      <c r="AE57" s="149" t="s">
        <v>99</v>
      </c>
      <c r="AF57" s="148" t="s">
        <v>266</v>
      </c>
      <c r="AG57" s="149" t="s">
        <v>99</v>
      </c>
      <c r="AH57" s="148">
        <v>7</v>
      </c>
      <c r="AI57" s="146" t="s">
        <v>44</v>
      </c>
      <c r="AJ57" s="148">
        <v>9</v>
      </c>
      <c r="AK57" s="146" t="s">
        <v>44</v>
      </c>
      <c r="AL57" s="148" t="s">
        <v>240</v>
      </c>
      <c r="AM57" s="146" t="s">
        <v>262</v>
      </c>
      <c r="AN57" s="148" t="s">
        <v>240</v>
      </c>
      <c r="AO57" s="146" t="s">
        <v>262</v>
      </c>
      <c r="AP57" s="148" t="s">
        <v>240</v>
      </c>
      <c r="AQ57" s="146" t="s">
        <v>262</v>
      </c>
      <c r="AR57" s="148" t="s">
        <v>240</v>
      </c>
      <c r="AS57" s="146" t="s">
        <v>262</v>
      </c>
      <c r="AT57" s="148" t="s">
        <v>240</v>
      </c>
      <c r="AU57" s="146" t="s">
        <v>263</v>
      </c>
      <c r="AV57" s="148" t="s">
        <v>240</v>
      </c>
      <c r="AW57" s="146" t="s">
        <v>263</v>
      </c>
      <c r="AX57" s="156"/>
      <c r="AZ57" s="150"/>
      <c r="BB57" s="152"/>
      <c r="BD57" s="152"/>
      <c r="BF57" s="148"/>
      <c r="BG57" s="149"/>
      <c r="BH57" s="148"/>
      <c r="BI57" s="149"/>
      <c r="BJ57" s="157"/>
      <c r="BK57" s="150"/>
      <c r="BL57" s="150"/>
      <c r="BM57" s="150"/>
      <c r="BN57" s="148" t="s">
        <v>266</v>
      </c>
      <c r="BO57" s="149" t="s">
        <v>99</v>
      </c>
      <c r="BP57" s="148" t="s">
        <v>266</v>
      </c>
      <c r="BQ57" s="149" t="s">
        <v>99</v>
      </c>
      <c r="BR57" s="148" t="s">
        <v>266</v>
      </c>
      <c r="BS57" s="149" t="s">
        <v>99</v>
      </c>
      <c r="BT57" s="148" t="s">
        <v>266</v>
      </c>
      <c r="BU57" s="149" t="s">
        <v>99</v>
      </c>
      <c r="BZ57" s="148" t="s">
        <v>266</v>
      </c>
      <c r="CA57" s="149" t="s">
        <v>99</v>
      </c>
      <c r="CB57" s="148" t="s">
        <v>266</v>
      </c>
      <c r="CC57" s="149" t="s">
        <v>99</v>
      </c>
      <c r="CD57" s="152"/>
      <c r="CF57" s="152"/>
      <c r="CH57" s="148"/>
      <c r="CJ57" s="148"/>
    </row>
    <row r="58" spans="2:89" s="146" customFormat="1" x14ac:dyDescent="0.25">
      <c r="B58" s="146" t="s">
        <v>291</v>
      </c>
      <c r="C58" s="161" t="s">
        <v>240</v>
      </c>
      <c r="D58" s="148" t="s">
        <v>240</v>
      </c>
      <c r="E58" s="149" t="s">
        <v>240</v>
      </c>
      <c r="F58" s="148" t="s">
        <v>240</v>
      </c>
      <c r="G58" s="150" t="s">
        <v>99</v>
      </c>
      <c r="H58" s="148" t="s">
        <v>240</v>
      </c>
      <c r="I58" s="150" t="s">
        <v>99</v>
      </c>
      <c r="J58" s="148" t="s">
        <v>240</v>
      </c>
      <c r="K58" s="150" t="s">
        <v>99</v>
      </c>
      <c r="L58" s="148" t="s">
        <v>240</v>
      </c>
      <c r="M58" s="150" t="s">
        <v>99</v>
      </c>
      <c r="N58" s="148" t="s">
        <v>240</v>
      </c>
      <c r="O58" s="146" t="s">
        <v>257</v>
      </c>
      <c r="P58" s="148" t="s">
        <v>240</v>
      </c>
      <c r="Q58" s="146" t="s">
        <v>257</v>
      </c>
      <c r="R58" s="148" t="s">
        <v>240</v>
      </c>
      <c r="S58" s="193" t="s">
        <v>258</v>
      </c>
      <c r="T58" s="148" t="s">
        <v>240</v>
      </c>
      <c r="U58" s="193" t="s">
        <v>258</v>
      </c>
      <c r="V58" s="148" t="s">
        <v>240</v>
      </c>
      <c r="W58" s="149" t="s">
        <v>240</v>
      </c>
      <c r="X58" s="148" t="s">
        <v>240</v>
      </c>
      <c r="Y58" s="149" t="s">
        <v>240</v>
      </c>
      <c r="Z58" s="148" t="s">
        <v>240</v>
      </c>
      <c r="AA58" s="149" t="s">
        <v>240</v>
      </c>
      <c r="AB58" s="148" t="s">
        <v>240</v>
      </c>
      <c r="AC58" s="149" t="s">
        <v>240</v>
      </c>
      <c r="AD58" s="148" t="s">
        <v>266</v>
      </c>
      <c r="AE58" s="149" t="s">
        <v>99</v>
      </c>
      <c r="AF58" s="148" t="s">
        <v>266</v>
      </c>
      <c r="AG58" s="149" t="s">
        <v>99</v>
      </c>
      <c r="AH58" s="148">
        <v>6</v>
      </c>
      <c r="AI58" s="146" t="s">
        <v>44</v>
      </c>
      <c r="AJ58" s="148">
        <v>9</v>
      </c>
      <c r="AK58" s="146" t="s">
        <v>44</v>
      </c>
      <c r="AL58" s="148" t="s">
        <v>240</v>
      </c>
      <c r="AM58" s="146" t="s">
        <v>262</v>
      </c>
      <c r="AN58" s="148" t="s">
        <v>240</v>
      </c>
      <c r="AO58" s="146" t="s">
        <v>262</v>
      </c>
      <c r="AP58" s="148">
        <v>100</v>
      </c>
      <c r="AQ58" s="146" t="s">
        <v>262</v>
      </c>
      <c r="AR58" s="148">
        <v>100</v>
      </c>
      <c r="AS58" s="146" t="s">
        <v>262</v>
      </c>
      <c r="AT58" s="148" t="s">
        <v>292</v>
      </c>
      <c r="AU58" s="146" t="s">
        <v>263</v>
      </c>
      <c r="AV58" s="148" t="s">
        <v>292</v>
      </c>
      <c r="AW58" s="146" t="s">
        <v>263</v>
      </c>
      <c r="AX58" s="192"/>
      <c r="AZ58" s="148"/>
      <c r="BB58" s="148"/>
      <c r="BD58" s="148"/>
      <c r="BF58" s="148"/>
      <c r="BH58" s="148"/>
      <c r="BJ58" s="192"/>
      <c r="BK58" s="150"/>
      <c r="BL58" s="148"/>
      <c r="BM58" s="150"/>
      <c r="BN58" s="148" t="s">
        <v>266</v>
      </c>
      <c r="BO58" s="149" t="s">
        <v>99</v>
      </c>
      <c r="BP58" s="148" t="s">
        <v>266</v>
      </c>
      <c r="BQ58" s="149" t="s">
        <v>99</v>
      </c>
      <c r="BR58" s="148" t="s">
        <v>266</v>
      </c>
      <c r="BS58" s="149" t="s">
        <v>99</v>
      </c>
      <c r="BT58" s="148" t="s">
        <v>266</v>
      </c>
      <c r="BU58" s="149" t="s">
        <v>99</v>
      </c>
      <c r="BV58" s="148"/>
      <c r="BX58" s="148"/>
      <c r="BZ58" s="148" t="s">
        <v>266</v>
      </c>
      <c r="CA58" s="149" t="s">
        <v>99</v>
      </c>
      <c r="CB58" s="148" t="s">
        <v>266</v>
      </c>
      <c r="CC58" s="149" t="s">
        <v>99</v>
      </c>
      <c r="CD58" s="148"/>
      <c r="CE58" s="149"/>
      <c r="CF58" s="148"/>
      <c r="CG58" s="149"/>
      <c r="CH58" s="148"/>
      <c r="CJ58" s="148"/>
    </row>
    <row r="59" spans="2:89" s="146" customFormat="1" x14ac:dyDescent="0.25">
      <c r="B59" s="146" t="s">
        <v>293</v>
      </c>
      <c r="C59" s="161" t="s">
        <v>240</v>
      </c>
      <c r="D59" s="148" t="s">
        <v>240</v>
      </c>
      <c r="E59" s="149" t="s">
        <v>240</v>
      </c>
      <c r="F59" s="148" t="s">
        <v>240</v>
      </c>
      <c r="G59" s="150" t="s">
        <v>99</v>
      </c>
      <c r="H59" s="148" t="s">
        <v>240</v>
      </c>
      <c r="I59" s="150" t="s">
        <v>99</v>
      </c>
      <c r="J59" s="148" t="s">
        <v>240</v>
      </c>
      <c r="K59" s="150" t="s">
        <v>99</v>
      </c>
      <c r="L59" s="148" t="s">
        <v>240</v>
      </c>
      <c r="M59" s="150" t="s">
        <v>99</v>
      </c>
      <c r="N59" s="148" t="s">
        <v>240</v>
      </c>
      <c r="O59" s="146" t="s">
        <v>257</v>
      </c>
      <c r="P59" s="148" t="s">
        <v>240</v>
      </c>
      <c r="Q59" s="146" t="s">
        <v>257</v>
      </c>
      <c r="R59" s="148" t="s">
        <v>240</v>
      </c>
      <c r="S59" s="193" t="s">
        <v>258</v>
      </c>
      <c r="T59" s="148" t="s">
        <v>240</v>
      </c>
      <c r="U59" s="193" t="s">
        <v>258</v>
      </c>
      <c r="V59" s="148" t="s">
        <v>240</v>
      </c>
      <c r="W59" s="149" t="s">
        <v>240</v>
      </c>
      <c r="X59" s="148" t="s">
        <v>240</v>
      </c>
      <c r="Y59" s="149" t="s">
        <v>240</v>
      </c>
      <c r="Z59" s="148" t="s">
        <v>240</v>
      </c>
      <c r="AA59" s="149" t="s">
        <v>240</v>
      </c>
      <c r="AB59" s="148" t="s">
        <v>240</v>
      </c>
      <c r="AC59" s="149" t="s">
        <v>240</v>
      </c>
      <c r="AD59" s="148" t="s">
        <v>266</v>
      </c>
      <c r="AE59" s="149" t="s">
        <v>99</v>
      </c>
      <c r="AF59" s="148" t="s">
        <v>266</v>
      </c>
      <c r="AG59" s="149" t="s">
        <v>99</v>
      </c>
      <c r="AH59" s="148">
        <v>6</v>
      </c>
      <c r="AI59" s="146" t="s">
        <v>44</v>
      </c>
      <c r="AJ59" s="148">
        <v>9</v>
      </c>
      <c r="AK59" s="146" t="s">
        <v>44</v>
      </c>
      <c r="AL59" s="148" t="s">
        <v>240</v>
      </c>
      <c r="AM59" s="146" t="s">
        <v>262</v>
      </c>
      <c r="AN59" s="148" t="s">
        <v>240</v>
      </c>
      <c r="AO59" s="146" t="s">
        <v>262</v>
      </c>
      <c r="AP59" s="148">
        <v>80</v>
      </c>
      <c r="AQ59" s="146" t="s">
        <v>262</v>
      </c>
      <c r="AR59" s="148">
        <v>100</v>
      </c>
      <c r="AS59" s="146" t="s">
        <v>262</v>
      </c>
      <c r="AT59" s="148" t="s">
        <v>292</v>
      </c>
      <c r="AU59" s="146" t="s">
        <v>263</v>
      </c>
      <c r="AV59" s="148" t="s">
        <v>292</v>
      </c>
      <c r="AW59" s="146" t="s">
        <v>263</v>
      </c>
      <c r="AX59" s="192"/>
      <c r="AZ59" s="148"/>
      <c r="BB59" s="148"/>
      <c r="BD59" s="148"/>
      <c r="BF59" s="148"/>
      <c r="BH59" s="148"/>
      <c r="BJ59" s="192"/>
      <c r="BK59" s="150"/>
      <c r="BL59" s="148"/>
      <c r="BM59" s="150"/>
      <c r="BN59" s="148" t="s">
        <v>266</v>
      </c>
      <c r="BO59" s="149" t="s">
        <v>99</v>
      </c>
      <c r="BP59" s="148" t="s">
        <v>266</v>
      </c>
      <c r="BQ59" s="149" t="s">
        <v>99</v>
      </c>
      <c r="BR59" s="148" t="s">
        <v>266</v>
      </c>
      <c r="BS59" s="149" t="s">
        <v>99</v>
      </c>
      <c r="BT59" s="148" t="s">
        <v>266</v>
      </c>
      <c r="BU59" s="149" t="s">
        <v>99</v>
      </c>
      <c r="BV59" s="148"/>
      <c r="BX59" s="148"/>
      <c r="BZ59" s="148" t="s">
        <v>266</v>
      </c>
      <c r="CA59" s="149" t="s">
        <v>99</v>
      </c>
      <c r="CB59" s="148" t="s">
        <v>266</v>
      </c>
      <c r="CC59" s="149" t="s">
        <v>99</v>
      </c>
      <c r="CD59" s="148"/>
      <c r="CE59" s="149"/>
      <c r="CF59" s="148"/>
      <c r="CG59" s="149"/>
      <c r="CH59" s="148"/>
      <c r="CJ59" s="148"/>
    </row>
    <row r="60" spans="2:89" s="114" customFormat="1" x14ac:dyDescent="0.25">
      <c r="B60" s="194"/>
      <c r="C60" s="166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4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4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</row>
    <row r="61" spans="2:89" s="114" customFormat="1" x14ac:dyDescent="0.25">
      <c r="B61" s="194"/>
      <c r="C61" s="166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4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4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  <c r="CA61" s="85"/>
      <c r="CB61" s="85"/>
      <c r="CC61" s="85"/>
      <c r="CD61" s="85"/>
      <c r="CE61" s="85"/>
      <c r="CF61" s="85"/>
      <c r="CG61" s="85"/>
      <c r="CH61" s="85"/>
      <c r="CI61" s="85"/>
      <c r="CJ61" s="85"/>
      <c r="CK61" s="85"/>
    </row>
    <row r="62" spans="2:89" x14ac:dyDescent="0.25">
      <c r="C62" s="83"/>
      <c r="AH62" s="85"/>
      <c r="AI62" s="85"/>
      <c r="AJ62" s="85"/>
      <c r="AP62" s="85"/>
      <c r="AQ62" s="85"/>
      <c r="AR62" s="85"/>
      <c r="AS62" s="85"/>
      <c r="AT62" s="85"/>
      <c r="AU62" s="85"/>
      <c r="AV62" s="85"/>
      <c r="AW62" s="85"/>
      <c r="AX62" s="84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4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/>
      <c r="CB62" s="85"/>
      <c r="CC62" s="85"/>
      <c r="CD62" s="85"/>
      <c r="CE62" s="85"/>
      <c r="CF62" s="85"/>
      <c r="CG62" s="85"/>
      <c r="CH62" s="85"/>
      <c r="CI62" s="85"/>
      <c r="CJ62" s="85"/>
      <c r="CK62" s="85"/>
    </row>
    <row r="63" spans="2:89" s="86" customFormat="1" ht="21" x14ac:dyDescent="0.25">
      <c r="B63" s="86" t="s">
        <v>64</v>
      </c>
      <c r="C63" s="87" t="s">
        <v>287</v>
      </c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92"/>
      <c r="AI63" s="92"/>
      <c r="AJ63" s="92"/>
      <c r="AK63" s="88"/>
      <c r="AL63" s="88"/>
      <c r="AM63" s="88"/>
      <c r="AN63" s="88"/>
      <c r="AO63" s="88"/>
      <c r="AP63" s="92"/>
      <c r="AQ63" s="92"/>
      <c r="AR63" s="92"/>
      <c r="AS63" s="92"/>
      <c r="AT63" s="92"/>
      <c r="AU63" s="92"/>
      <c r="AV63" s="92"/>
      <c r="AW63" s="92"/>
      <c r="AX63" s="90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0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</row>
    <row r="64" spans="2:89" x14ac:dyDescent="0.25">
      <c r="C64" s="83"/>
      <c r="D64" s="180"/>
      <c r="E64" s="180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2"/>
      <c r="AI64" s="182"/>
      <c r="AJ64" s="182"/>
      <c r="AK64" s="181"/>
      <c r="AP64" s="85"/>
      <c r="AQ64" s="85"/>
      <c r="AR64" s="85"/>
      <c r="AS64" s="85"/>
      <c r="AT64" s="85"/>
      <c r="AU64" s="85"/>
      <c r="AV64" s="85"/>
      <c r="AW64" s="85"/>
      <c r="AX64" s="183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3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85"/>
      <c r="CJ64" s="182"/>
      <c r="CK64" s="85"/>
    </row>
    <row r="65" spans="2:90" s="187" customFormat="1" x14ac:dyDescent="0.25">
      <c r="B65" s="63"/>
      <c r="C65" s="95" t="s">
        <v>246</v>
      </c>
      <c r="D65" s="96" t="s">
        <v>247</v>
      </c>
      <c r="E65" s="97"/>
      <c r="F65" s="98" t="s">
        <v>248</v>
      </c>
      <c r="G65" s="98"/>
      <c r="H65" s="98"/>
      <c r="I65" s="98"/>
      <c r="J65" s="98" t="s">
        <v>249</v>
      </c>
      <c r="K65" s="98"/>
      <c r="L65" s="98"/>
      <c r="M65" s="98"/>
      <c r="N65" s="98" t="s">
        <v>250</v>
      </c>
      <c r="O65" s="98"/>
      <c r="P65" s="98"/>
      <c r="Q65" s="98"/>
      <c r="R65" s="98" t="s">
        <v>251</v>
      </c>
      <c r="S65" s="98"/>
      <c r="T65" s="98"/>
      <c r="U65" s="98"/>
      <c r="V65" s="98" t="s">
        <v>252</v>
      </c>
      <c r="W65" s="98"/>
      <c r="X65" s="98"/>
      <c r="Y65" s="98"/>
      <c r="Z65" s="98" t="s">
        <v>253</v>
      </c>
      <c r="AA65" s="98"/>
      <c r="AB65" s="98"/>
      <c r="AC65" s="98"/>
      <c r="AD65" s="98" t="s">
        <v>329</v>
      </c>
      <c r="AE65" s="98"/>
      <c r="AF65" s="98"/>
      <c r="AG65" s="98"/>
      <c r="AH65" s="99" t="s">
        <v>78</v>
      </c>
      <c r="AI65" s="99"/>
      <c r="AJ65" s="99"/>
      <c r="AK65" s="98"/>
      <c r="AL65" s="98" t="s">
        <v>80</v>
      </c>
      <c r="AM65" s="98"/>
      <c r="AN65" s="98"/>
      <c r="AO65" s="98"/>
      <c r="AP65" s="99" t="s">
        <v>534</v>
      </c>
      <c r="AQ65" s="99"/>
      <c r="AR65" s="99"/>
      <c r="AS65" s="99"/>
      <c r="AT65" s="99" t="s">
        <v>82</v>
      </c>
      <c r="AU65" s="99"/>
      <c r="AV65" s="99"/>
      <c r="AW65" s="99"/>
      <c r="AX65" s="100" t="s">
        <v>251</v>
      </c>
      <c r="AY65" s="99"/>
      <c r="AZ65" s="99"/>
      <c r="BA65" s="99"/>
      <c r="BB65" s="99" t="s">
        <v>252</v>
      </c>
      <c r="BC65" s="99"/>
      <c r="BD65" s="99"/>
      <c r="BE65" s="99"/>
      <c r="BF65" s="99" t="s">
        <v>253</v>
      </c>
      <c r="BG65" s="99"/>
      <c r="BH65" s="99"/>
      <c r="BI65" s="99"/>
      <c r="BJ65" s="100" t="s">
        <v>72</v>
      </c>
      <c r="BK65" s="99"/>
      <c r="BL65" s="99"/>
      <c r="BM65" s="99"/>
      <c r="BN65" s="99" t="s">
        <v>77</v>
      </c>
      <c r="BO65" s="99"/>
      <c r="BP65" s="99"/>
      <c r="BQ65" s="99"/>
      <c r="BR65" s="99" t="s">
        <v>329</v>
      </c>
      <c r="BS65" s="99"/>
      <c r="BT65" s="99"/>
      <c r="BU65" s="99"/>
      <c r="BV65" s="99" t="s">
        <v>78</v>
      </c>
      <c r="BW65" s="99"/>
      <c r="BX65" s="99"/>
      <c r="BY65" s="99"/>
      <c r="BZ65" s="99" t="s">
        <v>80</v>
      </c>
      <c r="CA65" s="99"/>
      <c r="CB65" s="99"/>
      <c r="CC65" s="99"/>
      <c r="CD65" s="99" t="s">
        <v>534</v>
      </c>
      <c r="CE65" s="99"/>
      <c r="CF65" s="99"/>
      <c r="CG65" s="99"/>
      <c r="CH65" s="99" t="s">
        <v>82</v>
      </c>
      <c r="CI65" s="99"/>
      <c r="CJ65" s="99"/>
      <c r="CK65" s="99"/>
    </row>
    <row r="66" spans="2:90" s="187" customFormat="1" x14ac:dyDescent="0.25">
      <c r="B66" s="186"/>
      <c r="C66" s="104"/>
      <c r="D66" s="105"/>
      <c r="E66" s="106"/>
      <c r="F66" s="107">
        <v>2025</v>
      </c>
      <c r="G66" s="107"/>
      <c r="H66" s="107">
        <v>2050</v>
      </c>
      <c r="I66" s="107"/>
      <c r="J66" s="107">
        <v>2025</v>
      </c>
      <c r="K66" s="107"/>
      <c r="L66" s="107">
        <v>2050</v>
      </c>
      <c r="M66" s="107"/>
      <c r="N66" s="107">
        <v>2025</v>
      </c>
      <c r="O66" s="107"/>
      <c r="P66" s="107">
        <v>2050</v>
      </c>
      <c r="Q66" s="107"/>
      <c r="R66" s="107">
        <v>2025</v>
      </c>
      <c r="S66" s="106"/>
      <c r="T66" s="107">
        <v>2050</v>
      </c>
      <c r="U66" s="106"/>
      <c r="V66" s="107">
        <v>2025</v>
      </c>
      <c r="W66" s="106"/>
      <c r="X66" s="107">
        <v>2050</v>
      </c>
      <c r="Y66" s="107"/>
      <c r="Z66" s="107">
        <v>2025</v>
      </c>
      <c r="AA66" s="107"/>
      <c r="AB66" s="107">
        <v>2050</v>
      </c>
      <c r="AC66" s="107"/>
      <c r="AD66" s="107">
        <v>2025</v>
      </c>
      <c r="AE66" s="107"/>
      <c r="AF66" s="107">
        <v>2050</v>
      </c>
      <c r="AG66" s="107"/>
      <c r="AH66" s="107">
        <v>2025</v>
      </c>
      <c r="AI66" s="107"/>
      <c r="AJ66" s="107">
        <v>2050</v>
      </c>
      <c r="AK66" s="107"/>
      <c r="AL66" s="107">
        <v>2025</v>
      </c>
      <c r="AM66" s="107"/>
      <c r="AN66" s="107">
        <v>2050</v>
      </c>
      <c r="AO66" s="107"/>
      <c r="AP66" s="107">
        <v>2025</v>
      </c>
      <c r="AQ66" s="108"/>
      <c r="AR66" s="108">
        <v>2050</v>
      </c>
      <c r="AS66" s="109"/>
      <c r="AT66" s="107">
        <v>2025</v>
      </c>
      <c r="AU66" s="107"/>
      <c r="AV66" s="107">
        <v>2050</v>
      </c>
      <c r="AW66" s="110"/>
      <c r="AX66" s="111">
        <v>2025</v>
      </c>
      <c r="AY66" s="107"/>
      <c r="AZ66" s="107">
        <v>2050</v>
      </c>
      <c r="BA66" s="107"/>
      <c r="BB66" s="107">
        <v>2025</v>
      </c>
      <c r="BC66" s="107"/>
      <c r="BD66" s="107">
        <v>2050</v>
      </c>
      <c r="BE66" s="107"/>
      <c r="BF66" s="107">
        <v>2025</v>
      </c>
      <c r="BG66" s="107"/>
      <c r="BH66" s="107">
        <v>2050</v>
      </c>
      <c r="BI66" s="107"/>
      <c r="BJ66" s="112">
        <v>2025</v>
      </c>
      <c r="BK66" s="108"/>
      <c r="BL66" s="108">
        <v>2050</v>
      </c>
      <c r="BM66" s="108"/>
      <c r="BN66" s="108">
        <v>2025</v>
      </c>
      <c r="BO66" s="108"/>
      <c r="BP66" s="108">
        <v>2050</v>
      </c>
      <c r="BQ66" s="108"/>
      <c r="BR66" s="108">
        <v>2025</v>
      </c>
      <c r="BS66" s="108"/>
      <c r="BT66" s="108">
        <v>2050</v>
      </c>
      <c r="BU66" s="108"/>
      <c r="BV66" s="108">
        <v>2025</v>
      </c>
      <c r="BW66" s="108"/>
      <c r="BX66" s="108">
        <v>2050</v>
      </c>
      <c r="BY66" s="108"/>
      <c r="BZ66" s="108">
        <v>2025</v>
      </c>
      <c r="CA66" s="113"/>
      <c r="CB66" s="108">
        <v>2050</v>
      </c>
      <c r="CC66" s="113"/>
      <c r="CD66" s="108">
        <v>2025</v>
      </c>
      <c r="CE66" s="113"/>
      <c r="CF66" s="108">
        <v>2050</v>
      </c>
      <c r="CG66" s="108"/>
      <c r="CH66" s="108">
        <v>2025</v>
      </c>
      <c r="CI66" s="110"/>
      <c r="CJ66" s="108">
        <v>2050</v>
      </c>
      <c r="CK66" s="110"/>
    </row>
    <row r="67" spans="2:90" s="187" customFormat="1" x14ac:dyDescent="0.25">
      <c r="B67" s="62" t="s">
        <v>128</v>
      </c>
      <c r="C67" s="84" t="s">
        <v>255</v>
      </c>
      <c r="D67" s="76" t="s">
        <v>240</v>
      </c>
      <c r="E67" s="188" t="s">
        <v>240</v>
      </c>
      <c r="F67" s="132">
        <v>0.99</v>
      </c>
      <c r="G67" s="93" t="s">
        <v>99</v>
      </c>
      <c r="H67" s="132">
        <v>0.99</v>
      </c>
      <c r="I67" s="93" t="s">
        <v>99</v>
      </c>
      <c r="J67" s="195">
        <v>0.7</v>
      </c>
      <c r="K67" s="196" t="s">
        <v>99</v>
      </c>
      <c r="L67" s="195">
        <v>0.7</v>
      </c>
      <c r="M67" s="196" t="s">
        <v>99</v>
      </c>
      <c r="N67" s="197">
        <v>20</v>
      </c>
      <c r="O67" s="196" t="s">
        <v>257</v>
      </c>
      <c r="P67" s="197">
        <v>20</v>
      </c>
      <c r="Q67" s="196" t="s">
        <v>257</v>
      </c>
      <c r="R67" s="195">
        <f>startYearWeighting*51.8+(1-startYearWeighting)*43.6</f>
        <v>45.24</v>
      </c>
      <c r="S67" s="443" t="s">
        <v>466</v>
      </c>
      <c r="T67" s="195">
        <f>43.6</f>
        <v>43.6</v>
      </c>
      <c r="U67" s="443" t="s">
        <v>466</v>
      </c>
      <c r="V67" s="195">
        <f>(startYearWeighting*2.5+(1-startYearWeighting)*2.1)/N67+(startYearWeighting*0.3+(1-startYearWeighting)*0.3)</f>
        <v>0.40900000000000003</v>
      </c>
      <c r="W67" s="443" t="s">
        <v>259</v>
      </c>
      <c r="X67" s="195">
        <f>2.1/P67+0.3</f>
        <v>0.40500000000000003</v>
      </c>
      <c r="Y67" s="443" t="s">
        <v>259</v>
      </c>
      <c r="Z67" s="197">
        <v>0</v>
      </c>
      <c r="AA67" s="85" t="s">
        <v>260</v>
      </c>
      <c r="AB67" s="197">
        <v>0</v>
      </c>
      <c r="AC67" s="85" t="s">
        <v>260</v>
      </c>
      <c r="AD67" s="126" t="s">
        <v>266</v>
      </c>
      <c r="AE67" s="127" t="s">
        <v>99</v>
      </c>
      <c r="AF67" s="126" t="s">
        <v>266</v>
      </c>
      <c r="AG67" s="127" t="s">
        <v>99</v>
      </c>
      <c r="AH67" s="197">
        <v>9</v>
      </c>
      <c r="AI67" s="196" t="s">
        <v>44</v>
      </c>
      <c r="AJ67" s="197">
        <v>9</v>
      </c>
      <c r="AK67" s="196" t="s">
        <v>44</v>
      </c>
      <c r="AL67" s="126" t="s">
        <v>266</v>
      </c>
      <c r="AM67" s="127" t="s">
        <v>99</v>
      </c>
      <c r="AN67" s="126" t="s">
        <v>266</v>
      </c>
      <c r="AO67" s="127" t="s">
        <v>99</v>
      </c>
      <c r="AP67" s="197">
        <v>40</v>
      </c>
      <c r="AQ67" s="85" t="s">
        <v>262</v>
      </c>
      <c r="AR67" s="198">
        <v>100</v>
      </c>
      <c r="AS67" s="85" t="s">
        <v>262</v>
      </c>
      <c r="AT67" s="121">
        <v>2.5</v>
      </c>
      <c r="AU67" s="85" t="s">
        <v>263</v>
      </c>
      <c r="AV67" s="121">
        <v>2.5</v>
      </c>
      <c r="AW67" s="85" t="s">
        <v>263</v>
      </c>
      <c r="AX67" s="199">
        <f>R67/euroDeflator2010</f>
        <v>45.855480620809423</v>
      </c>
      <c r="AY67" s="443" t="s">
        <v>467</v>
      </c>
      <c r="AZ67" s="195">
        <f>T67/euroDeflator2010</f>
        <v>44.193168768065668</v>
      </c>
      <c r="BA67" s="443" t="s">
        <v>467</v>
      </c>
      <c r="BB67" s="123">
        <f>V67/euroDeflator2010</f>
        <v>0.4145643583976803</v>
      </c>
      <c r="BC67" s="443" t="s">
        <v>268</v>
      </c>
      <c r="BD67" s="123">
        <f>X67/euroDeflator2010</f>
        <v>0.41050993924464674</v>
      </c>
      <c r="BE67" s="443" t="s">
        <v>268</v>
      </c>
      <c r="BF67" s="195">
        <f>Z67/F67/3.6*0/1000*energyContentH2</f>
        <v>0</v>
      </c>
      <c r="BG67" s="85" t="s">
        <v>265</v>
      </c>
      <c r="BH67" s="195">
        <f>AB67/H67/3.6*0/1000*energyContentH2</f>
        <v>0</v>
      </c>
      <c r="BI67" s="85" t="s">
        <v>265</v>
      </c>
      <c r="BJ67" s="456">
        <f>(AX67/N67+BB67)/1000*energyContentH2+BF67</f>
        <v>0.32488060673257818</v>
      </c>
      <c r="BK67" s="123" t="s">
        <v>265</v>
      </c>
      <c r="BL67" s="189">
        <f>(AZ67/P67+BD67)/1000*energyContentH2+BH67</f>
        <v>0.31442020531775161</v>
      </c>
      <c r="BM67" s="123" t="s">
        <v>265</v>
      </c>
      <c r="BN67" s="126" t="s">
        <v>266</v>
      </c>
      <c r="BO67" s="127" t="s">
        <v>99</v>
      </c>
      <c r="BP67" s="126" t="s">
        <v>266</v>
      </c>
      <c r="BQ67" s="127" t="s">
        <v>99</v>
      </c>
      <c r="BR67" s="126" t="s">
        <v>266</v>
      </c>
      <c r="BS67" s="127" t="s">
        <v>99</v>
      </c>
      <c r="BT67" s="126" t="s">
        <v>266</v>
      </c>
      <c r="BU67" s="127" t="s">
        <v>99</v>
      </c>
      <c r="BV67" s="85">
        <f t="shared" ref="BV67:BV73" si="21">AH67</f>
        <v>9</v>
      </c>
      <c r="BW67" s="85" t="s">
        <v>44</v>
      </c>
      <c r="BX67" s="85">
        <f t="shared" ref="BX67:BX73" si="22">AJ67</f>
        <v>9</v>
      </c>
      <c r="BY67" s="85" t="s">
        <v>44</v>
      </c>
      <c r="BZ67" s="126" t="s">
        <v>266</v>
      </c>
      <c r="CA67" s="127" t="s">
        <v>99</v>
      </c>
      <c r="CB67" s="126" t="s">
        <v>266</v>
      </c>
      <c r="CC67" s="127" t="s">
        <v>99</v>
      </c>
      <c r="CD67" s="85">
        <f t="shared" ref="CD67:CD73" si="23">AP67</f>
        <v>40</v>
      </c>
      <c r="CE67" s="85" t="s">
        <v>262</v>
      </c>
      <c r="CF67" s="85">
        <f t="shared" ref="CF67:CF73" si="24">AR67</f>
        <v>100</v>
      </c>
      <c r="CG67" s="85" t="s">
        <v>262</v>
      </c>
      <c r="CH67" s="131">
        <f t="shared" ref="CH67:CH73" si="25">IF(PAmedium="Default",(6-AT67)/5*100,IF(PAmedium="High",(6-(AT67-1))/5*100,(6-(AT67+1))/5*100))</f>
        <v>70</v>
      </c>
      <c r="CI67" s="443" t="s">
        <v>516</v>
      </c>
      <c r="CJ67" s="131">
        <f t="shared" ref="CJ67:CJ73" si="26">IF(PAmedium="Default",(6-AV67)/5*100,IF(PAmedium="High",(6-(AV67-1))/5*100,(6-(AV67+1))/5*100))</f>
        <v>70</v>
      </c>
      <c r="CK67" s="443" t="s">
        <v>516</v>
      </c>
      <c r="CL67" s="63"/>
    </row>
    <row r="68" spans="2:90" s="187" customFormat="1" x14ac:dyDescent="0.25">
      <c r="B68" s="62" t="s">
        <v>157</v>
      </c>
      <c r="C68" s="84" t="s">
        <v>255</v>
      </c>
      <c r="D68" s="76" t="s">
        <v>240</v>
      </c>
      <c r="E68" s="188" t="s">
        <v>240</v>
      </c>
      <c r="F68" s="132">
        <v>0.99</v>
      </c>
      <c r="G68" s="93" t="s">
        <v>99</v>
      </c>
      <c r="H68" s="132">
        <v>0.99</v>
      </c>
      <c r="I68" s="93" t="s">
        <v>99</v>
      </c>
      <c r="J68" s="195">
        <v>0.7</v>
      </c>
      <c r="K68" s="196" t="s">
        <v>99</v>
      </c>
      <c r="L68" s="195">
        <v>0.7</v>
      </c>
      <c r="M68" s="196" t="s">
        <v>99</v>
      </c>
      <c r="N68" s="197">
        <v>20</v>
      </c>
      <c r="O68" s="196" t="s">
        <v>257</v>
      </c>
      <c r="P68" s="197">
        <v>20</v>
      </c>
      <c r="Q68" s="196" t="s">
        <v>257</v>
      </c>
      <c r="R68" s="195">
        <f>startYearWeighting*5.9+(1-startYearWeighting)*4.9</f>
        <v>5.1000000000000005</v>
      </c>
      <c r="S68" s="443" t="s">
        <v>466</v>
      </c>
      <c r="T68" s="195">
        <f>4.9</f>
        <v>4.9000000000000004</v>
      </c>
      <c r="U68" s="443" t="s">
        <v>466</v>
      </c>
      <c r="V68" s="195">
        <f>(startYearWeighting*0.4+(1-startYearWeighting)*0.3)/N68+(startYearWeighting*0.1+(1-startYearWeighting)*0.1)</f>
        <v>0.11600000000000002</v>
      </c>
      <c r="W68" s="443" t="s">
        <v>259</v>
      </c>
      <c r="X68" s="195">
        <f>0.3/P68+0.1</f>
        <v>0.115</v>
      </c>
      <c r="Y68" s="443" t="s">
        <v>259</v>
      </c>
      <c r="Z68" s="115">
        <f>electricityPrice</f>
        <v>45</v>
      </c>
      <c r="AA68" s="85" t="s">
        <v>260</v>
      </c>
      <c r="AB68" s="115">
        <f>electricityPrice</f>
        <v>45</v>
      </c>
      <c r="AC68" s="85" t="s">
        <v>260</v>
      </c>
      <c r="AD68" s="126" t="s">
        <v>266</v>
      </c>
      <c r="AE68" s="127" t="s">
        <v>99</v>
      </c>
      <c r="AF68" s="126" t="s">
        <v>266</v>
      </c>
      <c r="AG68" s="127" t="s">
        <v>99</v>
      </c>
      <c r="AH68" s="197">
        <v>7</v>
      </c>
      <c r="AI68" s="196" t="s">
        <v>44</v>
      </c>
      <c r="AJ68" s="197">
        <v>8</v>
      </c>
      <c r="AK68" s="196" t="s">
        <v>44</v>
      </c>
      <c r="AL68" s="126" t="s">
        <v>266</v>
      </c>
      <c r="AM68" s="127" t="s">
        <v>99</v>
      </c>
      <c r="AN68" s="126" t="s">
        <v>266</v>
      </c>
      <c r="AO68" s="127" t="s">
        <v>99</v>
      </c>
      <c r="AP68" s="197">
        <v>100</v>
      </c>
      <c r="AQ68" s="85" t="s">
        <v>262</v>
      </c>
      <c r="AR68" s="198">
        <v>100</v>
      </c>
      <c r="AS68" s="85" t="s">
        <v>262</v>
      </c>
      <c r="AT68" s="121">
        <v>1.5</v>
      </c>
      <c r="AU68" s="85" t="s">
        <v>263</v>
      </c>
      <c r="AV68" s="121">
        <v>1.5</v>
      </c>
      <c r="AW68" s="85" t="s">
        <v>263</v>
      </c>
      <c r="AX68" s="199">
        <f>R68/euroDeflator2010</f>
        <v>5.1693844201177734</v>
      </c>
      <c r="AY68" s="443" t="s">
        <v>467</v>
      </c>
      <c r="AZ68" s="195">
        <f>T68/euroDeflator2010</f>
        <v>4.9666634624660961</v>
      </c>
      <c r="BA68" s="443" t="s">
        <v>467</v>
      </c>
      <c r="BB68" s="195">
        <f>V68/euroDeflator2010</f>
        <v>0.1175781554379729</v>
      </c>
      <c r="BC68" s="443" t="s">
        <v>268</v>
      </c>
      <c r="BD68" s="195">
        <f>X68/euroDeflator2010</f>
        <v>0.11656455064971449</v>
      </c>
      <c r="BE68" s="443" t="s">
        <v>268</v>
      </c>
      <c r="BF68" s="195">
        <f>Z68/F68/3.6*0.09/1000*energyContentH2</f>
        <v>0.13636363636363635</v>
      </c>
      <c r="BG68" s="85" t="s">
        <v>265</v>
      </c>
      <c r="BH68" s="195">
        <f>AB68/H68/3.6*0.09/1000*energyContentH2</f>
        <v>0.13636363636363635</v>
      </c>
      <c r="BI68" s="85" t="s">
        <v>265</v>
      </c>
      <c r="BJ68" s="144">
        <f>(AX68/N68+BB68)/1000*energyContentH2+BF68</f>
        <v>0.18148932153689973</v>
      </c>
      <c r="BK68" s="125" t="s">
        <v>265</v>
      </c>
      <c r="BL68" s="145">
        <f>(AZ68/P68+BD68)/1000*energyContentH2+BH68</f>
        <v>0.18015136321639869</v>
      </c>
      <c r="BM68" s="125" t="s">
        <v>265</v>
      </c>
      <c r="BN68" s="126" t="s">
        <v>266</v>
      </c>
      <c r="BO68" s="127" t="s">
        <v>99</v>
      </c>
      <c r="BP68" s="126" t="s">
        <v>266</v>
      </c>
      <c r="BQ68" s="127" t="s">
        <v>99</v>
      </c>
      <c r="BR68" s="126" t="s">
        <v>266</v>
      </c>
      <c r="BS68" s="127" t="s">
        <v>99</v>
      </c>
      <c r="BT68" s="126" t="s">
        <v>266</v>
      </c>
      <c r="BU68" s="127" t="s">
        <v>99</v>
      </c>
      <c r="BV68" s="85">
        <f t="shared" si="21"/>
        <v>7</v>
      </c>
      <c r="BW68" s="85" t="s">
        <v>44</v>
      </c>
      <c r="BX68" s="85">
        <f t="shared" si="22"/>
        <v>8</v>
      </c>
      <c r="BY68" s="85" t="s">
        <v>44</v>
      </c>
      <c r="BZ68" s="126" t="s">
        <v>266</v>
      </c>
      <c r="CA68" s="127" t="s">
        <v>99</v>
      </c>
      <c r="CB68" s="126" t="s">
        <v>266</v>
      </c>
      <c r="CC68" s="127" t="s">
        <v>99</v>
      </c>
      <c r="CD68" s="85">
        <f t="shared" si="23"/>
        <v>100</v>
      </c>
      <c r="CE68" s="85" t="s">
        <v>262</v>
      </c>
      <c r="CF68" s="85">
        <f t="shared" si="24"/>
        <v>100</v>
      </c>
      <c r="CG68" s="85" t="s">
        <v>262</v>
      </c>
      <c r="CH68" s="131">
        <f t="shared" si="25"/>
        <v>90</v>
      </c>
      <c r="CI68" s="443" t="s">
        <v>516</v>
      </c>
      <c r="CJ68" s="131">
        <f t="shared" si="26"/>
        <v>90</v>
      </c>
      <c r="CK68" s="443" t="s">
        <v>516</v>
      </c>
      <c r="CL68" s="63"/>
    </row>
    <row r="69" spans="2:90" s="187" customFormat="1" x14ac:dyDescent="0.25">
      <c r="B69" s="62" t="s">
        <v>122</v>
      </c>
      <c r="C69" s="84" t="s">
        <v>255</v>
      </c>
      <c r="D69" s="76" t="s">
        <v>240</v>
      </c>
      <c r="E69" s="188" t="s">
        <v>240</v>
      </c>
      <c r="F69" s="132">
        <v>0.99</v>
      </c>
      <c r="G69" s="93" t="s">
        <v>99</v>
      </c>
      <c r="H69" s="132">
        <v>0.99</v>
      </c>
      <c r="I69" s="93" t="s">
        <v>99</v>
      </c>
      <c r="J69" s="195">
        <v>0.7</v>
      </c>
      <c r="K69" s="196" t="s">
        <v>99</v>
      </c>
      <c r="L69" s="195">
        <v>0.7</v>
      </c>
      <c r="M69" s="196" t="s">
        <v>99</v>
      </c>
      <c r="N69" s="197">
        <v>20</v>
      </c>
      <c r="O69" s="196" t="s">
        <v>257</v>
      </c>
      <c r="P69" s="197">
        <v>20</v>
      </c>
      <c r="Q69" s="196" t="s">
        <v>257</v>
      </c>
      <c r="R69" s="195">
        <f>startYearWeighting*34+(1-startYearWeighting)*30.3</f>
        <v>31.040000000000003</v>
      </c>
      <c r="S69" s="443" t="s">
        <v>466</v>
      </c>
      <c r="T69" s="195">
        <f>30.3</f>
        <v>30.3</v>
      </c>
      <c r="U69" s="443" t="s">
        <v>466</v>
      </c>
      <c r="V69" s="195">
        <f>(startYearWeighting*1.8+(1-startYearWeighting)*1.6)/N69+(startYearWeighting*0.4+(1-startYearWeighting)*0.3)</f>
        <v>0.40200000000000002</v>
      </c>
      <c r="W69" s="443" t="s">
        <v>259</v>
      </c>
      <c r="X69" s="195">
        <f>1.6/P69+0.3</f>
        <v>0.38</v>
      </c>
      <c r="Y69" s="443" t="s">
        <v>259</v>
      </c>
      <c r="Z69" s="115">
        <f>electricityPrice</f>
        <v>45</v>
      </c>
      <c r="AA69" s="85" t="s">
        <v>260</v>
      </c>
      <c r="AB69" s="115">
        <f>electricityPrice</f>
        <v>45</v>
      </c>
      <c r="AC69" s="85" t="s">
        <v>260</v>
      </c>
      <c r="AD69" s="126" t="s">
        <v>266</v>
      </c>
      <c r="AE69" s="127" t="s">
        <v>99</v>
      </c>
      <c r="AF69" s="126" t="s">
        <v>266</v>
      </c>
      <c r="AG69" s="127" t="s">
        <v>99</v>
      </c>
      <c r="AH69" s="197">
        <v>9</v>
      </c>
      <c r="AI69" s="196" t="s">
        <v>44</v>
      </c>
      <c r="AJ69" s="197">
        <v>9</v>
      </c>
      <c r="AK69" s="196" t="s">
        <v>44</v>
      </c>
      <c r="AL69" s="126" t="s">
        <v>266</v>
      </c>
      <c r="AM69" s="127" t="s">
        <v>99</v>
      </c>
      <c r="AN69" s="126" t="s">
        <v>266</v>
      </c>
      <c r="AO69" s="127" t="s">
        <v>99</v>
      </c>
      <c r="AP69" s="197">
        <v>40</v>
      </c>
      <c r="AQ69" s="85" t="s">
        <v>262</v>
      </c>
      <c r="AR69" s="198">
        <v>100</v>
      </c>
      <c r="AS69" s="85" t="s">
        <v>262</v>
      </c>
      <c r="AT69" s="121">
        <v>2.5</v>
      </c>
      <c r="AU69" s="85" t="s">
        <v>263</v>
      </c>
      <c r="AV69" s="121">
        <v>2.5</v>
      </c>
      <c r="AW69" s="85" t="s">
        <v>263</v>
      </c>
      <c r="AX69" s="199">
        <f>R69/euroDeflator2010</f>
        <v>31.462292627540332</v>
      </c>
      <c r="AY69" s="443" t="s">
        <v>467</v>
      </c>
      <c r="AZ69" s="195">
        <f>T69/euroDeflator2010</f>
        <v>30.712225084229125</v>
      </c>
      <c r="BA69" s="443" t="s">
        <v>467</v>
      </c>
      <c r="BB69" s="195">
        <f>V69/euroDeflator2010</f>
        <v>0.40746912487987158</v>
      </c>
      <c r="BC69" s="443" t="s">
        <v>268</v>
      </c>
      <c r="BD69" s="195">
        <f>X69/euroDeflator2010</f>
        <v>0.38516981953818702</v>
      </c>
      <c r="BE69" s="443" t="s">
        <v>268</v>
      </c>
      <c r="BF69" s="195">
        <f>Z69/F69/3.6*0.066/1000*energyContentH2</f>
        <v>0.1</v>
      </c>
      <c r="BG69" s="85" t="s">
        <v>265</v>
      </c>
      <c r="BH69" s="195">
        <f>AB69/H69/3.6*0.066/1000*energyContentH2</f>
        <v>0.1</v>
      </c>
      <c r="BI69" s="85" t="s">
        <v>265</v>
      </c>
      <c r="BJ69" s="144">
        <f>(AX69/N69+BB69)/1000*energyContentH2+BF69</f>
        <v>0.33767005075082657</v>
      </c>
      <c r="BK69" s="125" t="s">
        <v>265</v>
      </c>
      <c r="BL69" s="145">
        <f>(AZ69/P69+BD69)/1000*energyContentH2+BH69</f>
        <v>0.3304937288499572</v>
      </c>
      <c r="BM69" s="125" t="s">
        <v>265</v>
      </c>
      <c r="BN69" s="126" t="s">
        <v>266</v>
      </c>
      <c r="BO69" s="127" t="s">
        <v>99</v>
      </c>
      <c r="BP69" s="126" t="s">
        <v>266</v>
      </c>
      <c r="BQ69" s="127" t="s">
        <v>99</v>
      </c>
      <c r="BR69" s="126" t="s">
        <v>266</v>
      </c>
      <c r="BS69" s="127" t="s">
        <v>99</v>
      </c>
      <c r="BT69" s="126" t="s">
        <v>266</v>
      </c>
      <c r="BU69" s="127" t="s">
        <v>99</v>
      </c>
      <c r="BV69" s="85">
        <f t="shared" si="21"/>
        <v>9</v>
      </c>
      <c r="BW69" s="85" t="s">
        <v>44</v>
      </c>
      <c r="BX69" s="85">
        <f t="shared" si="22"/>
        <v>9</v>
      </c>
      <c r="BY69" s="85" t="s">
        <v>44</v>
      </c>
      <c r="BZ69" s="126" t="s">
        <v>266</v>
      </c>
      <c r="CA69" s="127" t="s">
        <v>99</v>
      </c>
      <c r="CB69" s="126" t="s">
        <v>266</v>
      </c>
      <c r="CC69" s="127" t="s">
        <v>99</v>
      </c>
      <c r="CD69" s="85">
        <f t="shared" si="23"/>
        <v>40</v>
      </c>
      <c r="CE69" s="85" t="s">
        <v>262</v>
      </c>
      <c r="CF69" s="85">
        <f t="shared" si="24"/>
        <v>100</v>
      </c>
      <c r="CG69" s="85" t="s">
        <v>262</v>
      </c>
      <c r="CH69" s="131">
        <f t="shared" si="25"/>
        <v>70</v>
      </c>
      <c r="CI69" s="443" t="s">
        <v>516</v>
      </c>
      <c r="CJ69" s="131">
        <f t="shared" si="26"/>
        <v>70</v>
      </c>
      <c r="CK69" s="443" t="s">
        <v>516</v>
      </c>
      <c r="CL69" s="63"/>
    </row>
    <row r="70" spans="2:90" s="187" customFormat="1" x14ac:dyDescent="0.25">
      <c r="B70" s="62" t="s">
        <v>116</v>
      </c>
      <c r="C70" s="200" t="s">
        <v>294</v>
      </c>
      <c r="D70" s="201">
        <v>3650</v>
      </c>
      <c r="E70" s="202" t="s">
        <v>295</v>
      </c>
      <c r="F70" s="195">
        <v>0.85699999999999998</v>
      </c>
      <c r="G70" s="196" t="s">
        <v>99</v>
      </c>
      <c r="H70" s="203">
        <f>F70</f>
        <v>0.85699999999999998</v>
      </c>
      <c r="I70" s="196" t="s">
        <v>99</v>
      </c>
      <c r="J70" s="195">
        <v>0.7</v>
      </c>
      <c r="K70" s="196" t="s">
        <v>99</v>
      </c>
      <c r="L70" s="203">
        <f>J70</f>
        <v>0.7</v>
      </c>
      <c r="M70" s="196" t="s">
        <v>99</v>
      </c>
      <c r="N70" s="197">
        <v>20</v>
      </c>
      <c r="O70" s="196" t="s">
        <v>257</v>
      </c>
      <c r="P70" s="204">
        <f>N70</f>
        <v>20</v>
      </c>
      <c r="Q70" s="196" t="s">
        <v>257</v>
      </c>
      <c r="R70" s="205">
        <v>6.33</v>
      </c>
      <c r="S70" s="202" t="s">
        <v>296</v>
      </c>
      <c r="T70" s="206">
        <f>R70</f>
        <v>6.33</v>
      </c>
      <c r="U70" s="202" t="s">
        <v>296</v>
      </c>
      <c r="V70" s="205">
        <f>4.22+1.11</f>
        <v>5.33</v>
      </c>
      <c r="W70" s="202" t="s">
        <v>296</v>
      </c>
      <c r="X70" s="206">
        <f>V70</f>
        <v>5.33</v>
      </c>
      <c r="Y70" s="202" t="s">
        <v>296</v>
      </c>
      <c r="Z70" s="207">
        <v>3</v>
      </c>
      <c r="AA70" s="202" t="s">
        <v>296</v>
      </c>
      <c r="AB70" s="204">
        <f>Z70</f>
        <v>3</v>
      </c>
      <c r="AC70" s="202" t="s">
        <v>296</v>
      </c>
      <c r="AD70" s="126" t="s">
        <v>266</v>
      </c>
      <c r="AE70" s="127" t="s">
        <v>99</v>
      </c>
      <c r="AF70" s="126" t="s">
        <v>266</v>
      </c>
      <c r="AG70" s="127" t="s">
        <v>99</v>
      </c>
      <c r="AH70" s="443">
        <v>9</v>
      </c>
      <c r="AI70" s="196" t="s">
        <v>44</v>
      </c>
      <c r="AJ70" s="443">
        <v>9</v>
      </c>
      <c r="AK70" s="196" t="s">
        <v>44</v>
      </c>
      <c r="AL70" s="126" t="s">
        <v>266</v>
      </c>
      <c r="AM70" s="127" t="s">
        <v>99</v>
      </c>
      <c r="AN70" s="126" t="s">
        <v>266</v>
      </c>
      <c r="AO70" s="127" t="s">
        <v>99</v>
      </c>
      <c r="AP70" s="118">
        <v>40</v>
      </c>
      <c r="AQ70" s="85" t="s">
        <v>262</v>
      </c>
      <c r="AR70" s="118">
        <v>40</v>
      </c>
      <c r="AS70" s="85" t="s">
        <v>262</v>
      </c>
      <c r="AT70" s="441">
        <v>1</v>
      </c>
      <c r="AU70" s="85" t="s">
        <v>263</v>
      </c>
      <c r="AV70" s="441">
        <v>1</v>
      </c>
      <c r="AW70" s="85" t="s">
        <v>263</v>
      </c>
      <c r="AX70" s="199">
        <f>R70*DollarInEuro2000/euroDeflator2000</f>
        <v>7.7746209384256959</v>
      </c>
      <c r="AY70" s="130" t="s">
        <v>268</v>
      </c>
      <c r="AZ70" s="195">
        <f>T70*DollarInEuro2000/euroDeflator2000</f>
        <v>7.7746209384256959</v>
      </c>
      <c r="BA70" s="130" t="s">
        <v>268</v>
      </c>
      <c r="BB70" s="195">
        <f>V70*DollarInEuro2000/euroDeflator2000</f>
        <v>6.5464027806965177</v>
      </c>
      <c r="BC70" s="443" t="s">
        <v>268</v>
      </c>
      <c r="BD70" s="195">
        <f>X70*DollarInEuro2000/euroDeflator2000</f>
        <v>6.5464027806965177</v>
      </c>
      <c r="BE70" s="443" t="s">
        <v>268</v>
      </c>
      <c r="BF70" s="195">
        <f>Z70*DollarInEuro2000/euroDeflator2000/F70/1000*energyContentH2</f>
        <v>0.51593761584889619</v>
      </c>
      <c r="BG70" s="130" t="s">
        <v>265</v>
      </c>
      <c r="BH70" s="195">
        <f>AB70*DollarInEuro2000/euroDeflator2000/H70/1000*energyContentH2</f>
        <v>0.51593761584889619</v>
      </c>
      <c r="BI70" s="130" t="s">
        <v>265</v>
      </c>
      <c r="BJ70" s="144">
        <f>(AX70+BB70)/1000*energyContentH2+BF70</f>
        <v>2.2344604621435615</v>
      </c>
      <c r="BK70" s="125" t="s">
        <v>288</v>
      </c>
      <c r="BL70" s="145">
        <f>(AZ70+BD70)/1000*energyContentH2+BH70</f>
        <v>2.2344604621435615</v>
      </c>
      <c r="BM70" s="125" t="s">
        <v>288</v>
      </c>
      <c r="BN70" s="126" t="s">
        <v>266</v>
      </c>
      <c r="BO70" s="127" t="s">
        <v>99</v>
      </c>
      <c r="BP70" s="126" t="s">
        <v>266</v>
      </c>
      <c r="BQ70" s="127" t="s">
        <v>99</v>
      </c>
      <c r="BR70" s="126" t="s">
        <v>266</v>
      </c>
      <c r="BS70" s="127" t="s">
        <v>99</v>
      </c>
      <c r="BT70" s="126" t="s">
        <v>266</v>
      </c>
      <c r="BU70" s="127" t="s">
        <v>99</v>
      </c>
      <c r="BV70" s="85">
        <f t="shared" si="21"/>
        <v>9</v>
      </c>
      <c r="BW70" s="85" t="s">
        <v>44</v>
      </c>
      <c r="BX70" s="85">
        <f t="shared" si="22"/>
        <v>9</v>
      </c>
      <c r="BY70" s="85" t="s">
        <v>44</v>
      </c>
      <c r="BZ70" s="126" t="s">
        <v>266</v>
      </c>
      <c r="CA70" s="127" t="s">
        <v>99</v>
      </c>
      <c r="CB70" s="126" t="s">
        <v>266</v>
      </c>
      <c r="CC70" s="127" t="s">
        <v>99</v>
      </c>
      <c r="CD70" s="85">
        <f t="shared" si="23"/>
        <v>40</v>
      </c>
      <c r="CE70" s="85" t="s">
        <v>262</v>
      </c>
      <c r="CF70" s="85">
        <f t="shared" si="24"/>
        <v>40</v>
      </c>
      <c r="CG70" s="85" t="s">
        <v>262</v>
      </c>
      <c r="CH70" s="131">
        <f t="shared" si="25"/>
        <v>100</v>
      </c>
      <c r="CI70" s="443" t="s">
        <v>516</v>
      </c>
      <c r="CJ70" s="131">
        <f t="shared" si="26"/>
        <v>100</v>
      </c>
      <c r="CK70" s="443" t="s">
        <v>516</v>
      </c>
      <c r="CL70" s="63"/>
    </row>
    <row r="71" spans="2:90" s="187" customFormat="1" x14ac:dyDescent="0.25">
      <c r="B71" s="62" t="s">
        <v>65</v>
      </c>
      <c r="C71" s="84" t="s">
        <v>510</v>
      </c>
      <c r="D71" s="444">
        <v>1</v>
      </c>
      <c r="E71" s="116" t="s">
        <v>256</v>
      </c>
      <c r="F71" s="120">
        <v>0.8</v>
      </c>
      <c r="G71" s="93"/>
      <c r="H71" s="120">
        <v>0.8</v>
      </c>
      <c r="I71" s="93"/>
      <c r="J71" s="444">
        <v>0.85</v>
      </c>
      <c r="K71" s="116" t="s">
        <v>99</v>
      </c>
      <c r="L71" s="444">
        <v>0.85</v>
      </c>
      <c r="M71" s="116" t="s">
        <v>99</v>
      </c>
      <c r="N71" s="204">
        <v>15</v>
      </c>
      <c r="O71" s="196" t="s">
        <v>257</v>
      </c>
      <c r="P71" s="204">
        <v>15</v>
      </c>
      <c r="Q71" s="196" t="s">
        <v>257</v>
      </c>
      <c r="R71" s="444">
        <v>1500</v>
      </c>
      <c r="S71" s="116" t="s">
        <v>511</v>
      </c>
      <c r="T71" s="444">
        <v>500</v>
      </c>
      <c r="U71" s="116" t="s">
        <v>511</v>
      </c>
      <c r="V71" s="444">
        <v>150</v>
      </c>
      <c r="W71" s="116" t="s">
        <v>512</v>
      </c>
      <c r="X71" s="444">
        <v>50</v>
      </c>
      <c r="Y71" s="116" t="s">
        <v>512</v>
      </c>
      <c r="Z71" s="444">
        <v>0</v>
      </c>
      <c r="AA71" s="459" t="s">
        <v>513</v>
      </c>
      <c r="AB71" s="444">
        <v>0</v>
      </c>
      <c r="AC71" s="116" t="s">
        <v>513</v>
      </c>
      <c r="AD71" s="126" t="s">
        <v>266</v>
      </c>
      <c r="AE71" s="127" t="s">
        <v>99</v>
      </c>
      <c r="AF71" s="126" t="s">
        <v>266</v>
      </c>
      <c r="AG71" s="127" t="s">
        <v>99</v>
      </c>
      <c r="AH71" s="197">
        <v>6</v>
      </c>
      <c r="AI71" s="196" t="s">
        <v>44</v>
      </c>
      <c r="AJ71" s="197">
        <v>9</v>
      </c>
      <c r="AK71" s="196" t="s">
        <v>44</v>
      </c>
      <c r="AL71" s="126" t="s">
        <v>266</v>
      </c>
      <c r="AM71" s="127" t="s">
        <v>99</v>
      </c>
      <c r="AN71" s="126" t="s">
        <v>266</v>
      </c>
      <c r="AO71" s="127" t="s">
        <v>99</v>
      </c>
      <c r="AP71" s="197">
        <v>80</v>
      </c>
      <c r="AQ71" s="85" t="s">
        <v>262</v>
      </c>
      <c r="AR71" s="198">
        <v>100</v>
      </c>
      <c r="AS71" s="85" t="s">
        <v>262</v>
      </c>
      <c r="AT71" s="441">
        <v>2.5</v>
      </c>
      <c r="AU71" s="85" t="s">
        <v>263</v>
      </c>
      <c r="AV71" s="441">
        <v>2.5</v>
      </c>
      <c r="AW71" s="85" t="s">
        <v>263</v>
      </c>
      <c r="AX71" s="124">
        <f>R71/euroDeflator2011*(interestRate*(1+interestRate)^N71/((1+interestRate)^N71-1))/31.54/J71</f>
        <v>5.7508085702498919</v>
      </c>
      <c r="AY71" s="234" t="s">
        <v>268</v>
      </c>
      <c r="AZ71" s="125">
        <f>T71/euroDeflator2011*(interestRate*(1+interestRate)^P71/((1+interestRate)^P71-1))/31.54/L71</f>
        <v>1.9169361900832969</v>
      </c>
      <c r="BA71" s="234" t="s">
        <v>268</v>
      </c>
      <c r="BB71" s="93">
        <f>V71/euroDeflator2011/31.54/J71</f>
        <v>5.5853284715101736</v>
      </c>
      <c r="BC71" s="443" t="s">
        <v>268</v>
      </c>
      <c r="BD71" s="93">
        <f>X71/euroDeflator2011/31.54/L71</f>
        <v>1.861776157170058</v>
      </c>
      <c r="BE71" s="443" t="s">
        <v>268</v>
      </c>
      <c r="BF71" s="120">
        <f>Z71/F71/1000*energyContentH2</f>
        <v>0</v>
      </c>
      <c r="BG71" s="130" t="s">
        <v>265</v>
      </c>
      <c r="BH71" s="120">
        <f>AB71/H71/1000*energyContentH2</f>
        <v>0</v>
      </c>
      <c r="BI71" s="130" t="s">
        <v>265</v>
      </c>
      <c r="BJ71" s="144">
        <f>(AX71+BB71)/1000*energyContentH2+BF71</f>
        <v>1.3603364450112079</v>
      </c>
      <c r="BK71" s="125" t="s">
        <v>271</v>
      </c>
      <c r="BL71" s="145">
        <f>(AZ71+BD71)/1000*energyContentH2+BH71</f>
        <v>0.45344548167040255</v>
      </c>
      <c r="BM71" s="125" t="s">
        <v>271</v>
      </c>
      <c r="BN71" s="126" t="s">
        <v>266</v>
      </c>
      <c r="BO71" s="127" t="s">
        <v>99</v>
      </c>
      <c r="BP71" s="126" t="s">
        <v>266</v>
      </c>
      <c r="BQ71" s="127" t="s">
        <v>99</v>
      </c>
      <c r="BR71" s="126" t="s">
        <v>266</v>
      </c>
      <c r="BS71" s="127" t="s">
        <v>99</v>
      </c>
      <c r="BT71" s="126" t="s">
        <v>266</v>
      </c>
      <c r="BU71" s="127" t="s">
        <v>99</v>
      </c>
      <c r="BV71" s="85">
        <f t="shared" si="21"/>
        <v>6</v>
      </c>
      <c r="BW71" s="85" t="s">
        <v>44</v>
      </c>
      <c r="BX71" s="85">
        <f t="shared" si="22"/>
        <v>9</v>
      </c>
      <c r="BY71" s="85" t="s">
        <v>44</v>
      </c>
      <c r="BZ71" s="126" t="s">
        <v>266</v>
      </c>
      <c r="CA71" s="127" t="s">
        <v>99</v>
      </c>
      <c r="CB71" s="126" t="s">
        <v>266</v>
      </c>
      <c r="CC71" s="127" t="s">
        <v>99</v>
      </c>
      <c r="CD71" s="85">
        <f t="shared" si="23"/>
        <v>80</v>
      </c>
      <c r="CE71" s="85" t="s">
        <v>262</v>
      </c>
      <c r="CF71" s="85">
        <f t="shared" si="24"/>
        <v>100</v>
      </c>
      <c r="CG71" s="85" t="s">
        <v>262</v>
      </c>
      <c r="CH71" s="131">
        <f t="shared" si="25"/>
        <v>70</v>
      </c>
      <c r="CI71" s="443" t="s">
        <v>516</v>
      </c>
      <c r="CJ71" s="131">
        <f t="shared" si="26"/>
        <v>70</v>
      </c>
      <c r="CK71" s="443" t="s">
        <v>516</v>
      </c>
      <c r="CL71" s="63"/>
    </row>
    <row r="72" spans="2:90" s="114" customFormat="1" x14ac:dyDescent="0.25">
      <c r="B72" s="61" t="s">
        <v>66</v>
      </c>
      <c r="C72" s="84" t="s">
        <v>99</v>
      </c>
      <c r="D72" s="115" t="s">
        <v>99</v>
      </c>
      <c r="E72" s="116" t="s">
        <v>99</v>
      </c>
      <c r="F72" s="132">
        <v>1</v>
      </c>
      <c r="G72" s="116" t="s">
        <v>99</v>
      </c>
      <c r="H72" s="132">
        <v>1</v>
      </c>
      <c r="I72" s="93" t="s">
        <v>99</v>
      </c>
      <c r="J72" s="115" t="s">
        <v>99</v>
      </c>
      <c r="K72" s="93" t="s">
        <v>99</v>
      </c>
      <c r="L72" s="115" t="s">
        <v>99</v>
      </c>
      <c r="M72" s="93" t="s">
        <v>99</v>
      </c>
      <c r="N72" s="115" t="s">
        <v>99</v>
      </c>
      <c r="O72" s="85" t="s">
        <v>99</v>
      </c>
      <c r="P72" s="115" t="s">
        <v>99</v>
      </c>
      <c r="Q72" s="85" t="s">
        <v>99</v>
      </c>
      <c r="R72" s="132">
        <v>0</v>
      </c>
      <c r="S72" s="85" t="s">
        <v>259</v>
      </c>
      <c r="T72" s="132">
        <v>0</v>
      </c>
      <c r="U72" s="85" t="s">
        <v>259</v>
      </c>
      <c r="V72" s="132">
        <v>0</v>
      </c>
      <c r="W72" s="85" t="s">
        <v>259</v>
      </c>
      <c r="X72" s="132">
        <v>0</v>
      </c>
      <c r="Y72" s="85" t="s">
        <v>259</v>
      </c>
      <c r="Z72" s="132">
        <v>0</v>
      </c>
      <c r="AA72" s="85" t="s">
        <v>259</v>
      </c>
      <c r="AB72" s="132">
        <v>0</v>
      </c>
      <c r="AC72" s="85" t="s">
        <v>259</v>
      </c>
      <c r="AD72" s="126" t="s">
        <v>266</v>
      </c>
      <c r="AE72" s="127" t="s">
        <v>99</v>
      </c>
      <c r="AF72" s="126" t="s">
        <v>266</v>
      </c>
      <c r="AG72" s="127" t="s">
        <v>99</v>
      </c>
      <c r="AH72" s="118">
        <v>9</v>
      </c>
      <c r="AI72" s="85" t="s">
        <v>44</v>
      </c>
      <c r="AJ72" s="118">
        <v>9</v>
      </c>
      <c r="AK72" s="85" t="s">
        <v>44</v>
      </c>
      <c r="AL72" s="126" t="s">
        <v>266</v>
      </c>
      <c r="AM72" s="127" t="s">
        <v>99</v>
      </c>
      <c r="AN72" s="126" t="s">
        <v>266</v>
      </c>
      <c r="AO72" s="127" t="s">
        <v>99</v>
      </c>
      <c r="AP72" s="118">
        <v>100</v>
      </c>
      <c r="AQ72" s="85" t="s">
        <v>262</v>
      </c>
      <c r="AR72" s="118">
        <v>100</v>
      </c>
      <c r="AS72" s="85" t="s">
        <v>262</v>
      </c>
      <c r="AT72" s="121">
        <v>1.5</v>
      </c>
      <c r="AU72" s="85" t="s">
        <v>263</v>
      </c>
      <c r="AV72" s="121">
        <v>1.5</v>
      </c>
      <c r="AW72" s="85" t="s">
        <v>263</v>
      </c>
      <c r="AX72" s="143" t="s">
        <v>99</v>
      </c>
      <c r="AY72" s="234" t="s">
        <v>99</v>
      </c>
      <c r="AZ72" s="460" t="s">
        <v>99</v>
      </c>
      <c r="BA72" s="85" t="s">
        <v>99</v>
      </c>
      <c r="BB72" s="115" t="s">
        <v>99</v>
      </c>
      <c r="BC72" s="85" t="s">
        <v>99</v>
      </c>
      <c r="BD72" s="115" t="s">
        <v>99</v>
      </c>
      <c r="BE72" s="85" t="s">
        <v>99</v>
      </c>
      <c r="BF72" s="115" t="s">
        <v>99</v>
      </c>
      <c r="BG72" s="85" t="s">
        <v>99</v>
      </c>
      <c r="BH72" s="115" t="s">
        <v>99</v>
      </c>
      <c r="BI72" s="85" t="s">
        <v>99</v>
      </c>
      <c r="BJ72" s="144">
        <f>R72+V72+Z72</f>
        <v>0</v>
      </c>
      <c r="BK72" s="125" t="s">
        <v>265</v>
      </c>
      <c r="BL72" s="145">
        <f>T72+X72+AB72</f>
        <v>0</v>
      </c>
      <c r="BM72" s="93" t="s">
        <v>265</v>
      </c>
      <c r="BN72" s="126" t="s">
        <v>266</v>
      </c>
      <c r="BO72" s="127" t="s">
        <v>99</v>
      </c>
      <c r="BP72" s="126" t="s">
        <v>266</v>
      </c>
      <c r="BQ72" s="127" t="s">
        <v>99</v>
      </c>
      <c r="BR72" s="126" t="s">
        <v>266</v>
      </c>
      <c r="BS72" s="127" t="s">
        <v>99</v>
      </c>
      <c r="BT72" s="126" t="s">
        <v>266</v>
      </c>
      <c r="BU72" s="127" t="s">
        <v>99</v>
      </c>
      <c r="BV72" s="85">
        <f t="shared" si="21"/>
        <v>9</v>
      </c>
      <c r="BW72" s="85" t="s">
        <v>44</v>
      </c>
      <c r="BX72" s="85">
        <f t="shared" si="22"/>
        <v>9</v>
      </c>
      <c r="BY72" s="85" t="s">
        <v>44</v>
      </c>
      <c r="BZ72" s="126" t="s">
        <v>266</v>
      </c>
      <c r="CA72" s="127" t="s">
        <v>99</v>
      </c>
      <c r="CB72" s="126" t="s">
        <v>266</v>
      </c>
      <c r="CC72" s="127" t="s">
        <v>99</v>
      </c>
      <c r="CD72" s="85">
        <f t="shared" si="23"/>
        <v>100</v>
      </c>
      <c r="CE72" s="85" t="s">
        <v>262</v>
      </c>
      <c r="CF72" s="85">
        <f t="shared" si="24"/>
        <v>100</v>
      </c>
      <c r="CG72" s="85" t="s">
        <v>262</v>
      </c>
      <c r="CH72" s="131">
        <f t="shared" si="25"/>
        <v>90</v>
      </c>
      <c r="CI72" s="443" t="s">
        <v>516</v>
      </c>
      <c r="CJ72" s="131">
        <f t="shared" si="26"/>
        <v>90</v>
      </c>
      <c r="CK72" s="443" t="s">
        <v>516</v>
      </c>
    </row>
    <row r="73" spans="2:90" s="114" customFormat="1" x14ac:dyDescent="0.25">
      <c r="B73" s="61" t="s">
        <v>180</v>
      </c>
      <c r="C73" s="84" t="s">
        <v>99</v>
      </c>
      <c r="D73" s="115" t="s">
        <v>99</v>
      </c>
      <c r="E73" s="116" t="s">
        <v>99</v>
      </c>
      <c r="F73" s="132">
        <v>1</v>
      </c>
      <c r="G73" s="116" t="s">
        <v>99</v>
      </c>
      <c r="H73" s="132">
        <v>1</v>
      </c>
      <c r="I73" s="93" t="s">
        <v>99</v>
      </c>
      <c r="J73" s="115" t="s">
        <v>99</v>
      </c>
      <c r="K73" s="93" t="s">
        <v>99</v>
      </c>
      <c r="L73" s="115" t="s">
        <v>99</v>
      </c>
      <c r="M73" s="93" t="s">
        <v>99</v>
      </c>
      <c r="N73" s="115" t="s">
        <v>99</v>
      </c>
      <c r="O73" s="85" t="s">
        <v>99</v>
      </c>
      <c r="P73" s="115" t="s">
        <v>99</v>
      </c>
      <c r="Q73" s="85" t="s">
        <v>99</v>
      </c>
      <c r="R73" s="132">
        <v>0</v>
      </c>
      <c r="S73" s="85" t="s">
        <v>259</v>
      </c>
      <c r="T73" s="132">
        <v>0</v>
      </c>
      <c r="U73" s="85" t="s">
        <v>259</v>
      </c>
      <c r="V73" s="132">
        <v>0</v>
      </c>
      <c r="W73" s="85" t="s">
        <v>259</v>
      </c>
      <c r="X73" s="132">
        <v>0</v>
      </c>
      <c r="Y73" s="234" t="s">
        <v>259</v>
      </c>
      <c r="Z73" s="462">
        <f>naturalGasPrice/1000*energyContentH2</f>
        <v>3.5999999999999996</v>
      </c>
      <c r="AA73" s="125" t="s">
        <v>576</v>
      </c>
      <c r="AB73" s="462">
        <f>naturalGasPrice/1000*energyContentH2</f>
        <v>3.5999999999999996</v>
      </c>
      <c r="AC73" s="125" t="s">
        <v>265</v>
      </c>
      <c r="AD73" s="126" t="s">
        <v>266</v>
      </c>
      <c r="AE73" s="127" t="s">
        <v>99</v>
      </c>
      <c r="AF73" s="126" t="s">
        <v>266</v>
      </c>
      <c r="AG73" s="127" t="s">
        <v>99</v>
      </c>
      <c r="AH73" s="118">
        <v>9</v>
      </c>
      <c r="AI73" s="85" t="s">
        <v>44</v>
      </c>
      <c r="AJ73" s="118">
        <v>9</v>
      </c>
      <c r="AK73" s="85" t="s">
        <v>44</v>
      </c>
      <c r="AL73" s="126" t="s">
        <v>266</v>
      </c>
      <c r="AM73" s="127" t="s">
        <v>99</v>
      </c>
      <c r="AN73" s="126" t="s">
        <v>266</v>
      </c>
      <c r="AO73" s="127" t="s">
        <v>99</v>
      </c>
      <c r="AP73" s="118">
        <v>100</v>
      </c>
      <c r="AQ73" s="85" t="s">
        <v>262</v>
      </c>
      <c r="AR73" s="118">
        <v>100</v>
      </c>
      <c r="AS73" s="85" t="s">
        <v>262</v>
      </c>
      <c r="AT73" s="121">
        <v>1.5</v>
      </c>
      <c r="AU73" s="85" t="s">
        <v>263</v>
      </c>
      <c r="AV73" s="121">
        <v>1.5</v>
      </c>
      <c r="AW73" s="85" t="s">
        <v>263</v>
      </c>
      <c r="AX73" s="143" t="s">
        <v>99</v>
      </c>
      <c r="AY73" s="85" t="s">
        <v>99</v>
      </c>
      <c r="AZ73" s="115" t="s">
        <v>99</v>
      </c>
      <c r="BA73" s="85" t="s">
        <v>99</v>
      </c>
      <c r="BB73" s="115" t="s">
        <v>99</v>
      </c>
      <c r="BC73" s="85" t="s">
        <v>99</v>
      </c>
      <c r="BD73" s="115" t="s">
        <v>99</v>
      </c>
      <c r="BE73" s="85" t="s">
        <v>99</v>
      </c>
      <c r="BF73" s="115" t="s">
        <v>99</v>
      </c>
      <c r="BG73" s="85" t="s">
        <v>99</v>
      </c>
      <c r="BH73" s="115" t="s">
        <v>99</v>
      </c>
      <c r="BI73" s="85" t="s">
        <v>99</v>
      </c>
      <c r="BJ73" s="461">
        <f>Z73</f>
        <v>3.5999999999999996</v>
      </c>
      <c r="BK73" s="125" t="str">
        <f t="shared" ref="BK73:BM73" si="27">AA73</f>
        <v>€2014*MJ H2/(MJ heat *kg H2)</v>
      </c>
      <c r="BL73" s="462">
        <f t="shared" si="27"/>
        <v>3.5999999999999996</v>
      </c>
      <c r="BM73" s="93" t="str">
        <f t="shared" si="27"/>
        <v>€2014/kg H2</v>
      </c>
      <c r="BN73" s="126" t="s">
        <v>266</v>
      </c>
      <c r="BO73" s="127" t="s">
        <v>99</v>
      </c>
      <c r="BP73" s="126" t="s">
        <v>266</v>
      </c>
      <c r="BQ73" s="127" t="s">
        <v>99</v>
      </c>
      <c r="BR73" s="126" t="s">
        <v>266</v>
      </c>
      <c r="BS73" s="127" t="s">
        <v>99</v>
      </c>
      <c r="BT73" s="126" t="s">
        <v>266</v>
      </c>
      <c r="BU73" s="127" t="s">
        <v>99</v>
      </c>
      <c r="BV73" s="85">
        <f t="shared" si="21"/>
        <v>9</v>
      </c>
      <c r="BW73" s="85" t="s">
        <v>44</v>
      </c>
      <c r="BX73" s="85">
        <f t="shared" si="22"/>
        <v>9</v>
      </c>
      <c r="BY73" s="85" t="s">
        <v>44</v>
      </c>
      <c r="BZ73" s="126" t="s">
        <v>266</v>
      </c>
      <c r="CA73" s="127" t="s">
        <v>99</v>
      </c>
      <c r="CB73" s="126" t="s">
        <v>266</v>
      </c>
      <c r="CC73" s="127" t="s">
        <v>99</v>
      </c>
      <c r="CD73" s="85">
        <f t="shared" si="23"/>
        <v>100</v>
      </c>
      <c r="CE73" s="85" t="s">
        <v>262</v>
      </c>
      <c r="CF73" s="85">
        <f t="shared" si="24"/>
        <v>100</v>
      </c>
      <c r="CG73" s="85" t="s">
        <v>262</v>
      </c>
      <c r="CH73" s="131">
        <f t="shared" si="25"/>
        <v>90</v>
      </c>
      <c r="CI73" s="443" t="s">
        <v>516</v>
      </c>
      <c r="CJ73" s="131">
        <f t="shared" si="26"/>
        <v>90</v>
      </c>
      <c r="CK73" s="443" t="s">
        <v>516</v>
      </c>
    </row>
    <row r="74" spans="2:90" s="187" customFormat="1" x14ac:dyDescent="0.25">
      <c r="B74" s="62"/>
      <c r="C74" s="200"/>
      <c r="D74" s="208"/>
      <c r="E74" s="209"/>
      <c r="F74" s="196"/>
      <c r="G74" s="196"/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209"/>
      <c r="T74" s="196"/>
      <c r="U74" s="209"/>
      <c r="V74" s="196"/>
      <c r="W74" s="209"/>
      <c r="X74" s="196"/>
      <c r="Y74" s="196"/>
      <c r="Z74" s="196"/>
      <c r="AA74" s="196"/>
      <c r="AB74" s="196"/>
      <c r="AC74" s="196"/>
      <c r="AD74" s="196"/>
      <c r="AE74" s="196"/>
      <c r="AF74" s="196"/>
      <c r="AG74" s="196"/>
      <c r="AH74" s="196"/>
      <c r="AI74" s="196"/>
      <c r="AJ74" s="196"/>
      <c r="AK74" s="196"/>
      <c r="AL74" s="196"/>
      <c r="AM74" s="196"/>
      <c r="AN74" s="196"/>
      <c r="AO74" s="196"/>
      <c r="AP74" s="196"/>
      <c r="AQ74" s="210"/>
      <c r="AR74" s="210"/>
      <c r="AS74" s="211"/>
      <c r="AT74" s="196"/>
      <c r="AU74" s="196"/>
      <c r="AV74" s="196"/>
      <c r="AW74" s="212"/>
      <c r="AX74" s="213"/>
      <c r="AY74" s="196"/>
      <c r="AZ74" s="196"/>
      <c r="BA74" s="196"/>
      <c r="BB74" s="196"/>
      <c r="BC74" s="196"/>
      <c r="BD74" s="196"/>
      <c r="BE74" s="196"/>
      <c r="BF74" s="196"/>
      <c r="BG74" s="196"/>
      <c r="BH74" s="196"/>
      <c r="BI74" s="196"/>
      <c r="BJ74" s="214"/>
      <c r="BK74" s="210"/>
      <c r="BL74" s="210"/>
      <c r="BM74" s="210"/>
      <c r="BN74" s="210"/>
      <c r="BO74" s="210"/>
      <c r="BP74" s="210"/>
      <c r="BQ74" s="210"/>
      <c r="BR74" s="210"/>
      <c r="BS74" s="210"/>
      <c r="BT74" s="210"/>
      <c r="BU74" s="210"/>
      <c r="BV74" s="210"/>
      <c r="BW74" s="210"/>
      <c r="BX74" s="210"/>
      <c r="BY74" s="210"/>
      <c r="BZ74" s="210"/>
      <c r="CA74" s="215"/>
      <c r="CB74" s="210"/>
      <c r="CC74" s="215"/>
      <c r="CD74" s="210"/>
      <c r="CE74" s="215"/>
      <c r="CF74" s="210"/>
      <c r="CG74" s="210"/>
      <c r="CH74" s="210"/>
      <c r="CI74" s="212"/>
      <c r="CJ74" s="210"/>
      <c r="CK74" s="212"/>
    </row>
    <row r="75" spans="2:90" s="187" customFormat="1" x14ac:dyDescent="0.25">
      <c r="C75" s="200"/>
      <c r="D75" s="208"/>
      <c r="E75" s="209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209"/>
      <c r="T75" s="196"/>
      <c r="U75" s="209"/>
      <c r="V75" s="196"/>
      <c r="W75" s="209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210"/>
      <c r="AR75" s="210"/>
      <c r="AS75" s="211"/>
      <c r="AT75" s="196"/>
      <c r="AU75" s="196"/>
      <c r="AV75" s="196"/>
      <c r="AW75" s="212"/>
      <c r="AX75" s="213"/>
      <c r="AY75" s="196"/>
      <c r="AZ75" s="196"/>
      <c r="BA75" s="196"/>
      <c r="BB75" s="196"/>
      <c r="BC75" s="196"/>
      <c r="BD75" s="196"/>
      <c r="BE75" s="196"/>
      <c r="BF75" s="196"/>
      <c r="BG75" s="196"/>
      <c r="BH75" s="196"/>
      <c r="BI75" s="196"/>
      <c r="BJ75" s="214"/>
      <c r="BK75" s="210"/>
      <c r="BL75" s="210"/>
      <c r="BM75" s="210"/>
      <c r="BN75" s="210"/>
      <c r="BO75" s="210"/>
      <c r="BP75" s="210"/>
      <c r="BQ75" s="210"/>
      <c r="BR75" s="210"/>
      <c r="BS75" s="210"/>
      <c r="BT75" s="210"/>
      <c r="BU75" s="210"/>
      <c r="BV75" s="210"/>
      <c r="BW75" s="210"/>
      <c r="BX75" s="210"/>
      <c r="BY75" s="210"/>
      <c r="BZ75" s="210"/>
      <c r="CA75" s="215"/>
      <c r="CB75" s="210"/>
      <c r="CC75" s="215"/>
      <c r="CD75" s="210"/>
      <c r="CE75" s="215"/>
      <c r="CF75" s="210"/>
      <c r="CG75" s="210"/>
      <c r="CH75" s="210"/>
      <c r="CI75" s="212"/>
      <c r="CJ75" s="210"/>
      <c r="CK75" s="212"/>
    </row>
    <row r="76" spans="2:90" s="158" customFormat="1" x14ac:dyDescent="0.25">
      <c r="B76" s="216" t="s">
        <v>273</v>
      </c>
      <c r="C76" s="217"/>
      <c r="D76" s="218"/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19"/>
      <c r="T76" s="220"/>
      <c r="U76" s="219"/>
      <c r="V76" s="220"/>
      <c r="W76" s="219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1"/>
      <c r="AT76" s="220"/>
      <c r="AU76" s="220"/>
      <c r="AV76" s="220"/>
      <c r="AW76" s="221"/>
      <c r="AX76" s="222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2"/>
      <c r="BK76" s="220"/>
      <c r="BL76" s="220"/>
      <c r="BM76" s="220"/>
      <c r="BN76" s="220"/>
      <c r="BO76" s="220"/>
      <c r="BP76" s="220"/>
      <c r="BQ76" s="220"/>
      <c r="BR76" s="220"/>
      <c r="BS76" s="220"/>
      <c r="BT76" s="220"/>
      <c r="BU76" s="220"/>
      <c r="BV76" s="220"/>
      <c r="BW76" s="220"/>
      <c r="BX76" s="220"/>
      <c r="BY76" s="220"/>
      <c r="BZ76" s="220"/>
      <c r="CA76" s="219"/>
      <c r="CB76" s="220"/>
      <c r="CC76" s="219"/>
      <c r="CD76" s="220"/>
      <c r="CE76" s="219"/>
      <c r="CF76" s="220"/>
      <c r="CG76" s="220"/>
      <c r="CH76" s="220"/>
      <c r="CI76" s="221"/>
      <c r="CJ76" s="220"/>
      <c r="CK76" s="221"/>
    </row>
    <row r="77" spans="2:90" s="146" customFormat="1" ht="30" x14ac:dyDescent="0.25">
      <c r="B77" s="158" t="s">
        <v>297</v>
      </c>
      <c r="C77" s="147" t="s">
        <v>255</v>
      </c>
      <c r="D77" s="148" t="s">
        <v>240</v>
      </c>
      <c r="E77" s="149" t="s">
        <v>240</v>
      </c>
      <c r="F77" s="148" t="s">
        <v>240</v>
      </c>
      <c r="G77" s="150" t="s">
        <v>99</v>
      </c>
      <c r="H77" s="148" t="s">
        <v>240</v>
      </c>
      <c r="I77" s="150" t="s">
        <v>99</v>
      </c>
      <c r="J77" s="150">
        <v>0.7</v>
      </c>
      <c r="K77" s="146" t="s">
        <v>99</v>
      </c>
      <c r="L77" s="148" t="s">
        <v>240</v>
      </c>
      <c r="M77" s="150" t="s">
        <v>99</v>
      </c>
      <c r="N77" s="146">
        <v>20</v>
      </c>
      <c r="O77" s="146" t="s">
        <v>257</v>
      </c>
      <c r="P77" s="148" t="s">
        <v>240</v>
      </c>
      <c r="Q77" s="146" t="s">
        <v>257</v>
      </c>
      <c r="R77" s="151">
        <v>98.9</v>
      </c>
      <c r="S77" s="146" t="s">
        <v>298</v>
      </c>
      <c r="T77" s="148" t="s">
        <v>240</v>
      </c>
      <c r="U77" s="149" t="s">
        <v>240</v>
      </c>
      <c r="V77" s="152">
        <f>6.1/(3600*24*30*12)/31.54*10^6+1.2</f>
        <v>1.2062180169671539</v>
      </c>
      <c r="W77" s="146" t="s">
        <v>259</v>
      </c>
      <c r="X77" s="148" t="s">
        <v>240</v>
      </c>
      <c r="Y77" s="149" t="s">
        <v>240</v>
      </c>
      <c r="Z77" s="148" t="e">
        <f>#REF!</f>
        <v>#REF!</v>
      </c>
      <c r="AA77" s="146" t="s">
        <v>278</v>
      </c>
      <c r="AB77" s="146" t="e">
        <f>#REF!</f>
        <v>#REF!</v>
      </c>
      <c r="AC77" s="146" t="s">
        <v>278</v>
      </c>
      <c r="AD77" s="148" t="s">
        <v>266</v>
      </c>
      <c r="AE77" s="149" t="s">
        <v>99</v>
      </c>
      <c r="AF77" s="148" t="s">
        <v>266</v>
      </c>
      <c r="AG77" s="149" t="s">
        <v>99</v>
      </c>
      <c r="AH77" s="148">
        <v>9</v>
      </c>
      <c r="AI77" s="146" t="s">
        <v>44</v>
      </c>
      <c r="AJ77" s="148">
        <v>9</v>
      </c>
      <c r="AK77" s="146" t="s">
        <v>44</v>
      </c>
      <c r="AL77" s="148" t="s">
        <v>240</v>
      </c>
      <c r="AM77" s="146" t="s">
        <v>262</v>
      </c>
      <c r="AN77" s="148" t="s">
        <v>240</v>
      </c>
      <c r="AO77" s="146" t="s">
        <v>262</v>
      </c>
      <c r="AP77" s="148">
        <v>100</v>
      </c>
      <c r="AQ77" s="146" t="s">
        <v>262</v>
      </c>
      <c r="AR77" s="148">
        <v>100</v>
      </c>
      <c r="AS77" s="146" t="s">
        <v>262</v>
      </c>
      <c r="AT77" s="148">
        <v>2.5</v>
      </c>
      <c r="AU77" s="146" t="s">
        <v>263</v>
      </c>
      <c r="AV77" s="148">
        <v>2.5</v>
      </c>
      <c r="AW77" s="146" t="s">
        <v>263</v>
      </c>
      <c r="AX77" s="156"/>
      <c r="AZ77" s="148"/>
      <c r="BB77" s="152"/>
      <c r="BD77" s="148"/>
      <c r="BF77" s="149"/>
      <c r="BH77" s="149"/>
      <c r="BJ77" s="192"/>
      <c r="BK77" s="150"/>
      <c r="BL77" s="148"/>
      <c r="BM77" s="150"/>
      <c r="BN77" s="148" t="s">
        <v>266</v>
      </c>
      <c r="BO77" s="149" t="s">
        <v>99</v>
      </c>
      <c r="BP77" s="148" t="s">
        <v>266</v>
      </c>
      <c r="BQ77" s="149" t="s">
        <v>99</v>
      </c>
      <c r="BR77" s="148" t="s">
        <v>266</v>
      </c>
      <c r="BS77" s="149" t="s">
        <v>99</v>
      </c>
      <c r="BT77" s="148" t="s">
        <v>266</v>
      </c>
      <c r="BU77" s="149" t="s">
        <v>99</v>
      </c>
      <c r="BX77" s="148"/>
      <c r="BZ77" s="148" t="s">
        <v>266</v>
      </c>
      <c r="CA77" s="149" t="s">
        <v>99</v>
      </c>
      <c r="CB77" s="148" t="s">
        <v>266</v>
      </c>
      <c r="CC77" s="149" t="s">
        <v>99</v>
      </c>
      <c r="CD77" s="152"/>
      <c r="CF77" s="148"/>
      <c r="CG77" s="149"/>
      <c r="CH77" s="148"/>
      <c r="CJ77" s="148"/>
    </row>
    <row r="78" spans="2:90" s="146" customFormat="1" x14ac:dyDescent="0.25">
      <c r="B78" s="158" t="s">
        <v>299</v>
      </c>
      <c r="C78" s="147" t="s">
        <v>255</v>
      </c>
      <c r="D78" s="148" t="s">
        <v>240</v>
      </c>
      <c r="E78" s="149" t="s">
        <v>240</v>
      </c>
      <c r="F78" s="148" t="s">
        <v>240</v>
      </c>
      <c r="G78" s="150" t="s">
        <v>99</v>
      </c>
      <c r="H78" s="148" t="s">
        <v>240</v>
      </c>
      <c r="I78" s="150" t="s">
        <v>99</v>
      </c>
      <c r="J78" s="150">
        <v>0.7</v>
      </c>
      <c r="K78" s="146" t="s">
        <v>99</v>
      </c>
      <c r="L78" s="148" t="s">
        <v>240</v>
      </c>
      <c r="M78" s="150" t="s">
        <v>99</v>
      </c>
      <c r="N78" s="146">
        <v>20</v>
      </c>
      <c r="O78" s="146" t="s">
        <v>257</v>
      </c>
      <c r="P78" s="148" t="s">
        <v>240</v>
      </c>
      <c r="Q78" s="146" t="s">
        <v>257</v>
      </c>
      <c r="R78" s="151">
        <v>49.9</v>
      </c>
      <c r="S78" s="146" t="s">
        <v>298</v>
      </c>
      <c r="T78" s="148" t="s">
        <v>240</v>
      </c>
      <c r="U78" s="149" t="s">
        <v>240</v>
      </c>
      <c r="V78" s="152">
        <f>3.6/(3600*24*30*12)/31.54*10^6+0.1</f>
        <v>0.10366964935766458</v>
      </c>
      <c r="W78" s="146" t="s">
        <v>259</v>
      </c>
      <c r="X78" s="148" t="s">
        <v>240</v>
      </c>
      <c r="Y78" s="149" t="s">
        <v>240</v>
      </c>
      <c r="Z78" s="148" t="e">
        <f>#REF!</f>
        <v>#REF!</v>
      </c>
      <c r="AA78" s="146" t="s">
        <v>278</v>
      </c>
      <c r="AB78" s="146" t="e">
        <f>#REF!</f>
        <v>#REF!</v>
      </c>
      <c r="AC78" s="146" t="s">
        <v>278</v>
      </c>
      <c r="AD78" s="148" t="s">
        <v>266</v>
      </c>
      <c r="AE78" s="149" t="s">
        <v>99</v>
      </c>
      <c r="AF78" s="148" t="s">
        <v>266</v>
      </c>
      <c r="AG78" s="149" t="s">
        <v>99</v>
      </c>
      <c r="AH78" s="148">
        <v>9</v>
      </c>
      <c r="AI78" s="146" t="s">
        <v>44</v>
      </c>
      <c r="AJ78" s="148">
        <v>9</v>
      </c>
      <c r="AK78" s="146" t="s">
        <v>44</v>
      </c>
      <c r="AL78" s="148" t="s">
        <v>240</v>
      </c>
      <c r="AM78" s="146" t="s">
        <v>262</v>
      </c>
      <c r="AN78" s="148" t="s">
        <v>240</v>
      </c>
      <c r="AO78" s="146" t="s">
        <v>262</v>
      </c>
      <c r="AP78" s="148">
        <v>100</v>
      </c>
      <c r="AQ78" s="146" t="s">
        <v>262</v>
      </c>
      <c r="AR78" s="148">
        <v>100</v>
      </c>
      <c r="AS78" s="146" t="s">
        <v>262</v>
      </c>
      <c r="AT78" s="148">
        <v>2.5</v>
      </c>
      <c r="AU78" s="146" t="s">
        <v>263</v>
      </c>
      <c r="AV78" s="148">
        <v>2.5</v>
      </c>
      <c r="AW78" s="146" t="s">
        <v>263</v>
      </c>
      <c r="AX78" s="156"/>
      <c r="AZ78" s="148"/>
      <c r="BB78" s="152"/>
      <c r="BD78" s="148"/>
      <c r="BF78" s="149"/>
      <c r="BH78" s="149"/>
      <c r="BJ78" s="192"/>
      <c r="BK78" s="150"/>
      <c r="BL78" s="148"/>
      <c r="BM78" s="150"/>
      <c r="BN78" s="148" t="s">
        <v>266</v>
      </c>
      <c r="BO78" s="149" t="s">
        <v>99</v>
      </c>
      <c r="BP78" s="148" t="s">
        <v>266</v>
      </c>
      <c r="BQ78" s="149" t="s">
        <v>99</v>
      </c>
      <c r="BR78" s="148" t="s">
        <v>266</v>
      </c>
      <c r="BS78" s="149" t="s">
        <v>99</v>
      </c>
      <c r="BT78" s="148" t="s">
        <v>266</v>
      </c>
      <c r="BU78" s="149" t="s">
        <v>99</v>
      </c>
      <c r="BX78" s="148"/>
      <c r="BZ78" s="148" t="s">
        <v>266</v>
      </c>
      <c r="CA78" s="149" t="s">
        <v>99</v>
      </c>
      <c r="CB78" s="148" t="s">
        <v>266</v>
      </c>
      <c r="CC78" s="149" t="s">
        <v>99</v>
      </c>
      <c r="CD78" s="152"/>
      <c r="CF78" s="148"/>
      <c r="CG78" s="149"/>
      <c r="CH78" s="148"/>
      <c r="CJ78" s="148"/>
    </row>
    <row r="79" spans="2:90" s="146" customFormat="1" ht="45" x14ac:dyDescent="0.25">
      <c r="B79" s="158" t="s">
        <v>300</v>
      </c>
      <c r="C79" s="147" t="s">
        <v>255</v>
      </c>
      <c r="D79" s="148" t="s">
        <v>240</v>
      </c>
      <c r="E79" s="149" t="s">
        <v>240</v>
      </c>
      <c r="F79" s="148" t="s">
        <v>240</v>
      </c>
      <c r="G79" s="150" t="s">
        <v>99</v>
      </c>
      <c r="H79" s="148" t="s">
        <v>240</v>
      </c>
      <c r="I79" s="150" t="s">
        <v>99</v>
      </c>
      <c r="J79" s="150">
        <v>0.75</v>
      </c>
      <c r="K79" s="146" t="s">
        <v>99</v>
      </c>
      <c r="L79" s="148" t="s">
        <v>240</v>
      </c>
      <c r="M79" s="150" t="s">
        <v>99</v>
      </c>
      <c r="N79" s="146">
        <v>20</v>
      </c>
      <c r="O79" s="146" t="s">
        <v>257</v>
      </c>
      <c r="P79" s="148" t="s">
        <v>240</v>
      </c>
      <c r="Q79" s="146" t="s">
        <v>257</v>
      </c>
      <c r="R79" s="151">
        <v>27.4</v>
      </c>
      <c r="S79" s="146" t="s">
        <v>298</v>
      </c>
      <c r="T79" s="148" t="s">
        <v>240</v>
      </c>
      <c r="U79" s="149" t="s">
        <v>240</v>
      </c>
      <c r="V79" s="152">
        <f>1.4/(3600*24*30*12)/31.54*10^6+0.7</f>
        <v>0.70142708586131397</v>
      </c>
      <c r="W79" s="146" t="s">
        <v>259</v>
      </c>
      <c r="X79" s="148" t="s">
        <v>240</v>
      </c>
      <c r="Y79" s="149" t="s">
        <v>240</v>
      </c>
      <c r="Z79" s="148" t="e">
        <f>#REF!</f>
        <v>#REF!</v>
      </c>
      <c r="AA79" s="146" t="s">
        <v>278</v>
      </c>
      <c r="AB79" s="146" t="e">
        <f>#REF!</f>
        <v>#REF!</v>
      </c>
      <c r="AC79" s="146" t="s">
        <v>278</v>
      </c>
      <c r="AD79" s="148" t="s">
        <v>266</v>
      </c>
      <c r="AE79" s="149" t="s">
        <v>99</v>
      </c>
      <c r="AF79" s="148" t="s">
        <v>266</v>
      </c>
      <c r="AG79" s="149" t="s">
        <v>99</v>
      </c>
      <c r="AH79" s="148">
        <v>9</v>
      </c>
      <c r="AI79" s="146" t="s">
        <v>44</v>
      </c>
      <c r="AJ79" s="148">
        <v>9</v>
      </c>
      <c r="AK79" s="146" t="s">
        <v>44</v>
      </c>
      <c r="AL79" s="148" t="s">
        <v>240</v>
      </c>
      <c r="AM79" s="146" t="s">
        <v>262</v>
      </c>
      <c r="AN79" s="148" t="s">
        <v>240</v>
      </c>
      <c r="AO79" s="146" t="s">
        <v>262</v>
      </c>
      <c r="AP79" s="148">
        <v>100</v>
      </c>
      <c r="AQ79" s="146" t="s">
        <v>262</v>
      </c>
      <c r="AR79" s="148">
        <v>100</v>
      </c>
      <c r="AS79" s="146" t="s">
        <v>262</v>
      </c>
      <c r="AT79" s="148">
        <v>3.5</v>
      </c>
      <c r="AU79" s="146" t="s">
        <v>263</v>
      </c>
      <c r="AV79" s="148">
        <v>3.5</v>
      </c>
      <c r="AW79" s="146" t="s">
        <v>263</v>
      </c>
      <c r="AX79" s="156"/>
      <c r="AZ79" s="148"/>
      <c r="BB79" s="152"/>
      <c r="BD79" s="148"/>
      <c r="BF79" s="149"/>
      <c r="BH79" s="149"/>
      <c r="BJ79" s="192"/>
      <c r="BK79" s="150"/>
      <c r="BL79" s="148"/>
      <c r="BM79" s="150"/>
      <c r="BN79" s="148" t="s">
        <v>266</v>
      </c>
      <c r="BO79" s="149" t="s">
        <v>99</v>
      </c>
      <c r="BP79" s="148" t="s">
        <v>266</v>
      </c>
      <c r="BQ79" s="149" t="s">
        <v>99</v>
      </c>
      <c r="BR79" s="148" t="s">
        <v>266</v>
      </c>
      <c r="BS79" s="149" t="s">
        <v>99</v>
      </c>
      <c r="BT79" s="148" t="s">
        <v>266</v>
      </c>
      <c r="BU79" s="149" t="s">
        <v>99</v>
      </c>
      <c r="BX79" s="148"/>
      <c r="BZ79" s="148" t="s">
        <v>266</v>
      </c>
      <c r="CA79" s="149" t="s">
        <v>99</v>
      </c>
      <c r="CB79" s="148" t="s">
        <v>266</v>
      </c>
      <c r="CC79" s="149" t="s">
        <v>99</v>
      </c>
      <c r="CD79" s="152"/>
      <c r="CF79" s="148"/>
      <c r="CG79" s="149"/>
      <c r="CH79" s="148"/>
      <c r="CJ79" s="148"/>
    </row>
    <row r="80" spans="2:90" s="146" customFormat="1" ht="30" x14ac:dyDescent="0.25">
      <c r="B80" s="158" t="s">
        <v>301</v>
      </c>
      <c r="C80" s="147" t="s">
        <v>255</v>
      </c>
      <c r="D80" s="148" t="s">
        <v>240</v>
      </c>
      <c r="E80" s="149" t="s">
        <v>240</v>
      </c>
      <c r="F80" s="148" t="s">
        <v>240</v>
      </c>
      <c r="G80" s="150" t="s">
        <v>99</v>
      </c>
      <c r="H80" s="148" t="s">
        <v>240</v>
      </c>
      <c r="I80" s="150" t="s">
        <v>99</v>
      </c>
      <c r="J80" s="150">
        <v>0.7</v>
      </c>
      <c r="K80" s="146" t="s">
        <v>99</v>
      </c>
      <c r="L80" s="148" t="s">
        <v>240</v>
      </c>
      <c r="M80" s="150" t="s">
        <v>99</v>
      </c>
      <c r="N80" s="146">
        <v>20</v>
      </c>
      <c r="O80" s="146" t="s">
        <v>257</v>
      </c>
      <c r="P80" s="148" t="s">
        <v>240</v>
      </c>
      <c r="Q80" s="146" t="s">
        <v>257</v>
      </c>
      <c r="R80" s="151">
        <v>62</v>
      </c>
      <c r="S80" s="146" t="s">
        <v>298</v>
      </c>
      <c r="T80" s="148" t="s">
        <v>240</v>
      </c>
      <c r="U80" s="149" t="s">
        <v>240</v>
      </c>
      <c r="V80" s="152">
        <f>4.3/(3600*24*30*12)/31.54*10^6+0.4</f>
        <v>0.40438319228832159</v>
      </c>
      <c r="W80" s="146" t="s">
        <v>259</v>
      </c>
      <c r="X80" s="148" t="s">
        <v>240</v>
      </c>
      <c r="Y80" s="149" t="s">
        <v>240</v>
      </c>
      <c r="Z80" s="148" t="e">
        <f>#REF!</f>
        <v>#REF!</v>
      </c>
      <c r="AA80" s="146" t="s">
        <v>278</v>
      </c>
      <c r="AB80" s="146" t="e">
        <f>#REF!</f>
        <v>#REF!</v>
      </c>
      <c r="AC80" s="146" t="s">
        <v>278</v>
      </c>
      <c r="AD80" s="148" t="s">
        <v>266</v>
      </c>
      <c r="AE80" s="149" t="s">
        <v>99</v>
      </c>
      <c r="AF80" s="148" t="s">
        <v>266</v>
      </c>
      <c r="AG80" s="149" t="s">
        <v>99</v>
      </c>
      <c r="AH80" s="148">
        <v>9</v>
      </c>
      <c r="AI80" s="146" t="s">
        <v>44</v>
      </c>
      <c r="AJ80" s="148">
        <v>9</v>
      </c>
      <c r="AK80" s="146" t="s">
        <v>44</v>
      </c>
      <c r="AL80" s="148" t="s">
        <v>240</v>
      </c>
      <c r="AM80" s="146" t="s">
        <v>262</v>
      </c>
      <c r="AN80" s="148" t="s">
        <v>240</v>
      </c>
      <c r="AO80" s="146" t="s">
        <v>262</v>
      </c>
      <c r="AP80" s="148">
        <v>40</v>
      </c>
      <c r="AQ80" s="146" t="s">
        <v>262</v>
      </c>
      <c r="AR80" s="148">
        <v>100</v>
      </c>
      <c r="AS80" s="146" t="s">
        <v>262</v>
      </c>
      <c r="AT80" s="148">
        <v>3.5</v>
      </c>
      <c r="AU80" s="146" t="s">
        <v>263</v>
      </c>
      <c r="AV80" s="148">
        <v>3.5</v>
      </c>
      <c r="AW80" s="146" t="s">
        <v>263</v>
      </c>
      <c r="AX80" s="156"/>
      <c r="AZ80" s="148"/>
      <c r="BB80" s="152"/>
      <c r="BD80" s="148"/>
      <c r="BF80" s="149"/>
      <c r="BH80" s="149"/>
      <c r="BJ80" s="192"/>
      <c r="BK80" s="150"/>
      <c r="BL80" s="148"/>
      <c r="BM80" s="150"/>
      <c r="BN80" s="148" t="s">
        <v>266</v>
      </c>
      <c r="BO80" s="149" t="s">
        <v>99</v>
      </c>
      <c r="BP80" s="148" t="s">
        <v>266</v>
      </c>
      <c r="BQ80" s="149" t="s">
        <v>99</v>
      </c>
      <c r="BR80" s="148" t="s">
        <v>266</v>
      </c>
      <c r="BS80" s="149" t="s">
        <v>99</v>
      </c>
      <c r="BT80" s="148" t="s">
        <v>266</v>
      </c>
      <c r="BU80" s="149" t="s">
        <v>99</v>
      </c>
      <c r="BX80" s="148"/>
      <c r="BZ80" s="148" t="s">
        <v>266</v>
      </c>
      <c r="CA80" s="149" t="s">
        <v>99</v>
      </c>
      <c r="CB80" s="148" t="s">
        <v>266</v>
      </c>
      <c r="CC80" s="149" t="s">
        <v>99</v>
      </c>
      <c r="CD80" s="152"/>
      <c r="CF80" s="148"/>
      <c r="CG80" s="149"/>
      <c r="CH80" s="148"/>
      <c r="CJ80" s="148"/>
    </row>
    <row r="81" spans="2:89" s="146" customFormat="1" ht="60" x14ac:dyDescent="0.25">
      <c r="B81" s="158" t="s">
        <v>302</v>
      </c>
      <c r="C81" s="147" t="s">
        <v>255</v>
      </c>
      <c r="D81" s="148" t="s">
        <v>240</v>
      </c>
      <c r="E81" s="149" t="s">
        <v>240</v>
      </c>
      <c r="F81" s="148" t="s">
        <v>240</v>
      </c>
      <c r="G81" s="150" t="s">
        <v>99</v>
      </c>
      <c r="H81" s="148" t="s">
        <v>240</v>
      </c>
      <c r="I81" s="150" t="s">
        <v>99</v>
      </c>
      <c r="J81" s="150">
        <v>0.75</v>
      </c>
      <c r="K81" s="146" t="s">
        <v>99</v>
      </c>
      <c r="L81" s="148" t="s">
        <v>240</v>
      </c>
      <c r="M81" s="150" t="s">
        <v>99</v>
      </c>
      <c r="N81" s="146">
        <v>20</v>
      </c>
      <c r="O81" s="146" t="s">
        <v>257</v>
      </c>
      <c r="P81" s="148" t="s">
        <v>240</v>
      </c>
      <c r="Q81" s="146" t="s">
        <v>257</v>
      </c>
      <c r="R81" s="151">
        <v>27.4</v>
      </c>
      <c r="S81" s="146" t="s">
        <v>298</v>
      </c>
      <c r="T81" s="148" t="s">
        <v>240</v>
      </c>
      <c r="U81" s="149" t="s">
        <v>240</v>
      </c>
      <c r="V81" s="152">
        <f>1.4/(3600*24*30*12)/31.54*10^6+0.7</f>
        <v>0.70142708586131397</v>
      </c>
      <c r="W81" s="146" t="s">
        <v>259</v>
      </c>
      <c r="X81" s="148" t="s">
        <v>240</v>
      </c>
      <c r="Y81" s="149" t="s">
        <v>240</v>
      </c>
      <c r="Z81" s="148" t="e">
        <f>#REF!</f>
        <v>#REF!</v>
      </c>
      <c r="AA81" s="146" t="s">
        <v>278</v>
      </c>
      <c r="AB81" s="146" t="e">
        <f>#REF!</f>
        <v>#REF!</v>
      </c>
      <c r="AC81" s="146" t="s">
        <v>278</v>
      </c>
      <c r="AD81" s="148" t="s">
        <v>266</v>
      </c>
      <c r="AE81" s="149" t="s">
        <v>99</v>
      </c>
      <c r="AF81" s="148" t="s">
        <v>266</v>
      </c>
      <c r="AG81" s="149" t="s">
        <v>99</v>
      </c>
      <c r="AH81" s="148">
        <v>7</v>
      </c>
      <c r="AI81" s="146" t="s">
        <v>44</v>
      </c>
      <c r="AJ81" s="148">
        <v>8</v>
      </c>
      <c r="AK81" s="146" t="s">
        <v>44</v>
      </c>
      <c r="AL81" s="148" t="s">
        <v>240</v>
      </c>
      <c r="AM81" s="146" t="s">
        <v>262</v>
      </c>
      <c r="AN81" s="148" t="s">
        <v>240</v>
      </c>
      <c r="AO81" s="146" t="s">
        <v>262</v>
      </c>
      <c r="AP81" s="148">
        <v>0</v>
      </c>
      <c r="AQ81" s="146" t="s">
        <v>262</v>
      </c>
      <c r="AR81" s="148">
        <v>100</v>
      </c>
      <c r="AS81" s="146" t="s">
        <v>262</v>
      </c>
      <c r="AT81" s="148">
        <v>2.5</v>
      </c>
      <c r="AU81" s="146" t="s">
        <v>263</v>
      </c>
      <c r="AV81" s="148">
        <v>2.5</v>
      </c>
      <c r="AW81" s="146" t="s">
        <v>263</v>
      </c>
      <c r="AX81" s="156"/>
      <c r="AZ81" s="148"/>
      <c r="BB81" s="152"/>
      <c r="BD81" s="148"/>
      <c r="BF81" s="149"/>
      <c r="BH81" s="149"/>
      <c r="BJ81" s="192"/>
      <c r="BK81" s="150"/>
      <c r="BL81" s="148"/>
      <c r="BM81" s="150"/>
      <c r="BN81" s="148" t="s">
        <v>266</v>
      </c>
      <c r="BO81" s="149" t="s">
        <v>99</v>
      </c>
      <c r="BP81" s="148" t="s">
        <v>266</v>
      </c>
      <c r="BQ81" s="149" t="s">
        <v>99</v>
      </c>
      <c r="BR81" s="148" t="s">
        <v>266</v>
      </c>
      <c r="BS81" s="149" t="s">
        <v>99</v>
      </c>
      <c r="BT81" s="148" t="s">
        <v>266</v>
      </c>
      <c r="BU81" s="149" t="s">
        <v>99</v>
      </c>
      <c r="BX81" s="148"/>
      <c r="BZ81" s="148" t="s">
        <v>266</v>
      </c>
      <c r="CA81" s="149" t="s">
        <v>99</v>
      </c>
      <c r="CB81" s="148" t="s">
        <v>266</v>
      </c>
      <c r="CC81" s="149" t="s">
        <v>99</v>
      </c>
      <c r="CD81" s="152"/>
      <c r="CF81" s="148"/>
      <c r="CG81" s="149"/>
      <c r="CH81" s="148"/>
      <c r="CJ81" s="148"/>
    </row>
    <row r="82" spans="2:89" s="146" customFormat="1" ht="45" x14ac:dyDescent="0.25">
      <c r="B82" s="158" t="s">
        <v>303</v>
      </c>
      <c r="C82" s="147" t="s">
        <v>255</v>
      </c>
      <c r="D82" s="148" t="s">
        <v>240</v>
      </c>
      <c r="E82" s="149" t="s">
        <v>240</v>
      </c>
      <c r="F82" s="148" t="s">
        <v>240</v>
      </c>
      <c r="G82" s="150" t="s">
        <v>99</v>
      </c>
      <c r="H82" s="148" t="s">
        <v>240</v>
      </c>
      <c r="I82" s="150" t="s">
        <v>99</v>
      </c>
      <c r="J82" s="150">
        <v>0.7</v>
      </c>
      <c r="K82" s="146" t="s">
        <v>99</v>
      </c>
      <c r="L82" s="148" t="s">
        <v>240</v>
      </c>
      <c r="M82" s="150" t="s">
        <v>99</v>
      </c>
      <c r="N82" s="146">
        <v>20</v>
      </c>
      <c r="O82" s="146" t="s">
        <v>257</v>
      </c>
      <c r="P82" s="148" t="s">
        <v>240</v>
      </c>
      <c r="Q82" s="146" t="s">
        <v>257</v>
      </c>
      <c r="R82" s="151">
        <v>62</v>
      </c>
      <c r="S82" s="146" t="s">
        <v>298</v>
      </c>
      <c r="T82" s="148" t="s">
        <v>240</v>
      </c>
      <c r="U82" s="149" t="s">
        <v>240</v>
      </c>
      <c r="V82" s="152">
        <f>14.3/(3600*24*30*12)/31.54*10^6+0.4</f>
        <v>0.41457666272627874</v>
      </c>
      <c r="W82" s="146" t="s">
        <v>259</v>
      </c>
      <c r="X82" s="148" t="s">
        <v>240</v>
      </c>
      <c r="Y82" s="149" t="s">
        <v>240</v>
      </c>
      <c r="Z82" s="148" t="e">
        <f>#REF!</f>
        <v>#REF!</v>
      </c>
      <c r="AA82" s="146" t="s">
        <v>278</v>
      </c>
      <c r="AB82" s="146" t="e">
        <f>#REF!</f>
        <v>#REF!</v>
      </c>
      <c r="AC82" s="146" t="s">
        <v>278</v>
      </c>
      <c r="AD82" s="148" t="s">
        <v>266</v>
      </c>
      <c r="AE82" s="149" t="s">
        <v>99</v>
      </c>
      <c r="AF82" s="148" t="s">
        <v>266</v>
      </c>
      <c r="AG82" s="149" t="s">
        <v>99</v>
      </c>
      <c r="AH82" s="148">
        <v>7</v>
      </c>
      <c r="AI82" s="146" t="s">
        <v>44</v>
      </c>
      <c r="AJ82" s="148">
        <v>8</v>
      </c>
      <c r="AK82" s="146" t="s">
        <v>44</v>
      </c>
      <c r="AL82" s="148" t="s">
        <v>240</v>
      </c>
      <c r="AM82" s="146" t="s">
        <v>262</v>
      </c>
      <c r="AN82" s="148" t="s">
        <v>240</v>
      </c>
      <c r="AO82" s="146" t="s">
        <v>262</v>
      </c>
      <c r="AP82" s="148">
        <v>0</v>
      </c>
      <c r="AQ82" s="146" t="s">
        <v>262</v>
      </c>
      <c r="AR82" s="148">
        <v>100</v>
      </c>
      <c r="AS82" s="146" t="s">
        <v>262</v>
      </c>
      <c r="AT82" s="148">
        <v>3.5</v>
      </c>
      <c r="AU82" s="146" t="s">
        <v>263</v>
      </c>
      <c r="AV82" s="148">
        <v>3.5</v>
      </c>
      <c r="AW82" s="146" t="s">
        <v>263</v>
      </c>
      <c r="AX82" s="156"/>
      <c r="AZ82" s="148"/>
      <c r="BB82" s="152"/>
      <c r="BD82" s="148"/>
      <c r="BF82" s="149"/>
      <c r="BH82" s="149"/>
      <c r="BJ82" s="192"/>
      <c r="BK82" s="150"/>
      <c r="BL82" s="148"/>
      <c r="BM82" s="150"/>
      <c r="BN82" s="148" t="s">
        <v>266</v>
      </c>
      <c r="BO82" s="149" t="s">
        <v>99</v>
      </c>
      <c r="BP82" s="148" t="s">
        <v>266</v>
      </c>
      <c r="BQ82" s="149" t="s">
        <v>99</v>
      </c>
      <c r="BR82" s="148" t="s">
        <v>266</v>
      </c>
      <c r="BS82" s="149" t="s">
        <v>99</v>
      </c>
      <c r="BT82" s="148" t="s">
        <v>266</v>
      </c>
      <c r="BU82" s="149" t="s">
        <v>99</v>
      </c>
      <c r="BX82" s="148"/>
      <c r="BZ82" s="148" t="s">
        <v>266</v>
      </c>
      <c r="CA82" s="149" t="s">
        <v>99</v>
      </c>
      <c r="CB82" s="148" t="s">
        <v>266</v>
      </c>
      <c r="CC82" s="149" t="s">
        <v>99</v>
      </c>
      <c r="CD82" s="152"/>
      <c r="CF82" s="148"/>
      <c r="CG82" s="149"/>
      <c r="CH82" s="148"/>
      <c r="CJ82" s="148"/>
    </row>
    <row r="83" spans="2:89" x14ac:dyDescent="0.25">
      <c r="B83" s="223"/>
      <c r="C83" s="224"/>
      <c r="H83" s="135"/>
      <c r="I83" s="135"/>
      <c r="J83" s="135"/>
      <c r="K83" s="135"/>
      <c r="AH83" s="85"/>
      <c r="AI83" s="85"/>
      <c r="AJ83" s="85"/>
      <c r="AP83" s="85"/>
      <c r="AQ83" s="85"/>
      <c r="AR83" s="85"/>
      <c r="AS83" s="85"/>
      <c r="AX83" s="84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4"/>
      <c r="BK83" s="85"/>
      <c r="BL83" s="93"/>
      <c r="BM83" s="93"/>
      <c r="BN83" s="93"/>
      <c r="BO83" s="93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5"/>
      <c r="CA83" s="85"/>
      <c r="CB83" s="85"/>
      <c r="CC83" s="85"/>
      <c r="CD83" s="85"/>
      <c r="CE83" s="85"/>
      <c r="CF83" s="85"/>
      <c r="CG83" s="85"/>
      <c r="CH83" s="85"/>
      <c r="CJ83" s="85"/>
    </row>
    <row r="84" spans="2:89" x14ac:dyDescent="0.25">
      <c r="C84" s="224"/>
      <c r="H84" s="135"/>
      <c r="I84" s="135"/>
      <c r="J84" s="135"/>
      <c r="K84" s="135"/>
      <c r="AH84" s="85"/>
      <c r="AI84" s="85"/>
      <c r="AJ84" s="85"/>
      <c r="AP84" s="85"/>
      <c r="AQ84" s="85"/>
      <c r="AR84" s="85"/>
      <c r="AS84" s="85"/>
      <c r="AX84" s="84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124"/>
      <c r="BK84" s="85"/>
      <c r="BL84" s="93"/>
      <c r="BM84" s="93"/>
      <c r="BN84" s="93"/>
      <c r="BO84" s="93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J84" s="85"/>
    </row>
    <row r="85" spans="2:89" x14ac:dyDescent="0.25">
      <c r="C85" s="83"/>
      <c r="AH85" s="85"/>
      <c r="AI85" s="85"/>
      <c r="AJ85" s="85"/>
      <c r="AP85" s="85"/>
      <c r="AQ85" s="85"/>
      <c r="AR85" s="85"/>
      <c r="AS85" s="85"/>
      <c r="AX85" s="84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4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J85" s="85"/>
    </row>
    <row r="86" spans="2:89" s="228" customFormat="1" ht="21" x14ac:dyDescent="0.25">
      <c r="B86" s="86" t="s">
        <v>304</v>
      </c>
      <c r="C86" s="87" t="s">
        <v>305</v>
      </c>
      <c r="D86" s="225"/>
      <c r="E86" s="225"/>
      <c r="F86" s="225"/>
      <c r="G86" s="89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225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92"/>
      <c r="AI86" s="92"/>
      <c r="AJ86" s="92"/>
      <c r="AK86" s="88"/>
      <c r="AL86" s="88"/>
      <c r="AM86" s="88"/>
      <c r="AN86" s="88"/>
      <c r="AO86" s="88"/>
      <c r="AP86" s="226"/>
      <c r="AQ86" s="226"/>
      <c r="AR86" s="226"/>
      <c r="AS86" s="226"/>
      <c r="AT86" s="225"/>
      <c r="AU86" s="225"/>
      <c r="AV86" s="225"/>
      <c r="AW86" s="225"/>
      <c r="AX86" s="90"/>
      <c r="AY86" s="92"/>
      <c r="AZ86" s="226"/>
      <c r="BA86" s="92"/>
      <c r="BB86" s="92"/>
      <c r="BC86" s="92"/>
      <c r="BD86" s="92"/>
      <c r="BE86" s="92"/>
      <c r="BF86" s="92"/>
      <c r="BG86" s="92"/>
      <c r="BH86" s="92"/>
      <c r="BI86" s="92"/>
      <c r="BJ86" s="227"/>
      <c r="BK86" s="91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226"/>
      <c r="CC86" s="92"/>
      <c r="CD86" s="92"/>
      <c r="CE86" s="92"/>
      <c r="CF86" s="92"/>
      <c r="CG86" s="92"/>
      <c r="CH86" s="92"/>
      <c r="CI86" s="225"/>
      <c r="CJ86" s="92"/>
      <c r="CK86" s="225"/>
    </row>
    <row r="87" spans="2:89" x14ac:dyDescent="0.25">
      <c r="C87" s="83"/>
      <c r="D87" s="180"/>
      <c r="E87" s="180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2"/>
      <c r="AI87" s="182"/>
      <c r="AJ87" s="182"/>
      <c r="AK87" s="181"/>
      <c r="AP87" s="85"/>
      <c r="AQ87" s="85"/>
      <c r="AR87" s="85"/>
      <c r="AS87" s="85"/>
      <c r="AX87" s="183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3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J87" s="182"/>
    </row>
    <row r="88" spans="2:89" s="187" customFormat="1" x14ac:dyDescent="0.25">
      <c r="B88" s="63"/>
      <c r="C88" s="95" t="s">
        <v>246</v>
      </c>
      <c r="D88" s="96" t="s">
        <v>247</v>
      </c>
      <c r="E88" s="97"/>
      <c r="F88" s="98" t="s">
        <v>248</v>
      </c>
      <c r="G88" s="98"/>
      <c r="H88" s="98"/>
      <c r="I88" s="98"/>
      <c r="J88" s="98" t="s">
        <v>249</v>
      </c>
      <c r="K88" s="98"/>
      <c r="L88" s="98"/>
      <c r="M88" s="98"/>
      <c r="N88" s="98" t="s">
        <v>250</v>
      </c>
      <c r="O88" s="98"/>
      <c r="P88" s="98"/>
      <c r="Q88" s="98"/>
      <c r="R88" s="98" t="s">
        <v>251</v>
      </c>
      <c r="S88" s="98"/>
      <c r="T88" s="98"/>
      <c r="U88" s="98"/>
      <c r="V88" s="98" t="s">
        <v>252</v>
      </c>
      <c r="W88" s="98"/>
      <c r="X88" s="98"/>
      <c r="Y88" s="98"/>
      <c r="Z88" s="98" t="s">
        <v>253</v>
      </c>
      <c r="AA88" s="98"/>
      <c r="AB88" s="98"/>
      <c r="AC88" s="98"/>
      <c r="AD88" s="98" t="s">
        <v>329</v>
      </c>
      <c r="AE88" s="98"/>
      <c r="AF88" s="98"/>
      <c r="AG88" s="98"/>
      <c r="AH88" s="99" t="s">
        <v>78</v>
      </c>
      <c r="AI88" s="99"/>
      <c r="AJ88" s="99"/>
      <c r="AK88" s="98"/>
      <c r="AL88" s="98" t="s">
        <v>80</v>
      </c>
      <c r="AM88" s="98"/>
      <c r="AN88" s="98"/>
      <c r="AO88" s="98"/>
      <c r="AP88" s="99" t="s">
        <v>534</v>
      </c>
      <c r="AQ88" s="99"/>
      <c r="AR88" s="99"/>
      <c r="AS88" s="99"/>
      <c r="AT88" s="98" t="s">
        <v>82</v>
      </c>
      <c r="AU88" s="98"/>
      <c r="AV88" s="98"/>
      <c r="AW88" s="229"/>
      <c r="AX88" s="100" t="s">
        <v>251</v>
      </c>
      <c r="AY88" s="99"/>
      <c r="AZ88" s="99"/>
      <c r="BA88" s="99"/>
      <c r="BB88" s="99" t="s">
        <v>252</v>
      </c>
      <c r="BC88" s="99"/>
      <c r="BD88" s="99"/>
      <c r="BE88" s="99"/>
      <c r="BF88" s="98" t="s">
        <v>254</v>
      </c>
      <c r="BG88" s="99"/>
      <c r="BH88" s="99"/>
      <c r="BI88" s="99"/>
      <c r="BJ88" s="100" t="s">
        <v>72</v>
      </c>
      <c r="BK88" s="99"/>
      <c r="BL88" s="99"/>
      <c r="BM88" s="99"/>
      <c r="BN88" s="99" t="s">
        <v>77</v>
      </c>
      <c r="BO88" s="99"/>
      <c r="BP88" s="99"/>
      <c r="BQ88" s="99"/>
      <c r="BR88" s="99" t="s">
        <v>329</v>
      </c>
      <c r="BS88" s="99"/>
      <c r="BT88" s="99"/>
      <c r="BU88" s="99"/>
      <c r="BV88" s="99" t="s">
        <v>78</v>
      </c>
      <c r="BW88" s="99"/>
      <c r="BX88" s="99"/>
      <c r="BY88" s="99"/>
      <c r="BZ88" s="99" t="s">
        <v>80</v>
      </c>
      <c r="CA88" s="99"/>
      <c r="CB88" s="99"/>
      <c r="CC88" s="99"/>
      <c r="CD88" s="99" t="s">
        <v>534</v>
      </c>
      <c r="CE88" s="99"/>
      <c r="CF88" s="99"/>
      <c r="CG88" s="99"/>
      <c r="CH88" s="99" t="s">
        <v>82</v>
      </c>
      <c r="CI88" s="229"/>
      <c r="CJ88" s="99"/>
      <c r="CK88" s="229"/>
    </row>
    <row r="89" spans="2:89" s="187" customFormat="1" x14ac:dyDescent="0.25">
      <c r="B89" s="186"/>
      <c r="C89" s="104"/>
      <c r="D89" s="105"/>
      <c r="E89" s="106"/>
      <c r="F89" s="107">
        <v>2025</v>
      </c>
      <c r="G89" s="107"/>
      <c r="H89" s="107">
        <v>2050</v>
      </c>
      <c r="I89" s="107"/>
      <c r="J89" s="107">
        <v>2025</v>
      </c>
      <c r="K89" s="107"/>
      <c r="L89" s="107">
        <v>2050</v>
      </c>
      <c r="M89" s="107"/>
      <c r="N89" s="107">
        <v>2025</v>
      </c>
      <c r="O89" s="107"/>
      <c r="P89" s="107">
        <v>2050</v>
      </c>
      <c r="Q89" s="107"/>
      <c r="R89" s="107">
        <v>2025</v>
      </c>
      <c r="S89" s="106"/>
      <c r="T89" s="107">
        <v>2050</v>
      </c>
      <c r="U89" s="106"/>
      <c r="V89" s="107">
        <v>2025</v>
      </c>
      <c r="W89" s="106"/>
      <c r="X89" s="107">
        <v>2050</v>
      </c>
      <c r="Y89" s="107"/>
      <c r="Z89" s="107">
        <v>2025</v>
      </c>
      <c r="AA89" s="107"/>
      <c r="AB89" s="107">
        <v>2050</v>
      </c>
      <c r="AC89" s="107"/>
      <c r="AD89" s="107">
        <v>2025</v>
      </c>
      <c r="AE89" s="107"/>
      <c r="AF89" s="107">
        <v>2050</v>
      </c>
      <c r="AG89" s="107"/>
      <c r="AH89" s="107">
        <v>2025</v>
      </c>
      <c r="AI89" s="107"/>
      <c r="AJ89" s="107">
        <v>2050</v>
      </c>
      <c r="AK89" s="107"/>
      <c r="AL89" s="107">
        <v>2025</v>
      </c>
      <c r="AM89" s="107"/>
      <c r="AN89" s="107">
        <v>2050</v>
      </c>
      <c r="AO89" s="107"/>
      <c r="AP89" s="107">
        <v>2025</v>
      </c>
      <c r="AQ89" s="108"/>
      <c r="AR89" s="108">
        <v>2050</v>
      </c>
      <c r="AS89" s="109"/>
      <c r="AT89" s="107">
        <v>2025</v>
      </c>
      <c r="AU89" s="107"/>
      <c r="AV89" s="107">
        <v>2050</v>
      </c>
      <c r="AW89" s="110"/>
      <c r="AX89" s="111">
        <v>2025</v>
      </c>
      <c r="AY89" s="107"/>
      <c r="AZ89" s="107">
        <v>2050</v>
      </c>
      <c r="BA89" s="107"/>
      <c r="BB89" s="107">
        <v>2025</v>
      </c>
      <c r="BC89" s="107"/>
      <c r="BD89" s="107">
        <v>2050</v>
      </c>
      <c r="BE89" s="107"/>
      <c r="BF89" s="107">
        <v>2025</v>
      </c>
      <c r="BG89" s="107"/>
      <c r="BH89" s="107">
        <v>2050</v>
      </c>
      <c r="BI89" s="107"/>
      <c r="BJ89" s="112">
        <v>2025</v>
      </c>
      <c r="BK89" s="108"/>
      <c r="BL89" s="108">
        <v>2050</v>
      </c>
      <c r="BM89" s="108"/>
      <c r="BN89" s="108">
        <v>2025</v>
      </c>
      <c r="BO89" s="108"/>
      <c r="BP89" s="108">
        <v>2050</v>
      </c>
      <c r="BQ89" s="108"/>
      <c r="BR89" s="108">
        <v>2025</v>
      </c>
      <c r="BS89" s="108"/>
      <c r="BT89" s="108">
        <v>2050</v>
      </c>
      <c r="BU89" s="108"/>
      <c r="BV89" s="108">
        <v>2025</v>
      </c>
      <c r="BW89" s="108"/>
      <c r="BX89" s="108">
        <v>2050</v>
      </c>
      <c r="BY89" s="108"/>
      <c r="BZ89" s="108">
        <v>2025</v>
      </c>
      <c r="CA89" s="113"/>
      <c r="CB89" s="108">
        <v>2050</v>
      </c>
      <c r="CC89" s="113"/>
      <c r="CD89" s="108">
        <v>2025</v>
      </c>
      <c r="CE89" s="113"/>
      <c r="CF89" s="108">
        <v>2050</v>
      </c>
      <c r="CG89" s="108"/>
      <c r="CH89" s="108">
        <v>2025</v>
      </c>
      <c r="CI89" s="110"/>
      <c r="CJ89" s="108">
        <v>2050</v>
      </c>
      <c r="CK89" s="110"/>
    </row>
    <row r="90" spans="2:89" x14ac:dyDescent="0.25">
      <c r="B90" s="63" t="s">
        <v>570</v>
      </c>
      <c r="C90" s="230" t="s">
        <v>306</v>
      </c>
      <c r="D90" s="76" t="s">
        <v>240</v>
      </c>
      <c r="E90" s="188" t="s">
        <v>240</v>
      </c>
      <c r="F90" s="135">
        <v>0.9</v>
      </c>
      <c r="G90" s="93" t="s">
        <v>99</v>
      </c>
      <c r="H90" s="135">
        <v>0.9</v>
      </c>
      <c r="I90" s="93" t="s">
        <v>99</v>
      </c>
      <c r="J90" s="135">
        <v>0.9</v>
      </c>
      <c r="K90" s="74" t="s">
        <v>99</v>
      </c>
      <c r="L90" s="135">
        <v>0.9</v>
      </c>
      <c r="M90" s="74" t="s">
        <v>99</v>
      </c>
      <c r="N90" s="74">
        <v>25</v>
      </c>
      <c r="O90" s="85" t="s">
        <v>257</v>
      </c>
      <c r="P90" s="74">
        <v>25</v>
      </c>
      <c r="Q90" s="85" t="s">
        <v>257</v>
      </c>
      <c r="R90" s="74">
        <v>122</v>
      </c>
      <c r="S90" s="85" t="s">
        <v>264</v>
      </c>
      <c r="T90" s="231">
        <f>R90</f>
        <v>122</v>
      </c>
      <c r="U90" s="85" t="s">
        <v>264</v>
      </c>
      <c r="V90" s="232">
        <v>4.3</v>
      </c>
      <c r="W90" s="85" t="s">
        <v>463</v>
      </c>
      <c r="X90" s="232">
        <f>V90</f>
        <v>4.3</v>
      </c>
      <c r="Y90" s="443" t="s">
        <v>463</v>
      </c>
      <c r="Z90" s="115">
        <f>hydrogenPrice</f>
        <v>35</v>
      </c>
      <c r="AA90" s="130" t="s">
        <v>268</v>
      </c>
      <c r="AB90" s="115">
        <f>hydrogenPrice</f>
        <v>35</v>
      </c>
      <c r="AC90" s="130" t="s">
        <v>268</v>
      </c>
      <c r="AD90" s="133">
        <v>0</v>
      </c>
      <c r="AE90" s="443" t="s">
        <v>269</v>
      </c>
      <c r="AF90" s="133">
        <v>0</v>
      </c>
      <c r="AG90" s="443" t="s">
        <v>269</v>
      </c>
      <c r="AH90" s="115">
        <v>9</v>
      </c>
      <c r="AI90" s="85" t="s">
        <v>44</v>
      </c>
      <c r="AJ90" s="115">
        <v>9</v>
      </c>
      <c r="AK90" s="85" t="s">
        <v>44</v>
      </c>
      <c r="AL90" s="126" t="s">
        <v>266</v>
      </c>
      <c r="AM90" s="127" t="s">
        <v>99</v>
      </c>
      <c r="AN90" s="126" t="s">
        <v>266</v>
      </c>
      <c r="AO90" s="127" t="s">
        <v>99</v>
      </c>
      <c r="AP90" s="115">
        <v>50</v>
      </c>
      <c r="AQ90" s="85" t="s">
        <v>262</v>
      </c>
      <c r="AR90" s="115">
        <v>100</v>
      </c>
      <c r="AS90" s="85" t="s">
        <v>262</v>
      </c>
      <c r="AT90" s="121">
        <v>2</v>
      </c>
      <c r="AU90" s="85" t="s">
        <v>263</v>
      </c>
      <c r="AV90" s="121">
        <v>2</v>
      </c>
      <c r="AW90" s="74" t="s">
        <v>263</v>
      </c>
      <c r="AX90" s="122">
        <f>R90</f>
        <v>122</v>
      </c>
      <c r="AY90" s="85" t="s">
        <v>264</v>
      </c>
      <c r="AZ90" s="233">
        <f>T90</f>
        <v>122</v>
      </c>
      <c r="BA90" s="85" t="s">
        <v>264</v>
      </c>
      <c r="BB90" s="120">
        <f>V90</f>
        <v>4.3</v>
      </c>
      <c r="BC90" s="85" t="s">
        <v>463</v>
      </c>
      <c r="BD90" s="120">
        <f>X90</f>
        <v>4.3</v>
      </c>
      <c r="BE90" s="443" t="s">
        <v>463</v>
      </c>
      <c r="BF90" s="120">
        <f>(Z90+AD90*CO2price)/F90/1000</f>
        <v>3.8888888888888883E-2</v>
      </c>
      <c r="BG90" s="85" t="s">
        <v>308</v>
      </c>
      <c r="BH90" s="120">
        <f>(AB90+AF90*CO2price)/H90/1000</f>
        <v>3.8888888888888883E-2</v>
      </c>
      <c r="BI90" s="85" t="s">
        <v>308</v>
      </c>
      <c r="BJ90" s="124">
        <f>(AX90+BB90/N90)*(interestRate*(1+interestRate)^N90/((1+interestRate)^N90-1))/J90/31.54/1000</f>
        <v>3.3668409136299347E-4</v>
      </c>
      <c r="BK90" s="93" t="s">
        <v>308</v>
      </c>
      <c r="BL90" s="93">
        <f>(interestRate*(1+interestRate)^P90/((1+interestRate)^P90-1)*AZ90+BD90)/L90/31.54/1000</f>
        <v>4.8769321573653994E-4</v>
      </c>
      <c r="BM90" s="93" t="s">
        <v>308</v>
      </c>
      <c r="BN90" s="120">
        <f>(BJ90-BJ117)/(BR117-BR90)*1000</f>
        <v>-12.074906811240885</v>
      </c>
      <c r="BO90" s="116" t="s">
        <v>514</v>
      </c>
      <c r="BP90" s="120">
        <f>(BL90-BL117)/(BT117-BT90)*1000</f>
        <v>-579.62700160649399</v>
      </c>
      <c r="BQ90" s="116" t="s">
        <v>514</v>
      </c>
      <c r="BR90" s="93">
        <f>AD90/F90</f>
        <v>0</v>
      </c>
      <c r="BS90" s="85" t="s">
        <v>307</v>
      </c>
      <c r="BT90" s="93">
        <f>AF90/H90</f>
        <v>0</v>
      </c>
      <c r="BU90" s="85" t="s">
        <v>307</v>
      </c>
      <c r="BV90" s="85">
        <f t="shared" ref="BV90:BY93" si="28">AH90</f>
        <v>9</v>
      </c>
      <c r="BW90" s="85" t="str">
        <f t="shared" si="28"/>
        <v>TRL</v>
      </c>
      <c r="BX90" s="85">
        <f t="shared" si="28"/>
        <v>9</v>
      </c>
      <c r="BY90" s="85" t="str">
        <f t="shared" si="28"/>
        <v>TRL</v>
      </c>
      <c r="BZ90" s="126" t="s">
        <v>266</v>
      </c>
      <c r="CA90" s="127" t="s">
        <v>99</v>
      </c>
      <c r="CB90" s="126" t="s">
        <v>266</v>
      </c>
      <c r="CC90" s="127" t="s">
        <v>99</v>
      </c>
      <c r="CD90" s="85">
        <f>AP90</f>
        <v>50</v>
      </c>
      <c r="CE90" s="85" t="s">
        <v>262</v>
      </c>
      <c r="CF90" s="85">
        <f>AR90</f>
        <v>100</v>
      </c>
      <c r="CG90" s="85" t="s">
        <v>262</v>
      </c>
      <c r="CH90" s="131">
        <f>IF(PAmedium="Default",(6-AT90)/5*100,IF(PAmedium="High",(6-(AT90-1))/5*100,(6-(AT90+1))/5*100))</f>
        <v>80</v>
      </c>
      <c r="CI90" s="443" t="s">
        <v>516</v>
      </c>
      <c r="CJ90" s="131">
        <f>IF(PAmedium="Default",(6-AV90)/5*100,IF(PAmedium="High",(6-(AV90-1))/5*100,(6-(AV90+1))/5*100))</f>
        <v>80</v>
      </c>
      <c r="CK90" s="443" t="s">
        <v>516</v>
      </c>
    </row>
    <row r="91" spans="2:89" x14ac:dyDescent="0.25">
      <c r="B91" s="63" t="s">
        <v>543</v>
      </c>
      <c r="C91" s="83" t="s">
        <v>309</v>
      </c>
      <c r="D91" s="76" t="s">
        <v>240</v>
      </c>
      <c r="E91" s="188" t="s">
        <v>240</v>
      </c>
      <c r="F91" s="135">
        <v>0.87</v>
      </c>
      <c r="G91" s="93" t="s">
        <v>99</v>
      </c>
      <c r="H91" s="135">
        <v>0.87</v>
      </c>
      <c r="I91" s="93" t="s">
        <v>99</v>
      </c>
      <c r="J91" s="135">
        <v>0.9</v>
      </c>
      <c r="K91" s="93" t="s">
        <v>99</v>
      </c>
      <c r="L91" s="135">
        <v>0.9</v>
      </c>
      <c r="M91" s="93" t="s">
        <v>99</v>
      </c>
      <c r="N91" s="74">
        <v>15</v>
      </c>
      <c r="O91" s="85" t="s">
        <v>257</v>
      </c>
      <c r="P91" s="74">
        <v>15</v>
      </c>
      <c r="Q91" s="85" t="s">
        <v>257</v>
      </c>
      <c r="R91" s="74">
        <v>8475</v>
      </c>
      <c r="S91" s="85" t="s">
        <v>264</v>
      </c>
      <c r="T91" s="231">
        <v>3880</v>
      </c>
      <c r="U91" s="85" t="s">
        <v>264</v>
      </c>
      <c r="V91" s="232">
        <v>250</v>
      </c>
      <c r="W91" s="443" t="s">
        <v>463</v>
      </c>
      <c r="X91" s="232">
        <v>200</v>
      </c>
      <c r="Y91" s="443" t="s">
        <v>463</v>
      </c>
      <c r="Z91" s="115">
        <f>hydrogenPrice</f>
        <v>35</v>
      </c>
      <c r="AA91" s="130" t="s">
        <v>268</v>
      </c>
      <c r="AB91" s="115">
        <f>hydrogenPrice</f>
        <v>35</v>
      </c>
      <c r="AC91" s="130" t="s">
        <v>268</v>
      </c>
      <c r="AD91" s="133">
        <v>0</v>
      </c>
      <c r="AE91" s="443" t="s">
        <v>269</v>
      </c>
      <c r="AF91" s="133">
        <v>0</v>
      </c>
      <c r="AG91" s="443" t="s">
        <v>269</v>
      </c>
      <c r="AH91" s="115">
        <v>7</v>
      </c>
      <c r="AI91" s="85" t="s">
        <v>44</v>
      </c>
      <c r="AJ91" s="115">
        <v>9</v>
      </c>
      <c r="AK91" s="85" t="s">
        <v>44</v>
      </c>
      <c r="AL91" s="126" t="s">
        <v>266</v>
      </c>
      <c r="AM91" s="127" t="s">
        <v>99</v>
      </c>
      <c r="AN91" s="126" t="s">
        <v>266</v>
      </c>
      <c r="AO91" s="127" t="s">
        <v>99</v>
      </c>
      <c r="AP91" s="115">
        <v>100</v>
      </c>
      <c r="AQ91" s="85" t="s">
        <v>262</v>
      </c>
      <c r="AR91" s="115">
        <v>100</v>
      </c>
      <c r="AS91" s="85" t="s">
        <v>262</v>
      </c>
      <c r="AT91" s="121">
        <v>2</v>
      </c>
      <c r="AU91" s="85" t="s">
        <v>263</v>
      </c>
      <c r="AV91" s="121">
        <v>2</v>
      </c>
      <c r="AW91" s="74" t="s">
        <v>263</v>
      </c>
      <c r="AX91" s="122">
        <f>R91</f>
        <v>8475</v>
      </c>
      <c r="AY91" s="85" t="s">
        <v>264</v>
      </c>
      <c r="AZ91" s="233">
        <f>T91</f>
        <v>3880</v>
      </c>
      <c r="BA91" s="85" t="s">
        <v>264</v>
      </c>
      <c r="BB91" s="120">
        <f t="shared" ref="BB91:BD103" si="29">V91</f>
        <v>250</v>
      </c>
      <c r="BC91" s="443" t="s">
        <v>463</v>
      </c>
      <c r="BD91" s="120">
        <f t="shared" si="29"/>
        <v>200</v>
      </c>
      <c r="BE91" s="443" t="s">
        <v>463</v>
      </c>
      <c r="BF91" s="120">
        <f>(Z91+AD91*CO2price)/F91/1000</f>
        <v>4.0229885057471264E-2</v>
      </c>
      <c r="BG91" s="85" t="s">
        <v>308</v>
      </c>
      <c r="BH91" s="120">
        <f>(AB91+AF91*CO2price)/H91/1000</f>
        <v>4.0229885057471264E-2</v>
      </c>
      <c r="BI91" s="85" t="s">
        <v>308</v>
      </c>
      <c r="BJ91" s="124">
        <f>(AX91+BB91/N91)*(interestRate*(1+interestRate)^N91/((1+interestRate)^N91-1))/J91/31.54/1000</f>
        <v>3.0801291854688804E-2</v>
      </c>
      <c r="BK91" s="93" t="s">
        <v>308</v>
      </c>
      <c r="BL91" s="93">
        <f>(interestRate*(1+interestRate)^P91/((1+interestRate)^P91-1)*AZ91+BD91)/L91/31.54/1000</f>
        <v>2.1119408305031104E-2</v>
      </c>
      <c r="BM91" s="93" t="s">
        <v>308</v>
      </c>
      <c r="BN91" s="120">
        <f>(BJ91-BJ118)/(BR118-BR91)*1000</f>
        <v>442.00853843442945</v>
      </c>
      <c r="BO91" s="116" t="s">
        <v>514</v>
      </c>
      <c r="BP91" s="120">
        <f>(BL91-BL118)/(BT118-BT91)*1000</f>
        <v>-269.18401874225083</v>
      </c>
      <c r="BQ91" s="116" t="s">
        <v>514</v>
      </c>
      <c r="BR91" s="93">
        <f>AD91/F91</f>
        <v>0</v>
      </c>
      <c r="BS91" s="85" t="s">
        <v>307</v>
      </c>
      <c r="BT91" s="93">
        <f>AF91/H91</f>
        <v>0</v>
      </c>
      <c r="BU91" s="85" t="s">
        <v>307</v>
      </c>
      <c r="BV91" s="85">
        <f t="shared" si="28"/>
        <v>7</v>
      </c>
      <c r="BW91" s="85" t="str">
        <f t="shared" si="28"/>
        <v>TRL</v>
      </c>
      <c r="BX91" s="85">
        <f t="shared" si="28"/>
        <v>9</v>
      </c>
      <c r="BY91" s="85" t="str">
        <f t="shared" si="28"/>
        <v>TRL</v>
      </c>
      <c r="BZ91" s="126" t="s">
        <v>266</v>
      </c>
      <c r="CA91" s="127" t="s">
        <v>99</v>
      </c>
      <c r="CB91" s="126" t="s">
        <v>266</v>
      </c>
      <c r="CC91" s="127" t="s">
        <v>99</v>
      </c>
      <c r="CD91" s="85">
        <f>AP91</f>
        <v>100</v>
      </c>
      <c r="CE91" s="85" t="s">
        <v>262</v>
      </c>
      <c r="CF91" s="85">
        <f>AR91</f>
        <v>100</v>
      </c>
      <c r="CG91" s="85" t="s">
        <v>262</v>
      </c>
      <c r="CH91" s="131">
        <f>IF(PAmedium="Default",(6-AT91)/5*100,IF(PAmedium="High",(6-(AT91-1))/5*100,(6-(AT91+1))/5*100))</f>
        <v>80</v>
      </c>
      <c r="CI91" s="443" t="s">
        <v>516</v>
      </c>
      <c r="CJ91" s="131">
        <f>IF(PAmedium="Default",(6-AV91)/5*100,IF(PAmedium="High",(6-(AV91-1))/5*100,(6-(AV91+1))/5*100))</f>
        <v>80</v>
      </c>
      <c r="CK91" s="443" t="s">
        <v>516</v>
      </c>
    </row>
    <row r="92" spans="2:89" x14ac:dyDescent="0.25">
      <c r="B92" s="63" t="s">
        <v>553</v>
      </c>
      <c r="C92" s="83" t="s">
        <v>309</v>
      </c>
      <c r="D92" s="76" t="s">
        <v>240</v>
      </c>
      <c r="E92" s="188" t="s">
        <v>240</v>
      </c>
      <c r="F92" s="135">
        <v>0.87</v>
      </c>
      <c r="G92" s="93" t="s">
        <v>99</v>
      </c>
      <c r="H92" s="135">
        <v>0.87</v>
      </c>
      <c r="I92" s="93" t="s">
        <v>99</v>
      </c>
      <c r="J92" s="135">
        <v>0.9</v>
      </c>
      <c r="K92" s="93" t="s">
        <v>99</v>
      </c>
      <c r="L92" s="135">
        <v>0.9</v>
      </c>
      <c r="M92" s="93" t="s">
        <v>99</v>
      </c>
      <c r="N92" s="74">
        <v>15</v>
      </c>
      <c r="O92" s="85" t="s">
        <v>257</v>
      </c>
      <c r="P92" s="74">
        <v>15</v>
      </c>
      <c r="Q92" s="85" t="s">
        <v>257</v>
      </c>
      <c r="R92" s="74">
        <v>8475</v>
      </c>
      <c r="S92" s="85" t="s">
        <v>264</v>
      </c>
      <c r="T92" s="231">
        <v>3880</v>
      </c>
      <c r="U92" s="85" t="s">
        <v>264</v>
      </c>
      <c r="V92" s="232">
        <v>250</v>
      </c>
      <c r="W92" s="443" t="s">
        <v>463</v>
      </c>
      <c r="X92" s="232">
        <v>200</v>
      </c>
      <c r="Y92" s="443" t="s">
        <v>463</v>
      </c>
      <c r="Z92" s="115">
        <f>naturalGasPrice</f>
        <v>30</v>
      </c>
      <c r="AA92" s="130" t="s">
        <v>268</v>
      </c>
      <c r="AB92" s="115">
        <f>naturalGasPrice</f>
        <v>30</v>
      </c>
      <c r="AC92" s="130" t="s">
        <v>268</v>
      </c>
      <c r="AD92" s="133">
        <f>CO2emissionNG</f>
        <v>5.6099999999999997E-2</v>
      </c>
      <c r="AE92" s="443" t="s">
        <v>269</v>
      </c>
      <c r="AF92" s="133">
        <f>CO2emissionNG</f>
        <v>5.6099999999999997E-2</v>
      </c>
      <c r="AG92" s="443" t="s">
        <v>269</v>
      </c>
      <c r="AH92" s="115">
        <v>9</v>
      </c>
      <c r="AI92" s="85" t="s">
        <v>44</v>
      </c>
      <c r="AJ92" s="115">
        <v>9</v>
      </c>
      <c r="AK92" s="85" t="s">
        <v>44</v>
      </c>
      <c r="AL92" s="126" t="s">
        <v>266</v>
      </c>
      <c r="AM92" s="127" t="s">
        <v>99</v>
      </c>
      <c r="AN92" s="126" t="s">
        <v>266</v>
      </c>
      <c r="AO92" s="127" t="s">
        <v>99</v>
      </c>
      <c r="AP92" s="115">
        <v>100</v>
      </c>
      <c r="AQ92" s="85" t="s">
        <v>262</v>
      </c>
      <c r="AR92" s="115">
        <v>100</v>
      </c>
      <c r="AS92" s="85" t="s">
        <v>262</v>
      </c>
      <c r="AT92" s="121">
        <v>2</v>
      </c>
      <c r="AU92" s="85" t="s">
        <v>263</v>
      </c>
      <c r="AV92" s="121">
        <v>2</v>
      </c>
      <c r="AW92" s="74" t="s">
        <v>263</v>
      </c>
      <c r="AX92" s="122">
        <f>R92</f>
        <v>8475</v>
      </c>
      <c r="AY92" s="85" t="s">
        <v>264</v>
      </c>
      <c r="AZ92" s="233">
        <f>T92</f>
        <v>3880</v>
      </c>
      <c r="BA92" s="85" t="s">
        <v>264</v>
      </c>
      <c r="BB92" s="120">
        <f t="shared" si="29"/>
        <v>250</v>
      </c>
      <c r="BC92" s="443" t="s">
        <v>463</v>
      </c>
      <c r="BD92" s="120">
        <f t="shared" si="29"/>
        <v>200</v>
      </c>
      <c r="BE92" s="443" t="s">
        <v>463</v>
      </c>
      <c r="BF92" s="120">
        <f>(Z92+AD92*CO2price)/F92/1000</f>
        <v>3.6739655172413788E-2</v>
      </c>
      <c r="BG92" s="85" t="s">
        <v>308</v>
      </c>
      <c r="BH92" s="120">
        <f>(AB92+AF92*CO2price)/H92/1000</f>
        <v>3.6739655172413788E-2</v>
      </c>
      <c r="BI92" s="85" t="s">
        <v>308</v>
      </c>
      <c r="BJ92" s="124">
        <f>(AX92+BB92/N92)*(interestRate*(1+interestRate)^N92/((1+interestRate)^N92-1))/J92/31.54/1000</f>
        <v>3.0801291854688804E-2</v>
      </c>
      <c r="BK92" s="93" t="s">
        <v>308</v>
      </c>
      <c r="BL92" s="93">
        <f>(interestRate*(1+interestRate)^P92/((1+interestRate)^P92-1)*AZ92+BD92)/L92/31.54/1000</f>
        <v>2.1119408305031104E-2</v>
      </c>
      <c r="BM92" s="93" t="s">
        <v>308</v>
      </c>
      <c r="BN92" s="120">
        <f>(BJ92-BJ118)/(BR118-BR92)*1000</f>
        <v>12818.247614598467</v>
      </c>
      <c r="BO92" s="116" t="s">
        <v>514</v>
      </c>
      <c r="BP92" s="120">
        <f>(BL92-BL118)/(BT118-BT92)*1000</f>
        <v>-11709.504815287877</v>
      </c>
      <c r="BQ92" s="116" t="s">
        <v>514</v>
      </c>
      <c r="BR92" s="93">
        <f>AD92/F92</f>
        <v>6.4482758620689654E-2</v>
      </c>
      <c r="BS92" s="85" t="s">
        <v>307</v>
      </c>
      <c r="BT92" s="93">
        <f>AF92/H92</f>
        <v>6.4482758620689654E-2</v>
      </c>
      <c r="BU92" s="85" t="s">
        <v>307</v>
      </c>
      <c r="BV92" s="85">
        <f t="shared" si="28"/>
        <v>9</v>
      </c>
      <c r="BW92" s="85" t="str">
        <f t="shared" si="28"/>
        <v>TRL</v>
      </c>
      <c r="BX92" s="85">
        <f t="shared" si="28"/>
        <v>9</v>
      </c>
      <c r="BY92" s="85" t="str">
        <f t="shared" si="28"/>
        <v>TRL</v>
      </c>
      <c r="BZ92" s="126" t="s">
        <v>266</v>
      </c>
      <c r="CA92" s="127" t="s">
        <v>99</v>
      </c>
      <c r="CB92" s="126" t="s">
        <v>266</v>
      </c>
      <c r="CC92" s="127" t="s">
        <v>99</v>
      </c>
      <c r="CD92" s="85">
        <f>AP92</f>
        <v>100</v>
      </c>
      <c r="CE92" s="85" t="s">
        <v>262</v>
      </c>
      <c r="CF92" s="85">
        <f>AR92</f>
        <v>100</v>
      </c>
      <c r="CG92" s="85" t="s">
        <v>262</v>
      </c>
      <c r="CH92" s="131">
        <f>IF(PAmedium="Default",(6-AT92)/5*100,IF(PAmedium="High",(6-(AT92-1))/5*100,(6-(AT92+1))/5*100))</f>
        <v>80</v>
      </c>
      <c r="CI92" s="443" t="s">
        <v>516</v>
      </c>
      <c r="CJ92" s="131">
        <f>IF(PAmedium="Default",(6-AV92)/5*100,IF(PAmedium="High",(6-(AV92-1))/5*100,(6-(AV92+1))/5*100))</f>
        <v>80</v>
      </c>
      <c r="CK92" s="443" t="s">
        <v>516</v>
      </c>
    </row>
    <row r="93" spans="2:89" x14ac:dyDescent="0.25">
      <c r="B93" s="63" t="s">
        <v>552</v>
      </c>
      <c r="C93" s="83" t="s">
        <v>309</v>
      </c>
      <c r="D93" s="76" t="s">
        <v>240</v>
      </c>
      <c r="E93" s="188" t="s">
        <v>240</v>
      </c>
      <c r="F93" s="135">
        <v>0.76</v>
      </c>
      <c r="G93" s="93" t="s">
        <v>99</v>
      </c>
      <c r="H93" s="135">
        <v>0.76</v>
      </c>
      <c r="I93" s="93" t="s">
        <v>99</v>
      </c>
      <c r="J93" s="135">
        <v>0.9</v>
      </c>
      <c r="K93" s="93" t="s">
        <v>99</v>
      </c>
      <c r="L93" s="135">
        <v>0.9</v>
      </c>
      <c r="M93" s="93" t="s">
        <v>99</v>
      </c>
      <c r="N93" s="74">
        <v>17</v>
      </c>
      <c r="O93" s="85" t="s">
        <v>257</v>
      </c>
      <c r="P93" s="74">
        <v>17</v>
      </c>
      <c r="Q93" s="85" t="s">
        <v>257</v>
      </c>
      <c r="R93" s="74">
        <v>5281</v>
      </c>
      <c r="S93" s="85" t="s">
        <v>264</v>
      </c>
      <c r="T93" s="231">
        <v>4610</v>
      </c>
      <c r="U93" s="85" t="s">
        <v>264</v>
      </c>
      <c r="V93" s="232">
        <v>224</v>
      </c>
      <c r="W93" s="443" t="s">
        <v>463</v>
      </c>
      <c r="X93" s="232">
        <v>62</v>
      </c>
      <c r="Y93" s="443" t="s">
        <v>463</v>
      </c>
      <c r="Z93" s="115">
        <f>hydrogenPrice</f>
        <v>35</v>
      </c>
      <c r="AA93" s="130" t="s">
        <v>268</v>
      </c>
      <c r="AB93" s="115">
        <f>hydrogenPrice</f>
        <v>35</v>
      </c>
      <c r="AC93" s="130" t="s">
        <v>268</v>
      </c>
      <c r="AD93" s="133">
        <v>0</v>
      </c>
      <c r="AE93" s="443" t="s">
        <v>269</v>
      </c>
      <c r="AF93" s="133">
        <v>0</v>
      </c>
      <c r="AG93" s="443" t="s">
        <v>269</v>
      </c>
      <c r="AH93" s="115">
        <v>9</v>
      </c>
      <c r="AI93" s="85" t="s">
        <v>44</v>
      </c>
      <c r="AJ93" s="115">
        <v>9</v>
      </c>
      <c r="AK93" s="85" t="s">
        <v>44</v>
      </c>
      <c r="AL93" s="126" t="s">
        <v>266</v>
      </c>
      <c r="AM93" s="127" t="s">
        <v>99</v>
      </c>
      <c r="AN93" s="126" t="s">
        <v>266</v>
      </c>
      <c r="AO93" s="127" t="s">
        <v>99</v>
      </c>
      <c r="AP93" s="115">
        <v>100</v>
      </c>
      <c r="AQ93" s="85" t="s">
        <v>262</v>
      </c>
      <c r="AR93" s="115">
        <v>100</v>
      </c>
      <c r="AS93" s="85" t="s">
        <v>262</v>
      </c>
      <c r="AT93" s="121">
        <v>2</v>
      </c>
      <c r="AU93" s="85" t="s">
        <v>263</v>
      </c>
      <c r="AV93" s="121">
        <v>2</v>
      </c>
      <c r="AW93" s="74" t="s">
        <v>263</v>
      </c>
      <c r="AX93" s="122">
        <f>R93</f>
        <v>5281</v>
      </c>
      <c r="AY93" s="85" t="s">
        <v>264</v>
      </c>
      <c r="AZ93" s="233">
        <f>T93</f>
        <v>4610</v>
      </c>
      <c r="BA93" s="85" t="s">
        <v>264</v>
      </c>
      <c r="BB93" s="120">
        <f t="shared" si="29"/>
        <v>224</v>
      </c>
      <c r="BC93" s="443" t="s">
        <v>463</v>
      </c>
      <c r="BD93" s="120">
        <f t="shared" si="29"/>
        <v>62</v>
      </c>
      <c r="BE93" s="443" t="s">
        <v>463</v>
      </c>
      <c r="BF93" s="120">
        <f>(Z93+AD93*CO2price)/F93/1000</f>
        <v>4.6052631578947373E-2</v>
      </c>
      <c r="BG93" s="85" t="s">
        <v>308</v>
      </c>
      <c r="BH93" s="120">
        <f>(AB93+AF93*CO2price)/H93/1000</f>
        <v>4.6052631578947373E-2</v>
      </c>
      <c r="BI93" s="85" t="s">
        <v>308</v>
      </c>
      <c r="BJ93" s="124">
        <f>(AX93+BB93/N93)*(interestRate*(1+interestRate)^N93/((1+interestRate)^N93-1))/J93/31.54/1000</f>
        <v>1.7801086338426392E-2</v>
      </c>
      <c r="BK93" s="93" t="s">
        <v>308</v>
      </c>
      <c r="BL93" s="93">
        <f>(interestRate*(1+interestRate)^P93/((1+interestRate)^P93-1)*AZ93+BD93)/L93/31.54/1000</f>
        <v>1.7684793472396421E-2</v>
      </c>
      <c r="BM93" s="93" t="s">
        <v>308</v>
      </c>
      <c r="BN93" s="120">
        <f>(BJ93-BJ119)/(BR119-BR93)*1000</f>
        <v>279.92840088936202</v>
      </c>
      <c r="BO93" s="116" t="s">
        <v>514</v>
      </c>
      <c r="BP93" s="120">
        <f>(BL93-BL119)/(BT119-BT93)*1000</f>
        <v>-291.69661835176043</v>
      </c>
      <c r="BQ93" s="116" t="s">
        <v>514</v>
      </c>
      <c r="BR93" s="93">
        <f>AD93/F93</f>
        <v>0</v>
      </c>
      <c r="BS93" s="85" t="s">
        <v>307</v>
      </c>
      <c r="BT93" s="93">
        <f>AF93/H93</f>
        <v>0</v>
      </c>
      <c r="BU93" s="85" t="s">
        <v>307</v>
      </c>
      <c r="BV93" s="85">
        <f t="shared" si="28"/>
        <v>9</v>
      </c>
      <c r="BW93" s="85" t="str">
        <f t="shared" si="28"/>
        <v>TRL</v>
      </c>
      <c r="BX93" s="85">
        <f t="shared" si="28"/>
        <v>9</v>
      </c>
      <c r="BY93" s="85" t="str">
        <f t="shared" si="28"/>
        <v>TRL</v>
      </c>
      <c r="BZ93" s="126" t="s">
        <v>266</v>
      </c>
      <c r="CA93" s="127" t="s">
        <v>99</v>
      </c>
      <c r="CB93" s="126" t="s">
        <v>266</v>
      </c>
      <c r="CC93" s="127" t="s">
        <v>99</v>
      </c>
      <c r="CD93" s="85">
        <f>AP93</f>
        <v>100</v>
      </c>
      <c r="CE93" s="85" t="s">
        <v>262</v>
      </c>
      <c r="CF93" s="85">
        <f>AR93</f>
        <v>100</v>
      </c>
      <c r="CG93" s="85" t="s">
        <v>262</v>
      </c>
      <c r="CH93" s="131">
        <f>IF(PAmedium="Default",(6-AT93)/5*100,IF(PAmedium="High",(6-(AT93-1))/5*100,(6-(AT93+1))/5*100))</f>
        <v>80</v>
      </c>
      <c r="CI93" s="443" t="s">
        <v>516</v>
      </c>
      <c r="CJ93" s="131">
        <f>IF(PAmedium="Default",(6-AV93)/5*100,IF(PAmedium="High",(6-(AV93-1))/5*100,(6-(AV93+1))/5*100))</f>
        <v>80</v>
      </c>
      <c r="CK93" s="443" t="s">
        <v>516</v>
      </c>
    </row>
    <row r="94" spans="2:89" x14ac:dyDescent="0.25">
      <c r="B94" s="63" t="s">
        <v>551</v>
      </c>
      <c r="C94" s="83" t="s">
        <v>309</v>
      </c>
      <c r="D94" s="76" t="s">
        <v>240</v>
      </c>
      <c r="E94" s="188" t="s">
        <v>240</v>
      </c>
      <c r="F94" s="135">
        <v>0.76</v>
      </c>
      <c r="G94" s="93" t="s">
        <v>99</v>
      </c>
      <c r="H94" s="135">
        <v>0.76</v>
      </c>
      <c r="I94" s="93" t="s">
        <v>99</v>
      </c>
      <c r="J94" s="135">
        <v>0.9</v>
      </c>
      <c r="K94" s="93" t="s">
        <v>99</v>
      </c>
      <c r="L94" s="135">
        <v>0.9</v>
      </c>
      <c r="M94" s="93" t="s">
        <v>99</v>
      </c>
      <c r="N94" s="74">
        <v>17</v>
      </c>
      <c r="O94" s="85" t="s">
        <v>257</v>
      </c>
      <c r="P94" s="74">
        <v>17</v>
      </c>
      <c r="Q94" s="85" t="s">
        <v>257</v>
      </c>
      <c r="R94" s="74">
        <v>5281</v>
      </c>
      <c r="S94" s="85" t="s">
        <v>264</v>
      </c>
      <c r="T94" s="231">
        <v>4610</v>
      </c>
      <c r="U94" s="85" t="s">
        <v>264</v>
      </c>
      <c r="V94" s="232">
        <v>224</v>
      </c>
      <c r="W94" s="443" t="s">
        <v>463</v>
      </c>
      <c r="X94" s="232">
        <v>62</v>
      </c>
      <c r="Y94" s="443" t="s">
        <v>463</v>
      </c>
      <c r="Z94" s="115">
        <f>naturalGasPrice</f>
        <v>30</v>
      </c>
      <c r="AA94" s="130" t="s">
        <v>268</v>
      </c>
      <c r="AB94" s="115">
        <f>naturalGasPrice</f>
        <v>30</v>
      </c>
      <c r="AC94" s="130" t="s">
        <v>268</v>
      </c>
      <c r="AD94" s="133">
        <f>CO2emissionNG</f>
        <v>5.6099999999999997E-2</v>
      </c>
      <c r="AE94" s="443" t="s">
        <v>269</v>
      </c>
      <c r="AF94" s="133">
        <f>CO2emissionNG</f>
        <v>5.6099999999999997E-2</v>
      </c>
      <c r="AG94" s="443" t="s">
        <v>269</v>
      </c>
      <c r="AH94" s="115">
        <v>9</v>
      </c>
      <c r="AI94" s="85" t="s">
        <v>44</v>
      </c>
      <c r="AJ94" s="115">
        <v>9</v>
      </c>
      <c r="AK94" s="85" t="s">
        <v>44</v>
      </c>
      <c r="AL94" s="126" t="s">
        <v>266</v>
      </c>
      <c r="AM94" s="127" t="s">
        <v>99</v>
      </c>
      <c r="AN94" s="126" t="s">
        <v>266</v>
      </c>
      <c r="AO94" s="127" t="s">
        <v>99</v>
      </c>
      <c r="AP94" s="115">
        <v>100</v>
      </c>
      <c r="AQ94" s="85" t="s">
        <v>262</v>
      </c>
      <c r="AR94" s="115">
        <v>100</v>
      </c>
      <c r="AS94" s="85" t="s">
        <v>262</v>
      </c>
      <c r="AT94" s="121">
        <v>2</v>
      </c>
      <c r="AU94" s="85" t="s">
        <v>263</v>
      </c>
      <c r="AV94" s="121">
        <v>2</v>
      </c>
      <c r="AW94" s="74" t="s">
        <v>263</v>
      </c>
      <c r="AX94" s="122">
        <f>R94</f>
        <v>5281</v>
      </c>
      <c r="AY94" s="234" t="s">
        <v>264</v>
      </c>
      <c r="AZ94" s="233">
        <f>T94</f>
        <v>4610</v>
      </c>
      <c r="BA94" s="234" t="s">
        <v>264</v>
      </c>
      <c r="BB94" s="120">
        <f t="shared" si="29"/>
        <v>224</v>
      </c>
      <c r="BC94" s="443" t="s">
        <v>463</v>
      </c>
      <c r="BD94" s="120">
        <f t="shared" si="29"/>
        <v>62</v>
      </c>
      <c r="BE94" s="443" t="s">
        <v>463</v>
      </c>
      <c r="BF94" s="120">
        <f>(Z94+AD94*CO2price)/F94/1000</f>
        <v>4.2057236842105258E-2</v>
      </c>
      <c r="BG94" s="85" t="s">
        <v>308</v>
      </c>
      <c r="BH94" s="120">
        <f>(AB94+AF94*CO2price)/H94/1000</f>
        <v>4.2057236842105258E-2</v>
      </c>
      <c r="BI94" s="85" t="s">
        <v>308</v>
      </c>
      <c r="BJ94" s="124">
        <f>(AX94+BB94/N94)*(interestRate*(1+interestRate)^N94/((1+interestRate)^N94-1))/J94/31.54/1000</f>
        <v>1.7801086338426392E-2</v>
      </c>
      <c r="BK94" s="93" t="s">
        <v>308</v>
      </c>
      <c r="BL94" s="93">
        <f>(interestRate*(1+interestRate)^P94/((1+interestRate)^P94-1)*AZ94+BD94)/L94/31.54/1000</f>
        <v>1.7684793472396421E-2</v>
      </c>
      <c r="BM94" s="93" t="s">
        <v>308</v>
      </c>
      <c r="BN94" s="120">
        <f>(BJ94-BJ119)/(BR119-BR94)*1000</f>
        <v>-1519.6113191136794</v>
      </c>
      <c r="BO94" s="116" t="s">
        <v>514</v>
      </c>
      <c r="BP94" s="120">
        <f>(BL94-BL119)/(BT119-BT94)*1000</f>
        <v>1583.4959281952706</v>
      </c>
      <c r="BQ94" s="116" t="s">
        <v>514</v>
      </c>
      <c r="BR94" s="93">
        <f>AD94/F94</f>
        <v>7.381578947368421E-2</v>
      </c>
      <c r="BS94" s="85" t="s">
        <v>307</v>
      </c>
      <c r="BT94" s="93">
        <f>AF94/H94</f>
        <v>7.381578947368421E-2</v>
      </c>
      <c r="BU94" s="85" t="s">
        <v>307</v>
      </c>
      <c r="BV94" s="85">
        <f>AH94</f>
        <v>9</v>
      </c>
      <c r="BW94" s="85" t="str">
        <f>AI94</f>
        <v>TRL</v>
      </c>
      <c r="BX94" s="85">
        <f>AJ94</f>
        <v>9</v>
      </c>
      <c r="BY94" s="85" t="str">
        <f>AK94</f>
        <v>TRL</v>
      </c>
      <c r="BZ94" s="126" t="s">
        <v>266</v>
      </c>
      <c r="CA94" s="127" t="s">
        <v>99</v>
      </c>
      <c r="CB94" s="126" t="s">
        <v>266</v>
      </c>
      <c r="CC94" s="127" t="s">
        <v>99</v>
      </c>
      <c r="CD94" s="85">
        <f>AP94</f>
        <v>100</v>
      </c>
      <c r="CE94" s="85" t="s">
        <v>262</v>
      </c>
      <c r="CF94" s="85">
        <f>AR94</f>
        <v>100</v>
      </c>
      <c r="CG94" s="85" t="s">
        <v>262</v>
      </c>
      <c r="CH94" s="131">
        <f>IF(PAmedium="Default",(6-AT94)/5*100,IF(PAmedium="High",(6-(AT94-1))/5*100,(6-(AT94+1))/5*100))</f>
        <v>80</v>
      </c>
      <c r="CI94" s="443" t="s">
        <v>516</v>
      </c>
      <c r="CJ94" s="131">
        <f>IF(PAmedium="Default",(6-AV94)/5*100,IF(PAmedium="High",(6-(AV94-1))/5*100,(6-(AV94+1))/5*100))</f>
        <v>80</v>
      </c>
      <c r="CK94" s="443" t="s">
        <v>516</v>
      </c>
    </row>
    <row r="95" spans="2:89" x14ac:dyDescent="0.25">
      <c r="C95" s="83"/>
      <c r="AT95" s="235"/>
      <c r="AV95" s="235"/>
      <c r="AX95" s="83"/>
      <c r="AY95" s="201"/>
      <c r="AZ95" s="201"/>
      <c r="BA95" s="201"/>
      <c r="BF95" s="120"/>
      <c r="BJ95" s="83"/>
      <c r="BN95" s="120"/>
      <c r="BO95" s="443"/>
      <c r="BP95" s="120"/>
      <c r="BQ95" s="85"/>
      <c r="BR95" s="85"/>
      <c r="BS95" s="85"/>
      <c r="BT95" s="120"/>
      <c r="BU95" s="85"/>
      <c r="CH95" s="235"/>
    </row>
    <row r="96" spans="2:89" x14ac:dyDescent="0.25">
      <c r="B96" s="63" t="s">
        <v>162</v>
      </c>
      <c r="C96" s="84" t="s">
        <v>310</v>
      </c>
      <c r="D96" s="76" t="s">
        <v>240</v>
      </c>
      <c r="E96" s="188" t="s">
        <v>240</v>
      </c>
      <c r="F96" s="93">
        <v>0.48</v>
      </c>
      <c r="G96" s="93" t="s">
        <v>99</v>
      </c>
      <c r="H96" s="93">
        <v>0.48</v>
      </c>
      <c r="I96" s="93" t="s">
        <v>99</v>
      </c>
      <c r="J96" s="93">
        <v>1</v>
      </c>
      <c r="K96" s="85" t="s">
        <v>99</v>
      </c>
      <c r="L96" s="93">
        <v>1</v>
      </c>
      <c r="M96" s="85" t="s">
        <v>99</v>
      </c>
      <c r="N96" s="85">
        <v>20</v>
      </c>
      <c r="O96" s="85" t="s">
        <v>257</v>
      </c>
      <c r="P96" s="85">
        <v>20</v>
      </c>
      <c r="Q96" s="85" t="s">
        <v>257</v>
      </c>
      <c r="R96" s="119">
        <v>688</v>
      </c>
      <c r="S96" s="85" t="s">
        <v>264</v>
      </c>
      <c r="T96" s="119">
        <f>R96</f>
        <v>688</v>
      </c>
      <c r="U96" s="85" t="s">
        <v>264</v>
      </c>
      <c r="V96" s="120">
        <v>4.0000000000000001E-3</v>
      </c>
      <c r="W96" s="443" t="s">
        <v>463</v>
      </c>
      <c r="X96" s="120">
        <f>V96</f>
        <v>4.0000000000000001E-3</v>
      </c>
      <c r="Y96" s="443" t="s">
        <v>463</v>
      </c>
      <c r="Z96" s="115">
        <f>hydrogenPrice</f>
        <v>35</v>
      </c>
      <c r="AA96" s="130" t="s">
        <v>268</v>
      </c>
      <c r="AB96" s="115">
        <f>hydrogenPrice</f>
        <v>35</v>
      </c>
      <c r="AC96" s="130" t="s">
        <v>268</v>
      </c>
      <c r="AD96" s="133">
        <v>0</v>
      </c>
      <c r="AE96" s="443" t="s">
        <v>269</v>
      </c>
      <c r="AF96" s="133">
        <v>0</v>
      </c>
      <c r="AG96" s="443" t="s">
        <v>269</v>
      </c>
      <c r="AH96" s="115">
        <v>7</v>
      </c>
      <c r="AI96" s="85" t="s">
        <v>44</v>
      </c>
      <c r="AJ96" s="115">
        <v>9</v>
      </c>
      <c r="AK96" s="85" t="s">
        <v>44</v>
      </c>
      <c r="AL96" s="126" t="s">
        <v>266</v>
      </c>
      <c r="AM96" s="127" t="s">
        <v>99</v>
      </c>
      <c r="AN96" s="126" t="s">
        <v>266</v>
      </c>
      <c r="AO96" s="127" t="s">
        <v>99</v>
      </c>
      <c r="AP96" s="115">
        <v>50</v>
      </c>
      <c r="AQ96" s="85" t="s">
        <v>262</v>
      </c>
      <c r="AR96" s="115">
        <v>100</v>
      </c>
      <c r="AS96" s="85" t="s">
        <v>262</v>
      </c>
      <c r="AT96" s="121">
        <v>2</v>
      </c>
      <c r="AU96" s="85" t="s">
        <v>263</v>
      </c>
      <c r="AV96" s="121">
        <v>2</v>
      </c>
      <c r="AW96" s="74" t="s">
        <v>263</v>
      </c>
      <c r="AX96" s="122">
        <f t="shared" ref="AX96:AX103" si="30">R96</f>
        <v>688</v>
      </c>
      <c r="AY96" s="234" t="s">
        <v>264</v>
      </c>
      <c r="AZ96" s="233">
        <f t="shared" ref="AZ96:AZ103" si="31">T96</f>
        <v>688</v>
      </c>
      <c r="BA96" s="234" t="s">
        <v>264</v>
      </c>
      <c r="BB96" s="120">
        <f t="shared" si="29"/>
        <v>4.0000000000000001E-3</v>
      </c>
      <c r="BC96" s="443" t="s">
        <v>463</v>
      </c>
      <c r="BD96" s="120">
        <f t="shared" si="29"/>
        <v>4.0000000000000001E-3</v>
      </c>
      <c r="BE96" s="443" t="s">
        <v>463</v>
      </c>
      <c r="BF96" s="120">
        <f t="shared" ref="BF96:BF103" si="32">(Z96+AD96*CO2price)/F96/1000*3.6</f>
        <v>0.26250000000000001</v>
      </c>
      <c r="BG96" s="85" t="s">
        <v>311</v>
      </c>
      <c r="BH96" s="120">
        <f t="shared" ref="BH96:BH103" si="33">(AB96+AF96*CO2price)/H96/1000*3.6</f>
        <v>0.26250000000000001</v>
      </c>
      <c r="BI96" s="85" t="s">
        <v>311</v>
      </c>
      <c r="BJ96" s="124">
        <f t="shared" ref="BJ96:BJ103" si="34">(AX96+BB96/N96)*(interestRate*(1+interestRate)^N96/((1+interestRate)^N96-1))/J96/31.54/1000*3.6</f>
        <v>6.8465051836761751E-3</v>
      </c>
      <c r="BK96" s="93" t="s">
        <v>311</v>
      </c>
      <c r="BL96" s="93">
        <f t="shared" ref="BL96:BL103" si="35">(interestRate*(1+interestRate)^P96/((1+interestRate)^P96-1)*AZ96+BD96)/L96/31.54/1000*3.6</f>
        <v>6.8469597565081024E-3</v>
      </c>
      <c r="BM96" s="93" t="s">
        <v>311</v>
      </c>
      <c r="BN96" s="120">
        <f>(BJ96-BJ121)/(BR121-BR96)*1000</f>
        <v>-3.6295604090846156</v>
      </c>
      <c r="BO96" s="116" t="s">
        <v>514</v>
      </c>
      <c r="BP96" s="120">
        <f>(BL96-BL121)/(BT121-BT96)*1000</f>
        <v>-573.38790583503851</v>
      </c>
      <c r="BQ96" s="116" t="s">
        <v>514</v>
      </c>
      <c r="BR96" s="93">
        <f t="shared" ref="BR96:BR103" si="36">AD96/F96*3.6</f>
        <v>0</v>
      </c>
      <c r="BS96" s="85" t="s">
        <v>312</v>
      </c>
      <c r="BT96" s="93">
        <f t="shared" ref="BT96:BT103" si="37">AF96/H96*3.6</f>
        <v>0</v>
      </c>
      <c r="BU96" s="85" t="s">
        <v>312</v>
      </c>
      <c r="BV96" s="85">
        <f t="shared" ref="BV96:BY102" si="38">AH96</f>
        <v>7</v>
      </c>
      <c r="BW96" s="85" t="str">
        <f t="shared" si="38"/>
        <v>TRL</v>
      </c>
      <c r="BX96" s="85">
        <f t="shared" si="38"/>
        <v>9</v>
      </c>
      <c r="BY96" s="85" t="str">
        <f t="shared" si="38"/>
        <v>TRL</v>
      </c>
      <c r="BZ96" s="126" t="s">
        <v>266</v>
      </c>
      <c r="CA96" s="127" t="s">
        <v>99</v>
      </c>
      <c r="CB96" s="126" t="s">
        <v>266</v>
      </c>
      <c r="CC96" s="127" t="s">
        <v>99</v>
      </c>
      <c r="CD96" s="85">
        <f t="shared" ref="CD96:CD103" si="39">AP96</f>
        <v>50</v>
      </c>
      <c r="CE96" s="85" t="s">
        <v>262</v>
      </c>
      <c r="CF96" s="85">
        <f t="shared" ref="CF96:CF103" si="40">AR96</f>
        <v>100</v>
      </c>
      <c r="CG96" s="85" t="s">
        <v>262</v>
      </c>
      <c r="CH96" s="131">
        <f t="shared" ref="CH96:CH103" si="41">IF(PAmedium="Default",(6-AT96)/5*100,IF(PAmedium="High",(6-(AT96-1))/5*100,(6-(AT96+1))/5*100))</f>
        <v>80</v>
      </c>
      <c r="CI96" s="443" t="s">
        <v>516</v>
      </c>
      <c r="CJ96" s="131">
        <f t="shared" ref="CJ96:CJ103" si="42">IF(PAmedium="Default",(6-AV96)/5*100,IF(PAmedium="High",(6-(AV96-1))/5*100,(6-(AV96+1))/5*100))</f>
        <v>80</v>
      </c>
      <c r="CK96" s="443" t="s">
        <v>516</v>
      </c>
    </row>
    <row r="97" spans="2:89" x14ac:dyDescent="0.25">
      <c r="B97" s="63" t="s">
        <v>163</v>
      </c>
      <c r="C97" s="83" t="s">
        <v>310</v>
      </c>
      <c r="D97" s="76" t="s">
        <v>240</v>
      </c>
      <c r="E97" s="188" t="s">
        <v>240</v>
      </c>
      <c r="F97" s="135">
        <v>0.32</v>
      </c>
      <c r="G97" s="93" t="s">
        <v>99</v>
      </c>
      <c r="H97" s="135">
        <v>0.32</v>
      </c>
      <c r="I97" s="93" t="s">
        <v>99</v>
      </c>
      <c r="J97" s="135">
        <v>1</v>
      </c>
      <c r="K97" s="74" t="s">
        <v>99</v>
      </c>
      <c r="L97" s="135">
        <v>1</v>
      </c>
      <c r="M97" s="74" t="s">
        <v>99</v>
      </c>
      <c r="N97" s="74">
        <v>20</v>
      </c>
      <c r="O97" s="85" t="s">
        <v>257</v>
      </c>
      <c r="P97" s="74">
        <v>20</v>
      </c>
      <c r="Q97" s="85" t="s">
        <v>257</v>
      </c>
      <c r="R97" s="74">
        <v>482</v>
      </c>
      <c r="S97" s="85" t="s">
        <v>264</v>
      </c>
      <c r="T97" s="231">
        <f>R97</f>
        <v>482</v>
      </c>
      <c r="U97" s="85" t="s">
        <v>264</v>
      </c>
      <c r="V97" s="232">
        <v>5.0000000000000001E-3</v>
      </c>
      <c r="W97" s="443" t="s">
        <v>463</v>
      </c>
      <c r="X97" s="232">
        <f>V97</f>
        <v>5.0000000000000001E-3</v>
      </c>
      <c r="Y97" s="443" t="s">
        <v>463</v>
      </c>
      <c r="Z97" s="115">
        <f>hydrogenPrice</f>
        <v>35</v>
      </c>
      <c r="AA97" s="130" t="s">
        <v>268</v>
      </c>
      <c r="AB97" s="115">
        <f>hydrogenPrice</f>
        <v>35</v>
      </c>
      <c r="AC97" s="130" t="s">
        <v>268</v>
      </c>
      <c r="AD97" s="133">
        <v>0</v>
      </c>
      <c r="AE97" s="443" t="s">
        <v>269</v>
      </c>
      <c r="AF97" s="133">
        <v>0</v>
      </c>
      <c r="AG97" s="443" t="s">
        <v>269</v>
      </c>
      <c r="AH97" s="115">
        <v>7</v>
      </c>
      <c r="AI97" s="85" t="s">
        <v>44</v>
      </c>
      <c r="AJ97" s="115">
        <v>9</v>
      </c>
      <c r="AK97" s="85" t="s">
        <v>44</v>
      </c>
      <c r="AL97" s="126" t="s">
        <v>266</v>
      </c>
      <c r="AM97" s="127" t="s">
        <v>99</v>
      </c>
      <c r="AN97" s="126" t="s">
        <v>266</v>
      </c>
      <c r="AO97" s="127" t="s">
        <v>99</v>
      </c>
      <c r="AP97" s="115">
        <v>50</v>
      </c>
      <c r="AQ97" s="85" t="s">
        <v>262</v>
      </c>
      <c r="AR97" s="115">
        <v>100</v>
      </c>
      <c r="AS97" s="85" t="s">
        <v>262</v>
      </c>
      <c r="AT97" s="121">
        <v>2</v>
      </c>
      <c r="AU97" s="85" t="s">
        <v>263</v>
      </c>
      <c r="AV97" s="121">
        <v>2</v>
      </c>
      <c r="AW97" s="74" t="s">
        <v>263</v>
      </c>
      <c r="AX97" s="122">
        <f t="shared" si="30"/>
        <v>482</v>
      </c>
      <c r="AY97" s="234" t="s">
        <v>264</v>
      </c>
      <c r="AZ97" s="233">
        <f t="shared" si="31"/>
        <v>482</v>
      </c>
      <c r="BA97" s="234" t="s">
        <v>264</v>
      </c>
      <c r="BB97" s="120">
        <f t="shared" si="29"/>
        <v>5.0000000000000001E-3</v>
      </c>
      <c r="BC97" s="443" t="s">
        <v>463</v>
      </c>
      <c r="BD97" s="120">
        <f t="shared" si="29"/>
        <v>5.0000000000000001E-3</v>
      </c>
      <c r="BE97" s="443" t="s">
        <v>463</v>
      </c>
      <c r="BF97" s="120">
        <f t="shared" si="32"/>
        <v>0.39374999999999999</v>
      </c>
      <c r="BG97" s="85" t="s">
        <v>311</v>
      </c>
      <c r="BH97" s="120">
        <f t="shared" si="33"/>
        <v>0.39374999999999999</v>
      </c>
      <c r="BI97" s="85" t="s">
        <v>311</v>
      </c>
      <c r="BJ97" s="124">
        <f t="shared" si="34"/>
        <v>4.7965352483301787E-3</v>
      </c>
      <c r="BK97" s="93" t="s">
        <v>311</v>
      </c>
      <c r="BL97" s="93">
        <f t="shared" si="35"/>
        <v>4.797103464370088E-3</v>
      </c>
      <c r="BM97" s="93" t="s">
        <v>311</v>
      </c>
      <c r="BN97" s="120">
        <f>(BJ97-BJ122)/(BR122-BR97)*1000</f>
        <v>-14.763904930875372</v>
      </c>
      <c r="BO97" s="116" t="s">
        <v>514</v>
      </c>
      <c r="BP97" s="120">
        <f>(BL97-BL122)/(BT122-BT97)*1000</f>
        <v>-585.24487767415872</v>
      </c>
      <c r="BQ97" s="116" t="s">
        <v>514</v>
      </c>
      <c r="BR97" s="93">
        <f t="shared" si="36"/>
        <v>0</v>
      </c>
      <c r="BS97" s="85" t="s">
        <v>312</v>
      </c>
      <c r="BT97" s="93">
        <f t="shared" si="37"/>
        <v>0</v>
      </c>
      <c r="BU97" s="85" t="s">
        <v>312</v>
      </c>
      <c r="BV97" s="85">
        <f t="shared" si="38"/>
        <v>7</v>
      </c>
      <c r="BW97" s="85" t="str">
        <f t="shared" si="38"/>
        <v>TRL</v>
      </c>
      <c r="BX97" s="85">
        <f t="shared" si="38"/>
        <v>9</v>
      </c>
      <c r="BY97" s="85" t="str">
        <f t="shared" si="38"/>
        <v>TRL</v>
      </c>
      <c r="BZ97" s="126" t="s">
        <v>266</v>
      </c>
      <c r="CA97" s="127" t="s">
        <v>99</v>
      </c>
      <c r="CB97" s="126" t="s">
        <v>266</v>
      </c>
      <c r="CC97" s="127" t="s">
        <v>99</v>
      </c>
      <c r="CD97" s="85">
        <f t="shared" si="39"/>
        <v>50</v>
      </c>
      <c r="CE97" s="85" t="s">
        <v>262</v>
      </c>
      <c r="CF97" s="85">
        <f t="shared" si="40"/>
        <v>100</v>
      </c>
      <c r="CG97" s="85" t="s">
        <v>262</v>
      </c>
      <c r="CH97" s="131">
        <f t="shared" si="41"/>
        <v>80</v>
      </c>
      <c r="CI97" s="443" t="s">
        <v>516</v>
      </c>
      <c r="CJ97" s="131">
        <f t="shared" si="42"/>
        <v>80</v>
      </c>
      <c r="CK97" s="443" t="s">
        <v>516</v>
      </c>
    </row>
    <row r="98" spans="2:89" x14ac:dyDescent="0.25">
      <c r="B98" s="63" t="s">
        <v>164</v>
      </c>
      <c r="C98" s="83" t="s">
        <v>309</v>
      </c>
      <c r="D98" s="236">
        <v>1</v>
      </c>
      <c r="E98" s="237" t="s">
        <v>256</v>
      </c>
      <c r="F98" s="135">
        <v>0.47</v>
      </c>
      <c r="G98" s="93" t="s">
        <v>99</v>
      </c>
      <c r="H98" s="135">
        <v>0.47</v>
      </c>
      <c r="I98" s="93" t="s">
        <v>99</v>
      </c>
      <c r="J98" s="135">
        <v>1</v>
      </c>
      <c r="K98" s="74" t="s">
        <v>99</v>
      </c>
      <c r="L98" s="135">
        <v>1</v>
      </c>
      <c r="M98" s="74" t="s">
        <v>99</v>
      </c>
      <c r="N98" s="74">
        <v>13</v>
      </c>
      <c r="O98" s="85" t="s">
        <v>257</v>
      </c>
      <c r="P98" s="74">
        <v>13</v>
      </c>
      <c r="Q98" s="85" t="s">
        <v>257</v>
      </c>
      <c r="R98" s="74">
        <v>3990</v>
      </c>
      <c r="S98" s="85" t="s">
        <v>264</v>
      </c>
      <c r="T98" s="231">
        <v>3060</v>
      </c>
      <c r="U98" s="85" t="s">
        <v>264</v>
      </c>
      <c r="V98" s="232">
        <v>50</v>
      </c>
      <c r="W98" s="443" t="s">
        <v>463</v>
      </c>
      <c r="X98" s="232">
        <f>V98</f>
        <v>50</v>
      </c>
      <c r="Y98" s="443" t="s">
        <v>463</v>
      </c>
      <c r="Z98" s="115">
        <f>hydrogenPrice</f>
        <v>35</v>
      </c>
      <c r="AA98" s="130" t="s">
        <v>268</v>
      </c>
      <c r="AB98" s="115">
        <f>hydrogenPrice</f>
        <v>35</v>
      </c>
      <c r="AC98" s="130" t="s">
        <v>268</v>
      </c>
      <c r="AD98" s="133">
        <v>0</v>
      </c>
      <c r="AE98" s="443" t="s">
        <v>269</v>
      </c>
      <c r="AF98" s="133">
        <v>0</v>
      </c>
      <c r="AG98" s="443" t="s">
        <v>269</v>
      </c>
      <c r="AH98" s="115">
        <v>9</v>
      </c>
      <c r="AI98" s="85" t="s">
        <v>44</v>
      </c>
      <c r="AJ98" s="115">
        <v>9</v>
      </c>
      <c r="AK98" s="85" t="s">
        <v>44</v>
      </c>
      <c r="AL98" s="126" t="s">
        <v>266</v>
      </c>
      <c r="AM98" s="127" t="s">
        <v>99</v>
      </c>
      <c r="AN98" s="126" t="s">
        <v>266</v>
      </c>
      <c r="AO98" s="127" t="s">
        <v>99</v>
      </c>
      <c r="AP98" s="115">
        <v>100</v>
      </c>
      <c r="AQ98" s="85" t="s">
        <v>262</v>
      </c>
      <c r="AR98" s="115">
        <v>100</v>
      </c>
      <c r="AS98" s="85" t="s">
        <v>262</v>
      </c>
      <c r="AT98" s="121">
        <v>2</v>
      </c>
      <c r="AU98" s="85" t="s">
        <v>263</v>
      </c>
      <c r="AV98" s="121">
        <v>2</v>
      </c>
      <c r="AW98" s="74" t="s">
        <v>263</v>
      </c>
      <c r="AX98" s="122">
        <f t="shared" si="30"/>
        <v>3990</v>
      </c>
      <c r="AY98" s="85" t="s">
        <v>264</v>
      </c>
      <c r="AZ98" s="233">
        <f t="shared" si="31"/>
        <v>3060</v>
      </c>
      <c r="BA98" s="85" t="s">
        <v>264</v>
      </c>
      <c r="BB98" s="120">
        <f t="shared" si="29"/>
        <v>50</v>
      </c>
      <c r="BC98" s="443" t="s">
        <v>463</v>
      </c>
      <c r="BD98" s="120">
        <f t="shared" si="29"/>
        <v>50</v>
      </c>
      <c r="BE98" s="443" t="s">
        <v>463</v>
      </c>
      <c r="BF98" s="120">
        <f t="shared" si="32"/>
        <v>0.26808510638297878</v>
      </c>
      <c r="BG98" s="85" t="s">
        <v>311</v>
      </c>
      <c r="BH98" s="120">
        <f t="shared" si="33"/>
        <v>0.26808510638297878</v>
      </c>
      <c r="BI98" s="85" t="s">
        <v>311</v>
      </c>
      <c r="BJ98" s="124">
        <f t="shared" si="34"/>
        <v>5.1494071531421985E-2</v>
      </c>
      <c r="BK98" s="93" t="s">
        <v>311</v>
      </c>
      <c r="BL98" s="93">
        <f t="shared" si="35"/>
        <v>4.5160701345137916E-2</v>
      </c>
      <c r="BM98" s="93" t="s">
        <v>311</v>
      </c>
      <c r="BN98" s="120">
        <f>(BJ98-BJ123)/(BR123-BR98)*1000</f>
        <v>88.914255219002129</v>
      </c>
      <c r="BO98" s="116" t="s">
        <v>514</v>
      </c>
      <c r="BP98" s="120">
        <f>(BL98-BL123)/(BT123-BT98)*1000</f>
        <v>-492.15351581573401</v>
      </c>
      <c r="BQ98" s="116" t="s">
        <v>514</v>
      </c>
      <c r="BR98" s="93">
        <f t="shared" si="36"/>
        <v>0</v>
      </c>
      <c r="BS98" s="85" t="s">
        <v>312</v>
      </c>
      <c r="BT98" s="93">
        <f t="shared" si="37"/>
        <v>0</v>
      </c>
      <c r="BU98" s="85" t="s">
        <v>312</v>
      </c>
      <c r="BV98" s="85">
        <f t="shared" si="38"/>
        <v>9</v>
      </c>
      <c r="BW98" s="85" t="str">
        <f t="shared" si="38"/>
        <v>TRL</v>
      </c>
      <c r="BX98" s="85">
        <f t="shared" si="38"/>
        <v>9</v>
      </c>
      <c r="BY98" s="85" t="str">
        <f t="shared" si="38"/>
        <v>TRL</v>
      </c>
      <c r="BZ98" s="126" t="s">
        <v>266</v>
      </c>
      <c r="CA98" s="127" t="s">
        <v>99</v>
      </c>
      <c r="CB98" s="126" t="s">
        <v>266</v>
      </c>
      <c r="CC98" s="127" t="s">
        <v>99</v>
      </c>
      <c r="CD98" s="85">
        <f t="shared" si="39"/>
        <v>100</v>
      </c>
      <c r="CE98" s="85" t="s">
        <v>262</v>
      </c>
      <c r="CF98" s="85">
        <f t="shared" si="40"/>
        <v>100</v>
      </c>
      <c r="CG98" s="85" t="s">
        <v>262</v>
      </c>
      <c r="CH98" s="131">
        <f t="shared" si="41"/>
        <v>80</v>
      </c>
      <c r="CI98" s="443" t="s">
        <v>516</v>
      </c>
      <c r="CJ98" s="131">
        <f t="shared" si="42"/>
        <v>80</v>
      </c>
      <c r="CK98" s="443" t="s">
        <v>516</v>
      </c>
    </row>
    <row r="99" spans="2:89" x14ac:dyDescent="0.25">
      <c r="B99" s="63" t="s">
        <v>165</v>
      </c>
      <c r="C99" s="83" t="s">
        <v>309</v>
      </c>
      <c r="D99" s="236">
        <v>1</v>
      </c>
      <c r="E99" s="237" t="s">
        <v>256</v>
      </c>
      <c r="F99" s="135">
        <v>0.47</v>
      </c>
      <c r="G99" s="93" t="s">
        <v>99</v>
      </c>
      <c r="H99" s="135">
        <v>0.47</v>
      </c>
      <c r="I99" s="93" t="s">
        <v>99</v>
      </c>
      <c r="J99" s="135">
        <v>1</v>
      </c>
      <c r="K99" s="74" t="s">
        <v>99</v>
      </c>
      <c r="L99" s="135">
        <v>1</v>
      </c>
      <c r="M99" s="74" t="s">
        <v>99</v>
      </c>
      <c r="N99" s="74">
        <v>13</v>
      </c>
      <c r="O99" s="85" t="s">
        <v>257</v>
      </c>
      <c r="P99" s="74">
        <v>13</v>
      </c>
      <c r="Q99" s="85" t="s">
        <v>257</v>
      </c>
      <c r="R99" s="74">
        <v>3990</v>
      </c>
      <c r="S99" s="85" t="s">
        <v>264</v>
      </c>
      <c r="T99" s="231">
        <v>3060</v>
      </c>
      <c r="U99" s="85" t="s">
        <v>264</v>
      </c>
      <c r="V99" s="232">
        <v>50</v>
      </c>
      <c r="W99" s="443" t="s">
        <v>463</v>
      </c>
      <c r="X99" s="232">
        <f>V99</f>
        <v>50</v>
      </c>
      <c r="Y99" s="443" t="s">
        <v>463</v>
      </c>
      <c r="Z99" s="115">
        <f>naturalGasPrice</f>
        <v>30</v>
      </c>
      <c r="AA99" s="130" t="s">
        <v>268</v>
      </c>
      <c r="AB99" s="115">
        <f>naturalGasPrice</f>
        <v>30</v>
      </c>
      <c r="AC99" s="130" t="s">
        <v>268</v>
      </c>
      <c r="AD99" s="133">
        <f>CO2emissionNG</f>
        <v>5.6099999999999997E-2</v>
      </c>
      <c r="AE99" s="443" t="s">
        <v>269</v>
      </c>
      <c r="AF99" s="133">
        <f>CO2emissionNG</f>
        <v>5.6099999999999997E-2</v>
      </c>
      <c r="AG99" s="443" t="s">
        <v>269</v>
      </c>
      <c r="AH99" s="115">
        <v>9</v>
      </c>
      <c r="AI99" s="85" t="s">
        <v>44</v>
      </c>
      <c r="AJ99" s="115">
        <v>9</v>
      </c>
      <c r="AK99" s="85" t="s">
        <v>44</v>
      </c>
      <c r="AL99" s="126" t="s">
        <v>266</v>
      </c>
      <c r="AM99" s="127" t="s">
        <v>99</v>
      </c>
      <c r="AN99" s="126" t="s">
        <v>266</v>
      </c>
      <c r="AO99" s="127" t="s">
        <v>99</v>
      </c>
      <c r="AP99" s="115">
        <v>100</v>
      </c>
      <c r="AQ99" s="85" t="s">
        <v>262</v>
      </c>
      <c r="AR99" s="115">
        <v>100</v>
      </c>
      <c r="AS99" s="85" t="s">
        <v>262</v>
      </c>
      <c r="AT99" s="121">
        <v>2</v>
      </c>
      <c r="AU99" s="85" t="s">
        <v>263</v>
      </c>
      <c r="AV99" s="121">
        <v>2</v>
      </c>
      <c r="AW99" s="74" t="s">
        <v>263</v>
      </c>
      <c r="AX99" s="122">
        <f t="shared" si="30"/>
        <v>3990</v>
      </c>
      <c r="AY99" s="85" t="s">
        <v>264</v>
      </c>
      <c r="AZ99" s="233">
        <f t="shared" si="31"/>
        <v>3060</v>
      </c>
      <c r="BA99" s="85" t="s">
        <v>264</v>
      </c>
      <c r="BB99" s="120">
        <f t="shared" si="29"/>
        <v>50</v>
      </c>
      <c r="BC99" s="443" t="s">
        <v>463</v>
      </c>
      <c r="BD99" s="120">
        <f t="shared" si="29"/>
        <v>50</v>
      </c>
      <c r="BE99" s="443" t="s">
        <v>463</v>
      </c>
      <c r="BF99" s="120">
        <f t="shared" si="32"/>
        <v>0.24482680851063829</v>
      </c>
      <c r="BG99" s="85" t="s">
        <v>311</v>
      </c>
      <c r="BH99" s="120">
        <f t="shared" si="33"/>
        <v>0.24482680851063829</v>
      </c>
      <c r="BI99" s="85" t="s">
        <v>311</v>
      </c>
      <c r="BJ99" s="124">
        <f t="shared" si="34"/>
        <v>5.1494071531421985E-2</v>
      </c>
      <c r="BK99" s="93" t="s">
        <v>311</v>
      </c>
      <c r="BL99" s="93">
        <f t="shared" si="35"/>
        <v>4.5160701345137916E-2</v>
      </c>
      <c r="BM99" s="93" t="s">
        <v>311</v>
      </c>
      <c r="BN99" s="120">
        <f>(BJ99-BJ123)/(BR123-BR99)*1000</f>
        <v>557.19599937241378</v>
      </c>
      <c r="BO99" s="116" t="s">
        <v>514</v>
      </c>
      <c r="BP99" s="120">
        <f>(BL99-BL123)/(BT123-BT99)*1000</f>
        <v>-3304.4593204770722</v>
      </c>
      <c r="BQ99" s="116" t="s">
        <v>514</v>
      </c>
      <c r="BR99" s="93">
        <f>AD99/F99*3.6</f>
        <v>0.4297021276595745</v>
      </c>
      <c r="BS99" s="85" t="s">
        <v>312</v>
      </c>
      <c r="BT99" s="93">
        <f t="shared" si="37"/>
        <v>0.4297021276595745</v>
      </c>
      <c r="BU99" s="85" t="s">
        <v>312</v>
      </c>
      <c r="BV99" s="85">
        <f t="shared" si="38"/>
        <v>9</v>
      </c>
      <c r="BW99" s="85" t="str">
        <f t="shared" si="38"/>
        <v>TRL</v>
      </c>
      <c r="BX99" s="85">
        <f t="shared" si="38"/>
        <v>9</v>
      </c>
      <c r="BY99" s="85" t="str">
        <f t="shared" si="38"/>
        <v>TRL</v>
      </c>
      <c r="BZ99" s="126" t="s">
        <v>266</v>
      </c>
      <c r="CA99" s="127" t="s">
        <v>99</v>
      </c>
      <c r="CB99" s="126" t="s">
        <v>266</v>
      </c>
      <c r="CC99" s="127" t="s">
        <v>99</v>
      </c>
      <c r="CD99" s="85">
        <f t="shared" si="39"/>
        <v>100</v>
      </c>
      <c r="CE99" s="85" t="s">
        <v>262</v>
      </c>
      <c r="CF99" s="85">
        <f t="shared" si="40"/>
        <v>100</v>
      </c>
      <c r="CG99" s="85" t="s">
        <v>262</v>
      </c>
      <c r="CH99" s="131">
        <f t="shared" si="41"/>
        <v>80</v>
      </c>
      <c r="CI99" s="443" t="s">
        <v>516</v>
      </c>
      <c r="CJ99" s="131">
        <f t="shared" si="42"/>
        <v>80</v>
      </c>
      <c r="CK99" s="443" t="s">
        <v>516</v>
      </c>
    </row>
    <row r="100" spans="2:89" x14ac:dyDescent="0.25">
      <c r="B100" s="63" t="s">
        <v>547</v>
      </c>
      <c r="C100" s="83" t="s">
        <v>309</v>
      </c>
      <c r="D100" s="76" t="s">
        <v>240</v>
      </c>
      <c r="E100" s="188" t="s">
        <v>240</v>
      </c>
      <c r="F100" s="135">
        <v>0.87</v>
      </c>
      <c r="G100" s="93" t="s">
        <v>99</v>
      </c>
      <c r="H100" s="135">
        <v>0.87</v>
      </c>
      <c r="I100" s="93" t="s">
        <v>99</v>
      </c>
      <c r="J100" s="135">
        <v>0.9</v>
      </c>
      <c r="K100" s="93" t="s">
        <v>99</v>
      </c>
      <c r="L100" s="135">
        <v>0.9</v>
      </c>
      <c r="M100" s="93" t="s">
        <v>99</v>
      </c>
      <c r="N100" s="74">
        <v>15</v>
      </c>
      <c r="O100" s="85" t="s">
        <v>257</v>
      </c>
      <c r="P100" s="74">
        <v>15</v>
      </c>
      <c r="Q100" s="85" t="s">
        <v>257</v>
      </c>
      <c r="R100" s="74">
        <v>8475</v>
      </c>
      <c r="S100" s="85" t="s">
        <v>264</v>
      </c>
      <c r="T100" s="231">
        <v>3880</v>
      </c>
      <c r="U100" s="85" t="s">
        <v>264</v>
      </c>
      <c r="V100" s="232">
        <v>250</v>
      </c>
      <c r="W100" s="443" t="s">
        <v>463</v>
      </c>
      <c r="X100" s="232">
        <v>200</v>
      </c>
      <c r="Y100" s="443" t="s">
        <v>463</v>
      </c>
      <c r="Z100" s="115">
        <f>hydrogenPrice</f>
        <v>35</v>
      </c>
      <c r="AA100" s="130" t="s">
        <v>268</v>
      </c>
      <c r="AB100" s="115">
        <f>hydrogenPrice</f>
        <v>35</v>
      </c>
      <c r="AC100" s="130" t="s">
        <v>268</v>
      </c>
      <c r="AD100" s="133">
        <v>0</v>
      </c>
      <c r="AE100" s="443" t="s">
        <v>269</v>
      </c>
      <c r="AF100" s="133">
        <v>0</v>
      </c>
      <c r="AG100" s="443" t="s">
        <v>269</v>
      </c>
      <c r="AH100" s="115">
        <v>7</v>
      </c>
      <c r="AI100" s="85" t="s">
        <v>44</v>
      </c>
      <c r="AJ100" s="115">
        <v>9</v>
      </c>
      <c r="AK100" s="85" t="s">
        <v>44</v>
      </c>
      <c r="AL100" s="126" t="s">
        <v>266</v>
      </c>
      <c r="AM100" s="127" t="s">
        <v>99</v>
      </c>
      <c r="AN100" s="126" t="s">
        <v>266</v>
      </c>
      <c r="AO100" s="127" t="s">
        <v>99</v>
      </c>
      <c r="AP100" s="115">
        <v>100</v>
      </c>
      <c r="AQ100" s="85" t="s">
        <v>262</v>
      </c>
      <c r="AR100" s="115">
        <v>100</v>
      </c>
      <c r="AS100" s="85" t="s">
        <v>262</v>
      </c>
      <c r="AT100" s="121">
        <v>2</v>
      </c>
      <c r="AU100" s="85" t="s">
        <v>263</v>
      </c>
      <c r="AV100" s="121">
        <v>2</v>
      </c>
      <c r="AW100" s="74" t="s">
        <v>263</v>
      </c>
      <c r="AX100" s="122">
        <f>R100</f>
        <v>8475</v>
      </c>
      <c r="AY100" s="85" t="s">
        <v>264</v>
      </c>
      <c r="AZ100" s="233">
        <f>T100</f>
        <v>3880</v>
      </c>
      <c r="BA100" s="85" t="s">
        <v>264</v>
      </c>
      <c r="BB100" s="120">
        <f t="shared" si="29"/>
        <v>250</v>
      </c>
      <c r="BC100" s="443" t="s">
        <v>463</v>
      </c>
      <c r="BD100" s="120">
        <f t="shared" si="29"/>
        <v>200</v>
      </c>
      <c r="BE100" s="443" t="s">
        <v>463</v>
      </c>
      <c r="BF100" s="120">
        <f t="shared" si="32"/>
        <v>0.14482758620689656</v>
      </c>
      <c r="BG100" s="85" t="s">
        <v>311</v>
      </c>
      <c r="BH100" s="120">
        <f t="shared" si="33"/>
        <v>0.14482758620689656</v>
      </c>
      <c r="BI100" s="85" t="s">
        <v>311</v>
      </c>
      <c r="BJ100" s="124">
        <f t="shared" si="34"/>
        <v>0.11088465067687969</v>
      </c>
      <c r="BK100" s="93" t="s">
        <v>311</v>
      </c>
      <c r="BL100" s="93">
        <f t="shared" si="35"/>
        <v>7.6029869898111974E-2</v>
      </c>
      <c r="BM100" s="93" t="s">
        <v>311</v>
      </c>
      <c r="BN100" s="120">
        <f>(BJ100-BJ123)/(BR123-BR100)*1000</f>
        <v>205.07230019055987</v>
      </c>
      <c r="BO100" s="116" t="s">
        <v>514</v>
      </c>
      <c r="BP100" s="120">
        <f>(BL100-BL123)/(BT123-BT100)*1000</f>
        <v>-431.01434260722925</v>
      </c>
      <c r="BQ100" s="116" t="s">
        <v>514</v>
      </c>
      <c r="BR100" s="93">
        <f>AD100/F100*3.6</f>
        <v>0</v>
      </c>
      <c r="BS100" s="85" t="s">
        <v>312</v>
      </c>
      <c r="BT100" s="93">
        <f>AF100/H100*3.6</f>
        <v>0</v>
      </c>
      <c r="BU100" s="85" t="s">
        <v>312</v>
      </c>
      <c r="BV100" s="85">
        <f t="shared" si="38"/>
        <v>7</v>
      </c>
      <c r="BW100" s="85" t="str">
        <f t="shared" si="38"/>
        <v>TRL</v>
      </c>
      <c r="BX100" s="85">
        <f t="shared" si="38"/>
        <v>9</v>
      </c>
      <c r="BY100" s="85" t="str">
        <f t="shared" si="38"/>
        <v>TRL</v>
      </c>
      <c r="BZ100" s="126" t="s">
        <v>266</v>
      </c>
      <c r="CA100" s="127" t="s">
        <v>99</v>
      </c>
      <c r="CB100" s="126" t="s">
        <v>266</v>
      </c>
      <c r="CC100" s="127" t="s">
        <v>99</v>
      </c>
      <c r="CD100" s="85">
        <f>AP100</f>
        <v>100</v>
      </c>
      <c r="CE100" s="85" t="s">
        <v>262</v>
      </c>
      <c r="CF100" s="85">
        <f>AR100</f>
        <v>100</v>
      </c>
      <c r="CG100" s="85" t="s">
        <v>262</v>
      </c>
      <c r="CH100" s="131">
        <f t="shared" si="41"/>
        <v>80</v>
      </c>
      <c r="CI100" s="443" t="s">
        <v>516</v>
      </c>
      <c r="CJ100" s="131">
        <f t="shared" si="42"/>
        <v>80</v>
      </c>
      <c r="CK100" s="443" t="s">
        <v>516</v>
      </c>
    </row>
    <row r="101" spans="2:89" x14ac:dyDescent="0.25">
      <c r="B101" s="63" t="s">
        <v>548</v>
      </c>
      <c r="C101" s="83" t="s">
        <v>309</v>
      </c>
      <c r="D101" s="76" t="s">
        <v>240</v>
      </c>
      <c r="E101" s="188" t="s">
        <v>240</v>
      </c>
      <c r="F101" s="135">
        <v>0.87</v>
      </c>
      <c r="G101" s="93" t="s">
        <v>99</v>
      </c>
      <c r="H101" s="135">
        <v>0.87</v>
      </c>
      <c r="I101" s="93" t="s">
        <v>99</v>
      </c>
      <c r="J101" s="135">
        <v>0.9</v>
      </c>
      <c r="K101" s="93" t="s">
        <v>99</v>
      </c>
      <c r="L101" s="135">
        <v>0.9</v>
      </c>
      <c r="M101" s="93" t="s">
        <v>99</v>
      </c>
      <c r="N101" s="74">
        <v>15</v>
      </c>
      <c r="O101" s="85" t="s">
        <v>257</v>
      </c>
      <c r="P101" s="74">
        <v>15</v>
      </c>
      <c r="Q101" s="85" t="s">
        <v>257</v>
      </c>
      <c r="R101" s="74">
        <v>8475</v>
      </c>
      <c r="S101" s="85" t="s">
        <v>264</v>
      </c>
      <c r="T101" s="231">
        <v>3880</v>
      </c>
      <c r="U101" s="85" t="s">
        <v>264</v>
      </c>
      <c r="V101" s="232">
        <v>250</v>
      </c>
      <c r="W101" s="443" t="s">
        <v>463</v>
      </c>
      <c r="X101" s="232">
        <v>200</v>
      </c>
      <c r="Y101" s="443" t="s">
        <v>463</v>
      </c>
      <c r="Z101" s="115">
        <f>naturalGasPrice</f>
        <v>30</v>
      </c>
      <c r="AA101" s="130" t="s">
        <v>268</v>
      </c>
      <c r="AB101" s="115">
        <f>naturalGasPrice</f>
        <v>30</v>
      </c>
      <c r="AC101" s="130" t="s">
        <v>268</v>
      </c>
      <c r="AD101" s="133">
        <f>CO2emissionNG</f>
        <v>5.6099999999999997E-2</v>
      </c>
      <c r="AE101" s="443" t="s">
        <v>269</v>
      </c>
      <c r="AF101" s="133">
        <f>CO2emissionNG</f>
        <v>5.6099999999999997E-2</v>
      </c>
      <c r="AG101" s="443" t="s">
        <v>269</v>
      </c>
      <c r="AH101" s="115">
        <v>9</v>
      </c>
      <c r="AI101" s="85" t="s">
        <v>44</v>
      </c>
      <c r="AJ101" s="115">
        <v>9</v>
      </c>
      <c r="AK101" s="85" t="s">
        <v>44</v>
      </c>
      <c r="AL101" s="126" t="s">
        <v>266</v>
      </c>
      <c r="AM101" s="127" t="s">
        <v>99</v>
      </c>
      <c r="AN101" s="126" t="s">
        <v>266</v>
      </c>
      <c r="AO101" s="127" t="s">
        <v>99</v>
      </c>
      <c r="AP101" s="115">
        <v>100</v>
      </c>
      <c r="AQ101" s="85" t="s">
        <v>262</v>
      </c>
      <c r="AR101" s="115">
        <v>100</v>
      </c>
      <c r="AS101" s="85" t="s">
        <v>262</v>
      </c>
      <c r="AT101" s="121">
        <v>2</v>
      </c>
      <c r="AU101" s="85" t="s">
        <v>263</v>
      </c>
      <c r="AV101" s="121">
        <v>2</v>
      </c>
      <c r="AW101" s="74" t="s">
        <v>263</v>
      </c>
      <c r="AX101" s="122">
        <f>R101</f>
        <v>8475</v>
      </c>
      <c r="AY101" s="85" t="s">
        <v>264</v>
      </c>
      <c r="AZ101" s="233">
        <f>T101</f>
        <v>3880</v>
      </c>
      <c r="BA101" s="85" t="s">
        <v>264</v>
      </c>
      <c r="BB101" s="120">
        <f t="shared" si="29"/>
        <v>250</v>
      </c>
      <c r="BC101" s="443" t="s">
        <v>463</v>
      </c>
      <c r="BD101" s="120">
        <f t="shared" si="29"/>
        <v>200</v>
      </c>
      <c r="BE101" s="443" t="s">
        <v>463</v>
      </c>
      <c r="BF101" s="120">
        <f t="shared" si="32"/>
        <v>0.13226275862068965</v>
      </c>
      <c r="BG101" s="85" t="s">
        <v>311</v>
      </c>
      <c r="BH101" s="120">
        <f t="shared" si="33"/>
        <v>0.13226275862068965</v>
      </c>
      <c r="BI101" s="85" t="s">
        <v>311</v>
      </c>
      <c r="BJ101" s="124">
        <f t="shared" si="34"/>
        <v>0.11088465067687969</v>
      </c>
      <c r="BK101" s="93" t="s">
        <v>311</v>
      </c>
      <c r="BL101" s="93">
        <f t="shared" si="35"/>
        <v>7.6029869898111974E-2</v>
      </c>
      <c r="BM101" s="93" t="s">
        <v>311</v>
      </c>
      <c r="BN101" s="120">
        <f>(BJ101-BJ123)/(BR123-BR101)*1000</f>
        <v>375.60610771744649</v>
      </c>
      <c r="BO101" s="116" t="s">
        <v>514</v>
      </c>
      <c r="BP101" s="120">
        <f>(BL101-BL123)/(BT123-BT101)*1000</f>
        <v>-797.8350597197649</v>
      </c>
      <c r="BQ101" s="116" t="s">
        <v>514</v>
      </c>
      <c r="BR101" s="93">
        <f>AD101/F101*3.6</f>
        <v>0.23213793103448277</v>
      </c>
      <c r="BS101" s="85" t="s">
        <v>312</v>
      </c>
      <c r="BT101" s="93">
        <f>AF101/H101*3.6</f>
        <v>0.23213793103448277</v>
      </c>
      <c r="BU101" s="85" t="s">
        <v>312</v>
      </c>
      <c r="BV101" s="85">
        <f t="shared" si="38"/>
        <v>9</v>
      </c>
      <c r="BW101" s="85" t="str">
        <f t="shared" si="38"/>
        <v>TRL</v>
      </c>
      <c r="BX101" s="85">
        <f t="shared" si="38"/>
        <v>9</v>
      </c>
      <c r="BY101" s="85" t="str">
        <f t="shared" si="38"/>
        <v>TRL</v>
      </c>
      <c r="BZ101" s="126" t="s">
        <v>266</v>
      </c>
      <c r="CA101" s="127" t="s">
        <v>99</v>
      </c>
      <c r="CB101" s="126" t="s">
        <v>266</v>
      </c>
      <c r="CC101" s="127" t="s">
        <v>99</v>
      </c>
      <c r="CD101" s="85">
        <f>AP101</f>
        <v>100</v>
      </c>
      <c r="CE101" s="85" t="s">
        <v>262</v>
      </c>
      <c r="CF101" s="85">
        <f>AR101</f>
        <v>100</v>
      </c>
      <c r="CG101" s="85" t="s">
        <v>262</v>
      </c>
      <c r="CH101" s="131">
        <f t="shared" si="41"/>
        <v>80</v>
      </c>
      <c r="CI101" s="443" t="s">
        <v>516</v>
      </c>
      <c r="CJ101" s="131">
        <f t="shared" si="42"/>
        <v>80</v>
      </c>
      <c r="CK101" s="443" t="s">
        <v>516</v>
      </c>
    </row>
    <row r="102" spans="2:89" x14ac:dyDescent="0.25">
      <c r="B102" s="63" t="s">
        <v>549</v>
      </c>
      <c r="C102" s="83" t="s">
        <v>309</v>
      </c>
      <c r="D102" s="76" t="s">
        <v>240</v>
      </c>
      <c r="E102" s="188" t="s">
        <v>240</v>
      </c>
      <c r="F102" s="135">
        <v>0.76</v>
      </c>
      <c r="G102" s="93" t="s">
        <v>99</v>
      </c>
      <c r="H102" s="135">
        <v>0.76</v>
      </c>
      <c r="I102" s="93" t="s">
        <v>99</v>
      </c>
      <c r="J102" s="135">
        <v>0.9</v>
      </c>
      <c r="K102" s="93" t="s">
        <v>99</v>
      </c>
      <c r="L102" s="135">
        <v>0.9</v>
      </c>
      <c r="M102" s="93" t="s">
        <v>99</v>
      </c>
      <c r="N102" s="74">
        <v>17</v>
      </c>
      <c r="O102" s="85" t="s">
        <v>257</v>
      </c>
      <c r="P102" s="74">
        <v>17</v>
      </c>
      <c r="Q102" s="85" t="s">
        <v>257</v>
      </c>
      <c r="R102" s="74">
        <v>5281</v>
      </c>
      <c r="S102" s="85" t="s">
        <v>264</v>
      </c>
      <c r="T102" s="231">
        <v>4610</v>
      </c>
      <c r="U102" s="85" t="s">
        <v>264</v>
      </c>
      <c r="V102" s="232">
        <v>224</v>
      </c>
      <c r="W102" s="443" t="s">
        <v>463</v>
      </c>
      <c r="X102" s="232">
        <v>62</v>
      </c>
      <c r="Y102" s="443" t="s">
        <v>463</v>
      </c>
      <c r="Z102" s="115">
        <f>hydrogenPrice</f>
        <v>35</v>
      </c>
      <c r="AA102" s="130" t="s">
        <v>268</v>
      </c>
      <c r="AB102" s="115">
        <f>hydrogenPrice</f>
        <v>35</v>
      </c>
      <c r="AC102" s="130" t="s">
        <v>268</v>
      </c>
      <c r="AD102" s="133">
        <v>0</v>
      </c>
      <c r="AE102" s="443" t="s">
        <v>269</v>
      </c>
      <c r="AF102" s="133">
        <v>0</v>
      </c>
      <c r="AG102" s="443" t="s">
        <v>269</v>
      </c>
      <c r="AH102" s="115">
        <v>7</v>
      </c>
      <c r="AI102" s="85" t="s">
        <v>44</v>
      </c>
      <c r="AJ102" s="115">
        <v>9</v>
      </c>
      <c r="AK102" s="85" t="s">
        <v>44</v>
      </c>
      <c r="AL102" s="126" t="s">
        <v>266</v>
      </c>
      <c r="AM102" s="127" t="s">
        <v>99</v>
      </c>
      <c r="AN102" s="126" t="s">
        <v>266</v>
      </c>
      <c r="AO102" s="127" t="s">
        <v>99</v>
      </c>
      <c r="AP102" s="115">
        <v>100</v>
      </c>
      <c r="AQ102" s="85" t="s">
        <v>262</v>
      </c>
      <c r="AR102" s="115">
        <v>100</v>
      </c>
      <c r="AS102" s="85" t="s">
        <v>262</v>
      </c>
      <c r="AT102" s="121">
        <v>2</v>
      </c>
      <c r="AU102" s="85" t="s">
        <v>263</v>
      </c>
      <c r="AV102" s="121">
        <v>2</v>
      </c>
      <c r="AW102" s="74" t="s">
        <v>263</v>
      </c>
      <c r="AX102" s="122">
        <f t="shared" si="30"/>
        <v>5281</v>
      </c>
      <c r="AY102" s="85" t="s">
        <v>264</v>
      </c>
      <c r="AZ102" s="233">
        <f t="shared" si="31"/>
        <v>4610</v>
      </c>
      <c r="BA102" s="85" t="s">
        <v>264</v>
      </c>
      <c r="BB102" s="120">
        <f t="shared" si="29"/>
        <v>224</v>
      </c>
      <c r="BC102" s="443" t="s">
        <v>463</v>
      </c>
      <c r="BD102" s="120">
        <f t="shared" si="29"/>
        <v>62</v>
      </c>
      <c r="BE102" s="443" t="s">
        <v>463</v>
      </c>
      <c r="BF102" s="120">
        <f t="shared" si="32"/>
        <v>0.16578947368421054</v>
      </c>
      <c r="BG102" s="85" t="s">
        <v>311</v>
      </c>
      <c r="BH102" s="120">
        <f t="shared" si="33"/>
        <v>0.16578947368421054</v>
      </c>
      <c r="BI102" s="85" t="s">
        <v>311</v>
      </c>
      <c r="BJ102" s="124">
        <f t="shared" si="34"/>
        <v>6.4083910818335019E-2</v>
      </c>
      <c r="BK102" s="93" t="s">
        <v>311</v>
      </c>
      <c r="BL102" s="93">
        <f t="shared" si="35"/>
        <v>6.3665256500627113E-2</v>
      </c>
      <c r="BM102" s="93" t="s">
        <v>311</v>
      </c>
      <c r="BN102" s="120">
        <f>(BJ102-BJ124)/(BR124-BR102)*1000</f>
        <v>133.77540235820089</v>
      </c>
      <c r="BO102" s="116" t="s">
        <v>514</v>
      </c>
      <c r="BP102" s="120">
        <f>(BL102-BL124)/(BT124-BT102)*1000</f>
        <v>-432.05853037474111</v>
      </c>
      <c r="BQ102" s="116" t="s">
        <v>514</v>
      </c>
      <c r="BR102" s="93">
        <f t="shared" si="36"/>
        <v>0</v>
      </c>
      <c r="BS102" s="85" t="s">
        <v>312</v>
      </c>
      <c r="BT102" s="93">
        <f t="shared" si="37"/>
        <v>0</v>
      </c>
      <c r="BU102" s="85" t="s">
        <v>312</v>
      </c>
      <c r="BV102" s="85">
        <f t="shared" si="38"/>
        <v>7</v>
      </c>
      <c r="BW102" s="85" t="str">
        <f t="shared" si="38"/>
        <v>TRL</v>
      </c>
      <c r="BX102" s="85">
        <f t="shared" si="38"/>
        <v>9</v>
      </c>
      <c r="BY102" s="85" t="str">
        <f t="shared" si="38"/>
        <v>TRL</v>
      </c>
      <c r="BZ102" s="126" t="s">
        <v>266</v>
      </c>
      <c r="CA102" s="127" t="s">
        <v>99</v>
      </c>
      <c r="CB102" s="126" t="s">
        <v>266</v>
      </c>
      <c r="CC102" s="127" t="s">
        <v>99</v>
      </c>
      <c r="CD102" s="85">
        <f t="shared" si="39"/>
        <v>100</v>
      </c>
      <c r="CE102" s="85" t="s">
        <v>262</v>
      </c>
      <c r="CF102" s="85">
        <f t="shared" si="40"/>
        <v>100</v>
      </c>
      <c r="CG102" s="85" t="s">
        <v>262</v>
      </c>
      <c r="CH102" s="131">
        <f t="shared" si="41"/>
        <v>80</v>
      </c>
      <c r="CI102" s="443" t="s">
        <v>516</v>
      </c>
      <c r="CJ102" s="131">
        <f t="shared" si="42"/>
        <v>80</v>
      </c>
      <c r="CK102" s="443" t="s">
        <v>516</v>
      </c>
    </row>
    <row r="103" spans="2:89" x14ac:dyDescent="0.25">
      <c r="B103" s="63" t="s">
        <v>550</v>
      </c>
      <c r="C103" s="83" t="s">
        <v>309</v>
      </c>
      <c r="D103" s="76" t="s">
        <v>240</v>
      </c>
      <c r="E103" s="188" t="s">
        <v>240</v>
      </c>
      <c r="F103" s="135">
        <v>0.76</v>
      </c>
      <c r="G103" s="93" t="s">
        <v>99</v>
      </c>
      <c r="H103" s="135">
        <v>0.76</v>
      </c>
      <c r="I103" s="93" t="s">
        <v>99</v>
      </c>
      <c r="J103" s="135">
        <v>0.9</v>
      </c>
      <c r="K103" s="93" t="s">
        <v>99</v>
      </c>
      <c r="L103" s="135">
        <v>0.9</v>
      </c>
      <c r="M103" s="93" t="s">
        <v>99</v>
      </c>
      <c r="N103" s="74">
        <v>17</v>
      </c>
      <c r="O103" s="85" t="s">
        <v>257</v>
      </c>
      <c r="P103" s="74">
        <v>17</v>
      </c>
      <c r="Q103" s="85" t="s">
        <v>257</v>
      </c>
      <c r="R103" s="74">
        <v>5281</v>
      </c>
      <c r="S103" s="85" t="s">
        <v>264</v>
      </c>
      <c r="T103" s="231">
        <v>4610</v>
      </c>
      <c r="U103" s="85" t="s">
        <v>264</v>
      </c>
      <c r="V103" s="232">
        <v>224</v>
      </c>
      <c r="W103" s="443" t="s">
        <v>463</v>
      </c>
      <c r="X103" s="232">
        <v>62</v>
      </c>
      <c r="Y103" s="443" t="s">
        <v>463</v>
      </c>
      <c r="Z103" s="115">
        <f>naturalGasPrice</f>
        <v>30</v>
      </c>
      <c r="AA103" s="130" t="s">
        <v>268</v>
      </c>
      <c r="AB103" s="115">
        <f>naturalGasPrice</f>
        <v>30</v>
      </c>
      <c r="AC103" s="130" t="s">
        <v>268</v>
      </c>
      <c r="AD103" s="133">
        <f>CO2emissionNG</f>
        <v>5.6099999999999997E-2</v>
      </c>
      <c r="AE103" s="443" t="s">
        <v>269</v>
      </c>
      <c r="AF103" s="133">
        <f>CO2emissionNG</f>
        <v>5.6099999999999997E-2</v>
      </c>
      <c r="AG103" s="443" t="s">
        <v>269</v>
      </c>
      <c r="AH103" s="115">
        <v>9</v>
      </c>
      <c r="AI103" s="85" t="s">
        <v>44</v>
      </c>
      <c r="AJ103" s="115">
        <v>9</v>
      </c>
      <c r="AK103" s="85" t="s">
        <v>44</v>
      </c>
      <c r="AL103" s="126" t="s">
        <v>266</v>
      </c>
      <c r="AM103" s="127" t="s">
        <v>99</v>
      </c>
      <c r="AN103" s="126" t="s">
        <v>266</v>
      </c>
      <c r="AO103" s="127" t="s">
        <v>99</v>
      </c>
      <c r="AP103" s="115">
        <v>100</v>
      </c>
      <c r="AQ103" s="85" t="s">
        <v>262</v>
      </c>
      <c r="AR103" s="115">
        <v>100</v>
      </c>
      <c r="AS103" s="85" t="s">
        <v>262</v>
      </c>
      <c r="AT103" s="121">
        <v>2</v>
      </c>
      <c r="AU103" s="85" t="s">
        <v>263</v>
      </c>
      <c r="AV103" s="121">
        <v>2</v>
      </c>
      <c r="AW103" s="74" t="s">
        <v>263</v>
      </c>
      <c r="AX103" s="122">
        <f t="shared" si="30"/>
        <v>5281</v>
      </c>
      <c r="AY103" s="85" t="s">
        <v>264</v>
      </c>
      <c r="AZ103" s="233">
        <f t="shared" si="31"/>
        <v>4610</v>
      </c>
      <c r="BA103" s="85" t="s">
        <v>264</v>
      </c>
      <c r="BB103" s="120">
        <f t="shared" si="29"/>
        <v>224</v>
      </c>
      <c r="BC103" s="443" t="s">
        <v>463</v>
      </c>
      <c r="BD103" s="120">
        <f t="shared" si="29"/>
        <v>62</v>
      </c>
      <c r="BE103" s="443" t="s">
        <v>463</v>
      </c>
      <c r="BF103" s="120">
        <f t="shared" si="32"/>
        <v>0.15140605263157894</v>
      </c>
      <c r="BG103" s="85" t="s">
        <v>311</v>
      </c>
      <c r="BH103" s="120">
        <f t="shared" si="33"/>
        <v>0.15140605263157894</v>
      </c>
      <c r="BI103" s="85" t="s">
        <v>311</v>
      </c>
      <c r="BJ103" s="124">
        <f t="shared" si="34"/>
        <v>6.4083910818335019E-2</v>
      </c>
      <c r="BK103" s="93" t="s">
        <v>311</v>
      </c>
      <c r="BL103" s="93">
        <f t="shared" si="35"/>
        <v>6.3665256500627113E-2</v>
      </c>
      <c r="BM103" s="93" t="s">
        <v>311</v>
      </c>
      <c r="BN103" s="120">
        <f>(BJ103-BJ124)/(BR124-BR103)*1000</f>
        <v>383.65775770653852</v>
      </c>
      <c r="BO103" s="116" t="s">
        <v>514</v>
      </c>
      <c r="BP103" s="120">
        <f>(BL103-BL124)/(BT124-BT103)*1000</f>
        <v>-1313.4579323392134</v>
      </c>
      <c r="BQ103" s="116" t="s">
        <v>514</v>
      </c>
      <c r="BR103" s="93">
        <f t="shared" si="36"/>
        <v>0.26573684210526316</v>
      </c>
      <c r="BS103" s="85" t="s">
        <v>312</v>
      </c>
      <c r="BT103" s="93">
        <f t="shared" si="37"/>
        <v>0.26573684210526316</v>
      </c>
      <c r="BU103" s="85" t="s">
        <v>312</v>
      </c>
      <c r="BV103" s="85">
        <f>AH103</f>
        <v>9</v>
      </c>
      <c r="BW103" s="85" t="str">
        <f>AI103</f>
        <v>TRL</v>
      </c>
      <c r="BX103" s="85">
        <f>AJ103</f>
        <v>9</v>
      </c>
      <c r="BY103" s="85" t="str">
        <f>AK103</f>
        <v>TRL</v>
      </c>
      <c r="BZ103" s="126" t="s">
        <v>266</v>
      </c>
      <c r="CA103" s="127" t="s">
        <v>99</v>
      </c>
      <c r="CB103" s="126" t="s">
        <v>266</v>
      </c>
      <c r="CC103" s="127" t="s">
        <v>99</v>
      </c>
      <c r="CD103" s="85">
        <f t="shared" si="39"/>
        <v>100</v>
      </c>
      <c r="CE103" s="85" t="s">
        <v>262</v>
      </c>
      <c r="CF103" s="85">
        <f t="shared" si="40"/>
        <v>100</v>
      </c>
      <c r="CG103" s="85" t="s">
        <v>262</v>
      </c>
      <c r="CH103" s="131">
        <f t="shared" si="41"/>
        <v>80</v>
      </c>
      <c r="CI103" s="443" t="s">
        <v>516</v>
      </c>
      <c r="CJ103" s="131">
        <f t="shared" si="42"/>
        <v>80</v>
      </c>
      <c r="CK103" s="443" t="s">
        <v>516</v>
      </c>
    </row>
    <row r="104" spans="2:89" s="114" customFormat="1" x14ac:dyDescent="0.25">
      <c r="C104" s="84"/>
      <c r="D104" s="115"/>
      <c r="E104" s="116"/>
      <c r="F104" s="93"/>
      <c r="G104" s="93"/>
      <c r="H104" s="93"/>
      <c r="I104" s="93"/>
      <c r="J104" s="115"/>
      <c r="K104" s="93"/>
      <c r="L104" s="115"/>
      <c r="M104" s="93"/>
      <c r="N104" s="85"/>
      <c r="O104" s="85"/>
      <c r="P104" s="85"/>
      <c r="Q104" s="85"/>
      <c r="R104" s="85"/>
      <c r="S104" s="85"/>
      <c r="T104" s="119"/>
      <c r="U104" s="85"/>
      <c r="V104" s="120"/>
      <c r="W104" s="85"/>
      <c r="X104" s="120"/>
      <c r="Y104" s="85"/>
      <c r="Z104" s="115"/>
      <c r="AA104" s="85"/>
      <c r="AB104" s="115"/>
      <c r="AC104" s="85"/>
      <c r="AD104" s="115"/>
      <c r="AE104" s="116"/>
      <c r="AF104" s="115"/>
      <c r="AG104" s="116"/>
      <c r="AH104" s="115"/>
      <c r="AI104" s="85"/>
      <c r="AJ104" s="115"/>
      <c r="AK104" s="85"/>
      <c r="AL104" s="115"/>
      <c r="AM104" s="85"/>
      <c r="AN104" s="115"/>
      <c r="AO104" s="85"/>
      <c r="AP104" s="115"/>
      <c r="AQ104" s="85"/>
      <c r="AR104" s="115"/>
      <c r="AS104" s="85"/>
      <c r="AT104" s="121"/>
      <c r="AU104" s="85"/>
      <c r="AV104" s="121"/>
      <c r="AW104" s="85"/>
      <c r="AX104" s="84"/>
      <c r="AY104" s="85"/>
      <c r="AZ104" s="119"/>
      <c r="BA104" s="85"/>
      <c r="BB104" s="120"/>
      <c r="BC104" s="85"/>
      <c r="BD104" s="120"/>
      <c r="BE104" s="85"/>
      <c r="BF104" s="116"/>
      <c r="BG104" s="85"/>
      <c r="BH104" s="116"/>
      <c r="BI104" s="85"/>
      <c r="BJ104" s="124"/>
      <c r="BK104" s="93"/>
      <c r="BL104" s="93"/>
      <c r="BM104" s="93"/>
      <c r="BN104" s="115"/>
      <c r="BO104" s="93"/>
      <c r="BP104" s="115"/>
      <c r="BQ104" s="115"/>
      <c r="BR104" s="115"/>
      <c r="BS104" s="116"/>
      <c r="BT104" s="115"/>
      <c r="BU104" s="116"/>
      <c r="BV104" s="85"/>
      <c r="BW104" s="85"/>
      <c r="BX104" s="85"/>
      <c r="BY104" s="85"/>
      <c r="BZ104" s="85"/>
      <c r="CA104" s="85"/>
      <c r="CB104" s="119"/>
      <c r="CC104" s="85"/>
      <c r="CD104" s="120"/>
      <c r="CE104" s="85"/>
      <c r="CF104" s="120"/>
      <c r="CG104" s="85"/>
      <c r="CH104" s="115"/>
      <c r="CI104" s="85"/>
      <c r="CJ104" s="115"/>
      <c r="CK104" s="85"/>
    </row>
    <row r="105" spans="2:89" s="114" customFormat="1" x14ac:dyDescent="0.25">
      <c r="C105" s="84"/>
      <c r="D105" s="115"/>
      <c r="E105" s="116"/>
      <c r="F105" s="93"/>
      <c r="G105" s="93"/>
      <c r="H105" s="93"/>
      <c r="I105" s="93"/>
      <c r="J105" s="115"/>
      <c r="K105" s="93"/>
      <c r="L105" s="115"/>
      <c r="M105" s="93"/>
      <c r="N105" s="85"/>
      <c r="O105" s="85"/>
      <c r="P105" s="85"/>
      <c r="Q105" s="85"/>
      <c r="R105" s="85"/>
      <c r="S105" s="85"/>
      <c r="T105" s="119"/>
      <c r="U105" s="85"/>
      <c r="V105" s="120"/>
      <c r="W105" s="85"/>
      <c r="X105" s="120"/>
      <c r="Y105" s="85"/>
      <c r="Z105" s="115"/>
      <c r="AA105" s="85"/>
      <c r="AB105" s="115"/>
      <c r="AC105" s="85"/>
      <c r="AD105" s="115"/>
      <c r="AE105" s="116"/>
      <c r="AF105" s="115"/>
      <c r="AG105" s="116"/>
      <c r="AH105" s="115"/>
      <c r="AI105" s="85"/>
      <c r="AJ105" s="115"/>
      <c r="AK105" s="85"/>
      <c r="AL105" s="115"/>
      <c r="AM105" s="85"/>
      <c r="AN105" s="115"/>
      <c r="AO105" s="85"/>
      <c r="AP105" s="115"/>
      <c r="AQ105" s="85"/>
      <c r="AR105" s="115"/>
      <c r="AS105" s="85"/>
      <c r="AT105" s="121"/>
      <c r="AU105" s="85"/>
      <c r="AV105" s="121"/>
      <c r="AW105" s="85"/>
      <c r="AX105" s="84"/>
      <c r="AY105" s="85"/>
      <c r="AZ105" s="119"/>
      <c r="BA105" s="85"/>
      <c r="BB105" s="120"/>
      <c r="BC105" s="85"/>
      <c r="BD105" s="120"/>
      <c r="BE105" s="85"/>
      <c r="BF105" s="116"/>
      <c r="BG105" s="85"/>
      <c r="BH105" s="116"/>
      <c r="BI105" s="85"/>
      <c r="BJ105" s="124"/>
      <c r="BK105" s="93"/>
      <c r="BL105" s="93"/>
      <c r="BM105" s="93"/>
      <c r="BN105" s="115"/>
      <c r="BO105" s="93"/>
      <c r="BP105" s="115"/>
      <c r="BQ105" s="115"/>
      <c r="BR105" s="115"/>
      <c r="BS105" s="116"/>
      <c r="BT105" s="115"/>
      <c r="BU105" s="116"/>
      <c r="BV105" s="85"/>
      <c r="BW105" s="85"/>
      <c r="BX105" s="85"/>
      <c r="BY105" s="85"/>
      <c r="BZ105" s="85"/>
      <c r="CA105" s="85"/>
      <c r="CB105" s="119"/>
      <c r="CC105" s="85"/>
      <c r="CD105" s="120"/>
      <c r="CE105" s="85"/>
      <c r="CF105" s="120"/>
      <c r="CG105" s="85"/>
      <c r="CH105" s="115"/>
      <c r="CI105" s="85"/>
      <c r="CJ105" s="115"/>
      <c r="CK105" s="85"/>
    </row>
    <row r="106" spans="2:89" s="146" customFormat="1" x14ac:dyDescent="0.25">
      <c r="B106" s="146" t="s">
        <v>273</v>
      </c>
      <c r="C106" s="147"/>
      <c r="D106" s="148"/>
      <c r="E106" s="149"/>
      <c r="F106" s="150"/>
      <c r="G106" s="150"/>
      <c r="H106" s="150"/>
      <c r="I106" s="150"/>
      <c r="J106" s="148"/>
      <c r="K106" s="150"/>
      <c r="L106" s="148"/>
      <c r="M106" s="150"/>
      <c r="T106" s="151"/>
      <c r="V106" s="152"/>
      <c r="X106" s="152"/>
      <c r="Z106" s="148"/>
      <c r="AB106" s="148"/>
      <c r="AD106" s="148"/>
      <c r="AE106" s="149"/>
      <c r="AF106" s="148"/>
      <c r="AG106" s="149"/>
      <c r="AH106" s="148"/>
      <c r="AJ106" s="148"/>
      <c r="AL106" s="148"/>
      <c r="AN106" s="148"/>
      <c r="AP106" s="148"/>
      <c r="AR106" s="148"/>
      <c r="AT106" s="155"/>
      <c r="AV106" s="155"/>
      <c r="AX106" s="147"/>
      <c r="AZ106" s="151"/>
      <c r="BB106" s="152"/>
      <c r="BD106" s="152"/>
      <c r="BF106" s="149"/>
      <c r="BH106" s="149"/>
      <c r="BJ106" s="157"/>
      <c r="BK106" s="150"/>
      <c r="BL106" s="150"/>
      <c r="BM106" s="150"/>
      <c r="BN106" s="148" t="s">
        <v>266</v>
      </c>
      <c r="BO106" s="149" t="s">
        <v>99</v>
      </c>
      <c r="BP106" s="148" t="s">
        <v>266</v>
      </c>
      <c r="BQ106" s="149" t="s">
        <v>99</v>
      </c>
      <c r="BR106" s="148"/>
      <c r="BS106" s="149"/>
      <c r="BT106" s="148"/>
      <c r="BU106" s="149"/>
      <c r="BZ106" s="148" t="s">
        <v>266</v>
      </c>
      <c r="CA106" s="149" t="s">
        <v>99</v>
      </c>
      <c r="CB106" s="148" t="s">
        <v>266</v>
      </c>
      <c r="CC106" s="149" t="s">
        <v>99</v>
      </c>
      <c r="CD106" s="152"/>
      <c r="CF106" s="152"/>
      <c r="CH106" s="148"/>
      <c r="CJ106" s="148"/>
    </row>
    <row r="107" spans="2:89" s="146" customFormat="1" x14ac:dyDescent="0.25">
      <c r="B107" s="146" t="s">
        <v>313</v>
      </c>
      <c r="C107" s="161" t="s">
        <v>240</v>
      </c>
      <c r="D107" s="148" t="s">
        <v>240</v>
      </c>
      <c r="E107" s="149" t="s">
        <v>240</v>
      </c>
      <c r="F107" s="148" t="s">
        <v>240</v>
      </c>
      <c r="G107" s="150" t="s">
        <v>99</v>
      </c>
      <c r="H107" s="148" t="s">
        <v>240</v>
      </c>
      <c r="I107" s="150" t="s">
        <v>99</v>
      </c>
      <c r="J107" s="148" t="s">
        <v>240</v>
      </c>
      <c r="K107" s="150" t="s">
        <v>99</v>
      </c>
      <c r="L107" s="148" t="s">
        <v>240</v>
      </c>
      <c r="M107" s="150" t="s">
        <v>99</v>
      </c>
      <c r="N107" s="148" t="s">
        <v>240</v>
      </c>
      <c r="O107" s="146" t="s">
        <v>257</v>
      </c>
      <c r="P107" s="148" t="s">
        <v>240</v>
      </c>
      <c r="Q107" s="146" t="s">
        <v>257</v>
      </c>
      <c r="R107" s="148" t="s">
        <v>240</v>
      </c>
      <c r="S107" s="149" t="s">
        <v>240</v>
      </c>
      <c r="T107" s="148" t="s">
        <v>240</v>
      </c>
      <c r="U107" s="149" t="s">
        <v>240</v>
      </c>
      <c r="V107" s="148" t="s">
        <v>240</v>
      </c>
      <c r="W107" s="149" t="s">
        <v>240</v>
      </c>
      <c r="X107" s="148" t="s">
        <v>240</v>
      </c>
      <c r="Y107" s="149" t="s">
        <v>240</v>
      </c>
      <c r="Z107" s="148"/>
      <c r="AA107" s="154" t="s">
        <v>268</v>
      </c>
      <c r="AB107" s="148"/>
      <c r="AC107" s="146" t="s">
        <v>268</v>
      </c>
      <c r="AD107" s="148" t="s">
        <v>266</v>
      </c>
      <c r="AE107" s="149" t="s">
        <v>99</v>
      </c>
      <c r="AF107" s="148" t="s">
        <v>266</v>
      </c>
      <c r="AG107" s="149" t="s">
        <v>99</v>
      </c>
      <c r="AH107" s="148">
        <v>8</v>
      </c>
      <c r="AI107" s="146" t="s">
        <v>44</v>
      </c>
      <c r="AJ107" s="148">
        <v>9</v>
      </c>
      <c r="AK107" s="146" t="s">
        <v>44</v>
      </c>
      <c r="AL107" s="148" t="s">
        <v>240</v>
      </c>
      <c r="AM107" s="146" t="s">
        <v>262</v>
      </c>
      <c r="AN107" s="148" t="s">
        <v>240</v>
      </c>
      <c r="AO107" s="146" t="s">
        <v>262</v>
      </c>
      <c r="AP107" s="148">
        <v>80</v>
      </c>
      <c r="AQ107" s="146" t="s">
        <v>262</v>
      </c>
      <c r="AR107" s="148">
        <v>100</v>
      </c>
      <c r="AS107" s="146" t="s">
        <v>262</v>
      </c>
      <c r="AT107" s="155">
        <v>3</v>
      </c>
      <c r="AU107" s="146" t="s">
        <v>314</v>
      </c>
      <c r="AV107" s="155">
        <v>3</v>
      </c>
      <c r="AW107" s="146" t="s">
        <v>314</v>
      </c>
      <c r="AX107" s="192"/>
      <c r="AZ107" s="148"/>
      <c r="BB107" s="148"/>
      <c r="BD107" s="148"/>
      <c r="BF107" s="149"/>
      <c r="BH107" s="149"/>
      <c r="BJ107" s="192"/>
      <c r="BK107" s="150"/>
      <c r="BL107" s="148"/>
      <c r="BM107" s="150"/>
      <c r="BN107" s="148" t="s">
        <v>266</v>
      </c>
      <c r="BO107" s="149" t="s">
        <v>99</v>
      </c>
      <c r="BP107" s="148" t="s">
        <v>266</v>
      </c>
      <c r="BQ107" s="149" t="s">
        <v>99</v>
      </c>
      <c r="BR107" s="148"/>
      <c r="BS107" s="149"/>
      <c r="BT107" s="148"/>
      <c r="BU107" s="149"/>
      <c r="BV107" s="148"/>
      <c r="BX107" s="148"/>
      <c r="BZ107" s="148" t="s">
        <v>266</v>
      </c>
      <c r="CA107" s="149" t="s">
        <v>99</v>
      </c>
      <c r="CB107" s="148" t="s">
        <v>266</v>
      </c>
      <c r="CC107" s="149" t="s">
        <v>99</v>
      </c>
      <c r="CD107" s="148"/>
      <c r="CE107" s="149"/>
      <c r="CF107" s="148"/>
      <c r="CG107" s="149"/>
      <c r="CH107" s="148"/>
      <c r="CJ107" s="148"/>
    </row>
    <row r="108" spans="2:89" s="146" customFormat="1" x14ac:dyDescent="0.25">
      <c r="B108" s="146" t="s">
        <v>315</v>
      </c>
      <c r="C108" s="161" t="s">
        <v>240</v>
      </c>
      <c r="D108" s="148" t="s">
        <v>240</v>
      </c>
      <c r="E108" s="149" t="s">
        <v>240</v>
      </c>
      <c r="F108" s="148" t="s">
        <v>240</v>
      </c>
      <c r="G108" s="150" t="s">
        <v>99</v>
      </c>
      <c r="H108" s="148" t="s">
        <v>240</v>
      </c>
      <c r="I108" s="150" t="s">
        <v>99</v>
      </c>
      <c r="J108" s="148" t="s">
        <v>240</v>
      </c>
      <c r="K108" s="150" t="s">
        <v>99</v>
      </c>
      <c r="L108" s="148" t="s">
        <v>240</v>
      </c>
      <c r="M108" s="150" t="s">
        <v>99</v>
      </c>
      <c r="N108" s="148" t="s">
        <v>240</v>
      </c>
      <c r="O108" s="146" t="s">
        <v>257</v>
      </c>
      <c r="P108" s="148" t="s">
        <v>240</v>
      </c>
      <c r="Q108" s="146" t="s">
        <v>257</v>
      </c>
      <c r="R108" s="146">
        <v>4340</v>
      </c>
      <c r="S108" s="146" t="s">
        <v>316</v>
      </c>
      <c r="T108" s="148" t="s">
        <v>240</v>
      </c>
      <c r="U108" s="149" t="s">
        <v>240</v>
      </c>
      <c r="V108" s="148" t="s">
        <v>240</v>
      </c>
      <c r="W108" s="149" t="s">
        <v>240</v>
      </c>
      <c r="X108" s="148" t="s">
        <v>240</v>
      </c>
      <c r="Y108" s="149" t="s">
        <v>240</v>
      </c>
      <c r="Z108" s="148"/>
      <c r="AA108" s="154" t="s">
        <v>268</v>
      </c>
      <c r="AB108" s="148"/>
      <c r="AC108" s="146" t="s">
        <v>268</v>
      </c>
      <c r="AD108" s="148" t="s">
        <v>266</v>
      </c>
      <c r="AE108" s="149" t="s">
        <v>99</v>
      </c>
      <c r="AF108" s="148" t="s">
        <v>266</v>
      </c>
      <c r="AG108" s="149" t="s">
        <v>99</v>
      </c>
      <c r="AH108" s="148">
        <v>6</v>
      </c>
      <c r="AI108" s="146" t="s">
        <v>44</v>
      </c>
      <c r="AJ108" s="148">
        <v>8</v>
      </c>
      <c r="AK108" s="146" t="s">
        <v>44</v>
      </c>
      <c r="AL108" s="148" t="s">
        <v>240</v>
      </c>
      <c r="AM108" s="146" t="s">
        <v>262</v>
      </c>
      <c r="AN108" s="148" t="s">
        <v>240</v>
      </c>
      <c r="AO108" s="146" t="s">
        <v>262</v>
      </c>
      <c r="AP108" s="148">
        <v>80</v>
      </c>
      <c r="AQ108" s="146" t="s">
        <v>262</v>
      </c>
      <c r="AR108" s="148">
        <v>100</v>
      </c>
      <c r="AS108" s="146" t="s">
        <v>262</v>
      </c>
      <c r="AT108" s="155">
        <v>3</v>
      </c>
      <c r="AU108" s="146" t="s">
        <v>314</v>
      </c>
      <c r="AV108" s="155">
        <v>3</v>
      </c>
      <c r="AW108" s="146" t="s">
        <v>314</v>
      </c>
      <c r="AX108" s="147"/>
      <c r="AZ108" s="148"/>
      <c r="BB108" s="148"/>
      <c r="BD108" s="148"/>
      <c r="BF108" s="149"/>
      <c r="BH108" s="149"/>
      <c r="BJ108" s="192"/>
      <c r="BK108" s="150"/>
      <c r="BL108" s="148"/>
      <c r="BM108" s="150"/>
      <c r="BN108" s="148" t="s">
        <v>266</v>
      </c>
      <c r="BO108" s="149" t="s">
        <v>99</v>
      </c>
      <c r="BP108" s="148" t="s">
        <v>266</v>
      </c>
      <c r="BQ108" s="149" t="s">
        <v>99</v>
      </c>
      <c r="BR108" s="148"/>
      <c r="BS108" s="149"/>
      <c r="BT108" s="148"/>
      <c r="BU108" s="149"/>
      <c r="BV108" s="148"/>
      <c r="BX108" s="148"/>
      <c r="BZ108" s="148" t="s">
        <v>266</v>
      </c>
      <c r="CA108" s="149" t="s">
        <v>99</v>
      </c>
      <c r="CB108" s="148" t="s">
        <v>266</v>
      </c>
      <c r="CC108" s="149" t="s">
        <v>99</v>
      </c>
      <c r="CD108" s="148"/>
      <c r="CE108" s="149"/>
      <c r="CF108" s="148"/>
      <c r="CG108" s="149"/>
      <c r="CH108" s="148"/>
      <c r="CJ108" s="148"/>
    </row>
    <row r="109" spans="2:89" s="146" customFormat="1" x14ac:dyDescent="0.25">
      <c r="B109" s="146" t="s">
        <v>317</v>
      </c>
      <c r="C109" s="161" t="s">
        <v>240</v>
      </c>
      <c r="D109" s="148" t="s">
        <v>240</v>
      </c>
      <c r="E109" s="149" t="s">
        <v>240</v>
      </c>
      <c r="F109" s="148" t="s">
        <v>240</v>
      </c>
      <c r="G109" s="150" t="s">
        <v>99</v>
      </c>
      <c r="H109" s="148" t="s">
        <v>240</v>
      </c>
      <c r="I109" s="150" t="s">
        <v>99</v>
      </c>
      <c r="J109" s="148" t="s">
        <v>240</v>
      </c>
      <c r="K109" s="150" t="s">
        <v>99</v>
      </c>
      <c r="L109" s="148" t="s">
        <v>240</v>
      </c>
      <c r="M109" s="150" t="s">
        <v>99</v>
      </c>
      <c r="N109" s="148" t="s">
        <v>240</v>
      </c>
      <c r="O109" s="146" t="s">
        <v>257</v>
      </c>
      <c r="P109" s="148" t="s">
        <v>240</v>
      </c>
      <c r="Q109" s="146" t="s">
        <v>257</v>
      </c>
      <c r="R109" s="146">
        <v>124</v>
      </c>
      <c r="S109" s="146" t="s">
        <v>264</v>
      </c>
      <c r="T109" s="148" t="s">
        <v>240</v>
      </c>
      <c r="U109" s="149" t="s">
        <v>240</v>
      </c>
      <c r="V109" s="148" t="s">
        <v>240</v>
      </c>
      <c r="W109" s="149" t="s">
        <v>240</v>
      </c>
      <c r="X109" s="148" t="s">
        <v>240</v>
      </c>
      <c r="Y109" s="149" t="s">
        <v>240</v>
      </c>
      <c r="Z109" s="148"/>
      <c r="AA109" s="154" t="s">
        <v>268</v>
      </c>
      <c r="AB109" s="148"/>
      <c r="AC109" s="146" t="s">
        <v>268</v>
      </c>
      <c r="AD109" s="148" t="s">
        <v>266</v>
      </c>
      <c r="AE109" s="149" t="s">
        <v>99</v>
      </c>
      <c r="AF109" s="148" t="s">
        <v>266</v>
      </c>
      <c r="AG109" s="149" t="s">
        <v>99</v>
      </c>
      <c r="AH109" s="148">
        <v>6</v>
      </c>
      <c r="AI109" s="146" t="s">
        <v>44</v>
      </c>
      <c r="AJ109" s="148">
        <v>8</v>
      </c>
      <c r="AK109" s="146" t="s">
        <v>44</v>
      </c>
      <c r="AL109" s="148" t="s">
        <v>240</v>
      </c>
      <c r="AM109" s="146" t="s">
        <v>262</v>
      </c>
      <c r="AN109" s="148" t="s">
        <v>240</v>
      </c>
      <c r="AO109" s="146" t="s">
        <v>262</v>
      </c>
      <c r="AP109" s="148">
        <v>80</v>
      </c>
      <c r="AQ109" s="146" t="s">
        <v>262</v>
      </c>
      <c r="AR109" s="148">
        <v>100</v>
      </c>
      <c r="AS109" s="146" t="s">
        <v>262</v>
      </c>
      <c r="AT109" s="155">
        <v>3</v>
      </c>
      <c r="AU109" s="146" t="s">
        <v>314</v>
      </c>
      <c r="AV109" s="155">
        <v>3</v>
      </c>
      <c r="AW109" s="146" t="s">
        <v>314</v>
      </c>
      <c r="AX109" s="147"/>
      <c r="AZ109" s="148"/>
      <c r="BB109" s="148"/>
      <c r="BD109" s="148"/>
      <c r="BF109" s="149"/>
      <c r="BH109" s="149"/>
      <c r="BJ109" s="192"/>
      <c r="BK109" s="150"/>
      <c r="BL109" s="148"/>
      <c r="BM109" s="150"/>
      <c r="BN109" s="148" t="s">
        <v>266</v>
      </c>
      <c r="BO109" s="149" t="s">
        <v>99</v>
      </c>
      <c r="BP109" s="148" t="s">
        <v>266</v>
      </c>
      <c r="BQ109" s="149" t="s">
        <v>99</v>
      </c>
      <c r="BR109" s="148"/>
      <c r="BS109" s="149"/>
      <c r="BT109" s="148"/>
      <c r="BU109" s="149"/>
      <c r="BV109" s="148"/>
      <c r="BX109" s="148"/>
      <c r="BZ109" s="148" t="s">
        <v>266</v>
      </c>
      <c r="CA109" s="149" t="s">
        <v>99</v>
      </c>
      <c r="CB109" s="148" t="s">
        <v>266</v>
      </c>
      <c r="CC109" s="149" t="s">
        <v>99</v>
      </c>
      <c r="CD109" s="148"/>
      <c r="CE109" s="149"/>
      <c r="CF109" s="148"/>
      <c r="CG109" s="149"/>
      <c r="CH109" s="148"/>
      <c r="CJ109" s="148"/>
    </row>
    <row r="110" spans="2:89" s="146" customFormat="1" x14ac:dyDescent="0.25">
      <c r="C110" s="161"/>
      <c r="D110" s="148"/>
      <c r="E110" s="149"/>
      <c r="F110" s="148"/>
      <c r="G110" s="150"/>
      <c r="H110" s="148"/>
      <c r="I110" s="150"/>
      <c r="J110" s="148"/>
      <c r="K110" s="150"/>
      <c r="L110" s="148"/>
      <c r="M110" s="150"/>
      <c r="N110" s="148"/>
      <c r="P110" s="148"/>
      <c r="T110" s="148"/>
      <c r="U110" s="149"/>
      <c r="V110" s="148"/>
      <c r="W110" s="149"/>
      <c r="X110" s="148"/>
      <c r="Y110" s="149"/>
      <c r="Z110" s="148"/>
      <c r="AA110" s="154"/>
      <c r="AB110" s="148"/>
      <c r="AD110" s="148"/>
      <c r="AE110" s="149"/>
      <c r="AF110" s="148"/>
      <c r="AG110" s="149"/>
      <c r="AH110" s="148"/>
      <c r="AJ110" s="148"/>
      <c r="AL110" s="148"/>
      <c r="AN110" s="148"/>
      <c r="AP110" s="148"/>
      <c r="AR110" s="148"/>
      <c r="AT110" s="148"/>
      <c r="AV110" s="148"/>
      <c r="AX110" s="147"/>
      <c r="AZ110" s="148"/>
      <c r="BB110" s="148"/>
      <c r="BD110" s="148"/>
      <c r="BF110" s="149"/>
      <c r="BH110" s="149"/>
      <c r="BJ110" s="192"/>
      <c r="BK110" s="150"/>
      <c r="BL110" s="148"/>
      <c r="BM110" s="150"/>
      <c r="BN110" s="148"/>
      <c r="BO110" s="150"/>
      <c r="BP110" s="148"/>
      <c r="BQ110" s="148"/>
      <c r="BR110" s="148"/>
      <c r="BS110" s="149"/>
      <c r="BT110" s="148"/>
      <c r="BU110" s="149"/>
      <c r="BV110" s="148"/>
      <c r="BX110" s="148"/>
      <c r="CB110" s="148"/>
      <c r="CC110" s="149"/>
      <c r="CD110" s="148"/>
      <c r="CE110" s="149"/>
      <c r="CF110" s="148"/>
      <c r="CG110" s="149"/>
      <c r="CH110" s="148"/>
      <c r="CJ110" s="148"/>
    </row>
    <row r="111" spans="2:89" s="146" customFormat="1" x14ac:dyDescent="0.25">
      <c r="C111" s="161"/>
      <c r="D111" s="148"/>
      <c r="E111" s="149"/>
      <c r="F111" s="148"/>
      <c r="G111" s="150"/>
      <c r="H111" s="148"/>
      <c r="I111" s="150"/>
      <c r="J111" s="148"/>
      <c r="K111" s="150"/>
      <c r="L111" s="148"/>
      <c r="M111" s="150"/>
      <c r="N111" s="148"/>
      <c r="P111" s="148"/>
      <c r="T111" s="148"/>
      <c r="U111" s="149"/>
      <c r="V111" s="148"/>
      <c r="W111" s="149"/>
      <c r="X111" s="148"/>
      <c r="Y111" s="149"/>
      <c r="Z111" s="148"/>
      <c r="AA111" s="154"/>
      <c r="AB111" s="148"/>
      <c r="AD111" s="148"/>
      <c r="AE111" s="149"/>
      <c r="AF111" s="148"/>
      <c r="AG111" s="149"/>
      <c r="AH111" s="148"/>
      <c r="AJ111" s="148"/>
      <c r="AL111" s="148"/>
      <c r="AN111" s="148"/>
      <c r="AP111" s="148"/>
      <c r="AR111" s="148"/>
      <c r="AT111" s="148"/>
      <c r="AV111" s="148"/>
      <c r="AX111" s="147"/>
      <c r="AZ111" s="148"/>
      <c r="BB111" s="148"/>
      <c r="BD111" s="148"/>
      <c r="BF111" s="149"/>
      <c r="BH111" s="149"/>
      <c r="BJ111" s="192"/>
      <c r="BK111" s="150"/>
      <c r="BL111" s="148"/>
      <c r="BM111" s="150"/>
      <c r="BN111" s="148"/>
      <c r="BO111" s="150"/>
      <c r="BP111" s="148"/>
      <c r="BQ111" s="148"/>
      <c r="BR111" s="148"/>
      <c r="BS111" s="149"/>
      <c r="BT111" s="148"/>
      <c r="BU111" s="149"/>
      <c r="BV111" s="148"/>
      <c r="BX111" s="148"/>
      <c r="CB111" s="148"/>
      <c r="CC111" s="149"/>
      <c r="CD111" s="148"/>
      <c r="CE111" s="149"/>
      <c r="CF111" s="148"/>
      <c r="CG111" s="149"/>
      <c r="CH111" s="148"/>
      <c r="CJ111" s="148"/>
    </row>
    <row r="112" spans="2:89" x14ac:dyDescent="0.25">
      <c r="C112" s="83"/>
      <c r="D112" s="237"/>
      <c r="E112" s="237"/>
      <c r="F112" s="135"/>
      <c r="G112" s="135"/>
      <c r="H112" s="135"/>
      <c r="I112" s="135"/>
      <c r="V112" s="236"/>
      <c r="W112" s="236"/>
      <c r="X112" s="236"/>
      <c r="Y112" s="236"/>
      <c r="Z112" s="236"/>
      <c r="AA112" s="236"/>
      <c r="AB112" s="236"/>
      <c r="AC112" s="236"/>
      <c r="AD112" s="238"/>
      <c r="AE112" s="238"/>
      <c r="AF112" s="238"/>
      <c r="AG112" s="238"/>
      <c r="AH112" s="236"/>
      <c r="AI112" s="236"/>
      <c r="AJ112" s="236"/>
      <c r="AK112" s="236"/>
      <c r="AX112" s="83"/>
      <c r="BJ112" s="83"/>
    </row>
    <row r="113" spans="2:89" ht="21" x14ac:dyDescent="0.25">
      <c r="B113" s="86" t="s">
        <v>69</v>
      </c>
      <c r="C113" s="87" t="s">
        <v>245</v>
      </c>
      <c r="D113" s="237"/>
      <c r="E113" s="237"/>
      <c r="F113" s="135"/>
      <c r="G113" s="135"/>
      <c r="H113" s="135"/>
      <c r="I113" s="135"/>
      <c r="V113" s="236"/>
      <c r="W113" s="236"/>
      <c r="X113" s="236"/>
      <c r="Y113" s="236"/>
      <c r="Z113" s="236"/>
      <c r="AA113" s="236"/>
      <c r="AB113" s="236"/>
      <c r="AC113" s="236"/>
      <c r="AD113" s="238"/>
      <c r="AE113" s="238"/>
      <c r="AF113" s="238"/>
      <c r="AG113" s="238"/>
      <c r="AH113" s="236"/>
      <c r="AI113" s="236"/>
      <c r="AJ113" s="236"/>
      <c r="AK113" s="236"/>
      <c r="AX113" s="83"/>
      <c r="BJ113" s="83"/>
    </row>
    <row r="114" spans="2:89" x14ac:dyDescent="0.25">
      <c r="C114" s="83"/>
      <c r="D114" s="237"/>
      <c r="E114" s="237"/>
      <c r="F114" s="135"/>
      <c r="G114" s="135"/>
      <c r="H114" s="135"/>
      <c r="I114" s="135"/>
      <c r="V114" s="236"/>
      <c r="W114" s="236"/>
      <c r="X114" s="236"/>
      <c r="Y114" s="236"/>
      <c r="Z114" s="236"/>
      <c r="AA114" s="236"/>
      <c r="AB114" s="236"/>
      <c r="AC114" s="236"/>
      <c r="AD114" s="238"/>
      <c r="AE114" s="238"/>
      <c r="AF114" s="238"/>
      <c r="AG114" s="238"/>
      <c r="AH114" s="236"/>
      <c r="AI114" s="236"/>
      <c r="AJ114" s="236"/>
      <c r="AK114" s="236"/>
      <c r="AX114" s="83"/>
      <c r="BJ114" s="83"/>
    </row>
    <row r="115" spans="2:89" s="187" customFormat="1" x14ac:dyDescent="0.25">
      <c r="B115" s="63"/>
      <c r="C115" s="95" t="s">
        <v>246</v>
      </c>
      <c r="D115" s="96" t="s">
        <v>247</v>
      </c>
      <c r="E115" s="97"/>
      <c r="F115" s="98" t="s">
        <v>248</v>
      </c>
      <c r="G115" s="98"/>
      <c r="H115" s="98"/>
      <c r="I115" s="98"/>
      <c r="J115" s="98" t="s">
        <v>249</v>
      </c>
      <c r="K115" s="98"/>
      <c r="L115" s="98"/>
      <c r="M115" s="98"/>
      <c r="N115" s="98" t="s">
        <v>250</v>
      </c>
      <c r="O115" s="98"/>
      <c r="P115" s="98"/>
      <c r="Q115" s="98"/>
      <c r="R115" s="98" t="s">
        <v>251</v>
      </c>
      <c r="S115" s="98"/>
      <c r="T115" s="98"/>
      <c r="U115" s="98"/>
      <c r="V115" s="98" t="s">
        <v>252</v>
      </c>
      <c r="W115" s="98"/>
      <c r="X115" s="98"/>
      <c r="Y115" s="98"/>
      <c r="Z115" s="98" t="s">
        <v>253</v>
      </c>
      <c r="AA115" s="98"/>
      <c r="AB115" s="98"/>
      <c r="AC115" s="98"/>
      <c r="AD115" s="98" t="s">
        <v>329</v>
      </c>
      <c r="AE115" s="98"/>
      <c r="AF115" s="98"/>
      <c r="AG115" s="98"/>
      <c r="AH115" s="99" t="s">
        <v>78</v>
      </c>
      <c r="AI115" s="99"/>
      <c r="AJ115" s="99"/>
      <c r="AK115" s="98"/>
      <c r="AL115" s="98" t="s">
        <v>80</v>
      </c>
      <c r="AM115" s="98"/>
      <c r="AN115" s="98"/>
      <c r="AO115" s="98"/>
      <c r="AP115" s="99" t="s">
        <v>534</v>
      </c>
      <c r="AQ115" s="99"/>
      <c r="AR115" s="99"/>
      <c r="AS115" s="99"/>
      <c r="AT115" s="98" t="s">
        <v>82</v>
      </c>
      <c r="AU115" s="98"/>
      <c r="AV115" s="98"/>
      <c r="AW115" s="229"/>
      <c r="AX115" s="100" t="s">
        <v>251</v>
      </c>
      <c r="AY115" s="99"/>
      <c r="AZ115" s="99"/>
      <c r="BA115" s="99"/>
      <c r="BB115" s="99" t="s">
        <v>252</v>
      </c>
      <c r="BC115" s="99"/>
      <c r="BD115" s="99"/>
      <c r="BE115" s="99"/>
      <c r="BF115" s="98" t="s">
        <v>254</v>
      </c>
      <c r="BG115" s="99"/>
      <c r="BH115" s="99"/>
      <c r="BI115" s="99"/>
      <c r="BJ115" s="100" t="s">
        <v>72</v>
      </c>
      <c r="BK115" s="99"/>
      <c r="BL115" s="99"/>
      <c r="BM115" s="99"/>
      <c r="BN115" s="99" t="s">
        <v>77</v>
      </c>
      <c r="BO115" s="99"/>
      <c r="BP115" s="99"/>
      <c r="BQ115" s="99"/>
      <c r="BR115" s="99" t="s">
        <v>329</v>
      </c>
      <c r="BS115" s="99"/>
      <c r="BT115" s="99"/>
      <c r="BU115" s="99"/>
      <c r="BV115" s="99" t="s">
        <v>78</v>
      </c>
      <c r="BW115" s="99"/>
      <c r="BX115" s="99"/>
      <c r="BY115" s="99"/>
      <c r="BZ115" s="99" t="s">
        <v>80</v>
      </c>
      <c r="CA115" s="99"/>
      <c r="CB115" s="99"/>
      <c r="CC115" s="99"/>
      <c r="CD115" s="99" t="s">
        <v>534</v>
      </c>
      <c r="CE115" s="99"/>
      <c r="CF115" s="99"/>
      <c r="CG115" s="99"/>
      <c r="CH115" s="99" t="s">
        <v>82</v>
      </c>
      <c r="CI115" s="229"/>
      <c r="CJ115" s="99"/>
      <c r="CK115" s="229"/>
    </row>
    <row r="116" spans="2:89" s="187" customFormat="1" x14ac:dyDescent="0.25">
      <c r="B116" s="186"/>
      <c r="C116" s="104"/>
      <c r="D116" s="105"/>
      <c r="E116" s="106"/>
      <c r="F116" s="107">
        <v>2025</v>
      </c>
      <c r="G116" s="107"/>
      <c r="H116" s="107">
        <v>2050</v>
      </c>
      <c r="I116" s="107"/>
      <c r="J116" s="107">
        <v>2025</v>
      </c>
      <c r="K116" s="107"/>
      <c r="L116" s="107">
        <v>2050</v>
      </c>
      <c r="M116" s="107"/>
      <c r="N116" s="107">
        <v>2025</v>
      </c>
      <c r="O116" s="107"/>
      <c r="P116" s="107">
        <v>2050</v>
      </c>
      <c r="Q116" s="107"/>
      <c r="R116" s="107">
        <v>2025</v>
      </c>
      <c r="S116" s="106"/>
      <c r="T116" s="107">
        <v>2050</v>
      </c>
      <c r="U116" s="106"/>
      <c r="V116" s="107">
        <v>2025</v>
      </c>
      <c r="W116" s="106"/>
      <c r="X116" s="107">
        <v>2050</v>
      </c>
      <c r="Y116" s="107"/>
      <c r="Z116" s="107">
        <v>2025</v>
      </c>
      <c r="AA116" s="107"/>
      <c r="AB116" s="107">
        <v>2050</v>
      </c>
      <c r="AC116" s="107"/>
      <c r="AD116" s="107">
        <v>2025</v>
      </c>
      <c r="AE116" s="107"/>
      <c r="AF116" s="107">
        <v>2050</v>
      </c>
      <c r="AG116" s="107"/>
      <c r="AH116" s="107">
        <v>2025</v>
      </c>
      <c r="AI116" s="107"/>
      <c r="AJ116" s="107">
        <v>2050</v>
      </c>
      <c r="AK116" s="107"/>
      <c r="AL116" s="107">
        <v>2025</v>
      </c>
      <c r="AM116" s="107"/>
      <c r="AN116" s="107">
        <v>2050</v>
      </c>
      <c r="AO116" s="107"/>
      <c r="AP116" s="107">
        <v>2025</v>
      </c>
      <c r="AQ116" s="108"/>
      <c r="AR116" s="108">
        <v>2050</v>
      </c>
      <c r="AS116" s="109"/>
      <c r="AT116" s="107">
        <v>2025</v>
      </c>
      <c r="AU116" s="107"/>
      <c r="AV116" s="107">
        <v>2050</v>
      </c>
      <c r="AW116" s="110"/>
      <c r="AX116" s="111">
        <v>2025</v>
      </c>
      <c r="AY116" s="107"/>
      <c r="AZ116" s="107">
        <v>2050</v>
      </c>
      <c r="BA116" s="107"/>
      <c r="BB116" s="107">
        <v>2025</v>
      </c>
      <c r="BC116" s="107"/>
      <c r="BD116" s="107">
        <v>2050</v>
      </c>
      <c r="BE116" s="107"/>
      <c r="BF116" s="107">
        <v>2025</v>
      </c>
      <c r="BG116" s="107"/>
      <c r="BH116" s="107">
        <v>2050</v>
      </c>
      <c r="BI116" s="107"/>
      <c r="BJ116" s="112">
        <v>2025</v>
      </c>
      <c r="BK116" s="108"/>
      <c r="BL116" s="108">
        <v>2050</v>
      </c>
      <c r="BM116" s="108"/>
      <c r="BN116" s="108">
        <v>2025</v>
      </c>
      <c r="BO116" s="108"/>
      <c r="BP116" s="108">
        <v>2050</v>
      </c>
      <c r="BQ116" s="108"/>
      <c r="BR116" s="108">
        <v>2025</v>
      </c>
      <c r="BS116" s="108"/>
      <c r="BT116" s="108">
        <v>2050</v>
      </c>
      <c r="BU116" s="108"/>
      <c r="BV116" s="108">
        <v>2025</v>
      </c>
      <c r="BW116" s="108"/>
      <c r="BX116" s="108">
        <v>2050</v>
      </c>
      <c r="BY116" s="108"/>
      <c r="BZ116" s="108">
        <v>2025</v>
      </c>
      <c r="CA116" s="113"/>
      <c r="CB116" s="108">
        <v>2050</v>
      </c>
      <c r="CC116" s="113"/>
      <c r="CD116" s="108">
        <v>2025</v>
      </c>
      <c r="CE116" s="113"/>
      <c r="CF116" s="108">
        <v>2050</v>
      </c>
      <c r="CG116" s="108"/>
      <c r="CH116" s="108">
        <v>2025</v>
      </c>
      <c r="CI116" s="110"/>
      <c r="CJ116" s="108">
        <v>2050</v>
      </c>
      <c r="CK116" s="110"/>
    </row>
    <row r="117" spans="2:89" s="74" customFormat="1" x14ac:dyDescent="0.25">
      <c r="B117" t="s">
        <v>443</v>
      </c>
      <c r="C117" s="83" t="s">
        <v>318</v>
      </c>
      <c r="D117" s="237"/>
      <c r="E117" s="237" t="s">
        <v>256</v>
      </c>
      <c r="F117" s="135">
        <v>0.82</v>
      </c>
      <c r="G117" s="135" t="s">
        <v>99</v>
      </c>
      <c r="H117" s="135">
        <v>0.82</v>
      </c>
      <c r="I117" s="135" t="s">
        <v>99</v>
      </c>
      <c r="J117" s="239">
        <v>1</v>
      </c>
      <c r="K117" s="28"/>
      <c r="L117" s="239">
        <v>1</v>
      </c>
      <c r="M117" s="28"/>
      <c r="N117" s="240">
        <v>30</v>
      </c>
      <c r="O117" s="74" t="s">
        <v>319</v>
      </c>
      <c r="P117" s="240">
        <v>30</v>
      </c>
      <c r="Q117" s="74" t="s">
        <v>319</v>
      </c>
      <c r="R117" s="231">
        <v>686</v>
      </c>
      <c r="S117" s="74" t="s">
        <v>320</v>
      </c>
      <c r="T117" s="231">
        <v>686</v>
      </c>
      <c r="U117" s="74" t="s">
        <v>320</v>
      </c>
      <c r="V117" s="236">
        <v>0</v>
      </c>
      <c r="W117" s="74" t="s">
        <v>320</v>
      </c>
      <c r="X117" s="236">
        <v>0</v>
      </c>
      <c r="Y117" s="74" t="s">
        <v>320</v>
      </c>
      <c r="Z117" s="236">
        <f>naturalGasPrice</f>
        <v>30</v>
      </c>
      <c r="AA117" s="85" t="s">
        <v>278</v>
      </c>
      <c r="AB117" s="236">
        <f>naturalGasPrice</f>
        <v>30</v>
      </c>
      <c r="AC117" s="85" t="s">
        <v>278</v>
      </c>
      <c r="AD117" s="133">
        <f>CO2emissionNG</f>
        <v>5.6099999999999997E-2</v>
      </c>
      <c r="AE117" s="443" t="s">
        <v>269</v>
      </c>
      <c r="AF117" s="133">
        <f>CO2emissionNG</f>
        <v>5.6099999999999997E-2</v>
      </c>
      <c r="AG117" s="443" t="s">
        <v>269</v>
      </c>
      <c r="AH117" s="115">
        <v>9</v>
      </c>
      <c r="AI117" s="85" t="s">
        <v>44</v>
      </c>
      <c r="AJ117" s="115">
        <v>9</v>
      </c>
      <c r="AK117" s="85" t="s">
        <v>44</v>
      </c>
      <c r="AL117" s="126" t="s">
        <v>266</v>
      </c>
      <c r="AM117" s="127" t="s">
        <v>99</v>
      </c>
      <c r="AN117" s="126" t="s">
        <v>266</v>
      </c>
      <c r="AO117" s="127" t="s">
        <v>99</v>
      </c>
      <c r="AP117" s="115">
        <v>100</v>
      </c>
      <c r="AQ117" s="85" t="s">
        <v>262</v>
      </c>
      <c r="AR117" s="115">
        <v>100</v>
      </c>
      <c r="AS117" s="85" t="s">
        <v>262</v>
      </c>
      <c r="AT117" s="121">
        <v>1</v>
      </c>
      <c r="AU117" s="85" t="s">
        <v>263</v>
      </c>
      <c r="AV117" s="121">
        <v>1</v>
      </c>
      <c r="AW117" s="85" t="s">
        <v>263</v>
      </c>
      <c r="AX117" s="122">
        <f>R117*CHFInEuro2010/euroDeflator2010</f>
        <v>504.81445565659294</v>
      </c>
      <c r="AY117" s="85" t="s">
        <v>264</v>
      </c>
      <c r="AZ117" s="241">
        <f>T117*CHFInEuro2010/euroDeflator2010</f>
        <v>504.81445565659294</v>
      </c>
      <c r="BA117" s="85" t="s">
        <v>264</v>
      </c>
      <c r="BB117" s="125">
        <f>V117*CHFInEuro2010/euroDeflator2010</f>
        <v>0</v>
      </c>
      <c r="BC117" s="443" t="s">
        <v>264</v>
      </c>
      <c r="BD117" s="125">
        <f>X117*CHFInEuro2010/euroDeflator2010</f>
        <v>0</v>
      </c>
      <c r="BE117" s="443" t="s">
        <v>264</v>
      </c>
      <c r="BF117" s="120">
        <f>(Z117+AD117*CO2price)/F117/1000</f>
        <v>3.8979878048780489E-2</v>
      </c>
      <c r="BG117" s="85" t="s">
        <v>308</v>
      </c>
      <c r="BH117" s="120">
        <f>(AB117+AF117*CO2price)/H117/1000</f>
        <v>3.8979878048780489E-2</v>
      </c>
      <c r="BI117" s="85" t="s">
        <v>308</v>
      </c>
      <c r="BJ117" s="124">
        <f>(AX117+BB117)*interestRate*(1+interestRate)^N117/((1+interestRate)^N117-1)/31.54/J117/1000</f>
        <v>1.1627844232052053E-3</v>
      </c>
      <c r="BK117" s="85" t="s">
        <v>308</v>
      </c>
      <c r="BL117" s="123">
        <f>(AZ117+BD117)*interestRate*(1+interestRate)^P117/((1+interestRate)^P117-1)/31.54/L117/1000+BH117</f>
        <v>4.0142662471985696E-2</v>
      </c>
      <c r="BM117" s="85" t="s">
        <v>308</v>
      </c>
      <c r="BN117" s="126" t="s">
        <v>266</v>
      </c>
      <c r="BO117" s="127" t="s">
        <v>99</v>
      </c>
      <c r="BP117" s="126" t="s">
        <v>266</v>
      </c>
      <c r="BQ117" s="127" t="s">
        <v>99</v>
      </c>
      <c r="BR117" s="93">
        <f>AD117/F117</f>
        <v>6.8414634146341469E-2</v>
      </c>
      <c r="BS117" s="85" t="s">
        <v>307</v>
      </c>
      <c r="BT117" s="93">
        <f>AF117/H117</f>
        <v>6.8414634146341469E-2</v>
      </c>
      <c r="BU117" s="85" t="s">
        <v>307</v>
      </c>
      <c r="BV117" s="85">
        <f t="shared" ref="BV117:BY119" si="43">AH117</f>
        <v>9</v>
      </c>
      <c r="BW117" s="85" t="str">
        <f t="shared" si="43"/>
        <v>TRL</v>
      </c>
      <c r="BX117" s="85">
        <f t="shared" si="43"/>
        <v>9</v>
      </c>
      <c r="BY117" s="85" t="str">
        <f t="shared" si="43"/>
        <v>TRL</v>
      </c>
      <c r="BZ117" s="126" t="s">
        <v>266</v>
      </c>
      <c r="CA117" s="127" t="s">
        <v>99</v>
      </c>
      <c r="CB117" s="126" t="s">
        <v>266</v>
      </c>
      <c r="CC117" s="127" t="s">
        <v>99</v>
      </c>
      <c r="CD117" s="85">
        <f>AP117</f>
        <v>100</v>
      </c>
      <c r="CE117" s="85" t="s">
        <v>262</v>
      </c>
      <c r="CF117" s="85">
        <f>AR117</f>
        <v>100</v>
      </c>
      <c r="CG117" s="85" t="s">
        <v>262</v>
      </c>
      <c r="CH117" s="131">
        <f>IF(PAmedium="Default",(6-AT117)/5*100,IF(PAmedium="High",(6-(AT117-1))/5*100,(6-(AT117+1))/5*100))</f>
        <v>100</v>
      </c>
      <c r="CI117" s="443" t="s">
        <v>516</v>
      </c>
      <c r="CJ117" s="131">
        <f>IF(PAmedium="Default",(6-AV117)/5*100,IF(PAmedium="High",(6-(AV117-1))/5*100,(6-(AV117+1))/5*100))</f>
        <v>100</v>
      </c>
      <c r="CK117" s="443" t="s">
        <v>516</v>
      </c>
    </row>
    <row r="118" spans="2:89" s="74" customFormat="1" x14ac:dyDescent="0.25">
      <c r="B118" t="s">
        <v>444</v>
      </c>
      <c r="C118" s="83" t="s">
        <v>318</v>
      </c>
      <c r="D118" s="237" t="s">
        <v>321</v>
      </c>
      <c r="E118" s="237"/>
      <c r="F118" s="239">
        <v>0.84</v>
      </c>
      <c r="G118" s="135" t="s">
        <v>99</v>
      </c>
      <c r="H118" s="239">
        <v>0.85</v>
      </c>
      <c r="I118" s="135" t="s">
        <v>99</v>
      </c>
      <c r="J118" s="239">
        <v>1</v>
      </c>
      <c r="K118" s="28"/>
      <c r="L118" s="239">
        <v>1</v>
      </c>
      <c r="M118" s="28"/>
      <c r="N118" s="240">
        <v>30</v>
      </c>
      <c r="O118" s="74" t="s">
        <v>319</v>
      </c>
      <c r="P118" s="240">
        <v>30</v>
      </c>
      <c r="Q118" s="74" t="s">
        <v>319</v>
      </c>
      <c r="R118" s="231">
        <v>756</v>
      </c>
      <c r="S118" s="74" t="s">
        <v>320</v>
      </c>
      <c r="T118" s="231">
        <v>756</v>
      </c>
      <c r="U118" s="74" t="s">
        <v>320</v>
      </c>
      <c r="V118" s="236">
        <v>0</v>
      </c>
      <c r="W118" s="74" t="s">
        <v>320</v>
      </c>
      <c r="X118" s="236">
        <v>0</v>
      </c>
      <c r="Y118" s="74" t="s">
        <v>320</v>
      </c>
      <c r="Z118" s="236">
        <f>naturalGasPrice</f>
        <v>30</v>
      </c>
      <c r="AA118" s="85" t="s">
        <v>278</v>
      </c>
      <c r="AB118" s="236">
        <f>naturalGasPrice</f>
        <v>30</v>
      </c>
      <c r="AC118" s="85" t="s">
        <v>278</v>
      </c>
      <c r="AD118" s="133">
        <f>CO2emissionNG</f>
        <v>5.6099999999999997E-2</v>
      </c>
      <c r="AE118" s="443" t="s">
        <v>269</v>
      </c>
      <c r="AF118" s="133">
        <f>CO2emissionNG</f>
        <v>5.6099999999999997E-2</v>
      </c>
      <c r="AG118" s="443" t="s">
        <v>269</v>
      </c>
      <c r="AH118" s="115">
        <v>9</v>
      </c>
      <c r="AI118" s="85" t="s">
        <v>44</v>
      </c>
      <c r="AJ118" s="115">
        <v>9</v>
      </c>
      <c r="AK118" s="85" t="s">
        <v>44</v>
      </c>
      <c r="AL118" s="126" t="s">
        <v>266</v>
      </c>
      <c r="AM118" s="127" t="s">
        <v>99</v>
      </c>
      <c r="AN118" s="126" t="s">
        <v>266</v>
      </c>
      <c r="AO118" s="127" t="s">
        <v>99</v>
      </c>
      <c r="AP118" s="115">
        <v>100</v>
      </c>
      <c r="AQ118" s="85" t="s">
        <v>262</v>
      </c>
      <c r="AR118" s="115">
        <v>100</v>
      </c>
      <c r="AS118" s="85" t="s">
        <v>262</v>
      </c>
      <c r="AT118" s="121">
        <v>1</v>
      </c>
      <c r="AU118" s="85" t="s">
        <v>263</v>
      </c>
      <c r="AV118" s="121">
        <v>1</v>
      </c>
      <c r="AW118" s="85" t="s">
        <v>263</v>
      </c>
      <c r="AX118" s="122">
        <f>R118*CHFInEuro2010/euroDeflator2010</f>
        <v>556.32613480522491</v>
      </c>
      <c r="AY118" s="85" t="s">
        <v>264</v>
      </c>
      <c r="AZ118" s="233">
        <f>T118*CHFInEuro2010/euroDeflator2010</f>
        <v>556.32613480522491</v>
      </c>
      <c r="BA118" s="85" t="s">
        <v>264</v>
      </c>
      <c r="BB118" s="125">
        <f>V118*CHFInEuro2010/euroDeflator2010</f>
        <v>0</v>
      </c>
      <c r="BC118" s="443" t="s">
        <v>264</v>
      </c>
      <c r="BD118" s="125">
        <f>X118*CHFInEuro2010/euroDeflator2010</f>
        <v>0</v>
      </c>
      <c r="BE118" s="443" t="s">
        <v>264</v>
      </c>
      <c r="BF118" s="120">
        <f>(Z118+AD118*CO2price)/F118/1000</f>
        <v>3.8051785714285712E-2</v>
      </c>
      <c r="BG118" s="85" t="s">
        <v>308</v>
      </c>
      <c r="BH118" s="120">
        <f>(AB118+AF118*CO2price)/H118/1000</f>
        <v>3.7604117647058823E-2</v>
      </c>
      <c r="BI118" s="85" t="s">
        <v>308</v>
      </c>
      <c r="BJ118" s="124">
        <f>(AX118+BB118)*interestRate*(1+interestRate)^N118/((1+interestRate)^N118-1)/31.54/J118/1000</f>
        <v>1.2814358949608383E-3</v>
      </c>
      <c r="BK118" s="85" t="s">
        <v>308</v>
      </c>
      <c r="BL118" s="125">
        <f>(AZ118+BD118)*interestRate*(1+interestRate)^P118/((1+interestRate)^P118-1)/31.54/L118/1000+BH118</f>
        <v>3.8885553542019662E-2</v>
      </c>
      <c r="BM118" s="85" t="s">
        <v>308</v>
      </c>
      <c r="BN118" s="126" t="s">
        <v>266</v>
      </c>
      <c r="BO118" s="127" t="s">
        <v>99</v>
      </c>
      <c r="BP118" s="126" t="s">
        <v>266</v>
      </c>
      <c r="BQ118" s="127" t="s">
        <v>99</v>
      </c>
      <c r="BR118" s="93">
        <f>AD118/F118</f>
        <v>6.6785714285714282E-2</v>
      </c>
      <c r="BS118" s="85" t="s">
        <v>307</v>
      </c>
      <c r="BT118" s="93">
        <f>AF118/H118</f>
        <v>6.6000000000000003E-2</v>
      </c>
      <c r="BU118" s="85" t="s">
        <v>307</v>
      </c>
      <c r="BV118" s="85">
        <f t="shared" si="43"/>
        <v>9</v>
      </c>
      <c r="BW118" s="85" t="str">
        <f t="shared" si="43"/>
        <v>TRL</v>
      </c>
      <c r="BX118" s="85">
        <f t="shared" si="43"/>
        <v>9</v>
      </c>
      <c r="BY118" s="85" t="str">
        <f t="shared" si="43"/>
        <v>TRL</v>
      </c>
      <c r="BZ118" s="126" t="s">
        <v>266</v>
      </c>
      <c r="CA118" s="127" t="s">
        <v>99</v>
      </c>
      <c r="CB118" s="126" t="s">
        <v>266</v>
      </c>
      <c r="CC118" s="127" t="s">
        <v>99</v>
      </c>
      <c r="CD118" s="85">
        <f>AP118</f>
        <v>100</v>
      </c>
      <c r="CE118" s="85" t="s">
        <v>262</v>
      </c>
      <c r="CF118" s="85">
        <f>AR118</f>
        <v>100</v>
      </c>
      <c r="CG118" s="85" t="s">
        <v>262</v>
      </c>
      <c r="CH118" s="131">
        <f>IF(PAmedium="Default",(6-AT118)/5*100,IF(PAmedium="High",(6-(AT118-1))/5*100,(6-(AT118+1))/5*100))</f>
        <v>100</v>
      </c>
      <c r="CI118" s="443" t="s">
        <v>516</v>
      </c>
      <c r="CJ118" s="131">
        <f>IF(PAmedium="Default",(6-AV118)/5*100,IF(PAmedium="High",(6-(AV118-1))/5*100,(6-(AV118+1))/5*100))</f>
        <v>100</v>
      </c>
      <c r="CK118" s="443" t="s">
        <v>516</v>
      </c>
    </row>
    <row r="119" spans="2:89" s="74" customFormat="1" x14ac:dyDescent="0.25">
      <c r="B119" t="s">
        <v>446</v>
      </c>
      <c r="C119" s="83" t="s">
        <v>322</v>
      </c>
      <c r="D119" s="115"/>
      <c r="E119" s="237" t="s">
        <v>256</v>
      </c>
      <c r="F119" s="135">
        <v>0.9</v>
      </c>
      <c r="G119" s="135" t="s">
        <v>99</v>
      </c>
      <c r="H119" s="135">
        <v>0.9</v>
      </c>
      <c r="I119" s="135" t="s">
        <v>99</v>
      </c>
      <c r="J119" s="239">
        <v>1</v>
      </c>
      <c r="K119" s="74" t="s">
        <v>99</v>
      </c>
      <c r="L119" s="239">
        <v>1</v>
      </c>
      <c r="M119" s="74" t="s">
        <v>99</v>
      </c>
      <c r="N119" s="74">
        <v>25</v>
      </c>
      <c r="O119" s="85" t="s">
        <v>319</v>
      </c>
      <c r="P119" s="74">
        <v>25</v>
      </c>
      <c r="Q119" s="85" t="s">
        <v>319</v>
      </c>
      <c r="R119" s="231">
        <v>140</v>
      </c>
      <c r="S119" s="74" t="s">
        <v>258</v>
      </c>
      <c r="T119" s="231">
        <v>140</v>
      </c>
      <c r="U119" s="74" t="s">
        <v>258</v>
      </c>
      <c r="V119" s="232">
        <v>0.10568590150073981</v>
      </c>
      <c r="W119" s="74" t="s">
        <v>258</v>
      </c>
      <c r="X119" s="232">
        <v>0.10568590150073981</v>
      </c>
      <c r="Y119" s="74" t="s">
        <v>258</v>
      </c>
      <c r="Z119" s="236">
        <f>naturalGasPrice</f>
        <v>30</v>
      </c>
      <c r="AA119" s="85" t="s">
        <v>278</v>
      </c>
      <c r="AB119" s="236">
        <f>naturalGasPrice</f>
        <v>30</v>
      </c>
      <c r="AC119" s="85" t="s">
        <v>278</v>
      </c>
      <c r="AD119" s="133">
        <f>CO2emissionNG</f>
        <v>5.6099999999999997E-2</v>
      </c>
      <c r="AE119" s="443" t="s">
        <v>269</v>
      </c>
      <c r="AF119" s="133">
        <f>CO2emissionNG</f>
        <v>5.6099999999999997E-2</v>
      </c>
      <c r="AG119" s="443" t="s">
        <v>269</v>
      </c>
      <c r="AH119" s="115">
        <v>9</v>
      </c>
      <c r="AI119" s="85" t="s">
        <v>44</v>
      </c>
      <c r="AJ119" s="115">
        <v>9</v>
      </c>
      <c r="AK119" s="85" t="s">
        <v>44</v>
      </c>
      <c r="AL119" s="126" t="s">
        <v>266</v>
      </c>
      <c r="AM119" s="127" t="s">
        <v>99</v>
      </c>
      <c r="AN119" s="126" t="s">
        <v>266</v>
      </c>
      <c r="AO119" s="127" t="s">
        <v>99</v>
      </c>
      <c r="AP119" s="115">
        <v>100</v>
      </c>
      <c r="AQ119" s="85" t="s">
        <v>262</v>
      </c>
      <c r="AR119" s="115">
        <v>100</v>
      </c>
      <c r="AS119" s="85" t="s">
        <v>262</v>
      </c>
      <c r="AT119" s="121">
        <v>1</v>
      </c>
      <c r="AU119" s="85" t="s">
        <v>263</v>
      </c>
      <c r="AV119" s="121">
        <v>1</v>
      </c>
      <c r="AW119" s="85" t="s">
        <v>263</v>
      </c>
      <c r="AX119" s="122">
        <f>R119/euroDeflator2010</f>
        <v>141.90467035617417</v>
      </c>
      <c r="AY119" s="85" t="s">
        <v>264</v>
      </c>
      <c r="AZ119" s="233">
        <f>T119/euroDeflator2010</f>
        <v>141.90467035617417</v>
      </c>
      <c r="BA119" s="85" t="s">
        <v>264</v>
      </c>
      <c r="BB119" s="125">
        <f>V119*euroDeflator2010</f>
        <v>0.10426736606319038</v>
      </c>
      <c r="BC119" s="443" t="s">
        <v>264</v>
      </c>
      <c r="BD119" s="125">
        <f>X119*euroDeflator2010</f>
        <v>0.10426736606319038</v>
      </c>
      <c r="BE119" s="443" t="s">
        <v>264</v>
      </c>
      <c r="BF119" s="120">
        <f>(Z119+AD119*CO2price)/F119/1000</f>
        <v>3.5514999999999998E-2</v>
      </c>
      <c r="BG119" s="85" t="s">
        <v>308</v>
      </c>
      <c r="BH119" s="120">
        <f>(AB119+AF119*CO2price)/H119/1000</f>
        <v>3.5514999999999998E-2</v>
      </c>
      <c r="BI119" s="85" t="s">
        <v>308</v>
      </c>
      <c r="BJ119" s="124">
        <f>(AX119+BB119)*interestRate*(1+interestRate)^N119/((1+interestRate)^N119-1)/31.54/J119/1000</f>
        <v>3.5221601632282252E-4</v>
      </c>
      <c r="BK119" s="85" t="s">
        <v>308</v>
      </c>
      <c r="BL119" s="125">
        <f>(AZ119+BD119)*interestRate*(1+interestRate)^P119/((1+interestRate)^P119-1)/31.54/L119/1000+BH119</f>
        <v>3.5867216016322818E-2</v>
      </c>
      <c r="BM119" s="85" t="s">
        <v>308</v>
      </c>
      <c r="BN119" s="126" t="s">
        <v>266</v>
      </c>
      <c r="BO119" s="127" t="s">
        <v>99</v>
      </c>
      <c r="BP119" s="126" t="s">
        <v>266</v>
      </c>
      <c r="BQ119" s="127" t="s">
        <v>99</v>
      </c>
      <c r="BR119" s="93">
        <f>AD119/F119</f>
        <v>6.2333333333333331E-2</v>
      </c>
      <c r="BS119" s="85" t="s">
        <v>307</v>
      </c>
      <c r="BT119" s="93">
        <f>AF119/H119</f>
        <v>6.2333333333333331E-2</v>
      </c>
      <c r="BU119" s="85" t="s">
        <v>307</v>
      </c>
      <c r="BV119" s="85">
        <f t="shared" si="43"/>
        <v>9</v>
      </c>
      <c r="BW119" s="85" t="str">
        <f t="shared" si="43"/>
        <v>TRL</v>
      </c>
      <c r="BX119" s="85">
        <f t="shared" si="43"/>
        <v>9</v>
      </c>
      <c r="BY119" s="85" t="str">
        <f t="shared" si="43"/>
        <v>TRL</v>
      </c>
      <c r="BZ119" s="126" t="s">
        <v>266</v>
      </c>
      <c r="CA119" s="127" t="s">
        <v>99</v>
      </c>
      <c r="CB119" s="126" t="s">
        <v>266</v>
      </c>
      <c r="CC119" s="127" t="s">
        <v>99</v>
      </c>
      <c r="CD119" s="85">
        <f>AP119</f>
        <v>100</v>
      </c>
      <c r="CE119" s="85" t="s">
        <v>262</v>
      </c>
      <c r="CF119" s="85">
        <f>AR119</f>
        <v>100</v>
      </c>
      <c r="CG119" s="85" t="s">
        <v>262</v>
      </c>
      <c r="CH119" s="131">
        <f>IF(PAmedium="Default",(6-AT119)/5*100,IF(PAmedium="High",(6-(AT119-1))/5*100,(6-(AT119+1))/5*100))</f>
        <v>100</v>
      </c>
      <c r="CI119" s="443" t="s">
        <v>516</v>
      </c>
      <c r="CJ119" s="131">
        <f>IF(PAmedium="Default",(6-AV119)/5*100,IF(PAmedium="High",(6-(AV119-1))/5*100,(6-(AV119+1))/5*100))</f>
        <v>100</v>
      </c>
      <c r="CK119" s="443" t="s">
        <v>516</v>
      </c>
    </row>
    <row r="120" spans="2:89" s="74" customFormat="1" x14ac:dyDescent="0.25">
      <c r="C120" s="83"/>
      <c r="D120" s="115"/>
      <c r="E120" s="237"/>
      <c r="F120" s="135"/>
      <c r="G120" s="135"/>
      <c r="H120" s="135"/>
      <c r="I120" s="135"/>
      <c r="J120" s="135"/>
      <c r="L120" s="135"/>
      <c r="O120" s="85"/>
      <c r="Q120" s="85"/>
      <c r="R120" s="231"/>
      <c r="T120" s="231"/>
      <c r="V120" s="232"/>
      <c r="X120" s="232"/>
      <c r="Z120" s="236"/>
      <c r="AA120" s="85"/>
      <c r="AB120" s="236"/>
      <c r="AC120" s="85"/>
      <c r="AD120" s="133"/>
      <c r="AE120" s="85"/>
      <c r="AF120" s="133"/>
      <c r="AG120" s="85"/>
      <c r="AH120" s="115"/>
      <c r="AI120" s="85"/>
      <c r="AJ120" s="115"/>
      <c r="AK120" s="85"/>
      <c r="AL120" s="115"/>
      <c r="AM120" s="85"/>
      <c r="AN120" s="115"/>
      <c r="AO120" s="85"/>
      <c r="AP120" s="115"/>
      <c r="AQ120" s="85"/>
      <c r="AR120" s="115"/>
      <c r="AS120" s="85"/>
      <c r="AT120" s="115"/>
      <c r="AU120" s="85"/>
      <c r="AV120" s="115"/>
      <c r="AW120" s="85"/>
      <c r="AX120" s="122"/>
      <c r="AY120" s="85"/>
      <c r="AZ120" s="233"/>
      <c r="BA120" s="85"/>
      <c r="BB120" s="125"/>
      <c r="BC120" s="85"/>
      <c r="BD120" s="125"/>
      <c r="BE120" s="85"/>
      <c r="BF120" s="125"/>
      <c r="BG120" s="85"/>
      <c r="BH120" s="125"/>
      <c r="BI120" s="85"/>
      <c r="BJ120" s="124"/>
      <c r="BK120" s="85"/>
      <c r="BL120" s="125"/>
      <c r="BM120" s="85"/>
      <c r="BR120" s="93"/>
      <c r="BS120" s="85"/>
      <c r="BT120" s="93"/>
      <c r="BU120" s="85"/>
      <c r="CI120" s="85"/>
      <c r="CK120" s="85"/>
    </row>
    <row r="121" spans="2:89" s="74" customFormat="1" x14ac:dyDescent="0.25">
      <c r="B121" s="54" t="s">
        <v>442</v>
      </c>
      <c r="C121" s="83" t="s">
        <v>322</v>
      </c>
      <c r="D121" s="115">
        <v>550</v>
      </c>
      <c r="E121" s="237" t="s">
        <v>256</v>
      </c>
      <c r="F121" s="135">
        <v>0.45</v>
      </c>
      <c r="G121" s="135" t="s">
        <v>99</v>
      </c>
      <c r="H121" s="135">
        <v>0.45</v>
      </c>
      <c r="I121" s="135" t="s">
        <v>99</v>
      </c>
      <c r="J121" s="239">
        <v>0.8</v>
      </c>
      <c r="K121" s="74" t="s">
        <v>99</v>
      </c>
      <c r="L121" s="239">
        <v>0.8</v>
      </c>
      <c r="M121" s="74" t="s">
        <v>99</v>
      </c>
      <c r="N121" s="74">
        <v>15</v>
      </c>
      <c r="O121" s="85" t="s">
        <v>319</v>
      </c>
      <c r="P121" s="74">
        <v>15</v>
      </c>
      <c r="Q121" s="85" t="s">
        <v>319</v>
      </c>
      <c r="R121" s="231">
        <v>568</v>
      </c>
      <c r="S121" s="74" t="s">
        <v>258</v>
      </c>
      <c r="T121" s="231">
        <v>568</v>
      </c>
      <c r="U121" s="74" t="s">
        <v>258</v>
      </c>
      <c r="V121" s="232">
        <v>1.197773550341718</v>
      </c>
      <c r="W121" s="74" t="s">
        <v>258</v>
      </c>
      <c r="X121" s="232">
        <v>1.197773550341718</v>
      </c>
      <c r="Y121" s="74" t="s">
        <v>258</v>
      </c>
      <c r="Z121" s="236">
        <f>naturalGasPrice</f>
        <v>30</v>
      </c>
      <c r="AA121" s="85" t="s">
        <v>278</v>
      </c>
      <c r="AB121" s="236">
        <f>naturalGasPrice</f>
        <v>30</v>
      </c>
      <c r="AC121" s="85" t="s">
        <v>278</v>
      </c>
      <c r="AD121" s="133">
        <f>CO2emissionNG</f>
        <v>5.6099999999999997E-2</v>
      </c>
      <c r="AE121" s="443" t="s">
        <v>269</v>
      </c>
      <c r="AF121" s="133">
        <f>CO2emissionNG</f>
        <v>5.6099999999999997E-2</v>
      </c>
      <c r="AG121" s="443" t="s">
        <v>269</v>
      </c>
      <c r="AH121" s="115">
        <v>9</v>
      </c>
      <c r="AI121" s="85" t="s">
        <v>44</v>
      </c>
      <c r="AJ121" s="115">
        <v>9</v>
      </c>
      <c r="AK121" s="85" t="s">
        <v>44</v>
      </c>
      <c r="AL121" s="126" t="s">
        <v>266</v>
      </c>
      <c r="AM121" s="127" t="s">
        <v>99</v>
      </c>
      <c r="AN121" s="126" t="s">
        <v>266</v>
      </c>
      <c r="AO121" s="127" t="s">
        <v>99</v>
      </c>
      <c r="AP121" s="115">
        <v>100</v>
      </c>
      <c r="AQ121" s="85" t="s">
        <v>262</v>
      </c>
      <c r="AR121" s="115">
        <v>100</v>
      </c>
      <c r="AS121" s="85" t="s">
        <v>262</v>
      </c>
      <c r="AT121" s="121">
        <v>1</v>
      </c>
      <c r="AU121" s="85" t="s">
        <v>263</v>
      </c>
      <c r="AV121" s="121">
        <v>1</v>
      </c>
      <c r="AW121" s="85" t="s">
        <v>263</v>
      </c>
      <c r="AX121" s="122">
        <f>R121/euroDeflator2010</f>
        <v>575.72751973076379</v>
      </c>
      <c r="AY121" s="85" t="s">
        <v>264</v>
      </c>
      <c r="AZ121" s="233">
        <f>T121/euroDeflator2010</f>
        <v>575.72751973076379</v>
      </c>
      <c r="BA121" s="85" t="s">
        <v>264</v>
      </c>
      <c r="BB121" s="125">
        <f>V121/euroDeflator2010</f>
        <v>1.2140690058756134</v>
      </c>
      <c r="BC121" s="443" t="s">
        <v>264</v>
      </c>
      <c r="BD121" s="125">
        <f>X121/euroDeflator2010</f>
        <v>1.2140690058756134</v>
      </c>
      <c r="BE121" s="443" t="s">
        <v>264</v>
      </c>
      <c r="BF121" s="120">
        <f>(Z121+AD121*CO2price)/F121/1000*3.6</f>
        <v>0.25570799999999999</v>
      </c>
      <c r="BG121" s="85" t="s">
        <v>311</v>
      </c>
      <c r="BH121" s="120">
        <f>(AB121+AF121*CO2price)/H121/1000*3.6</f>
        <v>0.25570799999999999</v>
      </c>
      <c r="BI121" s="85" t="s">
        <v>311</v>
      </c>
      <c r="BJ121" s="124">
        <f>(AX121+BB121)*interestRate*(1+interestRate)^N121/((1+interestRate)^N121-1)/31.54/J121/1000*3.6</f>
        <v>8.4754518952733504E-3</v>
      </c>
      <c r="BK121" s="85" t="s">
        <v>311</v>
      </c>
      <c r="BL121" s="125">
        <f>(AZ121+BD121)*interestRate*(1+interestRate)^P121/((1+interestRate)^P121-1)/31.54/L121/1000*3.6+BH121</f>
        <v>0.26418345189527337</v>
      </c>
      <c r="BM121" s="85" t="s">
        <v>311</v>
      </c>
      <c r="BN121" s="126" t="s">
        <v>266</v>
      </c>
      <c r="BO121" s="127" t="s">
        <v>99</v>
      </c>
      <c r="BP121" s="126" t="s">
        <v>266</v>
      </c>
      <c r="BQ121" s="127" t="s">
        <v>99</v>
      </c>
      <c r="BR121" s="93">
        <f>AD121/F121*3.6</f>
        <v>0.44879999999999998</v>
      </c>
      <c r="BS121" s="85" t="s">
        <v>312</v>
      </c>
      <c r="BT121" s="93">
        <f>AF121/H121*3.6</f>
        <v>0.44879999999999998</v>
      </c>
      <c r="BU121" s="85" t="s">
        <v>312</v>
      </c>
      <c r="BV121" s="85">
        <f t="shared" ref="BV121:BY124" si="44">AH121</f>
        <v>9</v>
      </c>
      <c r="BW121" s="85" t="str">
        <f t="shared" si="44"/>
        <v>TRL</v>
      </c>
      <c r="BX121" s="85">
        <f t="shared" si="44"/>
        <v>9</v>
      </c>
      <c r="BY121" s="85" t="str">
        <f t="shared" si="44"/>
        <v>TRL</v>
      </c>
      <c r="BZ121" s="126" t="s">
        <v>266</v>
      </c>
      <c r="CA121" s="127" t="s">
        <v>99</v>
      </c>
      <c r="CB121" s="126" t="s">
        <v>266</v>
      </c>
      <c r="CC121" s="127" t="s">
        <v>99</v>
      </c>
      <c r="CD121" s="85">
        <f>AP121</f>
        <v>100</v>
      </c>
      <c r="CE121" s="85" t="s">
        <v>262</v>
      </c>
      <c r="CF121" s="85">
        <f>AR121</f>
        <v>100</v>
      </c>
      <c r="CG121" s="85" t="s">
        <v>262</v>
      </c>
      <c r="CH121" s="131">
        <f>IF(PAmedium="Default",(6-AT121)/5*100,IF(PAmedium="High",(6-(AT121-1))/5*100,(6-(AT121+1))/5*100))</f>
        <v>100</v>
      </c>
      <c r="CI121" s="443" t="s">
        <v>516</v>
      </c>
      <c r="CJ121" s="131">
        <f>IF(PAmedium="Default",(6-AV121)/5*100,IF(PAmedium="High",(6-(AV121-1))/5*100,(6-(AV121+1))/5*100))</f>
        <v>100</v>
      </c>
      <c r="CK121" s="443" t="s">
        <v>516</v>
      </c>
    </row>
    <row r="122" spans="2:89" s="74" customFormat="1" x14ac:dyDescent="0.25">
      <c r="B122" s="54" t="s">
        <v>440</v>
      </c>
      <c r="C122" s="83" t="s">
        <v>322</v>
      </c>
      <c r="D122" s="115">
        <v>550</v>
      </c>
      <c r="E122" s="116" t="s">
        <v>256</v>
      </c>
      <c r="F122" s="135">
        <v>0.61</v>
      </c>
      <c r="G122" s="135" t="s">
        <v>99</v>
      </c>
      <c r="H122" s="135">
        <v>0.64</v>
      </c>
      <c r="I122" s="135" t="s">
        <v>99</v>
      </c>
      <c r="J122" s="239">
        <v>0.8</v>
      </c>
      <c r="K122" s="74" t="s">
        <v>99</v>
      </c>
      <c r="L122" s="239">
        <v>0.8</v>
      </c>
      <c r="M122" s="74" t="s">
        <v>99</v>
      </c>
      <c r="N122" s="74">
        <v>25</v>
      </c>
      <c r="O122" s="85" t="s">
        <v>319</v>
      </c>
      <c r="P122" s="74">
        <v>25</v>
      </c>
      <c r="Q122" s="85" t="s">
        <v>319</v>
      </c>
      <c r="R122" s="231">
        <v>855</v>
      </c>
      <c r="S122" s="74" t="s">
        <v>258</v>
      </c>
      <c r="T122" s="231">
        <v>855</v>
      </c>
      <c r="U122" s="74" t="s">
        <v>258</v>
      </c>
      <c r="V122" s="232">
        <v>1.0655217938189341</v>
      </c>
      <c r="W122" s="74" t="s">
        <v>258</v>
      </c>
      <c r="X122" s="232">
        <v>0.99080532656943565</v>
      </c>
      <c r="Y122" s="74" t="s">
        <v>258</v>
      </c>
      <c r="Z122" s="236">
        <f>naturalGasPrice</f>
        <v>30</v>
      </c>
      <c r="AA122" s="85" t="s">
        <v>278</v>
      </c>
      <c r="AB122" s="236">
        <f>naturalGasPrice</f>
        <v>30</v>
      </c>
      <c r="AC122" s="85" t="s">
        <v>278</v>
      </c>
      <c r="AD122" s="133">
        <f>CO2emissionNG</f>
        <v>5.6099999999999997E-2</v>
      </c>
      <c r="AE122" s="443" t="s">
        <v>269</v>
      </c>
      <c r="AF122" s="133">
        <f>CO2emissionNG</f>
        <v>5.6099999999999997E-2</v>
      </c>
      <c r="AG122" s="443" t="s">
        <v>269</v>
      </c>
      <c r="AH122" s="115">
        <v>9</v>
      </c>
      <c r="AI122" s="85" t="s">
        <v>44</v>
      </c>
      <c r="AJ122" s="115">
        <v>9</v>
      </c>
      <c r="AK122" s="85" t="s">
        <v>44</v>
      </c>
      <c r="AL122" s="126" t="s">
        <v>266</v>
      </c>
      <c r="AM122" s="127" t="s">
        <v>99</v>
      </c>
      <c r="AN122" s="126" t="s">
        <v>266</v>
      </c>
      <c r="AO122" s="127" t="s">
        <v>99</v>
      </c>
      <c r="AP122" s="115">
        <v>100</v>
      </c>
      <c r="AQ122" s="85" t="s">
        <v>262</v>
      </c>
      <c r="AR122" s="115">
        <v>100</v>
      </c>
      <c r="AS122" s="85" t="s">
        <v>262</v>
      </c>
      <c r="AT122" s="121">
        <v>1</v>
      </c>
      <c r="AU122" s="85" t="s">
        <v>263</v>
      </c>
      <c r="AV122" s="121">
        <v>1</v>
      </c>
      <c r="AW122" s="85" t="s">
        <v>263</v>
      </c>
      <c r="AX122" s="122">
        <f>R122/euroDeflator2010</f>
        <v>866.63209396092077</v>
      </c>
      <c r="AY122" s="85" t="s">
        <v>264</v>
      </c>
      <c r="AZ122" s="233">
        <f>T122/euroDeflator2010</f>
        <v>866.63209396092077</v>
      </c>
      <c r="BA122" s="85" t="s">
        <v>264</v>
      </c>
      <c r="BB122" s="125">
        <f>V122/euroDeflator2010</f>
        <v>1.0800179922085373</v>
      </c>
      <c r="BC122" s="443" t="s">
        <v>264</v>
      </c>
      <c r="BD122" s="125">
        <f>X122/euroDeflator2010</f>
        <v>1.0042850232426948</v>
      </c>
      <c r="BE122" s="443" t="s">
        <v>264</v>
      </c>
      <c r="BF122" s="120">
        <f>(Z122+AD122*CO2price)/F122/1000*3.6</f>
        <v>0.18863704918032786</v>
      </c>
      <c r="BG122" s="85" t="s">
        <v>311</v>
      </c>
      <c r="BH122" s="120">
        <f>(AB122+AF122*CO2price)/H122/1000*3.6</f>
        <v>0.17979468749999999</v>
      </c>
      <c r="BI122" s="85" t="s">
        <v>311</v>
      </c>
      <c r="BJ122" s="124">
        <f>(AX122+BB122)*interestRate*(1+interestRate)^N122/((1+interestRate)^N122-1)/31.54/J122/1000*3.6</f>
        <v>9.684597936591802E-3</v>
      </c>
      <c r="BK122" s="85" t="s">
        <v>311</v>
      </c>
      <c r="BL122" s="125">
        <f>(AZ122+BD122)*interestRate*(1+interestRate)^P122/((1+interestRate)^P122-1)/31.54/L122/1000*3.6+BH122</f>
        <v>0.18947844017542179</v>
      </c>
      <c r="BM122" s="85" t="s">
        <v>311</v>
      </c>
      <c r="BN122" s="126" t="s">
        <v>266</v>
      </c>
      <c r="BO122" s="127" t="s">
        <v>99</v>
      </c>
      <c r="BP122" s="126" t="s">
        <v>266</v>
      </c>
      <c r="BQ122" s="127" t="s">
        <v>99</v>
      </c>
      <c r="BR122" s="93">
        <f>AD122/F122*3.6</f>
        <v>0.33108196721311478</v>
      </c>
      <c r="BS122" s="85" t="s">
        <v>312</v>
      </c>
      <c r="BT122" s="93">
        <f>AF122/H122*3.6</f>
        <v>0.31556249999999997</v>
      </c>
      <c r="BU122" s="85" t="s">
        <v>312</v>
      </c>
      <c r="BV122" s="85">
        <f t="shared" si="44"/>
        <v>9</v>
      </c>
      <c r="BW122" s="85" t="str">
        <f t="shared" si="44"/>
        <v>TRL</v>
      </c>
      <c r="BX122" s="85">
        <f t="shared" si="44"/>
        <v>9</v>
      </c>
      <c r="BY122" s="85" t="str">
        <f t="shared" si="44"/>
        <v>TRL</v>
      </c>
      <c r="BZ122" s="126" t="s">
        <v>266</v>
      </c>
      <c r="CA122" s="127" t="s">
        <v>99</v>
      </c>
      <c r="CB122" s="126" t="s">
        <v>266</v>
      </c>
      <c r="CC122" s="127" t="s">
        <v>99</v>
      </c>
      <c r="CD122" s="85">
        <f>AP122</f>
        <v>100</v>
      </c>
      <c r="CE122" s="85" t="s">
        <v>262</v>
      </c>
      <c r="CF122" s="85">
        <f>AR122</f>
        <v>100</v>
      </c>
      <c r="CG122" s="85" t="s">
        <v>262</v>
      </c>
      <c r="CH122" s="131">
        <f>IF(PAmedium="Default",(6-AT122)/5*100,IF(PAmedium="High",(6-(AT122-1))/5*100,(6-(AT122+1))/5*100))</f>
        <v>100</v>
      </c>
      <c r="CI122" s="443" t="s">
        <v>516</v>
      </c>
      <c r="CJ122" s="131">
        <f>IF(PAmedium="Default",(6-AV122)/5*100,IF(PAmedium="High",(6-(AV122-1))/5*100,(6-(AV122+1))/5*100))</f>
        <v>100</v>
      </c>
      <c r="CK122" s="443" t="s">
        <v>516</v>
      </c>
    </row>
    <row r="123" spans="2:89" s="74" customFormat="1" x14ac:dyDescent="0.25">
      <c r="B123" s="54" t="s">
        <v>441</v>
      </c>
      <c r="C123" s="83" t="s">
        <v>322</v>
      </c>
      <c r="D123" s="115">
        <v>2.68</v>
      </c>
      <c r="E123" s="237" t="s">
        <v>256</v>
      </c>
      <c r="F123" s="135">
        <v>0.39500000000000002</v>
      </c>
      <c r="G123" s="135" t="s">
        <v>99</v>
      </c>
      <c r="H123" s="135">
        <v>0.4</v>
      </c>
      <c r="I123" s="135" t="s">
        <v>99</v>
      </c>
      <c r="J123" s="135">
        <v>0.9</v>
      </c>
      <c r="K123" s="74" t="s">
        <v>99</v>
      </c>
      <c r="L123" s="135">
        <v>0.9</v>
      </c>
      <c r="M123" s="74" t="s">
        <v>99</v>
      </c>
      <c r="N123" s="74">
        <v>25</v>
      </c>
      <c r="O123" s="85" t="s">
        <v>319</v>
      </c>
      <c r="P123" s="74">
        <v>25</v>
      </c>
      <c r="Q123" s="85" t="s">
        <v>319</v>
      </c>
      <c r="R123" s="231">
        <v>598.5</v>
      </c>
      <c r="S123" s="74" t="s">
        <v>258</v>
      </c>
      <c r="T123" s="231">
        <v>593</v>
      </c>
      <c r="U123" s="74" t="s">
        <v>258</v>
      </c>
      <c r="V123" s="232">
        <v>1.4448199192506201</v>
      </c>
      <c r="W123" s="74" t="s">
        <v>258</v>
      </c>
      <c r="X123" s="232">
        <v>1.4267596702599874</v>
      </c>
      <c r="Y123" s="74" t="s">
        <v>258</v>
      </c>
      <c r="Z123" s="236">
        <f>naturalGasPrice</f>
        <v>30</v>
      </c>
      <c r="AA123" s="85" t="s">
        <v>278</v>
      </c>
      <c r="AB123" s="236">
        <f>naturalGasPrice</f>
        <v>30</v>
      </c>
      <c r="AC123" s="85" t="s">
        <v>278</v>
      </c>
      <c r="AD123" s="133">
        <f>CO2emissionNG</f>
        <v>5.6099999999999997E-2</v>
      </c>
      <c r="AE123" s="443" t="s">
        <v>269</v>
      </c>
      <c r="AF123" s="133">
        <f>CO2emissionNG</f>
        <v>5.6099999999999997E-2</v>
      </c>
      <c r="AG123" s="443" t="s">
        <v>269</v>
      </c>
      <c r="AH123" s="115">
        <v>9</v>
      </c>
      <c r="AI123" s="85" t="s">
        <v>44</v>
      </c>
      <c r="AJ123" s="115">
        <v>9</v>
      </c>
      <c r="AK123" s="85" t="s">
        <v>44</v>
      </c>
      <c r="AL123" s="126" t="s">
        <v>266</v>
      </c>
      <c r="AM123" s="127" t="s">
        <v>99</v>
      </c>
      <c r="AN123" s="126" t="s">
        <v>266</v>
      </c>
      <c r="AO123" s="127" t="s">
        <v>99</v>
      </c>
      <c r="AP123" s="115">
        <v>100</v>
      </c>
      <c r="AQ123" s="85" t="s">
        <v>262</v>
      </c>
      <c r="AR123" s="115">
        <v>100</v>
      </c>
      <c r="AS123" s="85" t="s">
        <v>262</v>
      </c>
      <c r="AT123" s="121">
        <v>1</v>
      </c>
      <c r="AU123" s="85" t="s">
        <v>263</v>
      </c>
      <c r="AV123" s="121">
        <v>1</v>
      </c>
      <c r="AW123" s="85" t="s">
        <v>263</v>
      </c>
      <c r="AX123" s="122">
        <f>R123/euroDeflator2010</f>
        <v>606.64246577264453</v>
      </c>
      <c r="AY123" s="85" t="s">
        <v>264</v>
      </c>
      <c r="AZ123" s="233">
        <f>T123/euroDeflator2010</f>
        <v>601.06763943722342</v>
      </c>
      <c r="BA123" s="85" t="s">
        <v>264</v>
      </c>
      <c r="BB123" s="125">
        <f>V123/euroDeflator2010</f>
        <v>1.4644763883235246</v>
      </c>
      <c r="BC123" s="443" t="s">
        <v>264</v>
      </c>
      <c r="BD123" s="125">
        <f>X123/euroDeflator2010</f>
        <v>1.4461704334694805</v>
      </c>
      <c r="BE123" s="443" t="s">
        <v>264</v>
      </c>
      <c r="BF123" s="120">
        <f>(Z123+AD123*CO2price)/F123/1000*3.6</f>
        <v>0.29131291139240501</v>
      </c>
      <c r="BG123" s="85" t="s">
        <v>311</v>
      </c>
      <c r="BH123" s="120">
        <f>(AB123+AF123*CO2price)/H123/1000*3.6</f>
        <v>0.28767150000000002</v>
      </c>
      <c r="BI123" s="85" t="s">
        <v>311</v>
      </c>
      <c r="BJ123" s="124">
        <f>(AX123+BB123)*interestRate*(1+interestRate)^N123/((1+interestRate)^N123-1)/31.54/J123/1000*3.6</f>
        <v>6.0330006857772503E-3</v>
      </c>
      <c r="BK123" s="85" t="s">
        <v>311</v>
      </c>
      <c r="BL123" s="125">
        <f>(AZ123+BD123)*interestRate*(1+interestRate)^P123/((1+interestRate)^P123-1)/31.54/L123/1000*3.6+BH123</f>
        <v>0.29364901148050204</v>
      </c>
      <c r="BM123" s="85" t="s">
        <v>311</v>
      </c>
      <c r="BN123" s="126" t="s">
        <v>266</v>
      </c>
      <c r="BO123" s="127" t="s">
        <v>99</v>
      </c>
      <c r="BP123" s="126" t="s">
        <v>266</v>
      </c>
      <c r="BQ123" s="127" t="s">
        <v>99</v>
      </c>
      <c r="BR123" s="93">
        <f>AD123/F123*3.6</f>
        <v>0.51129113924050629</v>
      </c>
      <c r="BS123" s="85" t="s">
        <v>312</v>
      </c>
      <c r="BT123" s="93">
        <f>AF123/H123*3.6</f>
        <v>0.50490000000000002</v>
      </c>
      <c r="BU123" s="85" t="s">
        <v>312</v>
      </c>
      <c r="BV123" s="85">
        <f t="shared" si="44"/>
        <v>9</v>
      </c>
      <c r="BW123" s="85" t="str">
        <f t="shared" si="44"/>
        <v>TRL</v>
      </c>
      <c r="BX123" s="85">
        <f t="shared" si="44"/>
        <v>9</v>
      </c>
      <c r="BY123" s="85" t="str">
        <f t="shared" si="44"/>
        <v>TRL</v>
      </c>
      <c r="BZ123" s="126" t="s">
        <v>266</v>
      </c>
      <c r="CA123" s="127" t="s">
        <v>99</v>
      </c>
      <c r="CB123" s="126" t="s">
        <v>266</v>
      </c>
      <c r="CC123" s="127" t="s">
        <v>99</v>
      </c>
      <c r="CD123" s="85">
        <f>AP123</f>
        <v>100</v>
      </c>
      <c r="CE123" s="85" t="s">
        <v>262</v>
      </c>
      <c r="CF123" s="85">
        <f>AR123</f>
        <v>100</v>
      </c>
      <c r="CG123" s="85" t="s">
        <v>262</v>
      </c>
      <c r="CH123" s="131">
        <f>IF(PAmedium="Default",(6-AT123)/5*100,IF(PAmedium="High",(6-(AT123-1))/5*100,(6-(AT123+1))/5*100))</f>
        <v>100</v>
      </c>
      <c r="CI123" s="443" t="s">
        <v>516</v>
      </c>
      <c r="CJ123" s="131">
        <f>IF(PAmedium="Default",(6-AV123)/5*100,IF(PAmedium="High",(6-(AV123-1))/5*100,(6-(AV123+1))/5*100))</f>
        <v>100</v>
      </c>
      <c r="CK123" s="443" t="s">
        <v>516</v>
      </c>
    </row>
    <row r="124" spans="2:89" s="74" customFormat="1" x14ac:dyDescent="0.25">
      <c r="B124" s="54" t="s">
        <v>447</v>
      </c>
      <c r="C124" s="83" t="s">
        <v>322</v>
      </c>
      <c r="D124" s="115">
        <v>50</v>
      </c>
      <c r="E124" s="237" t="s">
        <v>256</v>
      </c>
      <c r="F124" s="135">
        <v>0.495</v>
      </c>
      <c r="G124" s="135" t="s">
        <v>99</v>
      </c>
      <c r="H124" s="135">
        <v>0.51</v>
      </c>
      <c r="I124" s="135" t="s">
        <v>99</v>
      </c>
      <c r="J124" s="135">
        <v>0.9</v>
      </c>
      <c r="K124" s="74" t="s">
        <v>99</v>
      </c>
      <c r="L124" s="135">
        <v>0.9</v>
      </c>
      <c r="M124" s="74" t="s">
        <v>99</v>
      </c>
      <c r="N124" s="74">
        <v>25</v>
      </c>
      <c r="O124" s="85" t="s">
        <v>319</v>
      </c>
      <c r="P124" s="74">
        <v>25</v>
      </c>
      <c r="Q124" s="85" t="s">
        <v>319</v>
      </c>
      <c r="R124" s="231">
        <v>943.5</v>
      </c>
      <c r="S124" s="74" t="s">
        <v>258</v>
      </c>
      <c r="T124" s="231">
        <v>907</v>
      </c>
      <c r="U124" s="74" t="s">
        <v>258</v>
      </c>
      <c r="V124" s="232">
        <v>1.5692755071321971</v>
      </c>
      <c r="W124" s="74" t="s">
        <v>258</v>
      </c>
      <c r="X124" s="232">
        <v>1.4920362564810326</v>
      </c>
      <c r="Y124" s="74" t="s">
        <v>258</v>
      </c>
      <c r="Z124" s="236">
        <f>naturalGasPrice</f>
        <v>30</v>
      </c>
      <c r="AA124" s="85" t="s">
        <v>278</v>
      </c>
      <c r="AB124" s="236">
        <f>naturalGasPrice</f>
        <v>30</v>
      </c>
      <c r="AC124" s="85" t="s">
        <v>278</v>
      </c>
      <c r="AD124" s="133">
        <f>CO2emissionNG</f>
        <v>5.6099999999999997E-2</v>
      </c>
      <c r="AE124" s="443" t="s">
        <v>269</v>
      </c>
      <c r="AF124" s="133">
        <f>CO2emissionNG</f>
        <v>5.6099999999999997E-2</v>
      </c>
      <c r="AG124" s="443" t="s">
        <v>269</v>
      </c>
      <c r="AH124" s="115">
        <v>9</v>
      </c>
      <c r="AI124" s="85" t="s">
        <v>44</v>
      </c>
      <c r="AJ124" s="115">
        <v>9</v>
      </c>
      <c r="AK124" s="85" t="s">
        <v>44</v>
      </c>
      <c r="AL124" s="126" t="s">
        <v>266</v>
      </c>
      <c r="AM124" s="127" t="s">
        <v>99</v>
      </c>
      <c r="AN124" s="126" t="s">
        <v>266</v>
      </c>
      <c r="AO124" s="127" t="s">
        <v>99</v>
      </c>
      <c r="AP124" s="115">
        <v>100</v>
      </c>
      <c r="AQ124" s="85" t="s">
        <v>262</v>
      </c>
      <c r="AR124" s="115">
        <v>100</v>
      </c>
      <c r="AS124" s="85" t="s">
        <v>262</v>
      </c>
      <c r="AT124" s="121">
        <v>1</v>
      </c>
      <c r="AU124" s="85" t="s">
        <v>263</v>
      </c>
      <c r="AV124" s="121">
        <v>1</v>
      </c>
      <c r="AW124" s="85" t="s">
        <v>263</v>
      </c>
      <c r="AX124" s="122">
        <f>R124/euroDeflator2010</f>
        <v>956.33611772178801</v>
      </c>
      <c r="AY124" s="85" t="s">
        <v>264</v>
      </c>
      <c r="AZ124" s="233">
        <f>T124/euroDeflator2010</f>
        <v>919.33954295035687</v>
      </c>
      <c r="BA124" s="85" t="s">
        <v>264</v>
      </c>
      <c r="BB124" s="125">
        <f>V124/euroDeflator2010</f>
        <v>1.5906251681258035</v>
      </c>
      <c r="BC124" s="443" t="s">
        <v>264</v>
      </c>
      <c r="BD124" s="125">
        <f>X124/euroDeflator2010</f>
        <v>1.5123350938242932</v>
      </c>
      <c r="BE124" s="443" t="s">
        <v>264</v>
      </c>
      <c r="BF124" s="120">
        <f>(Z124+AD124*CO2price)/F124/1000*3.6</f>
        <v>0.23246181818181821</v>
      </c>
      <c r="BG124" s="85" t="s">
        <v>311</v>
      </c>
      <c r="BH124" s="120">
        <f>(AB124+AF124*CO2price)/H124/1000*3.6</f>
        <v>0.22562470588235298</v>
      </c>
      <c r="BI124" s="85" t="s">
        <v>311</v>
      </c>
      <c r="BJ124" s="124">
        <f>(AX124+BB124)*interestRate*(1+interestRate)^N124/((1+interestRate)^N124-1)/31.54/J124/1000*3.6</f>
        <v>9.5035466561890526E-3</v>
      </c>
      <c r="BK124" s="85" t="s">
        <v>311</v>
      </c>
      <c r="BL124" s="125">
        <f>(AZ124+BD124)*interestRate*(1+interestRate)^P124/((1+interestRate)^P124-1)/31.54/L124/1000*3.6+BH124</f>
        <v>0.23476043452902456</v>
      </c>
      <c r="BM124" s="85" t="s">
        <v>311</v>
      </c>
      <c r="BN124" s="126" t="s">
        <v>266</v>
      </c>
      <c r="BO124" s="127" t="s">
        <v>99</v>
      </c>
      <c r="BP124" s="126" t="s">
        <v>266</v>
      </c>
      <c r="BQ124" s="127" t="s">
        <v>99</v>
      </c>
      <c r="BR124" s="93">
        <f>AD124/F124*3.6</f>
        <v>0.40799999999999997</v>
      </c>
      <c r="BS124" s="85" t="s">
        <v>312</v>
      </c>
      <c r="BT124" s="93">
        <f>AF124/H124*3.6</f>
        <v>0.39599999999999996</v>
      </c>
      <c r="BU124" s="85" t="s">
        <v>312</v>
      </c>
      <c r="BV124" s="85">
        <f t="shared" si="44"/>
        <v>9</v>
      </c>
      <c r="BW124" s="85" t="str">
        <f t="shared" si="44"/>
        <v>TRL</v>
      </c>
      <c r="BX124" s="85">
        <f t="shared" si="44"/>
        <v>9</v>
      </c>
      <c r="BY124" s="85" t="str">
        <f t="shared" si="44"/>
        <v>TRL</v>
      </c>
      <c r="BZ124" s="126" t="s">
        <v>266</v>
      </c>
      <c r="CA124" s="127" t="s">
        <v>99</v>
      </c>
      <c r="CB124" s="126" t="s">
        <v>266</v>
      </c>
      <c r="CC124" s="127" t="s">
        <v>99</v>
      </c>
      <c r="CD124" s="85">
        <f>AP124</f>
        <v>100</v>
      </c>
      <c r="CE124" s="85" t="s">
        <v>262</v>
      </c>
      <c r="CF124" s="85">
        <f>AR124</f>
        <v>100</v>
      </c>
      <c r="CG124" s="85" t="s">
        <v>262</v>
      </c>
      <c r="CH124" s="131">
        <f>IF(PAmedium="Default",(6-AT124)/5*100,IF(PAmedium="High",(6-(AT124-1))/5*100,(6-(AT124+1))/5*100))</f>
        <v>100</v>
      </c>
      <c r="CI124" s="443" t="s">
        <v>516</v>
      </c>
      <c r="CJ124" s="131">
        <f>IF(PAmedium="Default",(6-AV124)/5*100,IF(PAmedium="High",(6-(AV124-1))/5*100,(6-(AV124+1))/5*100))</f>
        <v>100</v>
      </c>
      <c r="CK124" s="443" t="s">
        <v>516</v>
      </c>
    </row>
    <row r="125" spans="2:89" s="62" customFormat="1" x14ac:dyDescent="0.25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</row>
    <row r="126" spans="2:89" s="62" customFormat="1" x14ac:dyDescent="0.25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33"/>
      <c r="BK126" s="234"/>
      <c r="BL126" s="233"/>
      <c r="BM126" s="234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</row>
    <row r="127" spans="2:89" s="62" customFormat="1" x14ac:dyDescent="0.25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33"/>
      <c r="BK127" s="234"/>
      <c r="BL127" s="233"/>
      <c r="BM127" s="234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</row>
    <row r="128" spans="2:89" s="62" customFormat="1" x14ac:dyDescent="0.25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33"/>
      <c r="BK128" s="234"/>
      <c r="BL128" s="233"/>
      <c r="BM128" s="234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</row>
    <row r="129" spans="2:89" s="62" customFormat="1" x14ac:dyDescent="0.25">
      <c r="B129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33"/>
      <c r="BK129" s="234"/>
      <c r="BL129" s="233"/>
      <c r="BM129" s="234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</row>
    <row r="130" spans="2:89" s="62" customFormat="1" x14ac:dyDescent="0.25">
      <c r="B130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33"/>
      <c r="BK130" s="234"/>
      <c r="BL130" s="233"/>
      <c r="BM130" s="234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</row>
    <row r="131" spans="2:89" s="62" customFormat="1" x14ac:dyDescent="0.25">
      <c r="B13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33"/>
      <c r="BK131" s="234"/>
      <c r="BL131" s="233"/>
      <c r="BM131" s="234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</row>
    <row r="132" spans="2:89" s="62" customFormat="1" x14ac:dyDescent="0.25">
      <c r="B132" s="54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33"/>
      <c r="BK132" s="234"/>
      <c r="BL132" s="233"/>
      <c r="BM132" s="234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</row>
    <row r="133" spans="2:89" s="62" customFormat="1" x14ac:dyDescent="0.25">
      <c r="B133" s="54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33"/>
      <c r="BK133" s="234"/>
      <c r="BL133" s="233"/>
      <c r="BM133" s="234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</row>
    <row r="134" spans="2:89" s="62" customFormat="1" x14ac:dyDescent="0.25">
      <c r="B134" s="54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</row>
    <row r="135" spans="2:89" s="62" customFormat="1" x14ac:dyDescent="0.25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</row>
    <row r="136" spans="2:89" s="62" customFormat="1" x14ac:dyDescent="0.25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</row>
    <row r="137" spans="2:89" s="62" customFormat="1" x14ac:dyDescent="0.25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</row>
  </sheetData>
  <pageMargins left="0.70866141732283472" right="0.70866141732283472" top="0.74803149606299213" bottom="0.74803149606299213" header="0.31496062992125984" footer="0.31496062992125984"/>
  <pageSetup paperSize="8" scale="37" fitToWidth="2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O403"/>
  <sheetViews>
    <sheetView zoomScaleNormal="100" workbookViewId="0">
      <pane ySplit="2" topLeftCell="A3" activePane="bottomLeft" state="frozen"/>
      <selection activeCell="H21" sqref="H21"/>
      <selection pane="bottomLeft" activeCell="H21" sqref="H21"/>
    </sheetView>
  </sheetViews>
  <sheetFormatPr defaultColWidth="9.140625" defaultRowHeight="15" x14ac:dyDescent="0.25"/>
  <cols>
    <col min="2" max="2" width="52" bestFit="1" customWidth="1"/>
    <col min="3" max="3" width="29.85546875" customWidth="1"/>
    <col min="4" max="4" width="13.85546875" customWidth="1"/>
    <col min="5" max="7" width="9.140625" customWidth="1"/>
    <col min="8" max="8" width="18.28515625" bestFit="1" customWidth="1"/>
    <col min="9" max="9" width="40.140625" customWidth="1"/>
  </cols>
  <sheetData>
    <row r="2" spans="2:10" s="242" customFormat="1" ht="31.5" x14ac:dyDescent="0.5">
      <c r="B2" s="242" t="s">
        <v>323</v>
      </c>
      <c r="E2" s="243"/>
    </row>
    <row r="5" spans="2:10" s="10" customFormat="1" ht="23.25" x14ac:dyDescent="0.35">
      <c r="B5" s="9" t="s">
        <v>324</v>
      </c>
    </row>
    <row r="7" spans="2:10" s="15" customFormat="1" x14ac:dyDescent="0.25">
      <c r="B7" s="15" t="s">
        <v>142</v>
      </c>
      <c r="C7" s="15" t="s">
        <v>143</v>
      </c>
      <c r="D7" s="15" t="s">
        <v>144</v>
      </c>
      <c r="E7" s="15" t="s">
        <v>325</v>
      </c>
      <c r="F7" s="15" t="s">
        <v>326</v>
      </c>
      <c r="G7" s="15" t="s">
        <v>327</v>
      </c>
    </row>
    <row r="8" spans="2:10" x14ac:dyDescent="0.25">
      <c r="B8" s="114" t="s">
        <v>49</v>
      </c>
      <c r="C8" t="s">
        <v>141</v>
      </c>
      <c r="D8" s="54">
        <f ca="1">IF(timePeriod="2020-30",'Merit calculation'!BJ17,OFFSET('Merit calculation'!BJ17,0,2))</f>
        <v>1.8708304725052733</v>
      </c>
      <c r="E8">
        <v>1</v>
      </c>
      <c r="F8">
        <f>IF(ISNUMBER(SEARCH('(3) FCH technology assessment'!$B$18,C8)),E8,"")</f>
        <v>1</v>
      </c>
      <c r="G8">
        <f>IFERROR(SMALL($F$8:$F$79,E8),"")</f>
        <v>1</v>
      </c>
      <c r="H8" t="s">
        <v>72</v>
      </c>
      <c r="I8" t="str">
        <f>CONCATENATE(B8,"-",H8)</f>
        <v>Large centralized electrolysis-Levelized cost</v>
      </c>
      <c r="J8" s="54">
        <f ca="1">D8</f>
        <v>1.8708304725052733</v>
      </c>
    </row>
    <row r="9" spans="2:10" x14ac:dyDescent="0.25">
      <c r="B9" s="114" t="s">
        <v>51</v>
      </c>
      <c r="C9" t="s">
        <v>141</v>
      </c>
      <c r="D9" s="54">
        <f ca="1">IF(timePeriod="2020-30",'Merit calculation'!BJ18,OFFSET('Merit calculation'!BJ18,0,2))</f>
        <v>1.9488933077151886</v>
      </c>
      <c r="E9">
        <v>2</v>
      </c>
      <c r="F9">
        <f>IF(ISNUMBER(SEARCH('(3) FCH technology assessment'!$B$18,C9)),E9,"")</f>
        <v>2</v>
      </c>
      <c r="G9">
        <f t="shared" ref="G9:G72" si="0">IFERROR(SMALL($F$8:$F$79,E9),"")</f>
        <v>2</v>
      </c>
      <c r="H9" t="s">
        <v>72</v>
      </c>
      <c r="I9" t="str">
        <f t="shared" ref="I9:I77" si="1">CONCATENATE(B9,"-",H9)</f>
        <v>Medium centralized electrolysis-Levelized cost</v>
      </c>
      <c r="J9" s="54">
        <f t="shared" ref="J9:J77" ca="1" si="2">D9</f>
        <v>1.9488933077151886</v>
      </c>
    </row>
    <row r="10" spans="2:10" x14ac:dyDescent="0.25">
      <c r="B10" s="114" t="s">
        <v>52</v>
      </c>
      <c r="C10" t="s">
        <v>141</v>
      </c>
      <c r="D10" s="54">
        <f ca="1">IF(timePeriod="2020-30",'Merit calculation'!BJ19,OFFSET('Merit calculation'!BJ19,0,2))</f>
        <v>2.1773425559463213</v>
      </c>
      <c r="E10">
        <v>3</v>
      </c>
      <c r="F10">
        <f>IF(ISNUMBER(SEARCH('(3) FCH technology assessment'!$B$18,C10)),E10,"")</f>
        <v>3</v>
      </c>
      <c r="G10">
        <f t="shared" si="0"/>
        <v>3</v>
      </c>
      <c r="H10" t="s">
        <v>72</v>
      </c>
      <c r="I10" t="str">
        <f t="shared" si="1"/>
        <v>Small decentralized electrolysis-Levelized cost</v>
      </c>
      <c r="J10" s="54">
        <f t="shared" ca="1" si="2"/>
        <v>2.1773425559463213</v>
      </c>
    </row>
    <row r="11" spans="2:10" x14ac:dyDescent="0.25">
      <c r="B11" s="114" t="s">
        <v>53</v>
      </c>
      <c r="C11" t="s">
        <v>141</v>
      </c>
      <c r="D11" s="54">
        <f ca="1">IF(timePeriod="2020-30",'Merit calculation'!BJ20,OFFSET('Merit calculation'!BJ20,0,2))</f>
        <v>1.2420378397594705</v>
      </c>
      <c r="E11">
        <v>4</v>
      </c>
      <c r="F11">
        <f>IF(ISNUMBER(SEARCH('(3) FCH technology assessment'!$B$18,C11)),E11,"")</f>
        <v>4</v>
      </c>
      <c r="G11">
        <f t="shared" si="0"/>
        <v>4</v>
      </c>
      <c r="H11" t="s">
        <v>72</v>
      </c>
      <c r="I11" t="str">
        <f t="shared" si="1"/>
        <v>Medium centralized biomass gasification-Levelized cost</v>
      </c>
      <c r="J11" s="54">
        <f t="shared" ca="1" si="2"/>
        <v>1.2420378397594705</v>
      </c>
    </row>
    <row r="12" spans="2:10" x14ac:dyDescent="0.25">
      <c r="B12" s="61" t="s">
        <v>54</v>
      </c>
      <c r="C12" t="s">
        <v>141</v>
      </c>
      <c r="D12" s="54">
        <f ca="1">IF(timePeriod="2020-30",'Merit calculation'!BJ21,OFFSET('Merit calculation'!BJ21,0,2))</f>
        <v>0.77573654376039736</v>
      </c>
      <c r="E12">
        <v>5</v>
      </c>
      <c r="F12">
        <f>IF(ISNUMBER(SEARCH('(3) FCH technology assessment'!$B$18,C12)),E12,"")</f>
        <v>5</v>
      </c>
      <c r="G12">
        <f t="shared" si="0"/>
        <v>5</v>
      </c>
      <c r="H12" t="s">
        <v>72</v>
      </c>
      <c r="I12" t="str">
        <f t="shared" si="1"/>
        <v>Medium centralized biomass gasification w/ CCS-Levelized cost</v>
      </c>
      <c r="J12" s="54">
        <f t="shared" ca="1" si="2"/>
        <v>0.77573654376039736</v>
      </c>
    </row>
    <row r="13" spans="2:10" x14ac:dyDescent="0.25">
      <c r="B13" s="114" t="s">
        <v>55</v>
      </c>
      <c r="C13" t="s">
        <v>141</v>
      </c>
      <c r="D13" s="54">
        <f ca="1">IF(timePeriod="2020-30",'Merit calculation'!BJ22,OFFSET('Merit calculation'!BJ22,0,2))</f>
        <v>2.0014004458664063</v>
      </c>
      <c r="E13">
        <v>6</v>
      </c>
      <c r="F13">
        <f>IF(ISNUMBER(SEARCH('(3) FCH technology assessment'!$B$18,C13)),E13,"")</f>
        <v>6</v>
      </c>
      <c r="G13">
        <f t="shared" si="0"/>
        <v>6</v>
      </c>
      <c r="H13" t="s">
        <v>72</v>
      </c>
      <c r="I13" t="str">
        <f t="shared" si="1"/>
        <v>Small decentralized biomass gasification-Levelized cost</v>
      </c>
      <c r="J13" s="54">
        <f t="shared" ca="1" si="2"/>
        <v>2.0014004458664063</v>
      </c>
    </row>
    <row r="14" spans="2:10" x14ac:dyDescent="0.25">
      <c r="B14" s="114" t="s">
        <v>56</v>
      </c>
      <c r="C14" t="s">
        <v>141</v>
      </c>
      <c r="D14" s="54">
        <f ca="1">IF(timePeriod="2020-30",'Merit calculation'!BJ23,OFFSET('Merit calculation'!BJ23,0,2))</f>
        <v>0.87737742768078397</v>
      </c>
      <c r="E14">
        <v>7</v>
      </c>
      <c r="F14">
        <f>IF(ISNUMBER(SEARCH('(3) FCH technology assessment'!$B$18,C14)),E14,"")</f>
        <v>7</v>
      </c>
      <c r="G14">
        <f t="shared" si="0"/>
        <v>7</v>
      </c>
      <c r="H14" t="s">
        <v>72</v>
      </c>
      <c r="I14" t="str">
        <f t="shared" si="1"/>
        <v>Large centralized biomass steam reforming -Levelized cost</v>
      </c>
      <c r="J14" s="54">
        <f t="shared" ca="1" si="2"/>
        <v>0.87737742768078397</v>
      </c>
    </row>
    <row r="15" spans="2:10" x14ac:dyDescent="0.25">
      <c r="B15" s="61" t="s">
        <v>57</v>
      </c>
      <c r="C15" t="s">
        <v>141</v>
      </c>
      <c r="D15" s="54">
        <f ca="1">IF(timePeriod="2020-30",'Merit calculation'!BJ24,OFFSET('Merit calculation'!BJ24,0,2))</f>
        <v>4.3183598275787016</v>
      </c>
      <c r="E15">
        <v>8</v>
      </c>
      <c r="F15">
        <f>IF(ISNUMBER(SEARCH('(3) FCH technology assessment'!$B$18,C15)),E15,"")</f>
        <v>8</v>
      </c>
      <c r="G15">
        <f t="shared" si="0"/>
        <v>8</v>
      </c>
      <c r="H15" t="s">
        <v>72</v>
      </c>
      <c r="I15" t="str">
        <f t="shared" si="1"/>
        <v>Large centralized natural gas steam reforming-Levelized cost</v>
      </c>
      <c r="J15" s="54">
        <f t="shared" ca="1" si="2"/>
        <v>4.3183598275787016</v>
      </c>
    </row>
    <row r="16" spans="2:10" x14ac:dyDescent="0.25">
      <c r="B16" s="114" t="s">
        <v>58</v>
      </c>
      <c r="C16" t="s">
        <v>141</v>
      </c>
      <c r="D16" s="54">
        <f ca="1">IF(timePeriod="2020-30",'Merit calculation'!BJ25,OFFSET('Merit calculation'!BJ25,0,2))</f>
        <v>4.3868073570951305</v>
      </c>
      <c r="E16">
        <v>9</v>
      </c>
      <c r="F16">
        <f>IF(ISNUMBER(SEARCH('(3) FCH technology assessment'!$B$18,C16)),E16,"")</f>
        <v>9</v>
      </c>
      <c r="G16">
        <f t="shared" si="0"/>
        <v>9</v>
      </c>
      <c r="H16" t="s">
        <v>72</v>
      </c>
      <c r="I16" t="str">
        <f t="shared" si="1"/>
        <v>Small centralized natural gas steam reforming-Levelized cost</v>
      </c>
      <c r="J16" s="54">
        <f t="shared" ca="1" si="2"/>
        <v>4.3868073570951305</v>
      </c>
    </row>
    <row r="17" spans="2:10" x14ac:dyDescent="0.25">
      <c r="B17" s="114" t="s">
        <v>59</v>
      </c>
      <c r="C17" t="s">
        <v>141</v>
      </c>
      <c r="D17" s="54">
        <f ca="1">IF(timePeriod="2020-30",'Merit calculation'!BJ26,OFFSET('Merit calculation'!BJ26,0,2))</f>
        <v>4.6698886934539701</v>
      </c>
      <c r="E17">
        <v>10</v>
      </c>
      <c r="F17">
        <f>IF(ISNUMBER(SEARCH('(3) FCH technology assessment'!$B$18,C17)),E17,"")</f>
        <v>10</v>
      </c>
      <c r="G17">
        <f t="shared" si="0"/>
        <v>10</v>
      </c>
      <c r="H17" t="s">
        <v>72</v>
      </c>
      <c r="I17" t="str">
        <f t="shared" si="1"/>
        <v>Medium decentralized natural gas steam reforming-Levelized cost</v>
      </c>
      <c r="J17" s="54">
        <f t="shared" ca="1" si="2"/>
        <v>4.6698886934539701</v>
      </c>
    </row>
    <row r="18" spans="2:10" x14ac:dyDescent="0.25">
      <c r="B18" s="114" t="s">
        <v>60</v>
      </c>
      <c r="C18" t="s">
        <v>141</v>
      </c>
      <c r="D18" s="54">
        <f ca="1">IF(timePeriod="2020-30",'Merit calculation'!BJ27,OFFSET('Merit calculation'!BJ27,0,2))</f>
        <v>4.9521887780698144</v>
      </c>
      <c r="E18">
        <v>11</v>
      </c>
      <c r="F18">
        <f>IF(ISNUMBER(SEARCH('(3) FCH technology assessment'!$B$18,C18)),E18,"")</f>
        <v>11</v>
      </c>
      <c r="G18">
        <f t="shared" si="0"/>
        <v>11</v>
      </c>
      <c r="H18" t="s">
        <v>72</v>
      </c>
      <c r="I18" t="str">
        <f t="shared" si="1"/>
        <v>Small decentralized natural gas steam reforming-Levelized cost</v>
      </c>
      <c r="J18" s="54">
        <f t="shared" ca="1" si="2"/>
        <v>4.9521887780698144</v>
      </c>
    </row>
    <row r="19" spans="2:10" x14ac:dyDescent="0.25">
      <c r="B19" s="114" t="s">
        <v>174</v>
      </c>
      <c r="C19" t="s">
        <v>141</v>
      </c>
      <c r="D19" s="54">
        <f ca="1">IF(timePeriod="2020-30",'Merit calculation'!BJ28,OFFSET('Merit calculation'!BJ28,0,2))</f>
        <v>0</v>
      </c>
      <c r="E19">
        <v>12</v>
      </c>
      <c r="F19">
        <f>IF(ISNUMBER(SEARCH('(3) FCH technology assessment'!$B$18,C19)),E19,"")</f>
        <v>12</v>
      </c>
      <c r="G19">
        <f t="shared" si="0"/>
        <v>12</v>
      </c>
      <c r="H19" t="s">
        <v>72</v>
      </c>
      <c r="I19" t="str">
        <f t="shared" si="1"/>
        <v>Natural gas production-Levelized cost</v>
      </c>
      <c r="J19" s="54">
        <f t="shared" ca="1" si="2"/>
        <v>0</v>
      </c>
    </row>
    <row r="20" spans="2:10" x14ac:dyDescent="0.25">
      <c r="B20" s="114" t="s">
        <v>49</v>
      </c>
      <c r="C20" s="54" t="s">
        <v>328</v>
      </c>
      <c r="D20" s="54">
        <f ca="1">IF(timePeriod="2020-30",'Merit calculation'!BR17,OFFSET('Merit calculation'!BR17,0,2))</f>
        <v>1.8518518518518519</v>
      </c>
      <c r="E20">
        <v>13</v>
      </c>
      <c r="F20" t="str">
        <f>IF(ISNUMBER(SEARCH('(3) FCH technology assessment'!$B$18,C20)),E20,"")</f>
        <v/>
      </c>
      <c r="G20" t="str">
        <f t="shared" si="0"/>
        <v/>
      </c>
      <c r="H20" s="54" t="s">
        <v>329</v>
      </c>
      <c r="I20" t="str">
        <f t="shared" si="1"/>
        <v>Large centralized electrolysis-CO2 emissions</v>
      </c>
      <c r="J20" s="54">
        <f t="shared" ca="1" si="2"/>
        <v>1.8518518518518519</v>
      </c>
    </row>
    <row r="21" spans="2:10" x14ac:dyDescent="0.25">
      <c r="B21" s="114" t="s">
        <v>51</v>
      </c>
      <c r="C21" s="54" t="s">
        <v>328</v>
      </c>
      <c r="D21" s="54">
        <f ca="1">IF(timePeriod="2020-30",'Merit calculation'!BR18,OFFSET('Merit calculation'!BR18,0,2))</f>
        <v>1.8518518518518519</v>
      </c>
      <c r="E21">
        <v>14</v>
      </c>
      <c r="F21" t="str">
        <f>IF(ISNUMBER(SEARCH('(3) FCH technology assessment'!$B$18,C21)),E21,"")</f>
        <v/>
      </c>
      <c r="G21" t="str">
        <f t="shared" si="0"/>
        <v/>
      </c>
      <c r="H21" s="54" t="s">
        <v>329</v>
      </c>
      <c r="I21" t="str">
        <f t="shared" si="1"/>
        <v>Medium centralized electrolysis-CO2 emissions</v>
      </c>
      <c r="J21" s="54">
        <f t="shared" ca="1" si="2"/>
        <v>1.8518518518518519</v>
      </c>
    </row>
    <row r="22" spans="2:10" x14ac:dyDescent="0.25">
      <c r="B22" s="114" t="s">
        <v>52</v>
      </c>
      <c r="C22" s="54" t="s">
        <v>328</v>
      </c>
      <c r="D22" s="54">
        <f ca="1">IF(timePeriod="2020-30",'Merit calculation'!BR19,OFFSET('Merit calculation'!BR19,0,2))</f>
        <v>1.8518518518518519</v>
      </c>
      <c r="E22">
        <v>15</v>
      </c>
      <c r="F22" t="str">
        <f>IF(ISNUMBER(SEARCH('(3) FCH technology assessment'!$B$18,C22)),E22,"")</f>
        <v/>
      </c>
      <c r="G22" t="str">
        <f t="shared" si="0"/>
        <v/>
      </c>
      <c r="H22" s="54" t="s">
        <v>329</v>
      </c>
      <c r="I22" t="str">
        <f t="shared" si="1"/>
        <v>Small decentralized electrolysis-CO2 emissions</v>
      </c>
      <c r="J22" s="54">
        <f t="shared" ca="1" si="2"/>
        <v>1.8518518518518519</v>
      </c>
    </row>
    <row r="23" spans="2:10" x14ac:dyDescent="0.25">
      <c r="B23" s="114" t="s">
        <v>53</v>
      </c>
      <c r="C23" s="54" t="s">
        <v>328</v>
      </c>
      <c r="D23" s="54">
        <f ca="1">IF(timePeriod="2020-30",'Merit calculation'!BR20,OFFSET('Merit calculation'!BR20,0,2))</f>
        <v>0</v>
      </c>
      <c r="E23">
        <v>16</v>
      </c>
      <c r="F23" t="str">
        <f>IF(ISNUMBER(SEARCH('(3) FCH technology assessment'!$B$18,C23)),E23,"")</f>
        <v/>
      </c>
      <c r="G23" t="str">
        <f t="shared" si="0"/>
        <v/>
      </c>
      <c r="H23" s="54" t="s">
        <v>329</v>
      </c>
      <c r="I23" t="str">
        <f t="shared" si="1"/>
        <v>Medium centralized biomass gasification-CO2 emissions</v>
      </c>
      <c r="J23" s="54">
        <f t="shared" ca="1" si="2"/>
        <v>0</v>
      </c>
    </row>
    <row r="24" spans="2:10" x14ac:dyDescent="0.25">
      <c r="B24" s="61" t="s">
        <v>54</v>
      </c>
      <c r="C24" s="54" t="s">
        <v>328</v>
      </c>
      <c r="D24" s="54">
        <f ca="1">IF(timePeriod="2020-30",'Merit calculation'!BR21,OFFSET('Merit calculation'!BR21,0,2))</f>
        <v>-13.44</v>
      </c>
      <c r="E24">
        <v>17</v>
      </c>
      <c r="F24" t="str">
        <f>IF(ISNUMBER(SEARCH('(3) FCH technology assessment'!$B$18,C24)),E24,"")</f>
        <v/>
      </c>
      <c r="G24" t="str">
        <f t="shared" si="0"/>
        <v/>
      </c>
      <c r="H24" s="54" t="s">
        <v>329</v>
      </c>
      <c r="I24" t="str">
        <f t="shared" si="1"/>
        <v>Medium centralized biomass gasification w/ CCS-CO2 emissions</v>
      </c>
      <c r="J24" s="54">
        <f t="shared" ca="1" si="2"/>
        <v>-13.44</v>
      </c>
    </row>
    <row r="25" spans="2:10" x14ac:dyDescent="0.25">
      <c r="B25" s="114" t="s">
        <v>55</v>
      </c>
      <c r="C25" s="54" t="s">
        <v>328</v>
      </c>
      <c r="D25" s="54">
        <f ca="1">IF(timePeriod="2020-30",'Merit calculation'!BR22,OFFSET('Merit calculation'!BR22,0,2))</f>
        <v>0</v>
      </c>
      <c r="E25">
        <v>18</v>
      </c>
      <c r="F25" t="str">
        <f>IF(ISNUMBER(SEARCH('(3) FCH technology assessment'!$B$18,C25)),E25,"")</f>
        <v/>
      </c>
      <c r="G25" t="str">
        <f t="shared" si="0"/>
        <v/>
      </c>
      <c r="H25" s="54" t="s">
        <v>329</v>
      </c>
      <c r="I25" t="str">
        <f t="shared" si="1"/>
        <v>Small decentralized biomass gasification-CO2 emissions</v>
      </c>
      <c r="J25" s="54">
        <f t="shared" ca="1" si="2"/>
        <v>0</v>
      </c>
    </row>
    <row r="26" spans="2:10" x14ac:dyDescent="0.25">
      <c r="B26" s="114" t="s">
        <v>56</v>
      </c>
      <c r="C26" s="54" t="s">
        <v>328</v>
      </c>
      <c r="D26" s="54">
        <f ca="1">IF(timePeriod="2020-30",'Merit calculation'!BR23,OFFSET('Merit calculation'!BR23,0,2))</f>
        <v>0</v>
      </c>
      <c r="E26">
        <v>19</v>
      </c>
      <c r="F26" t="str">
        <f>IF(ISNUMBER(SEARCH('(3) FCH technology assessment'!$B$18,C26)),E26,"")</f>
        <v/>
      </c>
      <c r="G26" t="str">
        <f t="shared" si="0"/>
        <v/>
      </c>
      <c r="H26" s="54" t="s">
        <v>329</v>
      </c>
      <c r="I26" t="str">
        <f t="shared" si="1"/>
        <v>Large centralized biomass steam reforming -CO2 emissions</v>
      </c>
      <c r="J26" s="54">
        <f t="shared" ca="1" si="2"/>
        <v>0</v>
      </c>
    </row>
    <row r="27" spans="2:10" x14ac:dyDescent="0.25">
      <c r="B27" s="61" t="s">
        <v>57</v>
      </c>
      <c r="C27" s="54" t="s">
        <v>328</v>
      </c>
      <c r="D27" s="54">
        <f ca="1">IF(timePeriod="2020-30",'Merit calculation'!BR24,OFFSET('Merit calculation'!BR24,0,2))</f>
        <v>7.4799999999999995</v>
      </c>
      <c r="E27">
        <v>20</v>
      </c>
      <c r="F27" t="str">
        <f>IF(ISNUMBER(SEARCH('(3) FCH technology assessment'!$B$18,C27)),E27,"")</f>
        <v/>
      </c>
      <c r="G27" t="str">
        <f t="shared" si="0"/>
        <v/>
      </c>
      <c r="H27" s="54" t="s">
        <v>329</v>
      </c>
      <c r="I27" t="str">
        <f t="shared" si="1"/>
        <v>Large centralized natural gas steam reforming-CO2 emissions</v>
      </c>
      <c r="J27" s="54">
        <f t="shared" ca="1" si="2"/>
        <v>7.4799999999999995</v>
      </c>
    </row>
    <row r="28" spans="2:10" x14ac:dyDescent="0.25">
      <c r="B28" s="114" t="s">
        <v>58</v>
      </c>
      <c r="C28" s="54" t="s">
        <v>328</v>
      </c>
      <c r="D28" s="54">
        <f ca="1">IF(timePeriod="2020-30",'Merit calculation'!BR25,OFFSET('Merit calculation'!BR25,0,2))</f>
        <v>7.4799999999999995</v>
      </c>
      <c r="E28">
        <v>21</v>
      </c>
      <c r="F28" t="str">
        <f>IF(ISNUMBER(SEARCH('(3) FCH technology assessment'!$B$18,C28)),E28,"")</f>
        <v/>
      </c>
      <c r="G28" t="str">
        <f t="shared" si="0"/>
        <v/>
      </c>
      <c r="H28" s="54" t="s">
        <v>329</v>
      </c>
      <c r="I28" t="str">
        <f t="shared" si="1"/>
        <v>Small centralized natural gas steam reforming-CO2 emissions</v>
      </c>
      <c r="J28" s="54">
        <f t="shared" ca="1" si="2"/>
        <v>7.4799999999999995</v>
      </c>
    </row>
    <row r="29" spans="2:10" x14ac:dyDescent="0.25">
      <c r="B29" s="114" t="s">
        <v>59</v>
      </c>
      <c r="C29" s="54" t="s">
        <v>328</v>
      </c>
      <c r="D29" s="54">
        <f ca="1">IF(timePeriod="2020-30",'Merit calculation'!BR26,OFFSET('Merit calculation'!BR26,0,2))</f>
        <v>7.8279069767441856</v>
      </c>
      <c r="E29">
        <v>22</v>
      </c>
      <c r="F29" t="str">
        <f>IF(ISNUMBER(SEARCH('(3) FCH technology assessment'!$B$18,C29)),E29,"")</f>
        <v/>
      </c>
      <c r="G29" t="str">
        <f t="shared" si="0"/>
        <v/>
      </c>
      <c r="H29" s="54" t="s">
        <v>329</v>
      </c>
      <c r="I29" t="str">
        <f t="shared" si="1"/>
        <v>Medium decentralized natural gas steam reforming-CO2 emissions</v>
      </c>
      <c r="J29" s="54">
        <f t="shared" ca="1" si="2"/>
        <v>7.8279069767441856</v>
      </c>
    </row>
    <row r="30" spans="2:10" x14ac:dyDescent="0.25">
      <c r="B30" s="114" t="s">
        <v>60</v>
      </c>
      <c r="C30" s="54" t="s">
        <v>328</v>
      </c>
      <c r="D30" s="54">
        <f ca="1">IF(timePeriod="2020-30",'Merit calculation'!BR27,OFFSET('Merit calculation'!BR27,0,2))</f>
        <v>7.4799999999999995</v>
      </c>
      <c r="E30">
        <v>23</v>
      </c>
      <c r="F30" t="str">
        <f>IF(ISNUMBER(SEARCH('(3) FCH technology assessment'!$B$18,C30)),E30,"")</f>
        <v/>
      </c>
      <c r="G30" t="str">
        <f t="shared" si="0"/>
        <v/>
      </c>
      <c r="H30" s="54" t="s">
        <v>329</v>
      </c>
      <c r="I30" t="str">
        <f t="shared" si="1"/>
        <v>Small decentralized natural gas steam reforming-CO2 emissions</v>
      </c>
      <c r="J30" s="54">
        <f t="shared" ca="1" si="2"/>
        <v>7.4799999999999995</v>
      </c>
    </row>
    <row r="31" spans="2:10" x14ac:dyDescent="0.25">
      <c r="B31" s="114" t="s">
        <v>174</v>
      </c>
      <c r="C31" s="54" t="s">
        <v>328</v>
      </c>
      <c r="D31" s="54">
        <f ca="1">IF(timePeriod="2020-30",'Merit calculation'!BR28,OFFSET('Merit calculation'!BR28,0,2))</f>
        <v>0</v>
      </c>
      <c r="E31">
        <v>24</v>
      </c>
      <c r="F31" t="str">
        <f>IF(ISNUMBER(SEARCH('(3) FCH technology assessment'!$B$18,C31)),E31,"")</f>
        <v/>
      </c>
      <c r="G31" t="str">
        <f t="shared" si="0"/>
        <v/>
      </c>
      <c r="H31" s="54" t="s">
        <v>329</v>
      </c>
      <c r="I31" t="str">
        <f t="shared" si="1"/>
        <v>Natural gas production-CO2 emissions</v>
      </c>
      <c r="J31" s="54">
        <f t="shared" ca="1" si="2"/>
        <v>0</v>
      </c>
    </row>
    <row r="32" spans="2:10" x14ac:dyDescent="0.25">
      <c r="B32" s="114" t="s">
        <v>49</v>
      </c>
      <c r="C32" s="54" t="s">
        <v>212</v>
      </c>
      <c r="D32" s="59">
        <f ca="1">IF(timePeriod="2020-30",'Merit calculation'!BV17,OFFSET('Merit calculation'!BV17,0,2))</f>
        <v>9</v>
      </c>
      <c r="E32">
        <v>25</v>
      </c>
      <c r="F32" t="str">
        <f>IF(ISNUMBER(SEARCH('(3) FCH technology assessment'!$B$18,C32)),E32,"")</f>
        <v/>
      </c>
      <c r="G32" t="str">
        <f t="shared" si="0"/>
        <v/>
      </c>
      <c r="H32" s="54" t="s">
        <v>78</v>
      </c>
      <c r="I32" t="str">
        <f t="shared" si="1"/>
        <v>Large centralized electrolysis-Maturity</v>
      </c>
      <c r="J32" s="59">
        <f t="shared" ca="1" si="2"/>
        <v>9</v>
      </c>
    </row>
    <row r="33" spans="2:10" x14ac:dyDescent="0.25">
      <c r="B33" s="114" t="s">
        <v>51</v>
      </c>
      <c r="C33" s="54" t="s">
        <v>212</v>
      </c>
      <c r="D33" s="59">
        <f ca="1">IF(timePeriod="2020-30",'Merit calculation'!BV18,OFFSET('Merit calculation'!BV18,0,2))</f>
        <v>9</v>
      </c>
      <c r="E33">
        <v>26</v>
      </c>
      <c r="F33" t="str">
        <f>IF(ISNUMBER(SEARCH('(3) FCH technology assessment'!$B$18,C33)),E33,"")</f>
        <v/>
      </c>
      <c r="G33" t="str">
        <f t="shared" si="0"/>
        <v/>
      </c>
      <c r="H33" s="54" t="s">
        <v>78</v>
      </c>
      <c r="I33" t="str">
        <f t="shared" si="1"/>
        <v>Medium centralized electrolysis-Maturity</v>
      </c>
      <c r="J33" s="59">
        <f t="shared" ca="1" si="2"/>
        <v>9</v>
      </c>
    </row>
    <row r="34" spans="2:10" x14ac:dyDescent="0.25">
      <c r="B34" s="114" t="s">
        <v>52</v>
      </c>
      <c r="C34" s="54" t="s">
        <v>212</v>
      </c>
      <c r="D34" s="59">
        <f ca="1">IF(timePeriod="2020-30",'Merit calculation'!BV19,OFFSET('Merit calculation'!BV19,0,2))</f>
        <v>9</v>
      </c>
      <c r="E34">
        <v>27</v>
      </c>
      <c r="F34" t="str">
        <f>IF(ISNUMBER(SEARCH('(3) FCH technology assessment'!$B$18,C34)),E34,"")</f>
        <v/>
      </c>
      <c r="G34" t="str">
        <f t="shared" si="0"/>
        <v/>
      </c>
      <c r="H34" s="54" t="s">
        <v>78</v>
      </c>
      <c r="I34" t="str">
        <f t="shared" si="1"/>
        <v>Small decentralized electrolysis-Maturity</v>
      </c>
      <c r="J34" s="59">
        <f t="shared" ca="1" si="2"/>
        <v>9</v>
      </c>
    </row>
    <row r="35" spans="2:10" x14ac:dyDescent="0.25">
      <c r="B35" s="114" t="s">
        <v>53</v>
      </c>
      <c r="C35" s="54" t="s">
        <v>212</v>
      </c>
      <c r="D35" s="59">
        <f ca="1">IF(timePeriod="2020-30",'Merit calculation'!BV20,OFFSET('Merit calculation'!BV20,0,2))</f>
        <v>6</v>
      </c>
      <c r="E35">
        <v>28</v>
      </c>
      <c r="F35" t="str">
        <f>IF(ISNUMBER(SEARCH('(3) FCH technology assessment'!$B$18,C35)),E35,"")</f>
        <v/>
      </c>
      <c r="G35" t="str">
        <f t="shared" si="0"/>
        <v/>
      </c>
      <c r="H35" s="54" t="s">
        <v>78</v>
      </c>
      <c r="I35" t="str">
        <f t="shared" si="1"/>
        <v>Medium centralized biomass gasification-Maturity</v>
      </c>
      <c r="J35" s="59">
        <f t="shared" ca="1" si="2"/>
        <v>6</v>
      </c>
    </row>
    <row r="36" spans="2:10" x14ac:dyDescent="0.25">
      <c r="B36" s="61" t="s">
        <v>54</v>
      </c>
      <c r="C36" s="54" t="s">
        <v>212</v>
      </c>
      <c r="D36" s="59">
        <f ca="1">IF(timePeriod="2020-30",'Merit calculation'!BV21,OFFSET('Merit calculation'!BV21,0,2))</f>
        <v>6</v>
      </c>
      <c r="E36">
        <v>29</v>
      </c>
      <c r="F36" t="str">
        <f>IF(ISNUMBER(SEARCH('(3) FCH technology assessment'!$B$18,C36)),E36,"")</f>
        <v/>
      </c>
      <c r="G36" t="str">
        <f t="shared" si="0"/>
        <v/>
      </c>
      <c r="H36" s="54" t="s">
        <v>78</v>
      </c>
      <c r="I36" t="str">
        <f t="shared" si="1"/>
        <v>Medium centralized biomass gasification w/ CCS-Maturity</v>
      </c>
      <c r="J36" s="59">
        <f t="shared" ca="1" si="2"/>
        <v>6</v>
      </c>
    </row>
    <row r="37" spans="2:10" x14ac:dyDescent="0.25">
      <c r="B37" s="114" t="s">
        <v>55</v>
      </c>
      <c r="C37" s="54" t="s">
        <v>212</v>
      </c>
      <c r="D37" s="59">
        <f ca="1">IF(timePeriod="2020-30",'Merit calculation'!BV22,OFFSET('Merit calculation'!BV22,0,2))</f>
        <v>6</v>
      </c>
      <c r="E37">
        <v>30</v>
      </c>
      <c r="F37" t="str">
        <f>IF(ISNUMBER(SEARCH('(3) FCH technology assessment'!$B$18,C37)),E37,"")</f>
        <v/>
      </c>
      <c r="G37" t="str">
        <f t="shared" si="0"/>
        <v/>
      </c>
      <c r="H37" s="54" t="s">
        <v>78</v>
      </c>
      <c r="I37" t="str">
        <f t="shared" si="1"/>
        <v>Small decentralized biomass gasification-Maturity</v>
      </c>
      <c r="J37" s="59">
        <f t="shared" ca="1" si="2"/>
        <v>6</v>
      </c>
    </row>
    <row r="38" spans="2:10" x14ac:dyDescent="0.25">
      <c r="B38" s="114" t="s">
        <v>56</v>
      </c>
      <c r="C38" s="54" t="s">
        <v>212</v>
      </c>
      <c r="D38" s="59">
        <f ca="1">IF(timePeriod="2020-30",'Merit calculation'!BV23,OFFSET('Merit calculation'!BV23,0,2))</f>
        <v>6</v>
      </c>
      <c r="E38">
        <v>31</v>
      </c>
      <c r="F38" t="str">
        <f>IF(ISNUMBER(SEARCH('(3) FCH technology assessment'!$B$18,C38)),E38,"")</f>
        <v/>
      </c>
      <c r="G38" t="str">
        <f t="shared" si="0"/>
        <v/>
      </c>
      <c r="H38" s="54" t="s">
        <v>78</v>
      </c>
      <c r="I38" t="str">
        <f t="shared" si="1"/>
        <v>Large centralized biomass steam reforming -Maturity</v>
      </c>
      <c r="J38" s="59">
        <f t="shared" ca="1" si="2"/>
        <v>6</v>
      </c>
    </row>
    <row r="39" spans="2:10" x14ac:dyDescent="0.25">
      <c r="B39" s="61" t="s">
        <v>57</v>
      </c>
      <c r="C39" s="54" t="s">
        <v>212</v>
      </c>
      <c r="D39" s="59">
        <f ca="1">IF(timePeriod="2020-30",'Merit calculation'!BV24,OFFSET('Merit calculation'!BV24,0,2))</f>
        <v>9</v>
      </c>
      <c r="E39">
        <v>32</v>
      </c>
      <c r="F39" t="str">
        <f>IF(ISNUMBER(SEARCH('(3) FCH technology assessment'!$B$18,C39)),E39,"")</f>
        <v/>
      </c>
      <c r="G39" t="str">
        <f t="shared" si="0"/>
        <v/>
      </c>
      <c r="H39" s="54" t="s">
        <v>78</v>
      </c>
      <c r="I39" t="str">
        <f t="shared" si="1"/>
        <v>Large centralized natural gas steam reforming-Maturity</v>
      </c>
      <c r="J39" s="59">
        <f t="shared" ca="1" si="2"/>
        <v>9</v>
      </c>
    </row>
    <row r="40" spans="2:10" x14ac:dyDescent="0.25">
      <c r="B40" s="114" t="s">
        <v>58</v>
      </c>
      <c r="C40" s="54" t="s">
        <v>212</v>
      </c>
      <c r="D40" s="59">
        <f ca="1">IF(timePeriod="2020-30",'Merit calculation'!BV25,OFFSET('Merit calculation'!BV25,0,2))</f>
        <v>9</v>
      </c>
      <c r="E40">
        <v>33</v>
      </c>
      <c r="F40" t="str">
        <f>IF(ISNUMBER(SEARCH('(3) FCH technology assessment'!$B$18,C40)),E40,"")</f>
        <v/>
      </c>
      <c r="G40" t="str">
        <f t="shared" si="0"/>
        <v/>
      </c>
      <c r="H40" s="54" t="s">
        <v>78</v>
      </c>
      <c r="I40" t="str">
        <f t="shared" si="1"/>
        <v>Small centralized natural gas steam reforming-Maturity</v>
      </c>
      <c r="J40" s="59">
        <f t="shared" ca="1" si="2"/>
        <v>9</v>
      </c>
    </row>
    <row r="41" spans="2:10" x14ac:dyDescent="0.25">
      <c r="B41" s="114" t="s">
        <v>59</v>
      </c>
      <c r="C41" s="54" t="s">
        <v>212</v>
      </c>
      <c r="D41" s="59">
        <f ca="1">IF(timePeriod="2020-30",'Merit calculation'!BV26,OFFSET('Merit calculation'!BV26,0,2))</f>
        <v>9</v>
      </c>
      <c r="E41">
        <v>34</v>
      </c>
      <c r="F41" t="str">
        <f>IF(ISNUMBER(SEARCH('(3) FCH technology assessment'!$B$18,C41)),E41,"")</f>
        <v/>
      </c>
      <c r="G41" t="str">
        <f t="shared" si="0"/>
        <v/>
      </c>
      <c r="H41" s="54" t="s">
        <v>78</v>
      </c>
      <c r="I41" t="str">
        <f t="shared" si="1"/>
        <v>Medium decentralized natural gas steam reforming-Maturity</v>
      </c>
      <c r="J41" s="59">
        <f t="shared" ca="1" si="2"/>
        <v>9</v>
      </c>
    </row>
    <row r="42" spans="2:10" x14ac:dyDescent="0.25">
      <c r="B42" s="114" t="s">
        <v>60</v>
      </c>
      <c r="C42" s="54" t="s">
        <v>212</v>
      </c>
      <c r="D42" s="59">
        <f ca="1">IF(timePeriod="2020-30",'Merit calculation'!BV27,OFFSET('Merit calculation'!BV27,0,2))</f>
        <v>9</v>
      </c>
      <c r="E42">
        <v>35</v>
      </c>
      <c r="F42" t="str">
        <f>IF(ISNUMBER(SEARCH('(3) FCH technology assessment'!$B$18,C42)),E42,"")</f>
        <v/>
      </c>
      <c r="G42" t="str">
        <f t="shared" si="0"/>
        <v/>
      </c>
      <c r="H42" s="54" t="s">
        <v>78</v>
      </c>
      <c r="I42" t="str">
        <f t="shared" si="1"/>
        <v>Small decentralized natural gas steam reforming-Maturity</v>
      </c>
      <c r="J42" s="59">
        <f t="shared" ca="1" si="2"/>
        <v>9</v>
      </c>
    </row>
    <row r="43" spans="2:10" x14ac:dyDescent="0.25">
      <c r="B43" s="114" t="s">
        <v>174</v>
      </c>
      <c r="C43" s="54" t="s">
        <v>212</v>
      </c>
      <c r="D43" s="59">
        <f ca="1">IF(timePeriod="2020-30",'Merit calculation'!BV28,OFFSET('Merit calculation'!BV28,0,2))</f>
        <v>9</v>
      </c>
      <c r="E43">
        <v>36</v>
      </c>
      <c r="F43" t="str">
        <f>IF(ISNUMBER(SEARCH('(3) FCH technology assessment'!$B$18,C43)),E43,"")</f>
        <v/>
      </c>
      <c r="G43" t="str">
        <f t="shared" si="0"/>
        <v/>
      </c>
      <c r="H43" s="54" t="s">
        <v>78</v>
      </c>
      <c r="I43" t="str">
        <f t="shared" si="1"/>
        <v>Natural gas production-Maturity</v>
      </c>
      <c r="J43" s="59">
        <f t="shared" ca="1" si="2"/>
        <v>9</v>
      </c>
    </row>
    <row r="44" spans="2:10" x14ac:dyDescent="0.25">
      <c r="B44" s="114" t="s">
        <v>49</v>
      </c>
      <c r="C44" s="54" t="s">
        <v>213</v>
      </c>
      <c r="D44" s="244">
        <f ca="1">IF(timePeriod="2020-30",'Merit calculation'!BZ17,OFFSET('Merit calculation'!BZ17,0,2))</f>
        <v>1</v>
      </c>
      <c r="E44">
        <v>37</v>
      </c>
      <c r="F44" t="str">
        <f>IF(ISNUMBER(SEARCH('(3) FCH technology assessment'!$B$18,C44)),E44,"")</f>
        <v/>
      </c>
      <c r="G44" t="str">
        <f t="shared" si="0"/>
        <v/>
      </c>
      <c r="H44" s="54" t="s">
        <v>80</v>
      </c>
      <c r="I44" t="str">
        <f t="shared" si="1"/>
        <v>Large centralized electrolysis-Flexibility</v>
      </c>
      <c r="J44" s="54">
        <f t="shared" ca="1" si="2"/>
        <v>1</v>
      </c>
    </row>
    <row r="45" spans="2:10" x14ac:dyDescent="0.25">
      <c r="B45" s="114" t="s">
        <v>51</v>
      </c>
      <c r="C45" s="54" t="s">
        <v>213</v>
      </c>
      <c r="D45" s="244">
        <f ca="1">IF(timePeriod="2020-30",'Merit calculation'!BZ18,OFFSET('Merit calculation'!BZ18,0,2))</f>
        <v>1</v>
      </c>
      <c r="E45">
        <v>38</v>
      </c>
      <c r="F45" t="str">
        <f>IF(ISNUMBER(SEARCH('(3) FCH technology assessment'!$B$18,C45)),E45,"")</f>
        <v/>
      </c>
      <c r="G45" t="str">
        <f t="shared" si="0"/>
        <v/>
      </c>
      <c r="H45" s="54" t="s">
        <v>80</v>
      </c>
      <c r="I45" t="str">
        <f t="shared" si="1"/>
        <v>Medium centralized electrolysis-Flexibility</v>
      </c>
      <c r="J45" s="54">
        <f t="shared" ca="1" si="2"/>
        <v>1</v>
      </c>
    </row>
    <row r="46" spans="2:10" x14ac:dyDescent="0.25">
      <c r="B46" s="114" t="s">
        <v>52</v>
      </c>
      <c r="C46" s="54" t="s">
        <v>213</v>
      </c>
      <c r="D46" s="244">
        <f ca="1">IF(timePeriod="2020-30",'Merit calculation'!BZ19,OFFSET('Merit calculation'!BZ19,0,2))</f>
        <v>0.14583333333333334</v>
      </c>
      <c r="E46">
        <v>39</v>
      </c>
      <c r="F46" t="str">
        <f>IF(ISNUMBER(SEARCH('(3) FCH technology assessment'!$B$18,C46)),E46,"")</f>
        <v/>
      </c>
      <c r="G46" t="str">
        <f t="shared" si="0"/>
        <v/>
      </c>
      <c r="H46" s="54" t="s">
        <v>80</v>
      </c>
      <c r="I46" t="str">
        <f t="shared" si="1"/>
        <v>Small decentralized electrolysis-Flexibility</v>
      </c>
      <c r="J46" s="54">
        <f t="shared" ca="1" si="2"/>
        <v>0.14583333333333334</v>
      </c>
    </row>
    <row r="47" spans="2:10" x14ac:dyDescent="0.25">
      <c r="B47" s="114" t="s">
        <v>53</v>
      </c>
      <c r="C47" s="54" t="s">
        <v>213</v>
      </c>
      <c r="D47" s="244">
        <f ca="1">IF(timePeriod="2020-30",'Merit calculation'!BZ20,OFFSET('Merit calculation'!BZ20,0,2))</f>
        <v>0</v>
      </c>
      <c r="E47">
        <v>40</v>
      </c>
      <c r="F47" t="str">
        <f>IF(ISNUMBER(SEARCH('(3) FCH technology assessment'!$B$18,C47)),E47,"")</f>
        <v/>
      </c>
      <c r="G47" t="str">
        <f t="shared" si="0"/>
        <v/>
      </c>
      <c r="H47" s="54" t="s">
        <v>80</v>
      </c>
      <c r="I47" t="str">
        <f t="shared" si="1"/>
        <v>Medium centralized biomass gasification-Flexibility</v>
      </c>
      <c r="J47" s="54">
        <f t="shared" ca="1" si="2"/>
        <v>0</v>
      </c>
    </row>
    <row r="48" spans="2:10" x14ac:dyDescent="0.25">
      <c r="B48" s="61" t="s">
        <v>54</v>
      </c>
      <c r="C48" s="54" t="s">
        <v>213</v>
      </c>
      <c r="D48" s="244">
        <f ca="1">IF(timePeriod="2020-30",'Merit calculation'!BZ21,OFFSET('Merit calculation'!BZ21,0,2))</f>
        <v>0</v>
      </c>
      <c r="E48">
        <v>41</v>
      </c>
      <c r="F48" t="str">
        <f>IF(ISNUMBER(SEARCH('(3) FCH technology assessment'!$B$18,C48)),E48,"")</f>
        <v/>
      </c>
      <c r="G48" t="str">
        <f t="shared" si="0"/>
        <v/>
      </c>
      <c r="H48" s="54" t="s">
        <v>80</v>
      </c>
      <c r="I48" t="str">
        <f t="shared" si="1"/>
        <v>Medium centralized biomass gasification w/ CCS-Flexibility</v>
      </c>
      <c r="J48" s="54">
        <f t="shared" ca="1" si="2"/>
        <v>0</v>
      </c>
    </row>
    <row r="49" spans="2:10" x14ac:dyDescent="0.25">
      <c r="B49" s="114" t="s">
        <v>55</v>
      </c>
      <c r="C49" s="54" t="s">
        <v>213</v>
      </c>
      <c r="D49" s="244">
        <f ca="1">IF(timePeriod="2020-30",'Merit calculation'!BZ22,OFFSET('Merit calculation'!BZ22,0,2))</f>
        <v>0</v>
      </c>
      <c r="E49">
        <v>42</v>
      </c>
      <c r="F49" t="str">
        <f>IF(ISNUMBER(SEARCH('(3) FCH technology assessment'!$B$18,C49)),E49,"")</f>
        <v/>
      </c>
      <c r="G49" t="str">
        <f t="shared" si="0"/>
        <v/>
      </c>
      <c r="H49" s="54" t="s">
        <v>80</v>
      </c>
      <c r="I49" t="str">
        <f t="shared" si="1"/>
        <v>Small decentralized biomass gasification-Flexibility</v>
      </c>
      <c r="J49" s="54">
        <f t="shared" ca="1" si="2"/>
        <v>0</v>
      </c>
    </row>
    <row r="50" spans="2:10" x14ac:dyDescent="0.25">
      <c r="B50" s="114" t="s">
        <v>56</v>
      </c>
      <c r="C50" s="54" t="s">
        <v>213</v>
      </c>
      <c r="D50" s="244">
        <f ca="1">IF(timePeriod="2020-30",'Merit calculation'!BZ23,OFFSET('Merit calculation'!BZ23,0,2))</f>
        <v>0</v>
      </c>
      <c r="E50">
        <v>43</v>
      </c>
      <c r="F50" t="str">
        <f>IF(ISNUMBER(SEARCH('(3) FCH technology assessment'!$B$18,C50)),E50,"")</f>
        <v/>
      </c>
      <c r="G50" t="str">
        <f t="shared" si="0"/>
        <v/>
      </c>
      <c r="H50" s="54" t="s">
        <v>80</v>
      </c>
      <c r="I50" t="str">
        <f t="shared" si="1"/>
        <v>Large centralized biomass steam reforming -Flexibility</v>
      </c>
      <c r="J50" s="54">
        <f t="shared" ca="1" si="2"/>
        <v>0</v>
      </c>
    </row>
    <row r="51" spans="2:10" x14ac:dyDescent="0.25">
      <c r="B51" s="61" t="s">
        <v>57</v>
      </c>
      <c r="C51" s="54" t="s">
        <v>213</v>
      </c>
      <c r="D51" s="244">
        <f ca="1">IF(timePeriod="2020-30",'Merit calculation'!BZ24,OFFSET('Merit calculation'!BZ24,0,2))</f>
        <v>0</v>
      </c>
      <c r="E51">
        <v>44</v>
      </c>
      <c r="F51" t="str">
        <f>IF(ISNUMBER(SEARCH('(3) FCH technology assessment'!$B$18,C51)),E51,"")</f>
        <v/>
      </c>
      <c r="G51" t="str">
        <f t="shared" si="0"/>
        <v/>
      </c>
      <c r="H51" s="54" t="s">
        <v>80</v>
      </c>
      <c r="I51" t="str">
        <f t="shared" si="1"/>
        <v>Large centralized natural gas steam reforming-Flexibility</v>
      </c>
      <c r="J51" s="54">
        <f t="shared" ca="1" si="2"/>
        <v>0</v>
      </c>
    </row>
    <row r="52" spans="2:10" x14ac:dyDescent="0.25">
      <c r="B52" s="114" t="s">
        <v>58</v>
      </c>
      <c r="C52" s="54" t="s">
        <v>213</v>
      </c>
      <c r="D52" s="244">
        <f ca="1">IF(timePeriod="2020-30",'Merit calculation'!BZ25,OFFSET('Merit calculation'!BZ25,0,2))</f>
        <v>0</v>
      </c>
      <c r="E52">
        <v>45</v>
      </c>
      <c r="F52" t="str">
        <f>IF(ISNUMBER(SEARCH('(3) FCH technology assessment'!$B$18,C52)),E52,"")</f>
        <v/>
      </c>
      <c r="G52" t="str">
        <f t="shared" si="0"/>
        <v/>
      </c>
      <c r="H52" s="54" t="s">
        <v>80</v>
      </c>
      <c r="I52" t="str">
        <f t="shared" si="1"/>
        <v>Small centralized natural gas steam reforming-Flexibility</v>
      </c>
      <c r="J52" s="54">
        <f t="shared" ca="1" si="2"/>
        <v>0</v>
      </c>
    </row>
    <row r="53" spans="2:10" x14ac:dyDescent="0.25">
      <c r="B53" s="114" t="s">
        <v>59</v>
      </c>
      <c r="C53" s="54" t="s">
        <v>213</v>
      </c>
      <c r="D53" s="244">
        <f ca="1">IF(timePeriod="2020-30",'Merit calculation'!BZ26,OFFSET('Merit calculation'!BZ26,0,2))</f>
        <v>0</v>
      </c>
      <c r="E53">
        <v>46</v>
      </c>
      <c r="F53" t="str">
        <f>IF(ISNUMBER(SEARCH('(3) FCH technology assessment'!$B$18,C53)),E53,"")</f>
        <v/>
      </c>
      <c r="G53" t="str">
        <f t="shared" si="0"/>
        <v/>
      </c>
      <c r="H53" s="54" t="s">
        <v>80</v>
      </c>
      <c r="I53" t="str">
        <f t="shared" si="1"/>
        <v>Medium decentralized natural gas steam reforming-Flexibility</v>
      </c>
      <c r="J53" s="54">
        <f t="shared" ca="1" si="2"/>
        <v>0</v>
      </c>
    </row>
    <row r="54" spans="2:10" x14ac:dyDescent="0.25">
      <c r="B54" s="114" t="s">
        <v>60</v>
      </c>
      <c r="C54" s="54" t="s">
        <v>213</v>
      </c>
      <c r="D54" s="244">
        <f ca="1">IF(timePeriod="2020-30",'Merit calculation'!BZ27,OFFSET('Merit calculation'!BZ27,0,2))</f>
        <v>0</v>
      </c>
      <c r="E54">
        <v>47</v>
      </c>
      <c r="F54" t="str">
        <f>IF(ISNUMBER(SEARCH('(3) FCH technology assessment'!$B$18,C54)),E54,"")</f>
        <v/>
      </c>
      <c r="G54" t="str">
        <f t="shared" si="0"/>
        <v/>
      </c>
      <c r="H54" s="54" t="s">
        <v>80</v>
      </c>
      <c r="I54" t="str">
        <f t="shared" si="1"/>
        <v>Small decentralized natural gas steam reforming-Flexibility</v>
      </c>
      <c r="J54" s="54">
        <f t="shared" ca="1" si="2"/>
        <v>0</v>
      </c>
    </row>
    <row r="55" spans="2:10" x14ac:dyDescent="0.25">
      <c r="B55" s="114" t="s">
        <v>174</v>
      </c>
      <c r="C55" s="54" t="s">
        <v>213</v>
      </c>
      <c r="D55" s="244">
        <f ca="1">IF(timePeriod="2020-30",'Merit calculation'!BZ28,OFFSET('Merit calculation'!BZ28,0,2))</f>
        <v>0</v>
      </c>
      <c r="E55">
        <v>48</v>
      </c>
      <c r="F55" t="str">
        <f>IF(ISNUMBER(SEARCH('(3) FCH technology assessment'!$B$18,C55)),E55,"")</f>
        <v/>
      </c>
      <c r="G55" t="str">
        <f t="shared" si="0"/>
        <v/>
      </c>
      <c r="H55" s="54" t="s">
        <v>80</v>
      </c>
      <c r="I55" t="str">
        <f t="shared" si="1"/>
        <v>Natural gas production-Flexibility</v>
      </c>
      <c r="J55" s="54">
        <f t="shared" ca="1" si="2"/>
        <v>0</v>
      </c>
    </row>
    <row r="56" spans="2:10" x14ac:dyDescent="0.25">
      <c r="B56" s="114" t="s">
        <v>49</v>
      </c>
      <c r="C56" s="54" t="s">
        <v>540</v>
      </c>
      <c r="D56" s="245">
        <f ca="1">IF(timePeriod="2020-30",'Merit calculation'!CD17,OFFSET('Merit calculation'!CD17,0,2))</f>
        <v>100</v>
      </c>
      <c r="E56">
        <v>49</v>
      </c>
      <c r="F56" t="str">
        <f>IF(ISNUMBER(SEARCH('(3) FCH technology assessment'!$B$18,C56)),E56,"")</f>
        <v/>
      </c>
      <c r="G56" t="str">
        <f t="shared" si="0"/>
        <v/>
      </c>
      <c r="H56" s="54" t="s">
        <v>534</v>
      </c>
      <c r="I56" t="str">
        <f t="shared" si="1"/>
        <v>Large centralized electrolysis-Regulatory coverage</v>
      </c>
      <c r="J56" s="59">
        <f t="shared" ca="1" si="2"/>
        <v>100</v>
      </c>
    </row>
    <row r="57" spans="2:10" x14ac:dyDescent="0.25">
      <c r="B57" s="114" t="s">
        <v>51</v>
      </c>
      <c r="C57" s="54" t="s">
        <v>540</v>
      </c>
      <c r="D57" s="245">
        <f ca="1">IF(timePeriod="2020-30",'Merit calculation'!CD18,OFFSET('Merit calculation'!CD18,0,2))</f>
        <v>100</v>
      </c>
      <c r="E57">
        <v>50</v>
      </c>
      <c r="F57" t="str">
        <f>IF(ISNUMBER(SEARCH('(3) FCH technology assessment'!$B$18,C57)),E57,"")</f>
        <v/>
      </c>
      <c r="G57" t="str">
        <f t="shared" si="0"/>
        <v/>
      </c>
      <c r="H57" s="54" t="s">
        <v>534</v>
      </c>
      <c r="I57" t="str">
        <f t="shared" si="1"/>
        <v>Medium centralized electrolysis-Regulatory coverage</v>
      </c>
      <c r="J57" s="59">
        <f t="shared" ca="1" si="2"/>
        <v>100</v>
      </c>
    </row>
    <row r="58" spans="2:10" x14ac:dyDescent="0.25">
      <c r="B58" s="114" t="s">
        <v>52</v>
      </c>
      <c r="C58" s="54" t="s">
        <v>540</v>
      </c>
      <c r="D58" s="245">
        <f ca="1">IF(timePeriod="2020-30",'Merit calculation'!CD19,OFFSET('Merit calculation'!CD19,0,2))</f>
        <v>100</v>
      </c>
      <c r="E58">
        <v>51</v>
      </c>
      <c r="F58" t="str">
        <f>IF(ISNUMBER(SEARCH('(3) FCH technology assessment'!$B$18,C58)),E58,"")</f>
        <v/>
      </c>
      <c r="G58" t="str">
        <f t="shared" si="0"/>
        <v/>
      </c>
      <c r="H58" s="54" t="s">
        <v>534</v>
      </c>
      <c r="I58" t="str">
        <f t="shared" si="1"/>
        <v>Small decentralized electrolysis-Regulatory coverage</v>
      </c>
      <c r="J58" s="59">
        <f t="shared" ca="1" si="2"/>
        <v>100</v>
      </c>
    </row>
    <row r="59" spans="2:10" x14ac:dyDescent="0.25">
      <c r="B59" s="114" t="s">
        <v>53</v>
      </c>
      <c r="C59" s="54" t="s">
        <v>540</v>
      </c>
      <c r="D59" s="245">
        <f ca="1">IF(timePeriod="2020-30",'Merit calculation'!CD20,OFFSET('Merit calculation'!CD20,0,2))</f>
        <v>100</v>
      </c>
      <c r="E59">
        <v>52</v>
      </c>
      <c r="F59" t="str">
        <f>IF(ISNUMBER(SEARCH('(3) FCH technology assessment'!$B$18,C59)),E59,"")</f>
        <v/>
      </c>
      <c r="G59" t="str">
        <f t="shared" si="0"/>
        <v/>
      </c>
      <c r="H59" s="54" t="s">
        <v>534</v>
      </c>
      <c r="I59" t="str">
        <f t="shared" si="1"/>
        <v>Medium centralized biomass gasification-Regulatory coverage</v>
      </c>
      <c r="J59" s="59">
        <f t="shared" ca="1" si="2"/>
        <v>100</v>
      </c>
    </row>
    <row r="60" spans="2:10" x14ac:dyDescent="0.25">
      <c r="B60" s="61" t="s">
        <v>54</v>
      </c>
      <c r="C60" s="54" t="s">
        <v>540</v>
      </c>
      <c r="D60" s="245">
        <f ca="1">IF(timePeriod="2020-30",'Merit calculation'!CD21,OFFSET('Merit calculation'!CD21,0,2))</f>
        <v>80</v>
      </c>
      <c r="E60">
        <v>53</v>
      </c>
      <c r="F60" t="str">
        <f>IF(ISNUMBER(SEARCH('(3) FCH technology assessment'!$B$18,C60)),E60,"")</f>
        <v/>
      </c>
      <c r="G60" t="str">
        <f t="shared" si="0"/>
        <v/>
      </c>
      <c r="H60" s="54" t="s">
        <v>534</v>
      </c>
      <c r="I60" t="str">
        <f t="shared" si="1"/>
        <v>Medium centralized biomass gasification w/ CCS-Regulatory coverage</v>
      </c>
      <c r="J60" s="59">
        <f t="shared" ca="1" si="2"/>
        <v>80</v>
      </c>
    </row>
    <row r="61" spans="2:10" x14ac:dyDescent="0.25">
      <c r="B61" s="114" t="s">
        <v>55</v>
      </c>
      <c r="C61" s="54" t="s">
        <v>540</v>
      </c>
      <c r="D61" s="245">
        <f ca="1">IF(timePeriod="2020-30",'Merit calculation'!CD22,OFFSET('Merit calculation'!CD22,0,2))</f>
        <v>100</v>
      </c>
      <c r="E61">
        <v>54</v>
      </c>
      <c r="F61" t="str">
        <f>IF(ISNUMBER(SEARCH('(3) FCH technology assessment'!$B$18,C61)),E61,"")</f>
        <v/>
      </c>
      <c r="G61" t="str">
        <f t="shared" si="0"/>
        <v/>
      </c>
      <c r="H61" s="54" t="s">
        <v>534</v>
      </c>
      <c r="I61" t="str">
        <f t="shared" si="1"/>
        <v>Small decentralized biomass gasification-Regulatory coverage</v>
      </c>
      <c r="J61" s="59">
        <f t="shared" ca="1" si="2"/>
        <v>100</v>
      </c>
    </row>
    <row r="62" spans="2:10" x14ac:dyDescent="0.25">
      <c r="B62" s="114" t="s">
        <v>56</v>
      </c>
      <c r="C62" s="54" t="s">
        <v>540</v>
      </c>
      <c r="D62" s="245">
        <f ca="1">IF(timePeriod="2020-30",'Merit calculation'!CD23,OFFSET('Merit calculation'!CD23,0,2))</f>
        <v>100</v>
      </c>
      <c r="E62">
        <v>55</v>
      </c>
      <c r="F62" t="str">
        <f>IF(ISNUMBER(SEARCH('(3) FCH technology assessment'!$B$18,C62)),E62,"")</f>
        <v/>
      </c>
      <c r="G62" t="str">
        <f t="shared" si="0"/>
        <v/>
      </c>
      <c r="H62" s="54" t="s">
        <v>534</v>
      </c>
      <c r="I62" t="str">
        <f t="shared" si="1"/>
        <v>Large centralized biomass steam reforming -Regulatory coverage</v>
      </c>
      <c r="J62" s="59">
        <f t="shared" ca="1" si="2"/>
        <v>100</v>
      </c>
    </row>
    <row r="63" spans="2:10" x14ac:dyDescent="0.25">
      <c r="B63" s="61" t="s">
        <v>57</v>
      </c>
      <c r="C63" s="54" t="s">
        <v>540</v>
      </c>
      <c r="D63" s="245">
        <f ca="1">IF(timePeriod="2020-30",'Merit calculation'!CD24,OFFSET('Merit calculation'!CD24,0,2))</f>
        <v>100</v>
      </c>
      <c r="E63">
        <v>56</v>
      </c>
      <c r="F63" t="str">
        <f>IF(ISNUMBER(SEARCH('(3) FCH technology assessment'!$B$18,C63)),E63,"")</f>
        <v/>
      </c>
      <c r="G63" t="str">
        <f t="shared" si="0"/>
        <v/>
      </c>
      <c r="H63" s="54" t="s">
        <v>534</v>
      </c>
      <c r="I63" t="str">
        <f t="shared" si="1"/>
        <v>Large centralized natural gas steam reforming-Regulatory coverage</v>
      </c>
      <c r="J63" s="59">
        <f t="shared" ca="1" si="2"/>
        <v>100</v>
      </c>
    </row>
    <row r="64" spans="2:10" x14ac:dyDescent="0.25">
      <c r="B64" s="114" t="s">
        <v>58</v>
      </c>
      <c r="C64" s="54" t="s">
        <v>540</v>
      </c>
      <c r="D64" s="245">
        <f ca="1">IF(timePeriod="2020-30",'Merit calculation'!CD25,OFFSET('Merit calculation'!CD25,0,2))</f>
        <v>100</v>
      </c>
      <c r="E64">
        <v>57</v>
      </c>
      <c r="F64" t="str">
        <f>IF(ISNUMBER(SEARCH('(3) FCH technology assessment'!$B$18,C64)),E64,"")</f>
        <v/>
      </c>
      <c r="G64" t="str">
        <f t="shared" si="0"/>
        <v/>
      </c>
      <c r="H64" s="54" t="s">
        <v>534</v>
      </c>
      <c r="I64" t="str">
        <f t="shared" si="1"/>
        <v>Small centralized natural gas steam reforming-Regulatory coverage</v>
      </c>
      <c r="J64" s="59">
        <f t="shared" ca="1" si="2"/>
        <v>100</v>
      </c>
    </row>
    <row r="65" spans="2:10" x14ac:dyDescent="0.25">
      <c r="B65" s="114" t="s">
        <v>59</v>
      </c>
      <c r="C65" s="54" t="s">
        <v>540</v>
      </c>
      <c r="D65" s="245">
        <f ca="1">IF(timePeriod="2020-30",'Merit calculation'!CD26,OFFSET('Merit calculation'!CD26,0,2))</f>
        <v>100</v>
      </c>
      <c r="E65">
        <v>58</v>
      </c>
      <c r="F65" t="str">
        <f>IF(ISNUMBER(SEARCH('(3) FCH technology assessment'!$B$18,C65)),E65,"")</f>
        <v/>
      </c>
      <c r="G65" t="str">
        <f t="shared" si="0"/>
        <v/>
      </c>
      <c r="H65" s="54" t="s">
        <v>534</v>
      </c>
      <c r="I65" t="str">
        <f t="shared" si="1"/>
        <v>Medium decentralized natural gas steam reforming-Regulatory coverage</v>
      </c>
      <c r="J65" s="59">
        <f t="shared" ca="1" si="2"/>
        <v>100</v>
      </c>
    </row>
    <row r="66" spans="2:10" x14ac:dyDescent="0.25">
      <c r="B66" s="114" t="s">
        <v>60</v>
      </c>
      <c r="C66" s="54" t="s">
        <v>540</v>
      </c>
      <c r="D66" s="245">
        <f ca="1">IF(timePeriod="2020-30",'Merit calculation'!CD27,OFFSET('Merit calculation'!CD27,0,2))</f>
        <v>100</v>
      </c>
      <c r="E66">
        <v>59</v>
      </c>
      <c r="F66" t="str">
        <f>IF(ISNUMBER(SEARCH('(3) FCH technology assessment'!$B$18,C66)),E66,"")</f>
        <v/>
      </c>
      <c r="G66" t="str">
        <f t="shared" si="0"/>
        <v/>
      </c>
      <c r="H66" s="54" t="s">
        <v>534</v>
      </c>
      <c r="I66" t="str">
        <f t="shared" si="1"/>
        <v>Small decentralized natural gas steam reforming-Regulatory coverage</v>
      </c>
      <c r="J66" s="59">
        <f t="shared" ca="1" si="2"/>
        <v>100</v>
      </c>
    </row>
    <row r="67" spans="2:10" x14ac:dyDescent="0.25">
      <c r="B67" s="114" t="s">
        <v>174</v>
      </c>
      <c r="C67" s="54" t="s">
        <v>540</v>
      </c>
      <c r="D67" s="245">
        <f ca="1">IF(timePeriod="2020-30",'Merit calculation'!CD28,OFFSET('Merit calculation'!CD28,0,2))</f>
        <v>100</v>
      </c>
      <c r="E67">
        <v>60</v>
      </c>
      <c r="F67" t="str">
        <f>IF(ISNUMBER(SEARCH('(3) FCH technology assessment'!$B$18,C67)),E67,"")</f>
        <v/>
      </c>
      <c r="G67" t="str">
        <f t="shared" si="0"/>
        <v/>
      </c>
      <c r="H67" s="54" t="s">
        <v>534</v>
      </c>
      <c r="I67" t="str">
        <f t="shared" si="1"/>
        <v>Natural gas production-Regulatory coverage</v>
      </c>
      <c r="J67" s="59">
        <f t="shared" ca="1" si="2"/>
        <v>100</v>
      </c>
    </row>
    <row r="68" spans="2:10" x14ac:dyDescent="0.25">
      <c r="B68" s="114" t="s">
        <v>49</v>
      </c>
      <c r="C68" s="443" t="s">
        <v>515</v>
      </c>
      <c r="D68" s="246">
        <f ca="1">IF(timePeriod="2020-30",'Merit calculation'!CH17,OFFSET('Merit calculation'!CH17,0,2))</f>
        <v>80</v>
      </c>
      <c r="E68">
        <v>61</v>
      </c>
      <c r="F68" t="str">
        <f>IF(ISNUMBER(SEARCH('(3) FCH technology assessment'!$B$18,C68)),E68,"")</f>
        <v/>
      </c>
      <c r="G68" t="str">
        <f t="shared" si="0"/>
        <v/>
      </c>
      <c r="H68" s="54" t="s">
        <v>82</v>
      </c>
      <c r="I68" t="str">
        <f t="shared" si="1"/>
        <v>Large centralized electrolysis-Public acceptability</v>
      </c>
      <c r="J68" s="247">
        <f t="shared" ca="1" si="2"/>
        <v>80</v>
      </c>
    </row>
    <row r="69" spans="2:10" x14ac:dyDescent="0.25">
      <c r="B69" s="114" t="s">
        <v>51</v>
      </c>
      <c r="C69" s="443" t="s">
        <v>515</v>
      </c>
      <c r="D69" s="246">
        <f ca="1">IF(timePeriod="2020-30",'Merit calculation'!CH18,OFFSET('Merit calculation'!CH18,0,2))</f>
        <v>90</v>
      </c>
      <c r="E69">
        <v>62</v>
      </c>
      <c r="F69" t="str">
        <f>IF(ISNUMBER(SEARCH('(3) FCH technology assessment'!$B$18,C69)),E69,"")</f>
        <v/>
      </c>
      <c r="G69" t="str">
        <f t="shared" si="0"/>
        <v/>
      </c>
      <c r="H69" s="54" t="s">
        <v>82</v>
      </c>
      <c r="I69" t="str">
        <f t="shared" si="1"/>
        <v>Medium centralized electrolysis-Public acceptability</v>
      </c>
      <c r="J69" s="247">
        <f t="shared" ca="1" si="2"/>
        <v>90</v>
      </c>
    </row>
    <row r="70" spans="2:10" x14ac:dyDescent="0.25">
      <c r="B70" s="114" t="s">
        <v>52</v>
      </c>
      <c r="C70" s="443" t="s">
        <v>515</v>
      </c>
      <c r="D70" s="246">
        <f ca="1">IF(timePeriod="2020-30",'Merit calculation'!CH19,OFFSET('Merit calculation'!CH19,0,2))</f>
        <v>90</v>
      </c>
      <c r="E70">
        <v>63</v>
      </c>
      <c r="F70" t="str">
        <f>IF(ISNUMBER(SEARCH('(3) FCH technology assessment'!$B$18,C70)),E70,"")</f>
        <v/>
      </c>
      <c r="G70" t="str">
        <f t="shared" si="0"/>
        <v/>
      </c>
      <c r="H70" s="54" t="s">
        <v>82</v>
      </c>
      <c r="I70" t="str">
        <f t="shared" si="1"/>
        <v>Small decentralized electrolysis-Public acceptability</v>
      </c>
      <c r="J70" s="247">
        <f t="shared" ca="1" si="2"/>
        <v>90</v>
      </c>
    </row>
    <row r="71" spans="2:10" x14ac:dyDescent="0.25">
      <c r="B71" s="114" t="s">
        <v>53</v>
      </c>
      <c r="C71" s="443" t="s">
        <v>515</v>
      </c>
      <c r="D71" s="246">
        <f ca="1">IF(timePeriod="2020-30",'Merit calculation'!CH20,OFFSET('Merit calculation'!CH20,0,2))</f>
        <v>70</v>
      </c>
      <c r="E71">
        <v>64</v>
      </c>
      <c r="F71" t="str">
        <f>IF(ISNUMBER(SEARCH('(3) FCH technology assessment'!$B$18,C71)),E71,"")</f>
        <v/>
      </c>
      <c r="G71" t="str">
        <f t="shared" si="0"/>
        <v/>
      </c>
      <c r="H71" s="54" t="s">
        <v>82</v>
      </c>
      <c r="I71" t="str">
        <f t="shared" si="1"/>
        <v>Medium centralized biomass gasification-Public acceptability</v>
      </c>
      <c r="J71" s="247">
        <f t="shared" ca="1" si="2"/>
        <v>70</v>
      </c>
    </row>
    <row r="72" spans="2:10" x14ac:dyDescent="0.25">
      <c r="B72" s="61" t="s">
        <v>54</v>
      </c>
      <c r="C72" s="443" t="s">
        <v>515</v>
      </c>
      <c r="D72" s="246">
        <f ca="1">IF(timePeriod="2020-30",'Merit calculation'!CH21,OFFSET('Merit calculation'!CH21,0,2))</f>
        <v>60</v>
      </c>
      <c r="E72">
        <v>65</v>
      </c>
      <c r="F72" t="str">
        <f>IF(ISNUMBER(SEARCH('(3) FCH technology assessment'!$B$18,C72)),E72,"")</f>
        <v/>
      </c>
      <c r="G72" t="str">
        <f t="shared" si="0"/>
        <v/>
      </c>
      <c r="H72" s="54" t="s">
        <v>82</v>
      </c>
      <c r="I72" t="str">
        <f t="shared" si="1"/>
        <v>Medium centralized biomass gasification w/ CCS-Public acceptability</v>
      </c>
      <c r="J72" s="247">
        <f t="shared" ca="1" si="2"/>
        <v>60</v>
      </c>
    </row>
    <row r="73" spans="2:10" x14ac:dyDescent="0.25">
      <c r="B73" s="114" t="s">
        <v>55</v>
      </c>
      <c r="C73" s="443" t="s">
        <v>515</v>
      </c>
      <c r="D73" s="246">
        <f ca="1">IF(timePeriod="2020-30",'Merit calculation'!CH22,OFFSET('Merit calculation'!CH22,0,2))</f>
        <v>70</v>
      </c>
      <c r="E73">
        <v>66</v>
      </c>
      <c r="F73" t="str">
        <f>IF(ISNUMBER(SEARCH('(3) FCH technology assessment'!$B$18,C73)),E73,"")</f>
        <v/>
      </c>
      <c r="G73" t="str">
        <f t="shared" ref="G73:G79" si="3">IFERROR(SMALL($F$8:$F$79,E73),"")</f>
        <v/>
      </c>
      <c r="H73" s="54" t="s">
        <v>82</v>
      </c>
      <c r="I73" t="str">
        <f t="shared" si="1"/>
        <v>Small decentralized biomass gasification-Public acceptability</v>
      </c>
      <c r="J73" s="247">
        <f t="shared" ca="1" si="2"/>
        <v>70</v>
      </c>
    </row>
    <row r="74" spans="2:10" x14ac:dyDescent="0.25">
      <c r="B74" s="114" t="s">
        <v>56</v>
      </c>
      <c r="C74" s="443" t="s">
        <v>515</v>
      </c>
      <c r="D74" s="246">
        <f ca="1">IF(timePeriod="2020-30",'Merit calculation'!CH23,OFFSET('Merit calculation'!CH23,0,2))</f>
        <v>80</v>
      </c>
      <c r="E74">
        <v>67</v>
      </c>
      <c r="F74" t="str">
        <f>IF(ISNUMBER(SEARCH('(3) FCH technology assessment'!$B$18,C74)),E74,"")</f>
        <v/>
      </c>
      <c r="G74" t="str">
        <f t="shared" si="3"/>
        <v/>
      </c>
      <c r="H74" s="54" t="s">
        <v>82</v>
      </c>
      <c r="I74" t="str">
        <f t="shared" si="1"/>
        <v>Large centralized biomass steam reforming -Public acceptability</v>
      </c>
      <c r="J74" s="247">
        <f t="shared" ca="1" si="2"/>
        <v>80</v>
      </c>
    </row>
    <row r="75" spans="2:10" x14ac:dyDescent="0.25">
      <c r="B75" s="61" t="s">
        <v>57</v>
      </c>
      <c r="C75" s="443" t="s">
        <v>515</v>
      </c>
      <c r="D75" s="246">
        <f ca="1">IF(timePeriod="2020-30",'Merit calculation'!CH24,OFFSET('Merit calculation'!CH24,0,2))</f>
        <v>90</v>
      </c>
      <c r="E75">
        <v>68</v>
      </c>
      <c r="F75" t="str">
        <f>IF(ISNUMBER(SEARCH('(3) FCH technology assessment'!$B$18,C75)),E75,"")</f>
        <v/>
      </c>
      <c r="G75" t="str">
        <f t="shared" si="3"/>
        <v/>
      </c>
      <c r="H75" s="54" t="s">
        <v>82</v>
      </c>
      <c r="I75" t="str">
        <f t="shared" si="1"/>
        <v>Large centralized natural gas steam reforming-Public acceptability</v>
      </c>
      <c r="J75" s="247">
        <f t="shared" ca="1" si="2"/>
        <v>90</v>
      </c>
    </row>
    <row r="76" spans="2:10" x14ac:dyDescent="0.25">
      <c r="B76" s="114" t="s">
        <v>58</v>
      </c>
      <c r="C76" s="443" t="s">
        <v>515</v>
      </c>
      <c r="D76" s="246">
        <f ca="1">IF(timePeriod="2020-30",'Merit calculation'!CH25,OFFSET('Merit calculation'!CH25,0,2))</f>
        <v>90</v>
      </c>
      <c r="E76">
        <v>69</v>
      </c>
      <c r="F76" t="str">
        <f>IF(ISNUMBER(SEARCH('(3) FCH technology assessment'!$B$18,C76)),E76,"")</f>
        <v/>
      </c>
      <c r="G76" t="str">
        <f t="shared" si="3"/>
        <v/>
      </c>
      <c r="H76" s="54" t="s">
        <v>82</v>
      </c>
      <c r="I76" t="str">
        <f t="shared" si="1"/>
        <v>Small centralized natural gas steam reforming-Public acceptability</v>
      </c>
      <c r="J76" s="247">
        <f t="shared" ca="1" si="2"/>
        <v>90</v>
      </c>
    </row>
    <row r="77" spans="2:10" x14ac:dyDescent="0.25">
      <c r="B77" s="114" t="s">
        <v>59</v>
      </c>
      <c r="C77" s="443" t="s">
        <v>515</v>
      </c>
      <c r="D77" s="246">
        <f ca="1">IF(timePeriod="2020-30",'Merit calculation'!CH26,OFFSET('Merit calculation'!CH26,0,2))</f>
        <v>100</v>
      </c>
      <c r="E77">
        <v>70</v>
      </c>
      <c r="F77" t="str">
        <f>IF(ISNUMBER(SEARCH('(3) FCH technology assessment'!$B$18,C77)),E77,"")</f>
        <v/>
      </c>
      <c r="G77" t="str">
        <f t="shared" si="3"/>
        <v/>
      </c>
      <c r="H77" s="54" t="s">
        <v>82</v>
      </c>
      <c r="I77" t="str">
        <f t="shared" si="1"/>
        <v>Medium decentralized natural gas steam reforming-Public acceptability</v>
      </c>
      <c r="J77" s="247">
        <f t="shared" ca="1" si="2"/>
        <v>100</v>
      </c>
    </row>
    <row r="78" spans="2:10" x14ac:dyDescent="0.25">
      <c r="B78" s="114" t="s">
        <v>60</v>
      </c>
      <c r="C78" s="443" t="s">
        <v>515</v>
      </c>
      <c r="D78" s="246">
        <f ca="1">IF(timePeriod="2020-30",'Merit calculation'!CH27,OFFSET('Merit calculation'!CH27,0,2))</f>
        <v>100</v>
      </c>
      <c r="E78">
        <v>71</v>
      </c>
      <c r="F78" t="str">
        <f>IF(ISNUMBER(SEARCH('(3) FCH technology assessment'!$B$18,C78)),E78,"")</f>
        <v/>
      </c>
      <c r="G78" t="str">
        <f t="shared" si="3"/>
        <v/>
      </c>
      <c r="H78" s="54" t="s">
        <v>82</v>
      </c>
      <c r="I78" t="str">
        <f>CONCATENATE(B78,"-",H78)</f>
        <v>Small decentralized natural gas steam reforming-Public acceptability</v>
      </c>
      <c r="J78" s="247">
        <f ca="1">D78</f>
        <v>100</v>
      </c>
    </row>
    <row r="79" spans="2:10" x14ac:dyDescent="0.25">
      <c r="B79" s="114" t="s">
        <v>174</v>
      </c>
      <c r="C79" s="443" t="s">
        <v>515</v>
      </c>
      <c r="D79" s="246">
        <f ca="1">IF(timePeriod="2020-30",'Merit calculation'!CH28,OFFSET('Merit calculation'!CH28,0,2))</f>
        <v>100</v>
      </c>
      <c r="E79">
        <v>72</v>
      </c>
      <c r="F79" t="str">
        <f>IF(ISNUMBER(SEARCH('(3) FCH technology assessment'!$B$18,C79)),E79,"")</f>
        <v/>
      </c>
      <c r="G79" t="str">
        <f t="shared" si="3"/>
        <v/>
      </c>
      <c r="H79" s="54" t="s">
        <v>82</v>
      </c>
      <c r="I79" t="str">
        <f>CONCATENATE(B79,"-",H79)</f>
        <v>Natural gas production-Public acceptability</v>
      </c>
      <c r="J79" s="247">
        <f ca="1">D79</f>
        <v>100</v>
      </c>
    </row>
    <row r="80" spans="2:10" x14ac:dyDescent="0.25">
      <c r="B80" s="114"/>
      <c r="C80" s="54"/>
      <c r="D80" s="246"/>
      <c r="G80" s="54"/>
      <c r="H80" s="54"/>
      <c r="I80" s="54"/>
    </row>
    <row r="81" spans="2:10" x14ac:dyDescent="0.25">
      <c r="B81" s="114"/>
      <c r="C81" s="54"/>
      <c r="D81" s="54"/>
      <c r="E81" s="59"/>
      <c r="F81" s="59"/>
      <c r="G81" s="54"/>
      <c r="H81" s="54"/>
      <c r="I81" s="54"/>
    </row>
    <row r="82" spans="2:10" x14ac:dyDescent="0.25">
      <c r="B82" s="114"/>
      <c r="C82" s="54"/>
      <c r="D82" s="54"/>
      <c r="E82" s="59"/>
      <c r="F82" s="59"/>
      <c r="G82" s="54"/>
      <c r="H82" s="54"/>
      <c r="I82" s="54"/>
    </row>
    <row r="83" spans="2:10" s="10" customFormat="1" ht="23.25" x14ac:dyDescent="0.35">
      <c r="B83" s="9" t="s">
        <v>330</v>
      </c>
      <c r="C83" s="9"/>
      <c r="D83" s="9"/>
      <c r="E83" s="9"/>
      <c r="F83" s="9"/>
      <c r="G83" s="9"/>
      <c r="H83" s="9"/>
      <c r="I83" s="9"/>
    </row>
    <row r="85" spans="2:10" x14ac:dyDescent="0.25">
      <c r="B85" s="15" t="s">
        <v>142</v>
      </c>
      <c r="C85" s="15" t="s">
        <v>143</v>
      </c>
      <c r="D85" s="15" t="s">
        <v>144</v>
      </c>
      <c r="E85" s="15" t="s">
        <v>325</v>
      </c>
      <c r="F85" s="15" t="s">
        <v>326</v>
      </c>
      <c r="G85" s="15" t="s">
        <v>327</v>
      </c>
      <c r="H85" s="15"/>
      <c r="I85" s="15"/>
    </row>
    <row r="86" spans="2:10" x14ac:dyDescent="0.25">
      <c r="B86" s="60" t="s">
        <v>62</v>
      </c>
      <c r="C86" t="s">
        <v>141</v>
      </c>
      <c r="D86" s="248">
        <f ca="1">IF(timePeriod="2020-30",'Merit calculation'!BJ48,OFFSET('Merit calculation'!BJ48,0,2))</f>
        <v>1.2487610991343328E-2</v>
      </c>
      <c r="E86">
        <v>1</v>
      </c>
      <c r="F86">
        <f>IF(ISNUMBER(SEARCH('(3) FCH technology assessment'!$B$42,C86)),E86,"")</f>
        <v>1</v>
      </c>
      <c r="G86">
        <f>IFERROR(SMALL($F$86:$F$105,E86),"")</f>
        <v>1</v>
      </c>
      <c r="H86" t="s">
        <v>72</v>
      </c>
      <c r="I86" t="str">
        <f>CONCATENATE(B86,"-",H86)</f>
        <v>Underground storage-Levelized cost</v>
      </c>
      <c r="J86" s="54">
        <f ca="1">D86</f>
        <v>1.2487610991343328E-2</v>
      </c>
    </row>
    <row r="87" spans="2:10" x14ac:dyDescent="0.25">
      <c r="B87" s="60" t="s">
        <v>155</v>
      </c>
      <c r="C87" t="s">
        <v>141</v>
      </c>
      <c r="D87" s="248">
        <f ca="1">IF(timePeriod="2020-30",'Merit calculation'!BJ49,OFFSET('Merit calculation'!BJ49,0,2))</f>
        <v>6.2696063448273304E-2</v>
      </c>
      <c r="E87">
        <v>2</v>
      </c>
      <c r="F87">
        <f>IF(ISNUMBER(SEARCH('(3) FCH technology assessment'!$B$42,C87)),E87,"")</f>
        <v>2</v>
      </c>
      <c r="G87">
        <f t="shared" ref="G87:G105" si="4">IFERROR(SMALL($F$86:$F$105,E87),"")</f>
        <v>2</v>
      </c>
      <c r="H87" t="s">
        <v>72</v>
      </c>
      <c r="I87" t="str">
        <f t="shared" ref="I87:I105" si="5">CONCATENATE(B87,"-",H87)</f>
        <v>Central gas storage-Levelized cost</v>
      </c>
      <c r="J87" s="54">
        <f t="shared" ref="J87:J105" ca="1" si="6">D87</f>
        <v>6.2696063448273304E-2</v>
      </c>
    </row>
    <row r="88" spans="2:10" x14ac:dyDescent="0.25">
      <c r="B88" s="60" t="s">
        <v>130</v>
      </c>
      <c r="C88" t="s">
        <v>141</v>
      </c>
      <c r="D88" s="248">
        <f ca="1">IF(timePeriod="2020-30",'Merit calculation'!BJ50,OFFSET('Merit calculation'!BJ50,0,2))</f>
        <v>0.11145966835248589</v>
      </c>
      <c r="E88">
        <v>3</v>
      </c>
      <c r="F88">
        <f>IF(ISNUMBER(SEARCH('(3) FCH technology assessment'!$B$42,C88)),E88,"")</f>
        <v>3</v>
      </c>
      <c r="G88">
        <f t="shared" si="4"/>
        <v>3</v>
      </c>
      <c r="H88" t="s">
        <v>72</v>
      </c>
      <c r="I88" t="str">
        <f t="shared" si="5"/>
        <v>Distributed gas storage-Levelized cost</v>
      </c>
      <c r="J88" s="54">
        <f t="shared" ca="1" si="6"/>
        <v>0.11145966835248589</v>
      </c>
    </row>
    <row r="89" spans="2:10" x14ac:dyDescent="0.25">
      <c r="B89" s="61" t="s">
        <v>63</v>
      </c>
      <c r="C89" t="s">
        <v>141</v>
      </c>
      <c r="D89" s="248">
        <f ca="1">IF(timePeriod="2020-30",'Merit calculation'!BJ51,OFFSET('Merit calculation'!BJ51,0,2))</f>
        <v>0</v>
      </c>
      <c r="E89">
        <v>4</v>
      </c>
      <c r="F89">
        <f>IF(ISNUMBER(SEARCH('(3) FCH technology assessment'!$B$42,C89)),E89,"")</f>
        <v>4</v>
      </c>
      <c r="G89">
        <f t="shared" si="4"/>
        <v>4</v>
      </c>
      <c r="H89" t="s">
        <v>72</v>
      </c>
      <c r="I89" t="str">
        <f t="shared" si="5"/>
        <v>No storage-Levelized cost</v>
      </c>
      <c r="J89" s="54">
        <f t="shared" ca="1" si="6"/>
        <v>0</v>
      </c>
    </row>
    <row r="90" spans="2:10" x14ac:dyDescent="0.25">
      <c r="B90" s="61" t="s">
        <v>177</v>
      </c>
      <c r="C90" t="s">
        <v>141</v>
      </c>
      <c r="D90" s="248">
        <f ca="1">IF(timePeriod="2020-30",'Merit calculation'!BJ52,OFFSET('Merit calculation'!BJ52,0,2))</f>
        <v>0</v>
      </c>
      <c r="E90">
        <v>5</v>
      </c>
      <c r="F90">
        <f>IF(ISNUMBER(SEARCH('(3) FCH technology assessment'!$B$42,C90)),E90,"")</f>
        <v>5</v>
      </c>
      <c r="G90">
        <f t="shared" si="4"/>
        <v>5</v>
      </c>
      <c r="H90" t="s">
        <v>72</v>
      </c>
      <c r="I90" t="str">
        <f t="shared" si="5"/>
        <v>Natural gas storage-Levelized cost</v>
      </c>
      <c r="J90" s="54">
        <f t="shared" ca="1" si="6"/>
        <v>0</v>
      </c>
    </row>
    <row r="91" spans="2:10" x14ac:dyDescent="0.25">
      <c r="B91" s="60" t="s">
        <v>62</v>
      </c>
      <c r="C91" s="54" t="s">
        <v>212</v>
      </c>
      <c r="D91" s="249">
        <f ca="1">IF(timePeriod="2020-30",'Merit calculation'!BV48,OFFSET('Merit calculation'!BV48,0,2))</f>
        <v>6</v>
      </c>
      <c r="E91">
        <v>6</v>
      </c>
      <c r="F91" t="str">
        <f>IF(ISNUMBER(SEARCH('(3) FCH technology assessment'!$B$42,C91)),E91,"")</f>
        <v/>
      </c>
      <c r="G91" t="str">
        <f t="shared" si="4"/>
        <v/>
      </c>
      <c r="H91" s="54" t="s">
        <v>78</v>
      </c>
      <c r="I91" t="str">
        <f t="shared" si="5"/>
        <v>Underground storage-Maturity</v>
      </c>
      <c r="J91" s="59">
        <f t="shared" ca="1" si="6"/>
        <v>6</v>
      </c>
    </row>
    <row r="92" spans="2:10" x14ac:dyDescent="0.25">
      <c r="B92" s="60" t="s">
        <v>155</v>
      </c>
      <c r="C92" s="54" t="s">
        <v>212</v>
      </c>
      <c r="D92" s="249">
        <f ca="1">IF(timePeriod="2020-30",'Merit calculation'!BV49,OFFSET('Merit calculation'!BV49,0,2))</f>
        <v>9</v>
      </c>
      <c r="E92">
        <v>7</v>
      </c>
      <c r="F92" t="str">
        <f>IF(ISNUMBER(SEARCH('(3) FCH technology assessment'!$B$42,C92)),E92,"")</f>
        <v/>
      </c>
      <c r="G92" t="str">
        <f t="shared" si="4"/>
        <v/>
      </c>
      <c r="H92" s="54" t="s">
        <v>78</v>
      </c>
      <c r="I92" t="str">
        <f t="shared" si="5"/>
        <v>Central gas storage-Maturity</v>
      </c>
      <c r="J92" s="59">
        <f t="shared" ca="1" si="6"/>
        <v>9</v>
      </c>
    </row>
    <row r="93" spans="2:10" x14ac:dyDescent="0.25">
      <c r="B93" s="60" t="s">
        <v>130</v>
      </c>
      <c r="C93" s="54" t="s">
        <v>212</v>
      </c>
      <c r="D93" s="249">
        <f ca="1">IF(timePeriod="2020-30",'Merit calculation'!BV50,OFFSET('Merit calculation'!BV50,0,2))</f>
        <v>9</v>
      </c>
      <c r="E93">
        <v>8</v>
      </c>
      <c r="F93" t="str">
        <f>IF(ISNUMBER(SEARCH('(3) FCH technology assessment'!$B$42,C93)),E93,"")</f>
        <v/>
      </c>
      <c r="G93" t="str">
        <f t="shared" si="4"/>
        <v/>
      </c>
      <c r="H93" s="54" t="s">
        <v>78</v>
      </c>
      <c r="I93" t="str">
        <f t="shared" si="5"/>
        <v>Distributed gas storage-Maturity</v>
      </c>
      <c r="J93" s="59">
        <f t="shared" ca="1" si="6"/>
        <v>9</v>
      </c>
    </row>
    <row r="94" spans="2:10" x14ac:dyDescent="0.25">
      <c r="B94" s="61" t="s">
        <v>63</v>
      </c>
      <c r="C94" s="54" t="s">
        <v>212</v>
      </c>
      <c r="D94" s="249">
        <f ca="1">IF(timePeriod="2020-30",'Merit calculation'!BV51,OFFSET('Merit calculation'!BV51,0,2))</f>
        <v>9</v>
      </c>
      <c r="E94">
        <v>9</v>
      </c>
      <c r="F94" t="str">
        <f>IF(ISNUMBER(SEARCH('(3) FCH technology assessment'!$B$42,C94)),E94,"")</f>
        <v/>
      </c>
      <c r="G94" t="str">
        <f t="shared" si="4"/>
        <v/>
      </c>
      <c r="H94" s="54" t="s">
        <v>78</v>
      </c>
      <c r="I94" t="str">
        <f t="shared" si="5"/>
        <v>No storage-Maturity</v>
      </c>
      <c r="J94" s="59">
        <f t="shared" ca="1" si="6"/>
        <v>9</v>
      </c>
    </row>
    <row r="95" spans="2:10" x14ac:dyDescent="0.25">
      <c r="B95" s="61" t="s">
        <v>177</v>
      </c>
      <c r="C95" s="54" t="s">
        <v>212</v>
      </c>
      <c r="D95" s="249">
        <f ca="1">IF(timePeriod="2020-30",'Merit calculation'!BV52,OFFSET('Merit calculation'!BV52,0,2))</f>
        <v>9</v>
      </c>
      <c r="E95">
        <v>10</v>
      </c>
      <c r="F95" t="str">
        <f>IF(ISNUMBER(SEARCH('(3) FCH technology assessment'!$B$42,C95)),E95,"")</f>
        <v/>
      </c>
      <c r="G95" t="str">
        <f t="shared" si="4"/>
        <v/>
      </c>
      <c r="H95" s="54" t="s">
        <v>78</v>
      </c>
      <c r="I95" t="str">
        <f t="shared" si="5"/>
        <v>Natural gas storage-Maturity</v>
      </c>
      <c r="J95" s="59">
        <f t="shared" ca="1" si="6"/>
        <v>9</v>
      </c>
    </row>
    <row r="96" spans="2:10" x14ac:dyDescent="0.25">
      <c r="B96" s="60" t="s">
        <v>62</v>
      </c>
      <c r="C96" s="54" t="s">
        <v>540</v>
      </c>
      <c r="D96" s="245">
        <f ca="1">IF(timePeriod="2020-30",'Merit calculation'!CD48,OFFSET('Merit calculation'!CD48,0,2))</f>
        <v>0</v>
      </c>
      <c r="E96">
        <v>11</v>
      </c>
      <c r="F96" t="str">
        <f>IF(ISNUMBER(SEARCH('(3) FCH technology assessment'!$B$42,C96)),E96,"")</f>
        <v/>
      </c>
      <c r="G96" t="str">
        <f t="shared" si="4"/>
        <v/>
      </c>
      <c r="H96" s="54" t="s">
        <v>534</v>
      </c>
      <c r="I96" t="str">
        <f t="shared" si="5"/>
        <v>Underground storage-Regulatory coverage</v>
      </c>
      <c r="J96" s="59">
        <f t="shared" ca="1" si="6"/>
        <v>0</v>
      </c>
    </row>
    <row r="97" spans="2:10" x14ac:dyDescent="0.25">
      <c r="B97" s="60" t="s">
        <v>155</v>
      </c>
      <c r="C97" s="54" t="s">
        <v>540</v>
      </c>
      <c r="D97" s="245">
        <f ca="1">IF(timePeriod="2020-30",'Merit calculation'!CD49,OFFSET('Merit calculation'!CD49,0,2))</f>
        <v>80</v>
      </c>
      <c r="E97">
        <v>12</v>
      </c>
      <c r="F97" t="str">
        <f>IF(ISNUMBER(SEARCH('(3) FCH technology assessment'!$B$42,C97)),E97,"")</f>
        <v/>
      </c>
      <c r="G97" t="str">
        <f t="shared" si="4"/>
        <v/>
      </c>
      <c r="H97" s="54" t="s">
        <v>534</v>
      </c>
      <c r="I97" t="str">
        <f t="shared" si="5"/>
        <v>Central gas storage-Regulatory coverage</v>
      </c>
      <c r="J97" s="59">
        <f t="shared" ca="1" si="6"/>
        <v>80</v>
      </c>
    </row>
    <row r="98" spans="2:10" x14ac:dyDescent="0.25">
      <c r="B98" s="60" t="s">
        <v>130</v>
      </c>
      <c r="C98" s="54" t="s">
        <v>540</v>
      </c>
      <c r="D98" s="245">
        <f ca="1">IF(timePeriod="2020-30",'Merit calculation'!CD50,OFFSET('Merit calculation'!CD50,0,2))</f>
        <v>100</v>
      </c>
      <c r="E98">
        <v>13</v>
      </c>
      <c r="F98" t="str">
        <f>IF(ISNUMBER(SEARCH('(3) FCH technology assessment'!$B$42,C98)),E98,"")</f>
        <v/>
      </c>
      <c r="G98" t="str">
        <f t="shared" si="4"/>
        <v/>
      </c>
      <c r="H98" s="54" t="s">
        <v>534</v>
      </c>
      <c r="I98" t="str">
        <f t="shared" si="5"/>
        <v>Distributed gas storage-Regulatory coverage</v>
      </c>
      <c r="J98" s="59">
        <f t="shared" ca="1" si="6"/>
        <v>100</v>
      </c>
    </row>
    <row r="99" spans="2:10" x14ac:dyDescent="0.25">
      <c r="B99" s="61" t="s">
        <v>63</v>
      </c>
      <c r="C99" s="54" t="s">
        <v>540</v>
      </c>
      <c r="D99" s="245">
        <f ca="1">IF(timePeriod="2020-30",'Merit calculation'!CD51,OFFSET('Merit calculation'!CD51,0,2))</f>
        <v>100</v>
      </c>
      <c r="E99">
        <v>14</v>
      </c>
      <c r="F99" t="str">
        <f>IF(ISNUMBER(SEARCH('(3) FCH technology assessment'!$B$42,C99)),E99,"")</f>
        <v/>
      </c>
      <c r="G99" t="str">
        <f t="shared" si="4"/>
        <v/>
      </c>
      <c r="H99" s="54" t="s">
        <v>534</v>
      </c>
      <c r="I99" t="str">
        <f t="shared" si="5"/>
        <v>No storage-Regulatory coverage</v>
      </c>
      <c r="J99" s="59">
        <f t="shared" ca="1" si="6"/>
        <v>100</v>
      </c>
    </row>
    <row r="100" spans="2:10" x14ac:dyDescent="0.25">
      <c r="B100" s="61" t="s">
        <v>177</v>
      </c>
      <c r="C100" s="54" t="s">
        <v>540</v>
      </c>
      <c r="D100" s="245">
        <f ca="1">IF(timePeriod="2020-30",'Merit calculation'!CD52,OFFSET('Merit calculation'!CD52,0,2))</f>
        <v>100</v>
      </c>
      <c r="E100">
        <v>15</v>
      </c>
      <c r="F100" t="str">
        <f>IF(ISNUMBER(SEARCH('(3) FCH technology assessment'!$B$42,C100)),E100,"")</f>
        <v/>
      </c>
      <c r="G100" t="str">
        <f t="shared" si="4"/>
        <v/>
      </c>
      <c r="H100" s="54" t="s">
        <v>534</v>
      </c>
      <c r="I100" t="str">
        <f t="shared" si="5"/>
        <v>Natural gas storage-Regulatory coverage</v>
      </c>
      <c r="J100" s="59">
        <f t="shared" ca="1" si="6"/>
        <v>100</v>
      </c>
    </row>
    <row r="101" spans="2:10" x14ac:dyDescent="0.25">
      <c r="B101" s="60" t="s">
        <v>62</v>
      </c>
      <c r="C101" s="443" t="s">
        <v>515</v>
      </c>
      <c r="D101" s="246">
        <f ca="1">IF(timePeriod="2020-30",'Merit calculation'!CH48,OFFSET('Merit calculation'!CH48,0,2))</f>
        <v>60</v>
      </c>
      <c r="E101">
        <v>16</v>
      </c>
      <c r="F101" t="str">
        <f>IF(ISNUMBER(SEARCH('(3) FCH technology assessment'!$B$42,C101)),E101,"")</f>
        <v/>
      </c>
      <c r="G101" t="str">
        <f t="shared" si="4"/>
        <v/>
      </c>
      <c r="H101" s="54" t="s">
        <v>82</v>
      </c>
      <c r="I101" t="str">
        <f t="shared" si="5"/>
        <v>Underground storage-Public acceptability</v>
      </c>
      <c r="J101" s="247">
        <f t="shared" ca="1" si="6"/>
        <v>60</v>
      </c>
    </row>
    <row r="102" spans="2:10" x14ac:dyDescent="0.25">
      <c r="B102" s="60" t="s">
        <v>155</v>
      </c>
      <c r="C102" s="443" t="s">
        <v>515</v>
      </c>
      <c r="D102" s="246">
        <f ca="1">IF(timePeriod="2020-30",'Merit calculation'!CH49,OFFSET('Merit calculation'!CH49,0,2))</f>
        <v>60</v>
      </c>
      <c r="E102">
        <v>17</v>
      </c>
      <c r="F102" t="str">
        <f>IF(ISNUMBER(SEARCH('(3) FCH technology assessment'!$B$42,C102)),E102,"")</f>
        <v/>
      </c>
      <c r="G102" t="str">
        <f t="shared" si="4"/>
        <v/>
      </c>
      <c r="H102" s="54" t="s">
        <v>82</v>
      </c>
      <c r="I102" t="str">
        <f t="shared" si="5"/>
        <v>Central gas storage-Public acceptability</v>
      </c>
      <c r="J102" s="247">
        <f t="shared" ca="1" si="6"/>
        <v>60</v>
      </c>
    </row>
    <row r="103" spans="2:10" x14ac:dyDescent="0.25">
      <c r="B103" s="60" t="s">
        <v>130</v>
      </c>
      <c r="C103" s="443" t="s">
        <v>515</v>
      </c>
      <c r="D103" s="246">
        <f ca="1">IF(timePeriod="2020-30",'Merit calculation'!CH50,OFFSET('Merit calculation'!CH50,0,2))</f>
        <v>60</v>
      </c>
      <c r="E103">
        <v>18</v>
      </c>
      <c r="F103" t="str">
        <f>IF(ISNUMBER(SEARCH('(3) FCH technology assessment'!$B$42,C103)),E103,"")</f>
        <v/>
      </c>
      <c r="G103" t="str">
        <f t="shared" si="4"/>
        <v/>
      </c>
      <c r="H103" s="54" t="s">
        <v>82</v>
      </c>
      <c r="I103" t="str">
        <f t="shared" si="5"/>
        <v>Distributed gas storage-Public acceptability</v>
      </c>
      <c r="J103" s="247">
        <f t="shared" ca="1" si="6"/>
        <v>60</v>
      </c>
    </row>
    <row r="104" spans="2:10" x14ac:dyDescent="0.25">
      <c r="B104" s="61" t="s">
        <v>63</v>
      </c>
      <c r="C104" s="443" t="s">
        <v>515</v>
      </c>
      <c r="D104" s="246">
        <f ca="1">IF(timePeriod="2020-30",'Merit calculation'!CH51,OFFSET('Merit calculation'!CH51,0,2))</f>
        <v>100</v>
      </c>
      <c r="E104">
        <v>19</v>
      </c>
      <c r="F104" t="str">
        <f>IF(ISNUMBER(SEARCH('(3) FCH technology assessment'!$B$42,C104)),E104,"")</f>
        <v/>
      </c>
      <c r="G104" t="str">
        <f t="shared" si="4"/>
        <v/>
      </c>
      <c r="H104" s="54" t="s">
        <v>82</v>
      </c>
      <c r="I104" t="str">
        <f t="shared" si="5"/>
        <v>No storage-Public acceptability</v>
      </c>
      <c r="J104" s="247">
        <f t="shared" ca="1" si="6"/>
        <v>100</v>
      </c>
    </row>
    <row r="105" spans="2:10" x14ac:dyDescent="0.25">
      <c r="B105" s="61" t="s">
        <v>177</v>
      </c>
      <c r="C105" s="443" t="s">
        <v>515</v>
      </c>
      <c r="D105" s="246">
        <f ca="1">IF(timePeriod="2020-30",'Merit calculation'!CH52,OFFSET('Merit calculation'!CH52,0,2))</f>
        <v>80</v>
      </c>
      <c r="E105">
        <v>20</v>
      </c>
      <c r="F105" t="str">
        <f>IF(ISNUMBER(SEARCH('(3) FCH technology assessment'!$B$42,C105)),E105,"")</f>
        <v/>
      </c>
      <c r="G105" t="str">
        <f t="shared" si="4"/>
        <v/>
      </c>
      <c r="H105" s="54" t="s">
        <v>82</v>
      </c>
      <c r="I105" t="str">
        <f t="shared" si="5"/>
        <v>Natural gas storage-Public acceptability</v>
      </c>
      <c r="J105" s="247">
        <f t="shared" ca="1" si="6"/>
        <v>80</v>
      </c>
    </row>
    <row r="106" spans="2:10" x14ac:dyDescent="0.25">
      <c r="B106" s="61"/>
      <c r="C106" s="54"/>
      <c r="D106" s="54"/>
      <c r="E106" s="59"/>
      <c r="F106" s="59"/>
      <c r="G106" s="54"/>
      <c r="H106" s="54"/>
      <c r="I106" s="54"/>
    </row>
    <row r="107" spans="2:10" x14ac:dyDescent="0.25">
      <c r="B107" s="61"/>
      <c r="C107" s="54"/>
      <c r="D107" s="54"/>
      <c r="E107" s="59"/>
      <c r="F107" s="59"/>
      <c r="G107" s="54"/>
      <c r="H107" s="54"/>
      <c r="I107" s="54"/>
    </row>
    <row r="108" spans="2:10" x14ac:dyDescent="0.25">
      <c r="B108" s="114"/>
      <c r="E108" s="59"/>
      <c r="F108" s="59"/>
      <c r="G108" s="54"/>
    </row>
    <row r="109" spans="2:10" s="10" customFormat="1" ht="23.25" x14ac:dyDescent="0.35">
      <c r="B109" s="9" t="s">
        <v>331</v>
      </c>
      <c r="C109" s="9"/>
      <c r="D109" s="9"/>
      <c r="E109" s="9"/>
      <c r="F109" s="9"/>
      <c r="G109" s="9"/>
      <c r="H109" s="9"/>
      <c r="I109" s="9"/>
    </row>
    <row r="111" spans="2:10" x14ac:dyDescent="0.25">
      <c r="B111" s="15" t="s">
        <v>142</v>
      </c>
      <c r="C111" s="15" t="s">
        <v>143</v>
      </c>
      <c r="D111" s="15" t="s">
        <v>144</v>
      </c>
      <c r="E111" s="15" t="s">
        <v>325</v>
      </c>
      <c r="F111" s="15" t="s">
        <v>326</v>
      </c>
      <c r="G111" s="15" t="s">
        <v>327</v>
      </c>
      <c r="H111" s="15"/>
      <c r="I111" s="15"/>
    </row>
    <row r="112" spans="2:10" x14ac:dyDescent="0.25">
      <c r="B112" s="62" t="s">
        <v>128</v>
      </c>
      <c r="C112" t="s">
        <v>141</v>
      </c>
      <c r="D112" s="248">
        <f ca="1">IF(timePeriod="2020-30",'Merit calculation'!BJ67,OFFSET('Merit calculation'!BJ67,0,2))</f>
        <v>0.32488060673257818</v>
      </c>
      <c r="E112">
        <v>1</v>
      </c>
      <c r="F112">
        <f>IF(ISNUMBER(SEARCH('(3) FCH technology assessment'!$B$66,C112)),E112,"")</f>
        <v>1</v>
      </c>
      <c r="G112">
        <f>IFERROR(SMALL($F$112:$F$139,E112),"")</f>
        <v>1</v>
      </c>
      <c r="H112" t="s">
        <v>72</v>
      </c>
      <c r="I112" t="str">
        <f t="shared" ref="I112:I139" si="7">CONCATENATE(B112,"-",H112)</f>
        <v>Hydrogen distribution pipeline-Levelized cost</v>
      </c>
      <c r="J112" s="54">
        <f ca="1">D112</f>
        <v>0.32488060673257818</v>
      </c>
    </row>
    <row r="113" spans="2:10" x14ac:dyDescent="0.25">
      <c r="B113" s="62" t="s">
        <v>157</v>
      </c>
      <c r="C113" t="s">
        <v>141</v>
      </c>
      <c r="D113" s="248">
        <f ca="1">IF(timePeriod="2020-30",'Merit calculation'!BJ68,OFFSET('Merit calculation'!BJ68,0,2))</f>
        <v>0.18148932153689973</v>
      </c>
      <c r="E113" s="59">
        <v>2</v>
      </c>
      <c r="F113">
        <f>IF(ISNUMBER(SEARCH('(3) FCH technology assessment'!$B$66,C113)),E113,"")</f>
        <v>2</v>
      </c>
      <c r="G113">
        <f t="shared" ref="G113:G139" si="8">IFERROR(SMALL($F$112:$F$139,E113),"")</f>
        <v>2</v>
      </c>
      <c r="H113" t="s">
        <v>72</v>
      </c>
      <c r="I113" t="str">
        <f t="shared" si="7"/>
        <v>Blending in natural gas pipeline-Levelized cost</v>
      </c>
      <c r="J113" s="54">
        <f t="shared" ref="J113:J139" ca="1" si="9">D113</f>
        <v>0.18148932153689973</v>
      </c>
    </row>
    <row r="114" spans="2:10" x14ac:dyDescent="0.25">
      <c r="B114" s="62" t="s">
        <v>122</v>
      </c>
      <c r="C114" t="s">
        <v>141</v>
      </c>
      <c r="D114" s="248">
        <f ca="1">IF(timePeriod="2020-30",'Merit calculation'!BJ69,OFFSET('Merit calculation'!BJ69,0,2))</f>
        <v>0.33767005075082657</v>
      </c>
      <c r="E114" s="59">
        <v>3</v>
      </c>
      <c r="F114">
        <f>IF(ISNUMBER(SEARCH('(3) FCH technology assessment'!$B$66,C114)),E114,"")</f>
        <v>3</v>
      </c>
      <c r="G114">
        <f t="shared" si="8"/>
        <v>3</v>
      </c>
      <c r="H114" t="s">
        <v>72</v>
      </c>
      <c r="I114" t="str">
        <f t="shared" si="7"/>
        <v>Hydrogen transmission &amp; distribution pipeline-Levelized cost</v>
      </c>
      <c r="J114" s="54">
        <f t="shared" ca="1" si="9"/>
        <v>0.33767005075082657</v>
      </c>
    </row>
    <row r="115" spans="2:10" x14ac:dyDescent="0.25">
      <c r="B115" s="62" t="s">
        <v>116</v>
      </c>
      <c r="C115" t="s">
        <v>141</v>
      </c>
      <c r="D115" s="248">
        <f ca="1">IF(timePeriod="2020-30",'Merit calculation'!BJ70,OFFSET('Merit calculation'!BJ70,0,2))</f>
        <v>2.2344604621435615</v>
      </c>
      <c r="E115">
        <v>4</v>
      </c>
      <c r="F115">
        <f>IF(ISNUMBER(SEARCH('(3) FCH technology assessment'!$B$66,C115)),E115,"")</f>
        <v>4</v>
      </c>
      <c r="G115">
        <f t="shared" si="8"/>
        <v>4</v>
      </c>
      <c r="H115" t="s">
        <v>72</v>
      </c>
      <c r="I115" t="str">
        <f t="shared" si="7"/>
        <v>Liquid hydrogen truck-Levelized cost</v>
      </c>
      <c r="J115" s="54">
        <f t="shared" ca="1" si="9"/>
        <v>2.2344604621435615</v>
      </c>
    </row>
    <row r="116" spans="2:10" x14ac:dyDescent="0.25">
      <c r="B116" s="62" t="s">
        <v>65</v>
      </c>
      <c r="C116" t="s">
        <v>141</v>
      </c>
      <c r="D116" s="248">
        <f ca="1">IF(timePeriod="2020-30",'Merit calculation'!BJ71,OFFSET('Merit calculation'!BJ71,0,2))</f>
        <v>1.3603364450112079</v>
      </c>
      <c r="E116" s="59">
        <v>5</v>
      </c>
      <c r="F116">
        <f>IF(ISNUMBER(SEARCH('(3) FCH technology assessment'!$B$66,C116)),E116,"")</f>
        <v>5</v>
      </c>
      <c r="G116">
        <f t="shared" si="8"/>
        <v>5</v>
      </c>
      <c r="H116" t="s">
        <v>72</v>
      </c>
      <c r="I116" t="str">
        <f t="shared" si="7"/>
        <v>Methanation-Levelized cost</v>
      </c>
      <c r="J116" s="54">
        <f t="shared" ca="1" si="9"/>
        <v>1.3603364450112079</v>
      </c>
    </row>
    <row r="117" spans="2:10" x14ac:dyDescent="0.25">
      <c r="B117" s="61" t="s">
        <v>66</v>
      </c>
      <c r="C117" t="s">
        <v>141</v>
      </c>
      <c r="D117" s="248">
        <f ca="1">IF(timePeriod="2020-30",'Merit calculation'!BJ72,OFFSET('Merit calculation'!BJ72,0,2))</f>
        <v>0</v>
      </c>
      <c r="E117" s="59">
        <v>6</v>
      </c>
      <c r="F117">
        <f>IF(ISNUMBER(SEARCH('(3) FCH technology assessment'!$B$66,C117)),E117,"")</f>
        <v>6</v>
      </c>
      <c r="G117">
        <f t="shared" si="8"/>
        <v>6</v>
      </c>
      <c r="H117" t="s">
        <v>72</v>
      </c>
      <c r="I117" t="str">
        <f t="shared" si="7"/>
        <v>Onsite-Levelized cost</v>
      </c>
      <c r="J117" s="54">
        <f t="shared" ca="1" si="9"/>
        <v>0</v>
      </c>
    </row>
    <row r="118" spans="2:10" x14ac:dyDescent="0.25">
      <c r="B118" s="66" t="s">
        <v>180</v>
      </c>
      <c r="C118" t="s">
        <v>141</v>
      </c>
      <c r="D118" s="248">
        <f ca="1">IF(timePeriod="2020-30",'Merit calculation'!BJ73,OFFSET('Merit calculation'!BJ73,0,2))</f>
        <v>3.5999999999999996</v>
      </c>
      <c r="E118">
        <v>7</v>
      </c>
      <c r="F118">
        <f>IF(ISNUMBER(SEARCH('(3) FCH technology assessment'!$B$66,C118)),E118,"")</f>
        <v>7</v>
      </c>
      <c r="G118">
        <f t="shared" si="8"/>
        <v>7</v>
      </c>
      <c r="H118" t="s">
        <v>72</v>
      </c>
      <c r="I118" t="str">
        <f t="shared" si="7"/>
        <v>Natural gas transport-Levelized cost</v>
      </c>
      <c r="J118" s="54">
        <f t="shared" ca="1" si="9"/>
        <v>3.5999999999999996</v>
      </c>
    </row>
    <row r="119" spans="2:10" x14ac:dyDescent="0.25">
      <c r="B119" s="62" t="s">
        <v>128</v>
      </c>
      <c r="C119" s="54" t="s">
        <v>212</v>
      </c>
      <c r="D119" s="249">
        <f ca="1">IF(timePeriod="2020-30",'Merit calculation'!BV67,OFFSET('Merit calculation'!BV67,0,2))</f>
        <v>9</v>
      </c>
      <c r="E119" s="59">
        <v>8</v>
      </c>
      <c r="F119" t="str">
        <f>IF(ISNUMBER(SEARCH('(3) FCH technology assessment'!$B$66,C119)),E119,"")</f>
        <v/>
      </c>
      <c r="G119" t="str">
        <f t="shared" si="8"/>
        <v/>
      </c>
      <c r="H119" s="54" t="s">
        <v>78</v>
      </c>
      <c r="I119" t="str">
        <f t="shared" si="7"/>
        <v>Hydrogen distribution pipeline-Maturity</v>
      </c>
      <c r="J119" s="59">
        <f t="shared" ca="1" si="9"/>
        <v>9</v>
      </c>
    </row>
    <row r="120" spans="2:10" x14ac:dyDescent="0.25">
      <c r="B120" s="62" t="s">
        <v>157</v>
      </c>
      <c r="C120" s="54" t="s">
        <v>212</v>
      </c>
      <c r="D120" s="249">
        <f ca="1">IF(timePeriod="2020-30",'Merit calculation'!BV68,OFFSET('Merit calculation'!BV68,0,2))</f>
        <v>7</v>
      </c>
      <c r="E120" s="59">
        <v>9</v>
      </c>
      <c r="F120" t="str">
        <f>IF(ISNUMBER(SEARCH('(3) FCH technology assessment'!$B$66,C120)),E120,"")</f>
        <v/>
      </c>
      <c r="G120" t="str">
        <f t="shared" si="8"/>
        <v/>
      </c>
      <c r="H120" s="54" t="s">
        <v>78</v>
      </c>
      <c r="I120" t="str">
        <f t="shared" si="7"/>
        <v>Blending in natural gas pipeline-Maturity</v>
      </c>
      <c r="J120" s="59">
        <f t="shared" ca="1" si="9"/>
        <v>7</v>
      </c>
    </row>
    <row r="121" spans="2:10" x14ac:dyDescent="0.25">
      <c r="B121" s="62" t="s">
        <v>122</v>
      </c>
      <c r="C121" s="54" t="s">
        <v>212</v>
      </c>
      <c r="D121" s="249">
        <f ca="1">IF(timePeriod="2020-30",'Merit calculation'!BV69,OFFSET('Merit calculation'!BV69,0,2))</f>
        <v>9</v>
      </c>
      <c r="E121">
        <v>10</v>
      </c>
      <c r="F121" t="str">
        <f>IF(ISNUMBER(SEARCH('(3) FCH technology assessment'!$B$66,C121)),E121,"")</f>
        <v/>
      </c>
      <c r="G121" t="str">
        <f t="shared" si="8"/>
        <v/>
      </c>
      <c r="H121" s="54" t="s">
        <v>78</v>
      </c>
      <c r="I121" t="str">
        <f t="shared" si="7"/>
        <v>Hydrogen transmission &amp; distribution pipeline-Maturity</v>
      </c>
      <c r="J121" s="59">
        <f t="shared" ca="1" si="9"/>
        <v>9</v>
      </c>
    </row>
    <row r="122" spans="2:10" x14ac:dyDescent="0.25">
      <c r="B122" s="62" t="s">
        <v>116</v>
      </c>
      <c r="C122" s="54" t="s">
        <v>212</v>
      </c>
      <c r="D122" s="249">
        <f ca="1">IF(timePeriod="2020-30",'Merit calculation'!BV70,OFFSET('Merit calculation'!BV70,0,2))</f>
        <v>9</v>
      </c>
      <c r="E122" s="59">
        <v>11</v>
      </c>
      <c r="F122" t="str">
        <f>IF(ISNUMBER(SEARCH('(3) FCH technology assessment'!$B$66,C122)),E122,"")</f>
        <v/>
      </c>
      <c r="G122" t="str">
        <f t="shared" si="8"/>
        <v/>
      </c>
      <c r="H122" s="54" t="s">
        <v>78</v>
      </c>
      <c r="I122" t="str">
        <f t="shared" si="7"/>
        <v>Liquid hydrogen truck-Maturity</v>
      </c>
      <c r="J122" s="59">
        <f t="shared" ca="1" si="9"/>
        <v>9</v>
      </c>
    </row>
    <row r="123" spans="2:10" x14ac:dyDescent="0.25">
      <c r="B123" s="62" t="s">
        <v>65</v>
      </c>
      <c r="C123" s="54" t="s">
        <v>212</v>
      </c>
      <c r="D123" s="249">
        <f ca="1">IF(timePeriod="2020-30",'Merit calculation'!BV71,OFFSET('Merit calculation'!BV71,0,2))</f>
        <v>6</v>
      </c>
      <c r="E123" s="59">
        <v>12</v>
      </c>
      <c r="F123" t="str">
        <f>IF(ISNUMBER(SEARCH('(3) FCH technology assessment'!$B$66,C123)),E123,"")</f>
        <v/>
      </c>
      <c r="G123" t="str">
        <f t="shared" si="8"/>
        <v/>
      </c>
      <c r="H123" s="54" t="s">
        <v>78</v>
      </c>
      <c r="I123" t="str">
        <f t="shared" si="7"/>
        <v>Methanation-Maturity</v>
      </c>
      <c r="J123" s="59">
        <f t="shared" ca="1" si="9"/>
        <v>6</v>
      </c>
    </row>
    <row r="124" spans="2:10" x14ac:dyDescent="0.25">
      <c r="B124" s="61" t="s">
        <v>66</v>
      </c>
      <c r="C124" s="54" t="s">
        <v>212</v>
      </c>
      <c r="D124" s="249">
        <f ca="1">IF(timePeriod="2020-30",'Merit calculation'!BV72,OFFSET('Merit calculation'!BV72,0,2))</f>
        <v>9</v>
      </c>
      <c r="E124">
        <v>13</v>
      </c>
      <c r="F124" t="str">
        <f>IF(ISNUMBER(SEARCH('(3) FCH technology assessment'!$B$66,C124)),E124,"")</f>
        <v/>
      </c>
      <c r="G124" t="str">
        <f t="shared" si="8"/>
        <v/>
      </c>
      <c r="H124" s="54" t="s">
        <v>78</v>
      </c>
      <c r="I124" t="str">
        <f t="shared" si="7"/>
        <v>Onsite-Maturity</v>
      </c>
      <c r="J124" s="59">
        <f t="shared" ca="1" si="9"/>
        <v>9</v>
      </c>
    </row>
    <row r="125" spans="2:10" x14ac:dyDescent="0.25">
      <c r="B125" s="66" t="s">
        <v>180</v>
      </c>
      <c r="C125" s="54" t="s">
        <v>212</v>
      </c>
      <c r="D125" s="249">
        <f ca="1">IF(timePeriod="2020-30",'Merit calculation'!BV73,OFFSET('Merit calculation'!BV73,0,2))</f>
        <v>9</v>
      </c>
      <c r="E125" s="59">
        <v>14</v>
      </c>
      <c r="F125" t="str">
        <f>IF(ISNUMBER(SEARCH('(3) FCH technology assessment'!$B$66,C125)),E125,"")</f>
        <v/>
      </c>
      <c r="G125" t="str">
        <f t="shared" si="8"/>
        <v/>
      </c>
      <c r="H125" s="54" t="s">
        <v>78</v>
      </c>
      <c r="I125" t="str">
        <f t="shared" si="7"/>
        <v>Natural gas transport-Maturity</v>
      </c>
      <c r="J125" s="59">
        <f t="shared" ca="1" si="9"/>
        <v>9</v>
      </c>
    </row>
    <row r="126" spans="2:10" x14ac:dyDescent="0.25">
      <c r="B126" s="62" t="s">
        <v>128</v>
      </c>
      <c r="C126" s="54" t="s">
        <v>540</v>
      </c>
      <c r="D126" s="249">
        <f ca="1">IF(timePeriod="2020-30",'Merit calculation'!CD67,OFFSET('Merit calculation'!CD67,0,2))</f>
        <v>40</v>
      </c>
      <c r="E126" s="59">
        <v>15</v>
      </c>
      <c r="F126" t="str">
        <f>IF(ISNUMBER(SEARCH('(3) FCH technology assessment'!$B$66,C126)),E126,"")</f>
        <v/>
      </c>
      <c r="G126" t="str">
        <f t="shared" si="8"/>
        <v/>
      </c>
      <c r="H126" s="54" t="s">
        <v>534</v>
      </c>
      <c r="I126" t="str">
        <f t="shared" si="7"/>
        <v>Hydrogen distribution pipeline-Regulatory coverage</v>
      </c>
      <c r="J126" s="59">
        <f t="shared" ca="1" si="9"/>
        <v>40</v>
      </c>
    </row>
    <row r="127" spans="2:10" x14ac:dyDescent="0.25">
      <c r="B127" s="62" t="s">
        <v>157</v>
      </c>
      <c r="C127" s="54" t="s">
        <v>540</v>
      </c>
      <c r="D127" s="249">
        <f ca="1">IF(timePeriod="2020-30",'Merit calculation'!CD68,OFFSET('Merit calculation'!CD68,0,2))</f>
        <v>100</v>
      </c>
      <c r="E127">
        <v>16</v>
      </c>
      <c r="F127" t="str">
        <f>IF(ISNUMBER(SEARCH('(3) FCH technology assessment'!$B$66,C127)),E127,"")</f>
        <v/>
      </c>
      <c r="G127" t="str">
        <f t="shared" si="8"/>
        <v/>
      </c>
      <c r="H127" s="54" t="s">
        <v>534</v>
      </c>
      <c r="I127" t="str">
        <f t="shared" si="7"/>
        <v>Blending in natural gas pipeline-Regulatory coverage</v>
      </c>
      <c r="J127" s="59">
        <f t="shared" ca="1" si="9"/>
        <v>100</v>
      </c>
    </row>
    <row r="128" spans="2:10" x14ac:dyDescent="0.25">
      <c r="B128" s="62" t="s">
        <v>122</v>
      </c>
      <c r="C128" s="54" t="s">
        <v>540</v>
      </c>
      <c r="D128" s="249">
        <f ca="1">IF(timePeriod="2020-30",'Merit calculation'!CD69,OFFSET('Merit calculation'!CD69,0,2))</f>
        <v>40</v>
      </c>
      <c r="E128" s="59">
        <v>17</v>
      </c>
      <c r="F128" t="str">
        <f>IF(ISNUMBER(SEARCH('(3) FCH technology assessment'!$B$66,C128)),E128,"")</f>
        <v/>
      </c>
      <c r="G128" t="str">
        <f t="shared" si="8"/>
        <v/>
      </c>
      <c r="H128" s="54" t="s">
        <v>534</v>
      </c>
      <c r="I128" t="str">
        <f t="shared" si="7"/>
        <v>Hydrogen transmission &amp; distribution pipeline-Regulatory coverage</v>
      </c>
      <c r="J128" s="59">
        <f t="shared" ca="1" si="9"/>
        <v>40</v>
      </c>
    </row>
    <row r="129" spans="2:10" x14ac:dyDescent="0.25">
      <c r="B129" s="62" t="s">
        <v>116</v>
      </c>
      <c r="C129" s="54" t="s">
        <v>540</v>
      </c>
      <c r="D129" s="249">
        <f ca="1">IF(timePeriod="2020-30",'Merit calculation'!CD70,OFFSET('Merit calculation'!CD70,0,2))</f>
        <v>40</v>
      </c>
      <c r="E129" s="59">
        <v>18</v>
      </c>
      <c r="F129" t="str">
        <f>IF(ISNUMBER(SEARCH('(3) FCH technology assessment'!$B$66,C129)),E129,"")</f>
        <v/>
      </c>
      <c r="G129" t="str">
        <f t="shared" si="8"/>
        <v/>
      </c>
      <c r="H129" s="54" t="s">
        <v>534</v>
      </c>
      <c r="I129" t="str">
        <f t="shared" si="7"/>
        <v>Liquid hydrogen truck-Regulatory coverage</v>
      </c>
      <c r="J129" s="59">
        <f t="shared" ca="1" si="9"/>
        <v>40</v>
      </c>
    </row>
    <row r="130" spans="2:10" x14ac:dyDescent="0.25">
      <c r="B130" s="62" t="s">
        <v>65</v>
      </c>
      <c r="C130" s="54" t="s">
        <v>540</v>
      </c>
      <c r="D130" s="249">
        <f ca="1">IF(timePeriod="2020-30",'Merit calculation'!CD71,OFFSET('Merit calculation'!CD71,0,2))</f>
        <v>80</v>
      </c>
      <c r="E130">
        <v>19</v>
      </c>
      <c r="F130" t="str">
        <f>IF(ISNUMBER(SEARCH('(3) FCH technology assessment'!$B$66,C130)),E130,"")</f>
        <v/>
      </c>
      <c r="G130" t="str">
        <f t="shared" si="8"/>
        <v/>
      </c>
      <c r="H130" s="54" t="s">
        <v>534</v>
      </c>
      <c r="I130" t="str">
        <f t="shared" si="7"/>
        <v>Methanation-Regulatory coverage</v>
      </c>
      <c r="J130" s="59">
        <f t="shared" ca="1" si="9"/>
        <v>80</v>
      </c>
    </row>
    <row r="131" spans="2:10" x14ac:dyDescent="0.25">
      <c r="B131" s="61" t="s">
        <v>66</v>
      </c>
      <c r="C131" s="54" t="s">
        <v>540</v>
      </c>
      <c r="D131" s="249">
        <f ca="1">IF(timePeriod="2020-30",'Merit calculation'!CD72,OFFSET('Merit calculation'!CD72,0,2))</f>
        <v>100</v>
      </c>
      <c r="E131" s="59">
        <v>20</v>
      </c>
      <c r="F131" t="str">
        <f>IF(ISNUMBER(SEARCH('(3) FCH technology assessment'!$B$66,C131)),E131,"")</f>
        <v/>
      </c>
      <c r="G131" t="str">
        <f t="shared" si="8"/>
        <v/>
      </c>
      <c r="H131" s="54" t="s">
        <v>534</v>
      </c>
      <c r="I131" t="str">
        <f t="shared" si="7"/>
        <v>Onsite-Regulatory coverage</v>
      </c>
      <c r="J131" s="59">
        <f t="shared" ca="1" si="9"/>
        <v>100</v>
      </c>
    </row>
    <row r="132" spans="2:10" x14ac:dyDescent="0.25">
      <c r="B132" s="66" t="s">
        <v>180</v>
      </c>
      <c r="C132" s="54" t="s">
        <v>540</v>
      </c>
      <c r="D132" s="249">
        <f ca="1">IF(timePeriod="2020-30",'Merit calculation'!CD73,OFFSET('Merit calculation'!CD73,0,2))</f>
        <v>100</v>
      </c>
      <c r="E132" s="59">
        <v>21</v>
      </c>
      <c r="F132" t="str">
        <f>IF(ISNUMBER(SEARCH('(3) FCH technology assessment'!$B$66,C132)),E132,"")</f>
        <v/>
      </c>
      <c r="G132" t="str">
        <f t="shared" si="8"/>
        <v/>
      </c>
      <c r="H132" s="54" t="s">
        <v>534</v>
      </c>
      <c r="I132" t="str">
        <f t="shared" si="7"/>
        <v>Natural gas transport-Regulatory coverage</v>
      </c>
      <c r="J132" s="59">
        <f t="shared" ca="1" si="9"/>
        <v>100</v>
      </c>
    </row>
    <row r="133" spans="2:10" x14ac:dyDescent="0.25">
      <c r="B133" s="62" t="s">
        <v>128</v>
      </c>
      <c r="C133" s="443" t="s">
        <v>515</v>
      </c>
      <c r="D133" s="246">
        <f ca="1">IF(timePeriod="2020-30",'Merit calculation'!CH67,OFFSET('Merit calculation'!CH67,0,2))</f>
        <v>70</v>
      </c>
      <c r="E133">
        <v>22</v>
      </c>
      <c r="F133" t="str">
        <f>IF(ISNUMBER(SEARCH('(3) FCH technology assessment'!$B$66,C133)),E133,"")</f>
        <v/>
      </c>
      <c r="G133" t="str">
        <f t="shared" si="8"/>
        <v/>
      </c>
      <c r="H133" s="54" t="s">
        <v>82</v>
      </c>
      <c r="I133" t="str">
        <f t="shared" si="7"/>
        <v>Hydrogen distribution pipeline-Public acceptability</v>
      </c>
      <c r="J133" s="247">
        <f t="shared" ca="1" si="9"/>
        <v>70</v>
      </c>
    </row>
    <row r="134" spans="2:10" x14ac:dyDescent="0.25">
      <c r="B134" s="62" t="s">
        <v>157</v>
      </c>
      <c r="C134" s="443" t="s">
        <v>515</v>
      </c>
      <c r="D134" s="246">
        <f ca="1">IF(timePeriod="2020-30",'Merit calculation'!CH68,OFFSET('Merit calculation'!CH68,0,2))</f>
        <v>90</v>
      </c>
      <c r="E134" s="59">
        <v>23</v>
      </c>
      <c r="F134" t="str">
        <f>IF(ISNUMBER(SEARCH('(3) FCH technology assessment'!$B$66,C134)),E134,"")</f>
        <v/>
      </c>
      <c r="G134" t="str">
        <f t="shared" si="8"/>
        <v/>
      </c>
      <c r="H134" s="54" t="s">
        <v>82</v>
      </c>
      <c r="I134" t="str">
        <f t="shared" si="7"/>
        <v>Blending in natural gas pipeline-Public acceptability</v>
      </c>
      <c r="J134" s="247">
        <f t="shared" ca="1" si="9"/>
        <v>90</v>
      </c>
    </row>
    <row r="135" spans="2:10" x14ac:dyDescent="0.25">
      <c r="B135" s="62" t="s">
        <v>122</v>
      </c>
      <c r="C135" s="443" t="s">
        <v>515</v>
      </c>
      <c r="D135" s="246">
        <f ca="1">IF(timePeriod="2020-30",'Merit calculation'!CH69,OFFSET('Merit calculation'!CH69,0,2))</f>
        <v>70</v>
      </c>
      <c r="E135" s="59">
        <v>24</v>
      </c>
      <c r="F135" t="str">
        <f>IF(ISNUMBER(SEARCH('(3) FCH technology assessment'!$B$66,C135)),E135,"")</f>
        <v/>
      </c>
      <c r="G135" t="str">
        <f t="shared" si="8"/>
        <v/>
      </c>
      <c r="H135" s="54" t="s">
        <v>82</v>
      </c>
      <c r="I135" t="str">
        <f t="shared" si="7"/>
        <v>Hydrogen transmission &amp; distribution pipeline-Public acceptability</v>
      </c>
      <c r="J135" s="247">
        <f t="shared" ca="1" si="9"/>
        <v>70</v>
      </c>
    </row>
    <row r="136" spans="2:10" x14ac:dyDescent="0.25">
      <c r="B136" s="62" t="s">
        <v>116</v>
      </c>
      <c r="C136" s="443" t="s">
        <v>515</v>
      </c>
      <c r="D136" s="246">
        <f ca="1">IF(timePeriod="2020-30",'Merit calculation'!CH70,OFFSET('Merit calculation'!CH70,0,2))</f>
        <v>100</v>
      </c>
      <c r="E136">
        <v>25</v>
      </c>
      <c r="F136" t="str">
        <f>IF(ISNUMBER(SEARCH('(3) FCH technology assessment'!$B$66,C136)),E136,"")</f>
        <v/>
      </c>
      <c r="G136" t="str">
        <f t="shared" si="8"/>
        <v/>
      </c>
      <c r="H136" s="54" t="s">
        <v>82</v>
      </c>
      <c r="I136" t="str">
        <f t="shared" si="7"/>
        <v>Liquid hydrogen truck-Public acceptability</v>
      </c>
      <c r="J136" s="247">
        <f t="shared" ca="1" si="9"/>
        <v>100</v>
      </c>
    </row>
    <row r="137" spans="2:10" x14ac:dyDescent="0.25">
      <c r="B137" s="62" t="s">
        <v>65</v>
      </c>
      <c r="C137" s="443" t="s">
        <v>515</v>
      </c>
      <c r="D137" s="246">
        <f ca="1">IF(timePeriod="2020-30",'Merit calculation'!CH71,OFFSET('Merit calculation'!CH71,0,2))</f>
        <v>70</v>
      </c>
      <c r="E137" s="59">
        <v>26</v>
      </c>
      <c r="F137" t="str">
        <f>IF(ISNUMBER(SEARCH('(3) FCH technology assessment'!$B$66,C137)),E137,"")</f>
        <v/>
      </c>
      <c r="G137" t="str">
        <f t="shared" si="8"/>
        <v/>
      </c>
      <c r="H137" s="54" t="s">
        <v>82</v>
      </c>
      <c r="I137" t="str">
        <f t="shared" si="7"/>
        <v>Methanation-Public acceptability</v>
      </c>
      <c r="J137" s="247">
        <f t="shared" ca="1" si="9"/>
        <v>70</v>
      </c>
    </row>
    <row r="138" spans="2:10" x14ac:dyDescent="0.25">
      <c r="B138" s="61" t="s">
        <v>66</v>
      </c>
      <c r="C138" s="443" t="s">
        <v>515</v>
      </c>
      <c r="D138" s="246">
        <f ca="1">IF(timePeriod="2020-30",'Merit calculation'!CH72,OFFSET('Merit calculation'!CH72,0,2))</f>
        <v>90</v>
      </c>
      <c r="E138" s="59">
        <v>27</v>
      </c>
      <c r="F138" t="str">
        <f>IF(ISNUMBER(SEARCH('(3) FCH technology assessment'!$B$66,C138)),E138,"")</f>
        <v/>
      </c>
      <c r="G138" t="str">
        <f t="shared" si="8"/>
        <v/>
      </c>
      <c r="H138" s="54" t="s">
        <v>82</v>
      </c>
      <c r="I138" t="str">
        <f t="shared" si="7"/>
        <v>Onsite-Public acceptability</v>
      </c>
      <c r="J138" s="247">
        <f t="shared" ca="1" si="9"/>
        <v>90</v>
      </c>
    </row>
    <row r="139" spans="2:10" x14ac:dyDescent="0.25">
      <c r="B139" s="66" t="s">
        <v>180</v>
      </c>
      <c r="C139" s="443" t="s">
        <v>515</v>
      </c>
      <c r="D139" s="246">
        <f ca="1">IF(timePeriod="2020-30",'Merit calculation'!CH73,OFFSET('Merit calculation'!CH73,0,2))</f>
        <v>90</v>
      </c>
      <c r="E139">
        <v>28</v>
      </c>
      <c r="F139" t="str">
        <f>IF(ISNUMBER(SEARCH('(3) FCH technology assessment'!$B$66,C139)),E139,"")</f>
        <v/>
      </c>
      <c r="G139" t="str">
        <f t="shared" si="8"/>
        <v/>
      </c>
      <c r="H139" s="54" t="s">
        <v>82</v>
      </c>
      <c r="I139" t="str">
        <f t="shared" si="7"/>
        <v>Natural gas transport-Public acceptability</v>
      </c>
      <c r="J139" s="247">
        <f t="shared" ca="1" si="9"/>
        <v>90</v>
      </c>
    </row>
    <row r="140" spans="2:10" x14ac:dyDescent="0.25">
      <c r="B140" s="114"/>
      <c r="C140" s="54"/>
      <c r="D140" s="54"/>
      <c r="E140" s="59"/>
      <c r="F140" s="59"/>
      <c r="G140" s="54"/>
      <c r="H140" s="54"/>
      <c r="I140" s="54"/>
    </row>
    <row r="141" spans="2:10" x14ac:dyDescent="0.25">
      <c r="B141" s="114"/>
      <c r="C141" s="54"/>
      <c r="D141" s="54"/>
      <c r="E141" s="59"/>
      <c r="F141" s="59"/>
      <c r="G141" s="54"/>
      <c r="H141" s="54"/>
      <c r="I141" s="54"/>
    </row>
    <row r="142" spans="2:10" x14ac:dyDescent="0.25">
      <c r="B142" s="114"/>
      <c r="C142" s="54"/>
      <c r="D142" s="54"/>
      <c r="E142" s="59"/>
      <c r="F142" s="59"/>
      <c r="G142" s="54"/>
      <c r="H142" s="54"/>
      <c r="I142" s="54"/>
    </row>
    <row r="143" spans="2:10" s="10" customFormat="1" ht="23.25" x14ac:dyDescent="0.35">
      <c r="B143" s="9" t="s">
        <v>573</v>
      </c>
      <c r="C143" s="9"/>
      <c r="D143" s="9"/>
      <c r="E143" s="9"/>
      <c r="F143" s="9"/>
      <c r="G143" s="9"/>
      <c r="H143" s="9"/>
      <c r="I143" s="9"/>
    </row>
    <row r="145" spans="2:10" x14ac:dyDescent="0.25">
      <c r="B145" s="15" t="s">
        <v>142</v>
      </c>
      <c r="C145" s="15" t="s">
        <v>143</v>
      </c>
      <c r="D145" s="15" t="s">
        <v>144</v>
      </c>
      <c r="E145" s="15" t="s">
        <v>325</v>
      </c>
      <c r="F145" s="15" t="s">
        <v>326</v>
      </c>
      <c r="G145" s="15" t="s">
        <v>327</v>
      </c>
      <c r="H145" s="15"/>
      <c r="I145" s="15"/>
    </row>
    <row r="146" spans="2:10" x14ac:dyDescent="0.25">
      <c r="B146" s="63" t="s">
        <v>570</v>
      </c>
      <c r="C146" t="s">
        <v>159</v>
      </c>
      <c r="D146" s="248">
        <f ca="1">IF(timePeriod="2020-30",'Merit calculation'!BJ90,OFFSET('Merit calculation'!BJ90,0,2))</f>
        <v>3.3668409136299347E-4</v>
      </c>
      <c r="E146">
        <v>1</v>
      </c>
      <c r="F146">
        <f>IF(ISNUMBER(SEARCH('(3) FCH technology assessment'!$B$90,C146)),E146,"")</f>
        <v>1</v>
      </c>
      <c r="G146">
        <f>IFERROR(SMALL($F$146:$F$193,E146),"")</f>
        <v>1</v>
      </c>
      <c r="H146" t="s">
        <v>72</v>
      </c>
      <c r="I146" t="str">
        <f>CONCATENATE(B146,"-",H146)</f>
        <v>Industrial H2 boiler-Levelized cost</v>
      </c>
      <c r="J146" s="54">
        <f t="shared" ref="J146:J151" ca="1" si="10">D146</f>
        <v>3.3668409136299347E-4</v>
      </c>
    </row>
    <row r="147" spans="2:10" x14ac:dyDescent="0.25">
      <c r="B147" s="63" t="s">
        <v>543</v>
      </c>
      <c r="C147" t="s">
        <v>159</v>
      </c>
      <c r="D147" s="248">
        <f ca="1">IF(timePeriod="2020-30",'Merit calculation'!BJ91,OFFSET('Merit calculation'!BJ91,0,2))</f>
        <v>3.0801291854688804E-2</v>
      </c>
      <c r="E147">
        <v>2</v>
      </c>
      <c r="F147">
        <f>IF(ISNUMBER(SEARCH('(3) FCH technology assessment'!$B$90,C147)),E147,"")</f>
        <v>2</v>
      </c>
      <c r="G147">
        <f t="shared" ref="G147:G193" si="11">IFERROR(SMALL($F$146:$F$193,E147),"")</f>
        <v>2</v>
      </c>
      <c r="H147" t="s">
        <v>72</v>
      </c>
      <c r="I147" t="str">
        <f t="shared" ref="I147:I190" si="12">CONCATENATE(B147,"-",H147)</f>
        <v>Micro-CHP with H2 fuel cell (heat)-Levelized cost</v>
      </c>
      <c r="J147" s="54">
        <f t="shared" ca="1" si="10"/>
        <v>3.0801291854688804E-2</v>
      </c>
    </row>
    <row r="148" spans="2:10" x14ac:dyDescent="0.25">
      <c r="B148" s="63" t="s">
        <v>553</v>
      </c>
      <c r="C148" t="s">
        <v>159</v>
      </c>
      <c r="D148" s="248">
        <f ca="1">IF(timePeriod="2020-30",'Merit calculation'!BJ92,OFFSET('Merit calculation'!BJ92,0,2))</f>
        <v>3.0801291854688804E-2</v>
      </c>
      <c r="E148">
        <v>3</v>
      </c>
      <c r="F148">
        <f>IF(ISNUMBER(SEARCH('(3) FCH technology assessment'!$B$90,C148)),E148,"")</f>
        <v>3</v>
      </c>
      <c r="G148">
        <f t="shared" si="11"/>
        <v>3</v>
      </c>
      <c r="H148" t="s">
        <v>72</v>
      </c>
      <c r="I148" t="str">
        <f t="shared" si="12"/>
        <v>Micro-CHP with natural gas fuel cell (heat)-Levelized cost</v>
      </c>
      <c r="J148" s="54">
        <f t="shared" ca="1" si="10"/>
        <v>3.0801291854688804E-2</v>
      </c>
    </row>
    <row r="149" spans="2:10" x14ac:dyDescent="0.25">
      <c r="B149" s="63" t="s">
        <v>552</v>
      </c>
      <c r="C149" t="s">
        <v>159</v>
      </c>
      <c r="D149" s="248">
        <f ca="1">IF(timePeriod="2020-30",'Merit calculation'!BJ93,OFFSET('Merit calculation'!BJ93,0,2))</f>
        <v>1.7801086338426392E-2</v>
      </c>
      <c r="E149">
        <v>4</v>
      </c>
      <c r="F149">
        <f>IF(ISNUMBER(SEARCH('(3) FCH technology assessment'!$B$90,C149)),E149,"")</f>
        <v>4</v>
      </c>
      <c r="G149">
        <f t="shared" si="11"/>
        <v>4</v>
      </c>
      <c r="H149" t="s">
        <v>72</v>
      </c>
      <c r="I149" t="str">
        <f t="shared" si="12"/>
        <v>District-CHP with H2 fuel cell (heat)-Levelized cost</v>
      </c>
      <c r="J149" s="54">
        <f t="shared" ca="1" si="10"/>
        <v>1.7801086338426392E-2</v>
      </c>
    </row>
    <row r="150" spans="2:10" x14ac:dyDescent="0.25">
      <c r="B150" s="63" t="s">
        <v>551</v>
      </c>
      <c r="C150" t="s">
        <v>159</v>
      </c>
      <c r="D150" s="248">
        <f ca="1">IF(timePeriod="2020-30",'Merit calculation'!BJ94,OFFSET('Merit calculation'!BJ94,0,2))</f>
        <v>1.7801086338426392E-2</v>
      </c>
      <c r="E150">
        <v>5</v>
      </c>
      <c r="F150">
        <f>IF(ISNUMBER(SEARCH('(3) FCH technology assessment'!$B$90,C150)),E150,"")</f>
        <v>5</v>
      </c>
      <c r="G150">
        <f t="shared" si="11"/>
        <v>5</v>
      </c>
      <c r="H150" t="s">
        <v>72</v>
      </c>
      <c r="I150" t="str">
        <f t="shared" si="12"/>
        <v>District-CHP with natural gas fuel cell (heat)-Levelized cost</v>
      </c>
      <c r="J150" s="54">
        <f t="shared" ca="1" si="10"/>
        <v>1.7801086338426392E-2</v>
      </c>
    </row>
    <row r="151" spans="2:10" x14ac:dyDescent="0.25">
      <c r="B151" t="s">
        <v>443</v>
      </c>
      <c r="C151" t="s">
        <v>159</v>
      </c>
      <c r="D151" s="248">
        <f ca="1">IF(timePeriod="2020-30",'Merit calculation'!BJ117,OFFSET('Merit calculation'!BJ117,0,2))</f>
        <v>1.1627844232052053E-3</v>
      </c>
      <c r="E151">
        <v>6</v>
      </c>
      <c r="F151">
        <f>IF(ISNUMBER(SEARCH('(3) FCH technology assessment'!$B$90,C151)),E151,"")</f>
        <v>6</v>
      </c>
      <c r="G151">
        <f t="shared" si="11"/>
        <v>6</v>
      </c>
      <c r="H151" t="s">
        <v>72</v>
      </c>
      <c r="I151" t="str">
        <f>CONCATENATE(B151,"-",H151)</f>
        <v>Gas-fired industrial boiler-Levelized cost</v>
      </c>
      <c r="J151" s="54">
        <f t="shared" ca="1" si="10"/>
        <v>1.1627844232052053E-3</v>
      </c>
    </row>
    <row r="152" spans="2:10" x14ac:dyDescent="0.25">
      <c r="B152" t="s">
        <v>444</v>
      </c>
      <c r="C152" t="s">
        <v>159</v>
      </c>
      <c r="D152" s="248">
        <f ca="1">IF(timePeriod="2020-30",'Merit calculation'!BJ118,OFFSET('Merit calculation'!BJ118,0,2))</f>
        <v>1.2814358949608383E-3</v>
      </c>
      <c r="E152">
        <v>7</v>
      </c>
      <c r="F152">
        <f>IF(ISNUMBER(SEARCH('(3) FCH technology assessment'!$B$90,C152)),E152,"")</f>
        <v>7</v>
      </c>
      <c r="G152">
        <f t="shared" si="11"/>
        <v>7</v>
      </c>
      <c r="H152" t="s">
        <v>72</v>
      </c>
      <c r="I152" t="str">
        <f>CONCATENATE(B152,"-",H152)</f>
        <v>Gas-fired residential boiler-Levelized cost</v>
      </c>
      <c r="J152" s="54">
        <f ca="1">D152</f>
        <v>1.2814358949608383E-3</v>
      </c>
    </row>
    <row r="153" spans="2:10" x14ac:dyDescent="0.25">
      <c r="B153" t="s">
        <v>446</v>
      </c>
      <c r="C153" t="s">
        <v>159</v>
      </c>
      <c r="D153" s="248">
        <f ca="1">IF(timePeriod="2020-30",'Merit calculation'!BJ119,OFFSET('Merit calculation'!BJ119,0,2))</f>
        <v>3.5221601632282252E-4</v>
      </c>
      <c r="E153">
        <v>8</v>
      </c>
      <c r="F153">
        <f>IF(ISNUMBER(SEARCH('(3) FCH technology assessment'!$B$90,C153)),E153,"")</f>
        <v>8</v>
      </c>
      <c r="G153">
        <f t="shared" si="11"/>
        <v>8</v>
      </c>
      <c r="H153" t="s">
        <v>72</v>
      </c>
      <c r="I153" t="str">
        <f>CONCATENATE(B153,"-",H153)</f>
        <v>Gas-fired District-CHP (heat)-Levelized cost</v>
      </c>
      <c r="J153" s="54">
        <f ca="1">D153</f>
        <v>3.5221601632282252E-4</v>
      </c>
    </row>
    <row r="154" spans="2:10" x14ac:dyDescent="0.25">
      <c r="B154" s="63" t="s">
        <v>570</v>
      </c>
      <c r="C154" s="54" t="s">
        <v>517</v>
      </c>
      <c r="D154" s="248">
        <f ca="1">IF(timePeriod="2020-30",'Merit calculation'!BN90,OFFSET('Merit calculation'!BN90,0,2))</f>
        <v>-12.074906811240885</v>
      </c>
      <c r="E154">
        <v>9</v>
      </c>
      <c r="F154" t="str">
        <f>IF(ISNUMBER(SEARCH('(3) FCH technology assessment'!$B$90,C154)),E154,"")</f>
        <v/>
      </c>
      <c r="G154" t="str">
        <f t="shared" si="11"/>
        <v/>
      </c>
      <c r="H154" t="s">
        <v>77</v>
      </c>
      <c r="I154" t="str">
        <f t="shared" ref="I154:I161" si="13">CONCATENATE(B154,"-",H154)</f>
        <v>Industrial H2 boiler-Marginal abatement cost</v>
      </c>
      <c r="J154" s="54">
        <f t="shared" ref="J154:J161" ca="1" si="14">D154</f>
        <v>-12.074906811240885</v>
      </c>
    </row>
    <row r="155" spans="2:10" x14ac:dyDescent="0.25">
      <c r="B155" s="63" t="s">
        <v>543</v>
      </c>
      <c r="C155" s="54" t="s">
        <v>517</v>
      </c>
      <c r="D155" s="248">
        <f ca="1">IF(timePeriod="2020-30",'Merit calculation'!BN91,OFFSET('Merit calculation'!BN91,0,2))</f>
        <v>442.00853843442945</v>
      </c>
      <c r="E155">
        <v>10</v>
      </c>
      <c r="F155" t="str">
        <f>IF(ISNUMBER(SEARCH('(3) FCH technology assessment'!$B$90,C155)),E155,"")</f>
        <v/>
      </c>
      <c r="G155" t="str">
        <f t="shared" si="11"/>
        <v/>
      </c>
      <c r="H155" t="s">
        <v>77</v>
      </c>
      <c r="I155" t="str">
        <f t="shared" si="13"/>
        <v>Micro-CHP with H2 fuel cell (heat)-Marginal abatement cost</v>
      </c>
      <c r="J155" s="54">
        <f t="shared" ca="1" si="14"/>
        <v>442.00853843442945</v>
      </c>
    </row>
    <row r="156" spans="2:10" x14ac:dyDescent="0.25">
      <c r="B156" s="63" t="s">
        <v>553</v>
      </c>
      <c r="C156" s="54" t="s">
        <v>517</v>
      </c>
      <c r="D156" s="248">
        <f ca="1">IF(timePeriod="2020-30",'Merit calculation'!BN92,OFFSET('Merit calculation'!BN92,0,2))</f>
        <v>12818.247614598467</v>
      </c>
      <c r="E156">
        <v>11</v>
      </c>
      <c r="F156" t="str">
        <f>IF(ISNUMBER(SEARCH('(3) FCH technology assessment'!$B$90,C156)),E156,"")</f>
        <v/>
      </c>
      <c r="G156" t="str">
        <f t="shared" si="11"/>
        <v/>
      </c>
      <c r="H156" t="s">
        <v>77</v>
      </c>
      <c r="I156" t="str">
        <f t="shared" si="13"/>
        <v>Micro-CHP with natural gas fuel cell (heat)-Marginal abatement cost</v>
      </c>
      <c r="J156" s="54">
        <f t="shared" ca="1" si="14"/>
        <v>12818.247614598467</v>
      </c>
    </row>
    <row r="157" spans="2:10" x14ac:dyDescent="0.25">
      <c r="B157" s="63" t="s">
        <v>552</v>
      </c>
      <c r="C157" s="54" t="s">
        <v>517</v>
      </c>
      <c r="D157" s="248">
        <f ca="1">IF(timePeriod="2020-30",'Merit calculation'!BN93,OFFSET('Merit calculation'!BN93,0,2))</f>
        <v>279.92840088936202</v>
      </c>
      <c r="E157">
        <v>12</v>
      </c>
      <c r="F157" t="str">
        <f>IF(ISNUMBER(SEARCH('(3) FCH technology assessment'!$B$90,C157)),E157,"")</f>
        <v/>
      </c>
      <c r="G157" t="str">
        <f t="shared" si="11"/>
        <v/>
      </c>
      <c r="H157" t="s">
        <v>77</v>
      </c>
      <c r="I157" t="str">
        <f t="shared" si="13"/>
        <v>District-CHP with H2 fuel cell (heat)-Marginal abatement cost</v>
      </c>
      <c r="J157" s="54">
        <f t="shared" ca="1" si="14"/>
        <v>279.92840088936202</v>
      </c>
    </row>
    <row r="158" spans="2:10" x14ac:dyDescent="0.25">
      <c r="B158" s="63" t="s">
        <v>551</v>
      </c>
      <c r="C158" s="54" t="s">
        <v>517</v>
      </c>
      <c r="D158" s="248">
        <f ca="1">IF(timePeriod="2020-30",'Merit calculation'!BN94,OFFSET('Merit calculation'!BN94,0,2))</f>
        <v>-1519.6113191136794</v>
      </c>
      <c r="E158">
        <v>13</v>
      </c>
      <c r="F158" t="str">
        <f>IF(ISNUMBER(SEARCH('(3) FCH technology assessment'!$B$90,C158)),E158,"")</f>
        <v/>
      </c>
      <c r="G158" t="str">
        <f t="shared" si="11"/>
        <v/>
      </c>
      <c r="H158" t="s">
        <v>77</v>
      </c>
      <c r="I158" t="str">
        <f t="shared" si="13"/>
        <v>District-CHP with natural gas fuel cell (heat)-Marginal abatement cost</v>
      </c>
      <c r="J158" s="54">
        <f t="shared" ca="1" si="14"/>
        <v>-1519.6113191136794</v>
      </c>
    </row>
    <row r="159" spans="2:10" x14ac:dyDescent="0.25">
      <c r="B159" t="s">
        <v>443</v>
      </c>
      <c r="C159" s="54" t="s">
        <v>517</v>
      </c>
      <c r="D159" s="248">
        <v>0</v>
      </c>
      <c r="E159">
        <v>14</v>
      </c>
      <c r="F159" t="str">
        <f>IF(ISNUMBER(SEARCH('(3) FCH technology assessment'!$B$90,C159)),E159,"")</f>
        <v/>
      </c>
      <c r="G159" t="str">
        <f t="shared" si="11"/>
        <v/>
      </c>
      <c r="H159" t="s">
        <v>77</v>
      </c>
      <c r="I159" t="str">
        <f t="shared" si="13"/>
        <v>Gas-fired industrial boiler-Marginal abatement cost</v>
      </c>
      <c r="J159" s="54">
        <f t="shared" si="14"/>
        <v>0</v>
      </c>
    </row>
    <row r="160" spans="2:10" x14ac:dyDescent="0.25">
      <c r="B160" t="s">
        <v>444</v>
      </c>
      <c r="C160" s="54" t="s">
        <v>517</v>
      </c>
      <c r="D160" s="248">
        <v>0</v>
      </c>
      <c r="E160">
        <v>15</v>
      </c>
      <c r="F160" t="str">
        <f>IF(ISNUMBER(SEARCH('(3) FCH technology assessment'!$B$90,C160)),E160,"")</f>
        <v/>
      </c>
      <c r="G160" t="str">
        <f t="shared" si="11"/>
        <v/>
      </c>
      <c r="H160" t="s">
        <v>77</v>
      </c>
      <c r="I160" t="str">
        <f t="shared" si="13"/>
        <v>Gas-fired residential boiler-Marginal abatement cost</v>
      </c>
      <c r="J160" s="54">
        <f t="shared" si="14"/>
        <v>0</v>
      </c>
    </row>
    <row r="161" spans="2:10" x14ac:dyDescent="0.25">
      <c r="B161" t="s">
        <v>446</v>
      </c>
      <c r="C161" s="54" t="s">
        <v>517</v>
      </c>
      <c r="D161" s="248">
        <v>0</v>
      </c>
      <c r="E161">
        <v>16</v>
      </c>
      <c r="F161" t="str">
        <f>IF(ISNUMBER(SEARCH('(3) FCH technology assessment'!$B$90,C161)),E161,"")</f>
        <v/>
      </c>
      <c r="G161" t="str">
        <f t="shared" si="11"/>
        <v/>
      </c>
      <c r="H161" t="s">
        <v>77</v>
      </c>
      <c r="I161" t="str">
        <f t="shared" si="13"/>
        <v>Gas-fired District-CHP (heat)-Marginal abatement cost</v>
      </c>
      <c r="J161" s="54">
        <f t="shared" si="14"/>
        <v>0</v>
      </c>
    </row>
    <row r="162" spans="2:10" x14ac:dyDescent="0.25">
      <c r="B162" s="63" t="s">
        <v>570</v>
      </c>
      <c r="C162" s="54" t="s">
        <v>216</v>
      </c>
      <c r="D162" s="248">
        <f ca="1">IF(timePeriod="2020-30",'Merit calculation'!BR90,OFFSET('Merit calculation'!BR90,0,2))</f>
        <v>0</v>
      </c>
      <c r="E162">
        <v>17</v>
      </c>
      <c r="F162" t="str">
        <f>IF(ISNUMBER(SEARCH('(3) FCH technology assessment'!$B$90,C162)),E162,"")</f>
        <v/>
      </c>
      <c r="G162" t="str">
        <f t="shared" si="11"/>
        <v/>
      </c>
      <c r="H162" t="s">
        <v>329</v>
      </c>
      <c r="I162" t="str">
        <f t="shared" si="12"/>
        <v>Industrial H2 boiler-CO2 emissions</v>
      </c>
      <c r="J162" s="54">
        <f t="shared" ref="J162:J190" ca="1" si="15">D162</f>
        <v>0</v>
      </c>
    </row>
    <row r="163" spans="2:10" x14ac:dyDescent="0.25">
      <c r="B163" s="63" t="s">
        <v>543</v>
      </c>
      <c r="C163" s="54" t="s">
        <v>216</v>
      </c>
      <c r="D163" s="248">
        <f ca="1">IF(timePeriod="2020-30",'Merit calculation'!BR91,OFFSET('Merit calculation'!BR91,0,2))</f>
        <v>0</v>
      </c>
      <c r="E163">
        <v>18</v>
      </c>
      <c r="F163" t="str">
        <f>IF(ISNUMBER(SEARCH('(3) FCH technology assessment'!$B$90,C163)),E163,"")</f>
        <v/>
      </c>
      <c r="G163" t="str">
        <f t="shared" si="11"/>
        <v/>
      </c>
      <c r="H163" t="s">
        <v>329</v>
      </c>
      <c r="I163" t="str">
        <f t="shared" si="12"/>
        <v>Micro-CHP with H2 fuel cell (heat)-CO2 emissions</v>
      </c>
      <c r="J163" s="54">
        <f t="shared" ca="1" si="15"/>
        <v>0</v>
      </c>
    </row>
    <row r="164" spans="2:10" x14ac:dyDescent="0.25">
      <c r="B164" s="63" t="s">
        <v>553</v>
      </c>
      <c r="C164" s="54" t="s">
        <v>216</v>
      </c>
      <c r="D164" s="248">
        <f ca="1">IF(timePeriod="2020-30",'Merit calculation'!BR92,OFFSET('Merit calculation'!BR92,0,2))</f>
        <v>6.4482758620689654E-2</v>
      </c>
      <c r="E164">
        <v>19</v>
      </c>
      <c r="F164" t="str">
        <f>IF(ISNUMBER(SEARCH('(3) FCH technology assessment'!$B$90,C164)),E164,"")</f>
        <v/>
      </c>
      <c r="G164" t="str">
        <f t="shared" si="11"/>
        <v/>
      </c>
      <c r="H164" t="s">
        <v>329</v>
      </c>
      <c r="I164" t="str">
        <f t="shared" si="12"/>
        <v>Micro-CHP with natural gas fuel cell (heat)-CO2 emissions</v>
      </c>
      <c r="J164" s="54">
        <f t="shared" ca="1" si="15"/>
        <v>6.4482758620689654E-2</v>
      </c>
    </row>
    <row r="165" spans="2:10" x14ac:dyDescent="0.25">
      <c r="B165" s="63" t="s">
        <v>552</v>
      </c>
      <c r="C165" s="54" t="s">
        <v>216</v>
      </c>
      <c r="D165" s="248">
        <f ca="1">IF(timePeriod="2020-30",'Merit calculation'!BR93,OFFSET('Merit calculation'!BR93,0,2))</f>
        <v>0</v>
      </c>
      <c r="E165">
        <v>20</v>
      </c>
      <c r="F165" t="str">
        <f>IF(ISNUMBER(SEARCH('(3) FCH technology assessment'!$B$90,C165)),E165,"")</f>
        <v/>
      </c>
      <c r="G165" t="str">
        <f t="shared" si="11"/>
        <v/>
      </c>
      <c r="H165" t="s">
        <v>329</v>
      </c>
      <c r="I165" t="str">
        <f t="shared" si="12"/>
        <v>District-CHP with H2 fuel cell (heat)-CO2 emissions</v>
      </c>
      <c r="J165" s="54">
        <f t="shared" ca="1" si="15"/>
        <v>0</v>
      </c>
    </row>
    <row r="166" spans="2:10" x14ac:dyDescent="0.25">
      <c r="B166" s="63" t="s">
        <v>551</v>
      </c>
      <c r="C166" s="54" t="s">
        <v>216</v>
      </c>
      <c r="D166" s="248">
        <f ca="1">IF(timePeriod="2020-30",'Merit calculation'!BR94,OFFSET('Merit calculation'!BR94,0,2))</f>
        <v>7.381578947368421E-2</v>
      </c>
      <c r="E166">
        <v>21</v>
      </c>
      <c r="F166" t="str">
        <f>IF(ISNUMBER(SEARCH('(3) FCH technology assessment'!$B$90,C166)),E166,"")</f>
        <v/>
      </c>
      <c r="G166" t="str">
        <f t="shared" si="11"/>
        <v/>
      </c>
      <c r="H166" t="s">
        <v>329</v>
      </c>
      <c r="I166" t="str">
        <f t="shared" si="12"/>
        <v>District-CHP with natural gas fuel cell (heat)-CO2 emissions</v>
      </c>
      <c r="J166" s="54">
        <f t="shared" ca="1" si="15"/>
        <v>7.381578947368421E-2</v>
      </c>
    </row>
    <row r="167" spans="2:10" x14ac:dyDescent="0.25">
      <c r="B167" t="s">
        <v>443</v>
      </c>
      <c r="C167" s="54" t="s">
        <v>216</v>
      </c>
      <c r="D167" s="248">
        <f ca="1">IF(timePeriod="2020-30",'Merit calculation'!BR117,OFFSET('Merit calculation'!BR117,0,2))</f>
        <v>6.8414634146341469E-2</v>
      </c>
      <c r="E167">
        <v>22</v>
      </c>
      <c r="F167" t="str">
        <f>IF(ISNUMBER(SEARCH('(3) FCH technology assessment'!$B$90,C167)),E167,"")</f>
        <v/>
      </c>
      <c r="G167" t="str">
        <f t="shared" si="11"/>
        <v/>
      </c>
      <c r="H167" t="s">
        <v>329</v>
      </c>
      <c r="I167" t="str">
        <f>CONCATENATE(B167,"-",H167)</f>
        <v>Gas-fired industrial boiler-CO2 emissions</v>
      </c>
      <c r="J167" s="54">
        <f ca="1">D167</f>
        <v>6.8414634146341469E-2</v>
      </c>
    </row>
    <row r="168" spans="2:10" x14ac:dyDescent="0.25">
      <c r="B168" t="s">
        <v>444</v>
      </c>
      <c r="C168" s="54" t="s">
        <v>216</v>
      </c>
      <c r="D168" s="248">
        <f ca="1">IF(timePeriod="2020-30",'Merit calculation'!BR118,OFFSET('Merit calculation'!BR118,0,2))</f>
        <v>6.6785714285714282E-2</v>
      </c>
      <c r="E168">
        <v>23</v>
      </c>
      <c r="F168" t="str">
        <f>IF(ISNUMBER(SEARCH('(3) FCH technology assessment'!$B$90,C168)),E168,"")</f>
        <v/>
      </c>
      <c r="G168" t="str">
        <f t="shared" si="11"/>
        <v/>
      </c>
      <c r="H168" t="s">
        <v>329</v>
      </c>
      <c r="I168" t="str">
        <f>CONCATENATE(B168,"-",H168)</f>
        <v>Gas-fired residential boiler-CO2 emissions</v>
      </c>
      <c r="J168" s="54">
        <f ca="1">D168</f>
        <v>6.6785714285714282E-2</v>
      </c>
    </row>
    <row r="169" spans="2:10" x14ac:dyDescent="0.25">
      <c r="B169" t="s">
        <v>446</v>
      </c>
      <c r="C169" s="54" t="s">
        <v>216</v>
      </c>
      <c r="D169" s="248">
        <f ca="1">IF(timePeriod="2020-30",'Merit calculation'!BR119,OFFSET('Merit calculation'!BR119,0,2))</f>
        <v>6.2333333333333331E-2</v>
      </c>
      <c r="E169">
        <v>24</v>
      </c>
      <c r="F169" t="str">
        <f>IF(ISNUMBER(SEARCH('(3) FCH technology assessment'!$B$90,C169)),E169,"")</f>
        <v/>
      </c>
      <c r="G169" t="str">
        <f t="shared" si="11"/>
        <v/>
      </c>
      <c r="H169" t="s">
        <v>329</v>
      </c>
      <c r="I169" t="str">
        <f>CONCATENATE(B169,"-",H169)</f>
        <v>Gas-fired District-CHP (heat)-CO2 emissions</v>
      </c>
      <c r="J169" s="54">
        <f ca="1">D169</f>
        <v>6.2333333333333331E-2</v>
      </c>
    </row>
    <row r="170" spans="2:10" x14ac:dyDescent="0.25">
      <c r="B170" s="63" t="s">
        <v>570</v>
      </c>
      <c r="C170" s="54" t="s">
        <v>212</v>
      </c>
      <c r="D170" s="249">
        <f ca="1">IF(timePeriod="2020-30",'Merit calculation'!BV90,OFFSET('Merit calculation'!BV90,0,2))</f>
        <v>9</v>
      </c>
      <c r="E170">
        <v>25</v>
      </c>
      <c r="F170" t="str">
        <f>IF(ISNUMBER(SEARCH('(3) FCH technology assessment'!$B$90,C170)),E170,"")</f>
        <v/>
      </c>
      <c r="G170" t="str">
        <f t="shared" si="11"/>
        <v/>
      </c>
      <c r="H170" s="54" t="s">
        <v>78</v>
      </c>
      <c r="I170" t="str">
        <f t="shared" si="12"/>
        <v>Industrial H2 boiler-Maturity</v>
      </c>
      <c r="J170" s="59">
        <f t="shared" ca="1" si="15"/>
        <v>9</v>
      </c>
    </row>
    <row r="171" spans="2:10" x14ac:dyDescent="0.25">
      <c r="B171" s="63" t="s">
        <v>543</v>
      </c>
      <c r="C171" s="54" t="s">
        <v>212</v>
      </c>
      <c r="D171" s="249">
        <f ca="1">IF(timePeriod="2020-30",'Merit calculation'!BV91,OFFSET('Merit calculation'!BV91,0,2))</f>
        <v>7</v>
      </c>
      <c r="E171">
        <v>26</v>
      </c>
      <c r="F171" t="str">
        <f>IF(ISNUMBER(SEARCH('(3) FCH technology assessment'!$B$90,C171)),E171,"")</f>
        <v/>
      </c>
      <c r="G171" t="str">
        <f t="shared" si="11"/>
        <v/>
      </c>
      <c r="H171" s="54" t="s">
        <v>78</v>
      </c>
      <c r="I171" t="str">
        <f t="shared" si="12"/>
        <v>Micro-CHP with H2 fuel cell (heat)-Maturity</v>
      </c>
      <c r="J171" s="59">
        <f t="shared" ca="1" si="15"/>
        <v>7</v>
      </c>
    </row>
    <row r="172" spans="2:10" x14ac:dyDescent="0.25">
      <c r="B172" s="63" t="s">
        <v>553</v>
      </c>
      <c r="C172" s="54" t="s">
        <v>212</v>
      </c>
      <c r="D172" s="249">
        <f ca="1">IF(timePeriod="2020-30",'Merit calculation'!BV92,OFFSET('Merit calculation'!BV92,0,2))</f>
        <v>9</v>
      </c>
      <c r="E172">
        <v>27</v>
      </c>
      <c r="F172" t="str">
        <f>IF(ISNUMBER(SEARCH('(3) FCH technology assessment'!$B$90,C172)),E172,"")</f>
        <v/>
      </c>
      <c r="G172" t="str">
        <f t="shared" si="11"/>
        <v/>
      </c>
      <c r="H172" s="54" t="s">
        <v>78</v>
      </c>
      <c r="I172" t="str">
        <f t="shared" si="12"/>
        <v>Micro-CHP with natural gas fuel cell (heat)-Maturity</v>
      </c>
      <c r="J172" s="59">
        <f t="shared" ca="1" si="15"/>
        <v>9</v>
      </c>
    </row>
    <row r="173" spans="2:10" x14ac:dyDescent="0.25">
      <c r="B173" s="63" t="s">
        <v>552</v>
      </c>
      <c r="C173" s="54" t="s">
        <v>212</v>
      </c>
      <c r="D173" s="249">
        <f ca="1">IF(timePeriod="2020-30",'Merit calculation'!BV93,OFFSET('Merit calculation'!BV93,0,2))</f>
        <v>9</v>
      </c>
      <c r="E173">
        <v>28</v>
      </c>
      <c r="F173" t="str">
        <f>IF(ISNUMBER(SEARCH('(3) FCH technology assessment'!$B$90,C173)),E173,"")</f>
        <v/>
      </c>
      <c r="G173" t="str">
        <f t="shared" si="11"/>
        <v/>
      </c>
      <c r="H173" s="54" t="s">
        <v>78</v>
      </c>
      <c r="I173" t="str">
        <f t="shared" si="12"/>
        <v>District-CHP with H2 fuel cell (heat)-Maturity</v>
      </c>
      <c r="J173" s="59">
        <f t="shared" ca="1" si="15"/>
        <v>9</v>
      </c>
    </row>
    <row r="174" spans="2:10" x14ac:dyDescent="0.25">
      <c r="B174" s="63" t="s">
        <v>551</v>
      </c>
      <c r="C174" s="54" t="s">
        <v>212</v>
      </c>
      <c r="D174" s="249">
        <f ca="1">IF(timePeriod="2020-30",'Merit calculation'!BV94,OFFSET('Merit calculation'!BV94,0,2))</f>
        <v>9</v>
      </c>
      <c r="E174">
        <v>29</v>
      </c>
      <c r="F174" t="str">
        <f>IF(ISNUMBER(SEARCH('(3) FCH technology assessment'!$B$90,C174)),E174,"")</f>
        <v/>
      </c>
      <c r="G174" t="str">
        <f t="shared" si="11"/>
        <v/>
      </c>
      <c r="H174" s="54" t="s">
        <v>78</v>
      </c>
      <c r="I174" t="str">
        <f t="shared" si="12"/>
        <v>District-CHP with natural gas fuel cell (heat)-Maturity</v>
      </c>
      <c r="J174" s="59">
        <f t="shared" ca="1" si="15"/>
        <v>9</v>
      </c>
    </row>
    <row r="175" spans="2:10" x14ac:dyDescent="0.25">
      <c r="B175" t="s">
        <v>443</v>
      </c>
      <c r="C175" s="54" t="s">
        <v>212</v>
      </c>
      <c r="D175" s="249">
        <f ca="1">IF(timePeriod="2020-30",'Merit calculation'!BV117,OFFSET('Merit calculation'!BV117,0,2))</f>
        <v>9</v>
      </c>
      <c r="E175">
        <v>30</v>
      </c>
      <c r="F175" t="str">
        <f>IF(ISNUMBER(SEARCH('(3) FCH technology assessment'!$B$90,C175)),E175,"")</f>
        <v/>
      </c>
      <c r="G175" t="str">
        <f t="shared" si="11"/>
        <v/>
      </c>
      <c r="H175" s="54" t="s">
        <v>78</v>
      </c>
      <c r="I175" t="str">
        <f>CONCATENATE(B175,"-",H175)</f>
        <v>Gas-fired industrial boiler-Maturity</v>
      </c>
      <c r="J175" s="59">
        <f ca="1">D175</f>
        <v>9</v>
      </c>
    </row>
    <row r="176" spans="2:10" x14ac:dyDescent="0.25">
      <c r="B176" t="s">
        <v>444</v>
      </c>
      <c r="C176" s="54" t="s">
        <v>212</v>
      </c>
      <c r="D176" s="249">
        <f ca="1">IF(timePeriod="2020-30",'Merit calculation'!BV118,OFFSET('Merit calculation'!BV118,0,2))</f>
        <v>9</v>
      </c>
      <c r="E176">
        <v>31</v>
      </c>
      <c r="F176" t="str">
        <f>IF(ISNUMBER(SEARCH('(3) FCH technology assessment'!$B$90,C176)),E176,"")</f>
        <v/>
      </c>
      <c r="G176" t="str">
        <f t="shared" si="11"/>
        <v/>
      </c>
      <c r="H176" s="54" t="s">
        <v>78</v>
      </c>
      <c r="I176" t="str">
        <f>CONCATENATE(B176,"-",H176)</f>
        <v>Gas-fired residential boiler-Maturity</v>
      </c>
      <c r="J176" s="59">
        <f ca="1">D176</f>
        <v>9</v>
      </c>
    </row>
    <row r="177" spans="2:15" x14ac:dyDescent="0.25">
      <c r="B177" t="s">
        <v>446</v>
      </c>
      <c r="C177" s="54" t="s">
        <v>212</v>
      </c>
      <c r="D177" s="249">
        <f ca="1">IF(timePeriod="2020-30",'Merit calculation'!BV119,OFFSET('Merit calculation'!BV119,0,2))</f>
        <v>9</v>
      </c>
      <c r="E177">
        <v>32</v>
      </c>
      <c r="F177" t="str">
        <f>IF(ISNUMBER(SEARCH('(3) FCH technology assessment'!$B$90,C177)),E177,"")</f>
        <v/>
      </c>
      <c r="G177" t="str">
        <f t="shared" si="11"/>
        <v/>
      </c>
      <c r="H177" s="54" t="s">
        <v>78</v>
      </c>
      <c r="I177" t="str">
        <f>CONCATENATE(B177,"-",H177)</f>
        <v>Gas-fired District-CHP (heat)-Maturity</v>
      </c>
      <c r="J177" s="59">
        <f ca="1">D177</f>
        <v>9</v>
      </c>
    </row>
    <row r="178" spans="2:15" x14ac:dyDescent="0.25">
      <c r="B178" s="63" t="s">
        <v>570</v>
      </c>
      <c r="C178" s="54" t="s">
        <v>540</v>
      </c>
      <c r="D178" s="249">
        <f ca="1">IF(timePeriod="2020-30",'Merit calculation'!CD90,OFFSET('Merit calculation'!CD90,0,2))</f>
        <v>50</v>
      </c>
      <c r="E178">
        <v>33</v>
      </c>
      <c r="F178" t="str">
        <f>IF(ISNUMBER(SEARCH('(3) FCH technology assessment'!$B$90,C178)),E178,"")</f>
        <v/>
      </c>
      <c r="G178" t="str">
        <f t="shared" si="11"/>
        <v/>
      </c>
      <c r="H178" s="54" t="s">
        <v>534</v>
      </c>
      <c r="I178" t="str">
        <f t="shared" si="12"/>
        <v>Industrial H2 boiler-Regulatory coverage</v>
      </c>
      <c r="J178" s="59">
        <f t="shared" ca="1" si="15"/>
        <v>50</v>
      </c>
    </row>
    <row r="179" spans="2:15" x14ac:dyDescent="0.25">
      <c r="B179" s="63" t="s">
        <v>543</v>
      </c>
      <c r="C179" s="54" t="s">
        <v>540</v>
      </c>
      <c r="D179" s="249">
        <f ca="1">IF(timePeriod="2020-30",'Merit calculation'!CD91,OFFSET('Merit calculation'!CD91,0,2))</f>
        <v>100</v>
      </c>
      <c r="E179">
        <v>34</v>
      </c>
      <c r="F179" t="str">
        <f>IF(ISNUMBER(SEARCH('(3) FCH technology assessment'!$B$90,C179)),E179,"")</f>
        <v/>
      </c>
      <c r="G179" t="str">
        <f t="shared" si="11"/>
        <v/>
      </c>
      <c r="H179" s="54" t="s">
        <v>534</v>
      </c>
      <c r="I179" t="str">
        <f t="shared" si="12"/>
        <v>Micro-CHP with H2 fuel cell (heat)-Regulatory coverage</v>
      </c>
      <c r="J179" s="59">
        <f t="shared" ca="1" si="15"/>
        <v>100</v>
      </c>
    </row>
    <row r="180" spans="2:15" x14ac:dyDescent="0.25">
      <c r="B180" s="63" t="s">
        <v>553</v>
      </c>
      <c r="C180" s="54" t="s">
        <v>540</v>
      </c>
      <c r="D180" s="249">
        <f ca="1">IF(timePeriod="2020-30",'Merit calculation'!CD92,OFFSET('Merit calculation'!CD92,0,2))</f>
        <v>100</v>
      </c>
      <c r="E180">
        <v>35</v>
      </c>
      <c r="F180" t="str">
        <f>IF(ISNUMBER(SEARCH('(3) FCH technology assessment'!$B$90,C180)),E180,"")</f>
        <v/>
      </c>
      <c r="G180" t="str">
        <f t="shared" si="11"/>
        <v/>
      </c>
      <c r="H180" s="54" t="s">
        <v>534</v>
      </c>
      <c r="I180" t="str">
        <f t="shared" si="12"/>
        <v>Micro-CHP with natural gas fuel cell (heat)-Regulatory coverage</v>
      </c>
      <c r="J180" s="59">
        <f t="shared" ca="1" si="15"/>
        <v>100</v>
      </c>
    </row>
    <row r="181" spans="2:15" x14ac:dyDescent="0.25">
      <c r="B181" s="63" t="s">
        <v>552</v>
      </c>
      <c r="C181" s="54" t="s">
        <v>540</v>
      </c>
      <c r="D181" s="249">
        <f ca="1">IF(timePeriod="2020-30",'Merit calculation'!CD93,OFFSET('Merit calculation'!CD93,0,2))</f>
        <v>100</v>
      </c>
      <c r="E181">
        <v>36</v>
      </c>
      <c r="F181" t="str">
        <f>IF(ISNUMBER(SEARCH('(3) FCH technology assessment'!$B$90,C181)),E181,"")</f>
        <v/>
      </c>
      <c r="G181" t="str">
        <f t="shared" si="11"/>
        <v/>
      </c>
      <c r="H181" s="54" t="s">
        <v>534</v>
      </c>
      <c r="I181" t="str">
        <f t="shared" si="12"/>
        <v>District-CHP with H2 fuel cell (heat)-Regulatory coverage</v>
      </c>
      <c r="J181" s="59">
        <f t="shared" ca="1" si="15"/>
        <v>100</v>
      </c>
    </row>
    <row r="182" spans="2:15" x14ac:dyDescent="0.25">
      <c r="B182" s="63" t="s">
        <v>551</v>
      </c>
      <c r="C182" s="54" t="s">
        <v>540</v>
      </c>
      <c r="D182" s="249">
        <f ca="1">IF(timePeriod="2020-30",'Merit calculation'!CD94,OFFSET('Merit calculation'!CD94,0,2))</f>
        <v>100</v>
      </c>
      <c r="E182">
        <v>37</v>
      </c>
      <c r="F182" t="str">
        <f>IF(ISNUMBER(SEARCH('(3) FCH technology assessment'!$B$90,C182)),E182,"")</f>
        <v/>
      </c>
      <c r="G182" t="str">
        <f t="shared" si="11"/>
        <v/>
      </c>
      <c r="H182" s="54" t="s">
        <v>534</v>
      </c>
      <c r="I182" t="str">
        <f t="shared" si="12"/>
        <v>District-CHP with natural gas fuel cell (heat)-Regulatory coverage</v>
      </c>
      <c r="J182" s="59">
        <f t="shared" ca="1" si="15"/>
        <v>100</v>
      </c>
    </row>
    <row r="183" spans="2:15" x14ac:dyDescent="0.25">
      <c r="B183" t="s">
        <v>443</v>
      </c>
      <c r="C183" s="54" t="s">
        <v>540</v>
      </c>
      <c r="D183" s="249">
        <f ca="1">IF(timePeriod="2020-30",'Merit calculation'!CD117,OFFSET('Merit calculation'!CD117,0,2))</f>
        <v>100</v>
      </c>
      <c r="E183">
        <v>38</v>
      </c>
      <c r="F183" t="str">
        <f>IF(ISNUMBER(SEARCH('(3) FCH technology assessment'!$B$90,C183)),E183,"")</f>
        <v/>
      </c>
      <c r="G183" t="str">
        <f t="shared" si="11"/>
        <v/>
      </c>
      <c r="H183" s="54" t="s">
        <v>534</v>
      </c>
      <c r="I183" t="str">
        <f>CONCATENATE(B183,"-",H183)</f>
        <v>Gas-fired industrial boiler-Regulatory coverage</v>
      </c>
      <c r="J183" s="59">
        <f ca="1">D183</f>
        <v>100</v>
      </c>
    </row>
    <row r="184" spans="2:15" x14ac:dyDescent="0.25">
      <c r="B184" t="s">
        <v>444</v>
      </c>
      <c r="C184" s="54" t="s">
        <v>540</v>
      </c>
      <c r="D184" s="249">
        <f ca="1">IF(timePeriod="2020-30",'Merit calculation'!CD118,OFFSET('Merit calculation'!CD118,0,2))</f>
        <v>100</v>
      </c>
      <c r="E184">
        <v>39</v>
      </c>
      <c r="F184" t="str">
        <f>IF(ISNUMBER(SEARCH('(3) FCH technology assessment'!$B$90,C184)),E184,"")</f>
        <v/>
      </c>
      <c r="G184" t="str">
        <f t="shared" si="11"/>
        <v/>
      </c>
      <c r="H184" s="54" t="s">
        <v>534</v>
      </c>
      <c r="I184" t="str">
        <f>CONCATENATE(B184,"-",H184)</f>
        <v>Gas-fired residential boiler-Regulatory coverage</v>
      </c>
      <c r="J184" s="59">
        <f ca="1">D184</f>
        <v>100</v>
      </c>
    </row>
    <row r="185" spans="2:15" x14ac:dyDescent="0.25">
      <c r="B185" t="s">
        <v>446</v>
      </c>
      <c r="C185" s="54" t="s">
        <v>540</v>
      </c>
      <c r="D185" s="249">
        <f ca="1">IF(timePeriod="2020-30",'Merit calculation'!CD119,OFFSET('Merit calculation'!CD119,0,2))</f>
        <v>100</v>
      </c>
      <c r="E185">
        <v>40</v>
      </c>
      <c r="F185" t="str">
        <f>IF(ISNUMBER(SEARCH('(3) FCH technology assessment'!$B$90,C185)),E185,"")</f>
        <v/>
      </c>
      <c r="G185" t="str">
        <f t="shared" si="11"/>
        <v/>
      </c>
      <c r="H185" s="54" t="s">
        <v>534</v>
      </c>
      <c r="I185" t="str">
        <f>CONCATENATE(B185,"-",H185)</f>
        <v>Gas-fired District-CHP (heat)-Regulatory coverage</v>
      </c>
      <c r="J185" s="59">
        <f ca="1">D185</f>
        <v>100</v>
      </c>
    </row>
    <row r="186" spans="2:15" x14ac:dyDescent="0.25">
      <c r="B186" s="63" t="s">
        <v>570</v>
      </c>
      <c r="C186" s="443" t="s">
        <v>515</v>
      </c>
      <c r="D186" s="249">
        <f ca="1">IF(timePeriod="2020-30",'Merit calculation'!CH90,OFFSET('Merit calculation'!CH90,0,2))</f>
        <v>80</v>
      </c>
      <c r="E186">
        <v>41</v>
      </c>
      <c r="F186" t="str">
        <f>IF(ISNUMBER(SEARCH('(3) FCH technology assessment'!$B$90,C186)),E186,"")</f>
        <v/>
      </c>
      <c r="G186" t="str">
        <f t="shared" si="11"/>
        <v/>
      </c>
      <c r="H186" s="54" t="s">
        <v>82</v>
      </c>
      <c r="I186" t="str">
        <f t="shared" si="12"/>
        <v>Industrial H2 boiler-Public acceptability</v>
      </c>
      <c r="J186" s="247">
        <f t="shared" ca="1" si="15"/>
        <v>80</v>
      </c>
    </row>
    <row r="187" spans="2:15" x14ac:dyDescent="0.25">
      <c r="B187" s="63" t="s">
        <v>543</v>
      </c>
      <c r="C187" s="443" t="s">
        <v>515</v>
      </c>
      <c r="D187" s="249">
        <f ca="1">IF(timePeriod="2020-30",'Merit calculation'!CH91,OFFSET('Merit calculation'!CH91,0,2))</f>
        <v>80</v>
      </c>
      <c r="E187">
        <v>42</v>
      </c>
      <c r="F187" t="str">
        <f>IF(ISNUMBER(SEARCH('(3) FCH technology assessment'!$B$90,C187)),E187,"")</f>
        <v/>
      </c>
      <c r="G187" t="str">
        <f t="shared" si="11"/>
        <v/>
      </c>
      <c r="H187" s="54" t="s">
        <v>82</v>
      </c>
      <c r="I187" t="str">
        <f t="shared" si="12"/>
        <v>Micro-CHP with H2 fuel cell (heat)-Public acceptability</v>
      </c>
      <c r="J187" s="247">
        <f t="shared" ca="1" si="15"/>
        <v>80</v>
      </c>
    </row>
    <row r="188" spans="2:15" x14ac:dyDescent="0.25">
      <c r="B188" s="63" t="s">
        <v>553</v>
      </c>
      <c r="C188" s="443" t="s">
        <v>515</v>
      </c>
      <c r="D188" s="249">
        <f ca="1">IF(timePeriod="2020-30",'Merit calculation'!CH92,OFFSET('Merit calculation'!CH92,0,2))</f>
        <v>80</v>
      </c>
      <c r="E188">
        <v>43</v>
      </c>
      <c r="F188" t="str">
        <f>IF(ISNUMBER(SEARCH('(3) FCH technology assessment'!$B$90,C188)),E188,"")</f>
        <v/>
      </c>
      <c r="G188" t="str">
        <f t="shared" si="11"/>
        <v/>
      </c>
      <c r="H188" s="54" t="s">
        <v>82</v>
      </c>
      <c r="I188" t="str">
        <f t="shared" si="12"/>
        <v>Micro-CHP with natural gas fuel cell (heat)-Public acceptability</v>
      </c>
      <c r="J188" s="247">
        <f t="shared" ca="1" si="15"/>
        <v>80</v>
      </c>
    </row>
    <row r="189" spans="2:15" x14ac:dyDescent="0.25">
      <c r="B189" s="63" t="s">
        <v>552</v>
      </c>
      <c r="C189" s="443" t="s">
        <v>515</v>
      </c>
      <c r="D189" s="249">
        <f ca="1">IF(timePeriod="2020-30",'Merit calculation'!CH93,OFFSET('Merit calculation'!CH93,0,2))</f>
        <v>80</v>
      </c>
      <c r="E189">
        <v>44</v>
      </c>
      <c r="F189" t="str">
        <f>IF(ISNUMBER(SEARCH('(3) FCH technology assessment'!$B$90,C189)),E189,"")</f>
        <v/>
      </c>
      <c r="G189" t="str">
        <f t="shared" si="11"/>
        <v/>
      </c>
      <c r="H189" s="54" t="s">
        <v>82</v>
      </c>
      <c r="I189" t="str">
        <f t="shared" si="12"/>
        <v>District-CHP with H2 fuel cell (heat)-Public acceptability</v>
      </c>
      <c r="J189" s="247">
        <f t="shared" ca="1" si="15"/>
        <v>80</v>
      </c>
    </row>
    <row r="190" spans="2:15" x14ac:dyDescent="0.25">
      <c r="B190" s="63" t="s">
        <v>551</v>
      </c>
      <c r="C190" s="443" t="s">
        <v>515</v>
      </c>
      <c r="D190" s="249">
        <f ca="1">IF(timePeriod="2020-30",'Merit calculation'!CH94,OFFSET('Merit calculation'!CH94,0,2))</f>
        <v>80</v>
      </c>
      <c r="E190">
        <v>45</v>
      </c>
      <c r="F190" t="str">
        <f>IF(ISNUMBER(SEARCH('(3) FCH technology assessment'!$B$90,C190)),E190,"")</f>
        <v/>
      </c>
      <c r="G190" t="str">
        <f t="shared" si="11"/>
        <v/>
      </c>
      <c r="H190" s="54" t="s">
        <v>82</v>
      </c>
      <c r="I190" t="str">
        <f t="shared" si="12"/>
        <v>District-CHP with natural gas fuel cell (heat)-Public acceptability</v>
      </c>
      <c r="J190" s="247">
        <f t="shared" ca="1" si="15"/>
        <v>80</v>
      </c>
      <c r="K190" s="54"/>
      <c r="L190" s="54"/>
      <c r="M190" s="54"/>
      <c r="N190" s="54"/>
      <c r="O190" s="54"/>
    </row>
    <row r="191" spans="2:15" x14ac:dyDescent="0.25">
      <c r="B191" t="s">
        <v>443</v>
      </c>
      <c r="C191" s="443" t="s">
        <v>515</v>
      </c>
      <c r="D191" s="249">
        <f ca="1">IF(timePeriod="2020-30",'Merit calculation'!CH117,OFFSET('Merit calculation'!CH117,0,2))</f>
        <v>100</v>
      </c>
      <c r="E191">
        <v>46</v>
      </c>
      <c r="F191" t="str">
        <f>IF(ISNUMBER(SEARCH('(3) FCH technology assessment'!$B$90,C191)),E191,"")</f>
        <v/>
      </c>
      <c r="G191" t="str">
        <f t="shared" si="11"/>
        <v/>
      </c>
      <c r="H191" s="54" t="s">
        <v>82</v>
      </c>
      <c r="I191" t="str">
        <f>CONCATENATE(B191,"-",H191)</f>
        <v>Gas-fired industrial boiler-Public acceptability</v>
      </c>
      <c r="J191" s="247">
        <f ca="1">D191</f>
        <v>100</v>
      </c>
    </row>
    <row r="192" spans="2:15" x14ac:dyDescent="0.25">
      <c r="B192" t="s">
        <v>444</v>
      </c>
      <c r="C192" s="443" t="s">
        <v>515</v>
      </c>
      <c r="D192" s="249">
        <f ca="1">IF(timePeriod="2020-30",'Merit calculation'!CH118,OFFSET('Merit calculation'!CH118,0,2))</f>
        <v>100</v>
      </c>
      <c r="E192">
        <v>47</v>
      </c>
      <c r="F192" t="str">
        <f>IF(ISNUMBER(SEARCH('(3) FCH technology assessment'!$B$90,C192)),E192,"")</f>
        <v/>
      </c>
      <c r="G192" t="str">
        <f t="shared" si="11"/>
        <v/>
      </c>
      <c r="H192" s="54" t="s">
        <v>82</v>
      </c>
      <c r="I192" t="str">
        <f>CONCATENATE(B192,"-",H192)</f>
        <v>Gas-fired residential boiler-Public acceptability</v>
      </c>
      <c r="J192" s="247">
        <f ca="1">D192</f>
        <v>100</v>
      </c>
    </row>
    <row r="193" spans="2:10" x14ac:dyDescent="0.25">
      <c r="B193" t="s">
        <v>446</v>
      </c>
      <c r="C193" s="443" t="s">
        <v>515</v>
      </c>
      <c r="D193" s="249">
        <f ca="1">IF(timePeriod="2020-30",'Merit calculation'!CH119,OFFSET('Merit calculation'!CH119,0,2))</f>
        <v>100</v>
      </c>
      <c r="E193">
        <v>48</v>
      </c>
      <c r="F193" t="str">
        <f>IF(ISNUMBER(SEARCH('(3) FCH technology assessment'!$B$90,C193)),E193,"")</f>
        <v/>
      </c>
      <c r="G193" t="str">
        <f t="shared" si="11"/>
        <v/>
      </c>
      <c r="H193" s="54" t="s">
        <v>82</v>
      </c>
      <c r="I193" t="str">
        <f>CONCATENATE(B193,"-",H193)</f>
        <v>Gas-fired District-CHP (heat)-Public acceptability</v>
      </c>
      <c r="J193" s="247">
        <f ca="1">D193</f>
        <v>100</v>
      </c>
    </row>
    <row r="194" spans="2:10" x14ac:dyDescent="0.25">
      <c r="H194" s="54"/>
      <c r="J194" s="247"/>
    </row>
    <row r="195" spans="2:10" x14ac:dyDescent="0.25">
      <c r="H195" s="54"/>
      <c r="J195" s="247"/>
    </row>
    <row r="196" spans="2:10" x14ac:dyDescent="0.25">
      <c r="H196" s="54"/>
      <c r="J196" s="247"/>
    </row>
    <row r="197" spans="2:10" s="10" customFormat="1" ht="23.25" x14ac:dyDescent="0.35">
      <c r="B197" s="9" t="s">
        <v>572</v>
      </c>
      <c r="C197" s="9"/>
      <c r="D197" s="9"/>
      <c r="E197" s="9"/>
      <c r="F197" s="9"/>
      <c r="G197" s="9"/>
      <c r="H197" s="9"/>
      <c r="I197" s="9"/>
    </row>
    <row r="199" spans="2:10" x14ac:dyDescent="0.25">
      <c r="B199" s="15" t="s">
        <v>142</v>
      </c>
      <c r="C199" s="15" t="s">
        <v>143</v>
      </c>
      <c r="D199" s="15" t="s">
        <v>144</v>
      </c>
      <c r="E199" s="15" t="s">
        <v>325</v>
      </c>
      <c r="F199" s="15" t="s">
        <v>326</v>
      </c>
      <c r="G199" s="15" t="s">
        <v>327</v>
      </c>
      <c r="H199" s="15"/>
      <c r="I199" s="15"/>
    </row>
    <row r="200" spans="2:10" x14ac:dyDescent="0.25">
      <c r="B200" s="63" t="s">
        <v>162</v>
      </c>
      <c r="C200" t="s">
        <v>161</v>
      </c>
      <c r="D200" s="248">
        <f ca="1">IF(timePeriod="2020-30",'Merit calculation'!BJ96,OFFSET('Merit calculation'!BJ96,0,2))</f>
        <v>6.8465051836761751E-3</v>
      </c>
      <c r="E200">
        <v>1</v>
      </c>
      <c r="F200">
        <f>IF(ISNUMBER(SEARCH('(3) FCH technology assessment'!$B$114,C200)),E200,"")</f>
        <v>1</v>
      </c>
      <c r="G200">
        <f>IFERROR(SMALL($F$200:$F$271,E200),"")</f>
        <v>1</v>
      </c>
      <c r="H200" t="s">
        <v>72</v>
      </c>
      <c r="I200" t="str">
        <f>CONCATENATE(B200,"-",H200)</f>
        <v>Hydrogen turbine (OC)-Levelized cost</v>
      </c>
      <c r="J200" s="54">
        <f t="shared" ref="J200:J208" ca="1" si="16">D200</f>
        <v>6.8465051836761751E-3</v>
      </c>
    </row>
    <row r="201" spans="2:10" x14ac:dyDescent="0.25">
      <c r="B201" s="63" t="s">
        <v>163</v>
      </c>
      <c r="C201" t="s">
        <v>161</v>
      </c>
      <c r="D201" s="248">
        <f ca="1">IF(timePeriod="2020-30",'Merit calculation'!BJ97,OFFSET('Merit calculation'!BJ97,0,2))</f>
        <v>4.7965352483301787E-3</v>
      </c>
      <c r="E201">
        <v>2</v>
      </c>
      <c r="F201">
        <f>IF(ISNUMBER(SEARCH('(3) FCH technology assessment'!$B$114,C201)),E201,"")</f>
        <v>2</v>
      </c>
      <c r="G201">
        <f t="shared" ref="G201:G264" si="17">IFERROR(SMALL($F$200:$F$271,E201),"")</f>
        <v>2</v>
      </c>
      <c r="H201" t="s">
        <v>72</v>
      </c>
      <c r="I201" t="str">
        <f t="shared" ref="I201:I267" si="18">CONCATENATE(B201,"-",H201)</f>
        <v>Hydrogen turbine (CC)-Levelized cost</v>
      </c>
      <c r="J201" s="54">
        <f t="shared" ca="1" si="16"/>
        <v>4.7965352483301787E-3</v>
      </c>
    </row>
    <row r="202" spans="2:10" x14ac:dyDescent="0.25">
      <c r="B202" s="63" t="s">
        <v>164</v>
      </c>
      <c r="C202" t="s">
        <v>161</v>
      </c>
      <c r="D202" s="248">
        <f ca="1">IF(timePeriod="2020-30",'Merit calculation'!BJ98,OFFSET('Merit calculation'!BJ98,0,2))</f>
        <v>5.1494071531421985E-2</v>
      </c>
      <c r="E202">
        <v>3</v>
      </c>
      <c r="F202">
        <f>IF(ISNUMBER(SEARCH('(3) FCH technology assessment'!$B$114,C202)),E202,"")</f>
        <v>3</v>
      </c>
      <c r="G202">
        <f t="shared" si="17"/>
        <v>3</v>
      </c>
      <c r="H202" t="s">
        <v>72</v>
      </c>
      <c r="I202" t="str">
        <f t="shared" si="18"/>
        <v>Prime power H2 fuel cell-Levelized cost</v>
      </c>
      <c r="J202" s="54">
        <f t="shared" ca="1" si="16"/>
        <v>5.1494071531421985E-2</v>
      </c>
    </row>
    <row r="203" spans="2:10" x14ac:dyDescent="0.25">
      <c r="B203" s="63" t="s">
        <v>165</v>
      </c>
      <c r="C203" t="s">
        <v>161</v>
      </c>
      <c r="D203" s="248">
        <f ca="1">IF(timePeriod="2020-30",'Merit calculation'!BJ99,OFFSET('Merit calculation'!BJ99,0,2))</f>
        <v>5.1494071531421985E-2</v>
      </c>
      <c r="E203">
        <v>4</v>
      </c>
      <c r="F203">
        <f>IF(ISNUMBER(SEARCH('(3) FCH technology assessment'!$B$114,C203)),E203,"")</f>
        <v>4</v>
      </c>
      <c r="G203">
        <f t="shared" si="17"/>
        <v>4</v>
      </c>
      <c r="H203" t="s">
        <v>72</v>
      </c>
      <c r="I203" t="str">
        <f t="shared" si="18"/>
        <v>Prime power natural gas fuel cell-Levelized cost</v>
      </c>
      <c r="J203" s="54">
        <f t="shared" ca="1" si="16"/>
        <v>5.1494071531421985E-2</v>
      </c>
    </row>
    <row r="204" spans="2:10" x14ac:dyDescent="0.25">
      <c r="B204" s="63" t="s">
        <v>547</v>
      </c>
      <c r="C204" t="s">
        <v>161</v>
      </c>
      <c r="D204" s="248">
        <f ca="1">IF(timePeriod="2020-30",'Merit calculation'!BJ100,OFFSET('Merit calculation'!BJ100,0,2))</f>
        <v>0.11088465067687969</v>
      </c>
      <c r="E204">
        <v>5</v>
      </c>
      <c r="F204">
        <f>IF(ISNUMBER(SEARCH('(3) FCH technology assessment'!$B$114,C204)),E204,"")</f>
        <v>5</v>
      </c>
      <c r="G204">
        <f t="shared" si="17"/>
        <v>5</v>
      </c>
      <c r="H204" t="s">
        <v>72</v>
      </c>
      <c r="I204" t="str">
        <f t="shared" si="18"/>
        <v>Micro-CHP with H2 fuel cell (power)-Levelized cost</v>
      </c>
      <c r="J204" s="54">
        <f t="shared" ca="1" si="16"/>
        <v>0.11088465067687969</v>
      </c>
    </row>
    <row r="205" spans="2:10" x14ac:dyDescent="0.25">
      <c r="B205" s="63" t="s">
        <v>548</v>
      </c>
      <c r="C205" t="s">
        <v>161</v>
      </c>
      <c r="D205" s="248">
        <f ca="1">IF(timePeriod="2020-30",'Merit calculation'!BJ101,OFFSET('Merit calculation'!BJ101,0,2))</f>
        <v>0.11088465067687969</v>
      </c>
      <c r="E205">
        <v>6</v>
      </c>
      <c r="F205">
        <f>IF(ISNUMBER(SEARCH('(3) FCH technology assessment'!$B$114,C205)),E205,"")</f>
        <v>6</v>
      </c>
      <c r="G205">
        <f t="shared" si="17"/>
        <v>6</v>
      </c>
      <c r="H205" t="s">
        <v>72</v>
      </c>
      <c r="I205" t="str">
        <f t="shared" si="18"/>
        <v>Micro-CHP with natural gas fuel cell (power)-Levelized cost</v>
      </c>
      <c r="J205" s="54">
        <f t="shared" ca="1" si="16"/>
        <v>0.11088465067687969</v>
      </c>
    </row>
    <row r="206" spans="2:10" x14ac:dyDescent="0.25">
      <c r="B206" s="63" t="s">
        <v>549</v>
      </c>
      <c r="C206" t="s">
        <v>161</v>
      </c>
      <c r="D206" s="248">
        <f ca="1">IF(timePeriod="2020-30",'Merit calculation'!BJ102,OFFSET('Merit calculation'!BJ102,0,2))</f>
        <v>6.4083910818335019E-2</v>
      </c>
      <c r="E206">
        <v>7</v>
      </c>
      <c r="F206">
        <f>IF(ISNUMBER(SEARCH('(3) FCH technology assessment'!$B$114,C206)),E206,"")</f>
        <v>7</v>
      </c>
      <c r="G206">
        <f t="shared" si="17"/>
        <v>7</v>
      </c>
      <c r="H206" t="s">
        <v>72</v>
      </c>
      <c r="I206" t="str">
        <f t="shared" si="18"/>
        <v>District-CHP with H2 fuel cell (power)-Levelized cost</v>
      </c>
      <c r="J206" s="54">
        <f t="shared" ca="1" si="16"/>
        <v>6.4083910818335019E-2</v>
      </c>
    </row>
    <row r="207" spans="2:10" x14ac:dyDescent="0.25">
      <c r="B207" s="63" t="s">
        <v>550</v>
      </c>
      <c r="C207" t="s">
        <v>161</v>
      </c>
      <c r="D207" s="248">
        <f ca="1">IF(timePeriod="2020-30",'Merit calculation'!BJ103,OFFSET('Merit calculation'!BJ103,0,2))</f>
        <v>6.4083910818335019E-2</v>
      </c>
      <c r="E207">
        <v>8</v>
      </c>
      <c r="F207">
        <f>IF(ISNUMBER(SEARCH('(3) FCH technology assessment'!$B$114,C207)),E207,"")</f>
        <v>8</v>
      </c>
      <c r="G207">
        <f t="shared" si="17"/>
        <v>8</v>
      </c>
      <c r="H207" t="s">
        <v>72</v>
      </c>
      <c r="I207" t="str">
        <f t="shared" si="18"/>
        <v>District-CHP with natural gas fuel cell (power)-Levelized cost</v>
      </c>
      <c r="J207" s="54">
        <f t="shared" ca="1" si="16"/>
        <v>6.4083910818335019E-2</v>
      </c>
    </row>
    <row r="208" spans="2:10" x14ac:dyDescent="0.25">
      <c r="B208" s="54" t="s">
        <v>442</v>
      </c>
      <c r="C208" t="s">
        <v>161</v>
      </c>
      <c r="D208" s="248">
        <f ca="1">IF(timePeriod="2020-30",'Merit calculation'!BJ121,OFFSET('Merit calculation'!BJ121,0,2))</f>
        <v>8.4754518952733504E-3</v>
      </c>
      <c r="E208">
        <v>9</v>
      </c>
      <c r="F208">
        <f>IF(ISNUMBER(SEARCH('(3) FCH technology assessment'!$B$114,C208)),E208,"")</f>
        <v>9</v>
      </c>
      <c r="G208">
        <f t="shared" si="17"/>
        <v>9</v>
      </c>
      <c r="H208" t="s">
        <v>72</v>
      </c>
      <c r="I208" t="str">
        <f>CONCATENATE(B208,"-",H208)</f>
        <v>Natural gas turbine (OC) -Levelized cost</v>
      </c>
      <c r="J208" s="54">
        <f t="shared" ca="1" si="16"/>
        <v>8.4754518952733504E-3</v>
      </c>
    </row>
    <row r="209" spans="2:10" x14ac:dyDescent="0.25">
      <c r="B209" s="54" t="s">
        <v>440</v>
      </c>
      <c r="C209" t="s">
        <v>161</v>
      </c>
      <c r="D209" s="248">
        <f ca="1">IF(timePeriod="2020-30",'Merit calculation'!BJ122,OFFSET('Merit calculation'!BJ122,0,2))</f>
        <v>9.684597936591802E-3</v>
      </c>
      <c r="E209">
        <v>10</v>
      </c>
      <c r="F209">
        <f>IF(ISNUMBER(SEARCH('(3) FCH technology assessment'!$B$114,C209)),E209,"")</f>
        <v>10</v>
      </c>
      <c r="G209">
        <f t="shared" si="17"/>
        <v>10</v>
      </c>
      <c r="H209" t="s">
        <v>72</v>
      </c>
      <c r="I209" t="str">
        <f>CONCATENATE(B209,"-",H209)</f>
        <v>Natural gas turbine (CC)-Levelized cost</v>
      </c>
      <c r="J209" s="54">
        <f ca="1">D209</f>
        <v>9.684597936591802E-3</v>
      </c>
    </row>
    <row r="210" spans="2:10" x14ac:dyDescent="0.25">
      <c r="B210" s="54" t="s">
        <v>441</v>
      </c>
      <c r="C210" t="s">
        <v>161</v>
      </c>
      <c r="D210" s="248">
        <f ca="1">IF(timePeriod="2020-30",'Merit calculation'!BJ123,OFFSET('Merit calculation'!BJ123,0,2))</f>
        <v>6.0330006857772503E-3</v>
      </c>
      <c r="E210">
        <v>11</v>
      </c>
      <c r="F210">
        <f>IF(ISNUMBER(SEARCH('(3) FCH technology assessment'!$B$114,C210)),E210,"")</f>
        <v>11</v>
      </c>
      <c r="G210">
        <f t="shared" si="17"/>
        <v>11</v>
      </c>
      <c r="H210" t="s">
        <v>72</v>
      </c>
      <c r="I210" t="str">
        <f>CONCATENATE(B210,"-",H210)</f>
        <v>Gas engine-Levelized cost</v>
      </c>
      <c r="J210" s="54">
        <f ca="1">D210</f>
        <v>6.0330006857772503E-3</v>
      </c>
    </row>
    <row r="211" spans="2:10" x14ac:dyDescent="0.25">
      <c r="B211" s="54" t="s">
        <v>447</v>
      </c>
      <c r="C211" t="s">
        <v>161</v>
      </c>
      <c r="D211" s="248">
        <f ca="1">IF(timePeriod="2020-30",'Merit calculation'!BJ124,OFFSET('Merit calculation'!BJ124,0,2))</f>
        <v>9.5035466561890526E-3</v>
      </c>
      <c r="E211">
        <v>12</v>
      </c>
      <c r="F211">
        <f>IF(ISNUMBER(SEARCH('(3) FCH technology assessment'!$B$114,C211)),E211,"")</f>
        <v>12</v>
      </c>
      <c r="G211">
        <f t="shared" si="17"/>
        <v>12</v>
      </c>
      <c r="H211" t="s">
        <v>72</v>
      </c>
      <c r="I211" t="str">
        <f>CONCATENATE(B211,"-",H211)</f>
        <v>Gas-fired District-CHP (power)-Levelized cost</v>
      </c>
      <c r="J211" s="54">
        <f ca="1">D211</f>
        <v>9.5035466561890526E-3</v>
      </c>
    </row>
    <row r="212" spans="2:10" x14ac:dyDescent="0.25">
      <c r="B212" s="63" t="s">
        <v>162</v>
      </c>
      <c r="C212" s="54" t="s">
        <v>517</v>
      </c>
      <c r="D212" s="248">
        <f ca="1">IF(timePeriod="2020-30",'Merit calculation'!BN96,OFFSET('Merit calculation'!B96,0,2))</f>
        <v>-3.6295604090846156</v>
      </c>
      <c r="E212">
        <v>13</v>
      </c>
      <c r="F212" t="str">
        <f>IF(ISNUMBER(SEARCH('(3) FCH technology assessment'!$B$114,C212)),E212,"")</f>
        <v/>
      </c>
      <c r="G212" t="str">
        <f t="shared" si="17"/>
        <v/>
      </c>
      <c r="H212" t="s">
        <v>77</v>
      </c>
      <c r="I212" t="str">
        <f t="shared" ref="I212:I223" si="19">CONCATENATE(B212,"-",H212)</f>
        <v>Hydrogen turbine (OC)-Marginal abatement cost</v>
      </c>
      <c r="J212" s="54">
        <f t="shared" ref="J212:J223" ca="1" si="20">D212</f>
        <v>-3.6295604090846156</v>
      </c>
    </row>
    <row r="213" spans="2:10" x14ac:dyDescent="0.25">
      <c r="B213" s="63" t="s">
        <v>163</v>
      </c>
      <c r="C213" s="54" t="s">
        <v>517</v>
      </c>
      <c r="D213" s="248">
        <f ca="1">IF(timePeriod="2020-30",'Merit calculation'!BN97,OFFSET('Merit calculation'!B97,0,2))</f>
        <v>-14.763904930875372</v>
      </c>
      <c r="E213">
        <v>14</v>
      </c>
      <c r="F213" t="str">
        <f>IF(ISNUMBER(SEARCH('(3) FCH technology assessment'!$B$114,C213)),E213,"")</f>
        <v/>
      </c>
      <c r="G213" t="str">
        <f t="shared" si="17"/>
        <v/>
      </c>
      <c r="H213" t="s">
        <v>77</v>
      </c>
      <c r="I213" t="str">
        <f t="shared" si="19"/>
        <v>Hydrogen turbine (CC)-Marginal abatement cost</v>
      </c>
      <c r="J213" s="54">
        <f t="shared" ca="1" si="20"/>
        <v>-14.763904930875372</v>
      </c>
    </row>
    <row r="214" spans="2:10" x14ac:dyDescent="0.25">
      <c r="B214" s="63" t="s">
        <v>164</v>
      </c>
      <c r="C214" s="54" t="s">
        <v>517</v>
      </c>
      <c r="D214" s="248">
        <f ca="1">IF(timePeriod="2020-30",'Merit calculation'!BN98,OFFSET('Merit calculation'!B98,0,2))</f>
        <v>88.914255219002129</v>
      </c>
      <c r="E214">
        <v>15</v>
      </c>
      <c r="F214" t="str">
        <f>IF(ISNUMBER(SEARCH('(3) FCH technology assessment'!$B$114,C214)),E214,"")</f>
        <v/>
      </c>
      <c r="G214" t="str">
        <f t="shared" si="17"/>
        <v/>
      </c>
      <c r="H214" t="s">
        <v>77</v>
      </c>
      <c r="I214" t="str">
        <f t="shared" si="19"/>
        <v>Prime power H2 fuel cell-Marginal abatement cost</v>
      </c>
      <c r="J214" s="54">
        <f t="shared" ca="1" si="20"/>
        <v>88.914255219002129</v>
      </c>
    </row>
    <row r="215" spans="2:10" x14ac:dyDescent="0.25">
      <c r="B215" s="63" t="s">
        <v>165</v>
      </c>
      <c r="C215" s="54" t="s">
        <v>517</v>
      </c>
      <c r="D215" s="248">
        <f ca="1">IF(timePeriod="2020-30",'Merit calculation'!BN99,OFFSET('Merit calculation'!B99,0,2))</f>
        <v>557.19599937241378</v>
      </c>
      <c r="E215">
        <v>16</v>
      </c>
      <c r="F215" t="str">
        <f>IF(ISNUMBER(SEARCH('(3) FCH technology assessment'!$B$114,C215)),E215,"")</f>
        <v/>
      </c>
      <c r="G215" t="str">
        <f t="shared" si="17"/>
        <v/>
      </c>
      <c r="H215" t="s">
        <v>77</v>
      </c>
      <c r="I215" t="str">
        <f t="shared" si="19"/>
        <v>Prime power natural gas fuel cell-Marginal abatement cost</v>
      </c>
      <c r="J215" s="54">
        <f t="shared" ca="1" si="20"/>
        <v>557.19599937241378</v>
      </c>
    </row>
    <row r="216" spans="2:10" x14ac:dyDescent="0.25">
      <c r="B216" s="63" t="s">
        <v>547</v>
      </c>
      <c r="C216" s="54" t="s">
        <v>517</v>
      </c>
      <c r="D216" s="248">
        <f ca="1">IF(timePeriod="2020-30",'Merit calculation'!BN100,OFFSET('Merit calculation'!B100,0,2))</f>
        <v>205.07230019055987</v>
      </c>
      <c r="E216">
        <v>17</v>
      </c>
      <c r="F216" t="str">
        <f>IF(ISNUMBER(SEARCH('(3) FCH technology assessment'!$B$114,C216)),E216,"")</f>
        <v/>
      </c>
      <c r="G216" t="str">
        <f t="shared" si="17"/>
        <v/>
      </c>
      <c r="H216" t="s">
        <v>77</v>
      </c>
      <c r="I216" t="str">
        <f t="shared" si="19"/>
        <v>Micro-CHP with H2 fuel cell (power)-Marginal abatement cost</v>
      </c>
      <c r="J216" s="54">
        <f t="shared" ca="1" si="20"/>
        <v>205.07230019055987</v>
      </c>
    </row>
    <row r="217" spans="2:10" x14ac:dyDescent="0.25">
      <c r="B217" s="63" t="s">
        <v>548</v>
      </c>
      <c r="C217" s="54" t="s">
        <v>517</v>
      </c>
      <c r="D217" s="248">
        <f ca="1">IF(timePeriod="2020-30",'Merit calculation'!BN101,OFFSET('Merit calculation'!B101,0,2))</f>
        <v>375.60610771744649</v>
      </c>
      <c r="E217">
        <v>18</v>
      </c>
      <c r="F217" t="str">
        <f>IF(ISNUMBER(SEARCH('(3) FCH technology assessment'!$B$114,C217)),E217,"")</f>
        <v/>
      </c>
      <c r="G217" t="str">
        <f t="shared" si="17"/>
        <v/>
      </c>
      <c r="H217" t="s">
        <v>77</v>
      </c>
      <c r="I217" t="str">
        <f t="shared" si="19"/>
        <v>Micro-CHP with natural gas fuel cell (power)-Marginal abatement cost</v>
      </c>
      <c r="J217" s="54">
        <f t="shared" ca="1" si="20"/>
        <v>375.60610771744649</v>
      </c>
    </row>
    <row r="218" spans="2:10" x14ac:dyDescent="0.25">
      <c r="B218" s="63" t="s">
        <v>549</v>
      </c>
      <c r="C218" s="54" t="s">
        <v>517</v>
      </c>
      <c r="D218" s="248">
        <f ca="1">IF(timePeriod="2020-30",'Merit calculation'!BN102,OFFSET('Merit calculation'!B102,0,2))</f>
        <v>133.77540235820089</v>
      </c>
      <c r="E218">
        <v>19</v>
      </c>
      <c r="F218" t="str">
        <f>IF(ISNUMBER(SEARCH('(3) FCH technology assessment'!$B$114,C218)),E218,"")</f>
        <v/>
      </c>
      <c r="G218" t="str">
        <f t="shared" si="17"/>
        <v/>
      </c>
      <c r="H218" t="s">
        <v>77</v>
      </c>
      <c r="I218" t="str">
        <f t="shared" si="19"/>
        <v>District-CHP with H2 fuel cell (power)-Marginal abatement cost</v>
      </c>
      <c r="J218" s="54">
        <f t="shared" ca="1" si="20"/>
        <v>133.77540235820089</v>
      </c>
    </row>
    <row r="219" spans="2:10" x14ac:dyDescent="0.25">
      <c r="B219" s="63" t="s">
        <v>550</v>
      </c>
      <c r="C219" s="54" t="s">
        <v>517</v>
      </c>
      <c r="D219" s="248">
        <f ca="1">IF(timePeriod="2020-30",'Merit calculation'!BN103,OFFSET('Merit calculation'!B103,0,2))</f>
        <v>383.65775770653852</v>
      </c>
      <c r="E219">
        <v>20</v>
      </c>
      <c r="F219" t="str">
        <f>IF(ISNUMBER(SEARCH('(3) FCH technology assessment'!$B$114,C219)),E219,"")</f>
        <v/>
      </c>
      <c r="G219" t="str">
        <f t="shared" si="17"/>
        <v/>
      </c>
      <c r="H219" t="s">
        <v>77</v>
      </c>
      <c r="I219" t="str">
        <f t="shared" si="19"/>
        <v>District-CHP with natural gas fuel cell (power)-Marginal abatement cost</v>
      </c>
      <c r="J219" s="54">
        <f t="shared" ca="1" si="20"/>
        <v>383.65775770653852</v>
      </c>
    </row>
    <row r="220" spans="2:10" x14ac:dyDescent="0.25">
      <c r="B220" s="54" t="s">
        <v>442</v>
      </c>
      <c r="C220" s="54" t="s">
        <v>517</v>
      </c>
      <c r="D220" s="248">
        <v>0</v>
      </c>
      <c r="E220">
        <v>21</v>
      </c>
      <c r="F220" t="str">
        <f>IF(ISNUMBER(SEARCH('(3) FCH technology assessment'!$B$114,C220)),E220,"")</f>
        <v/>
      </c>
      <c r="G220" t="str">
        <f t="shared" si="17"/>
        <v/>
      </c>
      <c r="H220" t="s">
        <v>77</v>
      </c>
      <c r="I220" t="str">
        <f t="shared" si="19"/>
        <v>Natural gas turbine (OC) -Marginal abatement cost</v>
      </c>
      <c r="J220" s="54">
        <f t="shared" si="20"/>
        <v>0</v>
      </c>
    </row>
    <row r="221" spans="2:10" x14ac:dyDescent="0.25">
      <c r="B221" s="54" t="s">
        <v>440</v>
      </c>
      <c r="C221" s="54" t="s">
        <v>517</v>
      </c>
      <c r="D221" s="248">
        <v>0</v>
      </c>
      <c r="E221">
        <v>22</v>
      </c>
      <c r="F221" t="str">
        <f>IF(ISNUMBER(SEARCH('(3) FCH technology assessment'!$B$114,C221)),E221,"")</f>
        <v/>
      </c>
      <c r="G221" t="str">
        <f t="shared" si="17"/>
        <v/>
      </c>
      <c r="H221" t="s">
        <v>77</v>
      </c>
      <c r="I221" t="str">
        <f t="shared" si="19"/>
        <v>Natural gas turbine (CC)-Marginal abatement cost</v>
      </c>
      <c r="J221" s="54">
        <f t="shared" si="20"/>
        <v>0</v>
      </c>
    </row>
    <row r="222" spans="2:10" x14ac:dyDescent="0.25">
      <c r="B222" s="54" t="s">
        <v>441</v>
      </c>
      <c r="C222" s="54" t="s">
        <v>517</v>
      </c>
      <c r="D222" s="248">
        <v>0</v>
      </c>
      <c r="E222">
        <v>23</v>
      </c>
      <c r="F222" t="str">
        <f>IF(ISNUMBER(SEARCH('(3) FCH technology assessment'!$B$114,C222)),E222,"")</f>
        <v/>
      </c>
      <c r="G222" t="str">
        <f t="shared" si="17"/>
        <v/>
      </c>
      <c r="H222" t="s">
        <v>77</v>
      </c>
      <c r="I222" t="str">
        <f t="shared" si="19"/>
        <v>Gas engine-Marginal abatement cost</v>
      </c>
      <c r="J222" s="54">
        <f t="shared" si="20"/>
        <v>0</v>
      </c>
    </row>
    <row r="223" spans="2:10" x14ac:dyDescent="0.25">
      <c r="B223" s="54" t="s">
        <v>447</v>
      </c>
      <c r="C223" s="54" t="s">
        <v>517</v>
      </c>
      <c r="D223" s="248">
        <v>0</v>
      </c>
      <c r="E223">
        <v>24</v>
      </c>
      <c r="F223" t="str">
        <f>IF(ISNUMBER(SEARCH('(3) FCH technology assessment'!$B$114,C223)),E223,"")</f>
        <v/>
      </c>
      <c r="G223" t="str">
        <f t="shared" si="17"/>
        <v/>
      </c>
      <c r="H223" t="s">
        <v>77</v>
      </c>
      <c r="I223" t="str">
        <f t="shared" si="19"/>
        <v>Gas-fired District-CHP (power)-Marginal abatement cost</v>
      </c>
      <c r="J223" s="54">
        <f t="shared" si="20"/>
        <v>0</v>
      </c>
    </row>
    <row r="224" spans="2:10" x14ac:dyDescent="0.25">
      <c r="B224" s="63" t="s">
        <v>162</v>
      </c>
      <c r="C224" s="54" t="s">
        <v>218</v>
      </c>
      <c r="D224" s="248">
        <f ca="1">IF(timePeriod="2020-30",'Merit calculation'!BR96,OFFSET('Merit calculation'!BR96,0,2))</f>
        <v>0</v>
      </c>
      <c r="E224">
        <v>25</v>
      </c>
      <c r="F224" t="str">
        <f>IF(ISNUMBER(SEARCH('(3) FCH technology assessment'!$B$114,C224)),E224,"")</f>
        <v/>
      </c>
      <c r="G224" t="str">
        <f t="shared" si="17"/>
        <v/>
      </c>
      <c r="H224" t="s">
        <v>329</v>
      </c>
      <c r="I224" t="str">
        <f t="shared" si="18"/>
        <v>Hydrogen turbine (OC)-CO2 emissions</v>
      </c>
      <c r="J224" s="54">
        <f t="shared" ref="J224:J267" ca="1" si="21">D224</f>
        <v>0</v>
      </c>
    </row>
    <row r="225" spans="2:10" x14ac:dyDescent="0.25">
      <c r="B225" s="63" t="s">
        <v>163</v>
      </c>
      <c r="C225" s="54" t="s">
        <v>218</v>
      </c>
      <c r="D225" s="248">
        <f ca="1">IF(timePeriod="2020-30",'Merit calculation'!BR97,OFFSET('Merit calculation'!BR97,0,2))</f>
        <v>0</v>
      </c>
      <c r="E225">
        <v>26</v>
      </c>
      <c r="F225" t="str">
        <f>IF(ISNUMBER(SEARCH('(3) FCH technology assessment'!$B$114,C225)),E225,"")</f>
        <v/>
      </c>
      <c r="G225" t="str">
        <f t="shared" si="17"/>
        <v/>
      </c>
      <c r="H225" t="s">
        <v>329</v>
      </c>
      <c r="I225" t="str">
        <f t="shared" si="18"/>
        <v>Hydrogen turbine (CC)-CO2 emissions</v>
      </c>
      <c r="J225" s="54">
        <f t="shared" ca="1" si="21"/>
        <v>0</v>
      </c>
    </row>
    <row r="226" spans="2:10" x14ac:dyDescent="0.25">
      <c r="B226" s="63" t="s">
        <v>164</v>
      </c>
      <c r="C226" s="54" t="s">
        <v>218</v>
      </c>
      <c r="D226" s="248">
        <f ca="1">IF(timePeriod="2020-30",'Merit calculation'!BR98,OFFSET('Merit calculation'!BR98,0,2))</f>
        <v>0</v>
      </c>
      <c r="E226">
        <v>27</v>
      </c>
      <c r="F226" t="str">
        <f>IF(ISNUMBER(SEARCH('(3) FCH technology assessment'!$B$114,C226)),E226,"")</f>
        <v/>
      </c>
      <c r="G226" t="str">
        <f t="shared" si="17"/>
        <v/>
      </c>
      <c r="H226" t="s">
        <v>329</v>
      </c>
      <c r="I226" t="str">
        <f t="shared" si="18"/>
        <v>Prime power H2 fuel cell-CO2 emissions</v>
      </c>
      <c r="J226" s="54">
        <f t="shared" ca="1" si="21"/>
        <v>0</v>
      </c>
    </row>
    <row r="227" spans="2:10" x14ac:dyDescent="0.25">
      <c r="B227" s="63" t="s">
        <v>165</v>
      </c>
      <c r="C227" s="54" t="s">
        <v>218</v>
      </c>
      <c r="D227" s="248">
        <f ca="1">IF(timePeriod="2020-30",'Merit calculation'!BR99,OFFSET('Merit calculation'!BR99,0,2))</f>
        <v>0.4297021276595745</v>
      </c>
      <c r="E227">
        <v>28</v>
      </c>
      <c r="F227" t="str">
        <f>IF(ISNUMBER(SEARCH('(3) FCH technology assessment'!$B$114,C227)),E227,"")</f>
        <v/>
      </c>
      <c r="G227" t="str">
        <f t="shared" si="17"/>
        <v/>
      </c>
      <c r="H227" t="s">
        <v>329</v>
      </c>
      <c r="I227" t="str">
        <f t="shared" si="18"/>
        <v>Prime power natural gas fuel cell-CO2 emissions</v>
      </c>
      <c r="J227" s="54">
        <f t="shared" ca="1" si="21"/>
        <v>0.4297021276595745</v>
      </c>
    </row>
    <row r="228" spans="2:10" x14ac:dyDescent="0.25">
      <c r="B228" s="63" t="s">
        <v>547</v>
      </c>
      <c r="C228" s="54" t="s">
        <v>218</v>
      </c>
      <c r="D228" s="248">
        <f ca="1">IF(timePeriod="2020-30",'Merit calculation'!BR100,OFFSET('Merit calculation'!BR100,0,2))</f>
        <v>0</v>
      </c>
      <c r="E228">
        <v>29</v>
      </c>
      <c r="F228" t="str">
        <f>IF(ISNUMBER(SEARCH('(3) FCH technology assessment'!$B$114,C228)),E228,"")</f>
        <v/>
      </c>
      <c r="G228" t="str">
        <f t="shared" si="17"/>
        <v/>
      </c>
      <c r="H228" t="s">
        <v>329</v>
      </c>
      <c r="I228" t="str">
        <f t="shared" si="18"/>
        <v>Micro-CHP with H2 fuel cell (power)-CO2 emissions</v>
      </c>
      <c r="J228" s="54">
        <f t="shared" ca="1" si="21"/>
        <v>0</v>
      </c>
    </row>
    <row r="229" spans="2:10" x14ac:dyDescent="0.25">
      <c r="B229" s="63" t="s">
        <v>548</v>
      </c>
      <c r="C229" s="54" t="s">
        <v>218</v>
      </c>
      <c r="D229" s="248">
        <f ca="1">IF(timePeriod="2020-30",'Merit calculation'!BR101,OFFSET('Merit calculation'!BR101,0,2))</f>
        <v>0.23213793103448277</v>
      </c>
      <c r="E229">
        <v>30</v>
      </c>
      <c r="F229" t="str">
        <f>IF(ISNUMBER(SEARCH('(3) FCH technology assessment'!$B$114,C229)),E229,"")</f>
        <v/>
      </c>
      <c r="G229" t="str">
        <f t="shared" si="17"/>
        <v/>
      </c>
      <c r="H229" t="s">
        <v>329</v>
      </c>
      <c r="I229" t="str">
        <f t="shared" si="18"/>
        <v>Micro-CHP with natural gas fuel cell (power)-CO2 emissions</v>
      </c>
      <c r="J229" s="54">
        <f t="shared" ca="1" si="21"/>
        <v>0.23213793103448277</v>
      </c>
    </row>
    <row r="230" spans="2:10" x14ac:dyDescent="0.25">
      <c r="B230" s="63" t="s">
        <v>549</v>
      </c>
      <c r="C230" s="54" t="s">
        <v>218</v>
      </c>
      <c r="D230" s="248">
        <f ca="1">IF(timePeriod="2020-30",'Merit calculation'!BR102,OFFSET('Merit calculation'!BR102,0,2))</f>
        <v>0</v>
      </c>
      <c r="E230">
        <v>31</v>
      </c>
      <c r="F230" t="str">
        <f>IF(ISNUMBER(SEARCH('(3) FCH technology assessment'!$B$114,C230)),E230,"")</f>
        <v/>
      </c>
      <c r="G230" t="str">
        <f t="shared" si="17"/>
        <v/>
      </c>
      <c r="H230" t="s">
        <v>329</v>
      </c>
      <c r="I230" t="str">
        <f t="shared" si="18"/>
        <v>District-CHP with H2 fuel cell (power)-CO2 emissions</v>
      </c>
      <c r="J230" s="54">
        <f t="shared" ca="1" si="21"/>
        <v>0</v>
      </c>
    </row>
    <row r="231" spans="2:10" x14ac:dyDescent="0.25">
      <c r="B231" s="63" t="s">
        <v>550</v>
      </c>
      <c r="C231" s="54" t="s">
        <v>218</v>
      </c>
      <c r="D231" s="248">
        <f ca="1">IF(timePeriod="2020-30",'Merit calculation'!BR103,OFFSET('Merit calculation'!BR103,0,2))</f>
        <v>0.26573684210526316</v>
      </c>
      <c r="E231">
        <v>32</v>
      </c>
      <c r="F231" t="str">
        <f>IF(ISNUMBER(SEARCH('(3) FCH technology assessment'!$B$114,C231)),E231,"")</f>
        <v/>
      </c>
      <c r="G231" t="str">
        <f t="shared" si="17"/>
        <v/>
      </c>
      <c r="H231" t="s">
        <v>329</v>
      </c>
      <c r="I231" t="str">
        <f t="shared" si="18"/>
        <v>District-CHP with natural gas fuel cell (power)-CO2 emissions</v>
      </c>
      <c r="J231" s="54">
        <f t="shared" ca="1" si="21"/>
        <v>0.26573684210526316</v>
      </c>
    </row>
    <row r="232" spans="2:10" x14ac:dyDescent="0.25">
      <c r="B232" s="54" t="s">
        <v>442</v>
      </c>
      <c r="C232" s="54" t="s">
        <v>218</v>
      </c>
      <c r="D232" s="248">
        <f ca="1">IF(timePeriod="2020-30",'Merit calculation'!BR121,OFFSET('Merit calculation'!BR121,0,2))</f>
        <v>0.44879999999999998</v>
      </c>
      <c r="E232">
        <v>33</v>
      </c>
      <c r="F232" t="str">
        <f>IF(ISNUMBER(SEARCH('(3) FCH technology assessment'!$B$114,C232)),E232,"")</f>
        <v/>
      </c>
      <c r="G232" t="str">
        <f t="shared" si="17"/>
        <v/>
      </c>
      <c r="H232" t="s">
        <v>329</v>
      </c>
      <c r="I232" t="str">
        <f>CONCATENATE(B232,"-",H232)</f>
        <v>Natural gas turbine (OC) -CO2 emissions</v>
      </c>
      <c r="J232" s="54">
        <f ca="1">D232</f>
        <v>0.44879999999999998</v>
      </c>
    </row>
    <row r="233" spans="2:10" x14ac:dyDescent="0.25">
      <c r="B233" s="54" t="s">
        <v>440</v>
      </c>
      <c r="C233" s="54" t="s">
        <v>218</v>
      </c>
      <c r="D233" s="248">
        <f ca="1">IF(timePeriod="2020-30",'Merit calculation'!BR122,OFFSET('Merit calculation'!BR122,0,2))</f>
        <v>0.33108196721311478</v>
      </c>
      <c r="E233">
        <v>34</v>
      </c>
      <c r="F233" t="str">
        <f>IF(ISNUMBER(SEARCH('(3) FCH technology assessment'!$B$114,C233)),E233,"")</f>
        <v/>
      </c>
      <c r="G233" t="str">
        <f t="shared" si="17"/>
        <v/>
      </c>
      <c r="H233" t="s">
        <v>329</v>
      </c>
      <c r="I233" t="str">
        <f>CONCATENATE(B233,"-",H233)</f>
        <v>Natural gas turbine (CC)-CO2 emissions</v>
      </c>
      <c r="J233" s="54">
        <f ca="1">D233</f>
        <v>0.33108196721311478</v>
      </c>
    </row>
    <row r="234" spans="2:10" x14ac:dyDescent="0.25">
      <c r="B234" s="54" t="s">
        <v>441</v>
      </c>
      <c r="C234" s="54" t="s">
        <v>218</v>
      </c>
      <c r="D234" s="248">
        <f ca="1">IF(timePeriod="2020-30",'Merit calculation'!BR123,OFFSET('Merit calculation'!BR123,0,2))</f>
        <v>0.51129113924050629</v>
      </c>
      <c r="E234">
        <v>35</v>
      </c>
      <c r="F234" t="str">
        <f>IF(ISNUMBER(SEARCH('(3) FCH technology assessment'!$B$114,C234)),E234,"")</f>
        <v/>
      </c>
      <c r="G234" t="str">
        <f t="shared" si="17"/>
        <v/>
      </c>
      <c r="H234" t="s">
        <v>329</v>
      </c>
      <c r="I234" t="str">
        <f>CONCATENATE(B234,"-",H234)</f>
        <v>Gas engine-CO2 emissions</v>
      </c>
      <c r="J234" s="54">
        <f ca="1">D234</f>
        <v>0.51129113924050629</v>
      </c>
    </row>
    <row r="235" spans="2:10" x14ac:dyDescent="0.25">
      <c r="B235" s="54" t="s">
        <v>447</v>
      </c>
      <c r="C235" s="54" t="s">
        <v>218</v>
      </c>
      <c r="D235" s="248">
        <f ca="1">IF(timePeriod="2020-30",'Merit calculation'!BR124,OFFSET('Merit calculation'!BR124,0,2))</f>
        <v>0.40799999999999997</v>
      </c>
      <c r="E235">
        <v>36</v>
      </c>
      <c r="F235" t="str">
        <f>IF(ISNUMBER(SEARCH('(3) FCH technology assessment'!$B$114,C235)),E235,"")</f>
        <v/>
      </c>
      <c r="G235" t="str">
        <f t="shared" si="17"/>
        <v/>
      </c>
      <c r="H235" t="s">
        <v>329</v>
      </c>
      <c r="I235" t="str">
        <f>CONCATENATE(B235,"-",H235)</f>
        <v>Gas-fired District-CHP (power)-CO2 emissions</v>
      </c>
      <c r="J235" s="54">
        <f ca="1">D235</f>
        <v>0.40799999999999997</v>
      </c>
    </row>
    <row r="236" spans="2:10" x14ac:dyDescent="0.25">
      <c r="B236" s="63" t="s">
        <v>162</v>
      </c>
      <c r="C236" s="54" t="s">
        <v>212</v>
      </c>
      <c r="D236" s="249">
        <f ca="1">IF(timePeriod="2020-30",'Merit calculation'!BV96,OFFSET('Merit calculation'!BV96,0,2))</f>
        <v>7</v>
      </c>
      <c r="E236">
        <v>37</v>
      </c>
      <c r="F236" t="str">
        <f>IF(ISNUMBER(SEARCH('(3) FCH technology assessment'!$B$114,C236)),E236,"")</f>
        <v/>
      </c>
      <c r="G236" t="str">
        <f t="shared" si="17"/>
        <v/>
      </c>
      <c r="H236" s="54" t="s">
        <v>78</v>
      </c>
      <c r="I236" t="str">
        <f t="shared" si="18"/>
        <v>Hydrogen turbine (OC)-Maturity</v>
      </c>
      <c r="J236" s="54">
        <f t="shared" ca="1" si="21"/>
        <v>7</v>
      </c>
    </row>
    <row r="237" spans="2:10" x14ac:dyDescent="0.25">
      <c r="B237" s="63" t="s">
        <v>163</v>
      </c>
      <c r="C237" s="54" t="s">
        <v>212</v>
      </c>
      <c r="D237" s="249">
        <f ca="1">IF(timePeriod="2020-30",'Merit calculation'!BV97,OFFSET('Merit calculation'!BV97,0,2))</f>
        <v>7</v>
      </c>
      <c r="E237">
        <v>38</v>
      </c>
      <c r="F237" t="str">
        <f>IF(ISNUMBER(SEARCH('(3) FCH technology assessment'!$B$114,C237)),E237,"")</f>
        <v/>
      </c>
      <c r="G237" t="str">
        <f t="shared" si="17"/>
        <v/>
      </c>
      <c r="H237" s="54" t="s">
        <v>78</v>
      </c>
      <c r="I237" t="str">
        <f t="shared" si="18"/>
        <v>Hydrogen turbine (CC)-Maturity</v>
      </c>
      <c r="J237" s="54">
        <f t="shared" ca="1" si="21"/>
        <v>7</v>
      </c>
    </row>
    <row r="238" spans="2:10" x14ac:dyDescent="0.25">
      <c r="B238" s="63" t="s">
        <v>164</v>
      </c>
      <c r="C238" s="54" t="s">
        <v>212</v>
      </c>
      <c r="D238" s="249">
        <f ca="1">IF(timePeriod="2020-30",'Merit calculation'!BV98,OFFSET('Merit calculation'!BV98,0,2))</f>
        <v>9</v>
      </c>
      <c r="E238">
        <v>39</v>
      </c>
      <c r="F238" t="str">
        <f>IF(ISNUMBER(SEARCH('(3) FCH technology assessment'!$B$114,C238)),E238,"")</f>
        <v/>
      </c>
      <c r="G238" t="str">
        <f t="shared" si="17"/>
        <v/>
      </c>
      <c r="H238" s="54" t="s">
        <v>78</v>
      </c>
      <c r="I238" t="str">
        <f t="shared" si="18"/>
        <v>Prime power H2 fuel cell-Maturity</v>
      </c>
      <c r="J238" s="54">
        <f t="shared" ca="1" si="21"/>
        <v>9</v>
      </c>
    </row>
    <row r="239" spans="2:10" x14ac:dyDescent="0.25">
      <c r="B239" s="63" t="s">
        <v>165</v>
      </c>
      <c r="C239" s="54" t="s">
        <v>212</v>
      </c>
      <c r="D239" s="249">
        <f ca="1">IF(timePeriod="2020-30",'Merit calculation'!BV99,OFFSET('Merit calculation'!BV99,0,2))</f>
        <v>9</v>
      </c>
      <c r="E239">
        <v>40</v>
      </c>
      <c r="F239" t="str">
        <f>IF(ISNUMBER(SEARCH('(3) FCH technology assessment'!$B$114,C239)),E239,"")</f>
        <v/>
      </c>
      <c r="G239" t="str">
        <f t="shared" si="17"/>
        <v/>
      </c>
      <c r="H239" s="54" t="s">
        <v>78</v>
      </c>
      <c r="I239" t="str">
        <f t="shared" si="18"/>
        <v>Prime power natural gas fuel cell-Maturity</v>
      </c>
      <c r="J239" s="54">
        <f t="shared" ca="1" si="21"/>
        <v>9</v>
      </c>
    </row>
    <row r="240" spans="2:10" x14ac:dyDescent="0.25">
      <c r="B240" s="63" t="s">
        <v>547</v>
      </c>
      <c r="C240" s="54" t="s">
        <v>212</v>
      </c>
      <c r="D240" s="249">
        <f ca="1">IF(timePeriod="2020-30",'Merit calculation'!BV100,OFFSET('Merit calculation'!BV100,0,2))</f>
        <v>7</v>
      </c>
      <c r="E240">
        <v>41</v>
      </c>
      <c r="F240" t="str">
        <f>IF(ISNUMBER(SEARCH('(3) FCH technology assessment'!$B$114,C240)),E240,"")</f>
        <v/>
      </c>
      <c r="G240" t="str">
        <f t="shared" si="17"/>
        <v/>
      </c>
      <c r="H240" s="54" t="s">
        <v>78</v>
      </c>
      <c r="I240" t="str">
        <f t="shared" si="18"/>
        <v>Micro-CHP with H2 fuel cell (power)-Maturity</v>
      </c>
      <c r="J240" s="54">
        <f t="shared" ca="1" si="21"/>
        <v>7</v>
      </c>
    </row>
    <row r="241" spans="2:10" x14ac:dyDescent="0.25">
      <c r="B241" s="63" t="s">
        <v>548</v>
      </c>
      <c r="C241" s="54" t="s">
        <v>212</v>
      </c>
      <c r="D241" s="249">
        <f ca="1">IF(timePeriod="2020-30",'Merit calculation'!BV101,OFFSET('Merit calculation'!BV101,0,2))</f>
        <v>9</v>
      </c>
      <c r="E241">
        <v>42</v>
      </c>
      <c r="F241" t="str">
        <f>IF(ISNUMBER(SEARCH('(3) FCH technology assessment'!$B$114,C241)),E241,"")</f>
        <v/>
      </c>
      <c r="G241" t="str">
        <f t="shared" si="17"/>
        <v/>
      </c>
      <c r="H241" s="54" t="s">
        <v>78</v>
      </c>
      <c r="I241" t="str">
        <f t="shared" si="18"/>
        <v>Micro-CHP with natural gas fuel cell (power)-Maturity</v>
      </c>
      <c r="J241" s="54">
        <f t="shared" ca="1" si="21"/>
        <v>9</v>
      </c>
    </row>
    <row r="242" spans="2:10" x14ac:dyDescent="0.25">
      <c r="B242" s="63" t="s">
        <v>549</v>
      </c>
      <c r="C242" s="54" t="s">
        <v>212</v>
      </c>
      <c r="D242" s="249">
        <f ca="1">IF(timePeriod="2020-30",'Merit calculation'!BV102,OFFSET('Merit calculation'!BV102,0,2))</f>
        <v>7</v>
      </c>
      <c r="E242">
        <v>43</v>
      </c>
      <c r="F242" t="str">
        <f>IF(ISNUMBER(SEARCH('(3) FCH technology assessment'!$B$114,C242)),E242,"")</f>
        <v/>
      </c>
      <c r="G242" t="str">
        <f t="shared" si="17"/>
        <v/>
      </c>
      <c r="H242" s="54" t="s">
        <v>78</v>
      </c>
      <c r="I242" t="str">
        <f t="shared" si="18"/>
        <v>District-CHP with H2 fuel cell (power)-Maturity</v>
      </c>
      <c r="J242" s="54">
        <f t="shared" ca="1" si="21"/>
        <v>7</v>
      </c>
    </row>
    <row r="243" spans="2:10" x14ac:dyDescent="0.25">
      <c r="B243" s="63" t="s">
        <v>550</v>
      </c>
      <c r="C243" s="54" t="s">
        <v>212</v>
      </c>
      <c r="D243" s="249">
        <f ca="1">IF(timePeriod="2020-30",'Merit calculation'!BV103,OFFSET('Merit calculation'!BV103,0,2))</f>
        <v>9</v>
      </c>
      <c r="E243">
        <v>44</v>
      </c>
      <c r="F243" t="str">
        <f>IF(ISNUMBER(SEARCH('(3) FCH technology assessment'!$B$114,C243)),E243,"")</f>
        <v/>
      </c>
      <c r="G243" t="str">
        <f t="shared" si="17"/>
        <v/>
      </c>
      <c r="H243" s="54" t="s">
        <v>78</v>
      </c>
      <c r="I243" t="str">
        <f t="shared" si="18"/>
        <v>District-CHP with natural gas fuel cell (power)-Maturity</v>
      </c>
      <c r="J243" s="54">
        <f t="shared" ca="1" si="21"/>
        <v>9</v>
      </c>
    </row>
    <row r="244" spans="2:10" x14ac:dyDescent="0.25">
      <c r="B244" s="54" t="s">
        <v>442</v>
      </c>
      <c r="C244" s="54" t="s">
        <v>212</v>
      </c>
      <c r="D244" s="249">
        <f ca="1">IF(timePeriod="2020-30",'Merit calculation'!BV121,OFFSET('Merit calculation'!BV121,0,2))</f>
        <v>9</v>
      </c>
      <c r="E244">
        <v>45</v>
      </c>
      <c r="F244" t="str">
        <f>IF(ISNUMBER(SEARCH('(3) FCH technology assessment'!$B$114,C244)),E244,"")</f>
        <v/>
      </c>
      <c r="G244" t="str">
        <f t="shared" si="17"/>
        <v/>
      </c>
      <c r="H244" s="54" t="s">
        <v>78</v>
      </c>
      <c r="I244" t="str">
        <f>CONCATENATE(B244,"-",H244)</f>
        <v>Natural gas turbine (OC) -Maturity</v>
      </c>
      <c r="J244" s="54">
        <f ca="1">D244</f>
        <v>9</v>
      </c>
    </row>
    <row r="245" spans="2:10" x14ac:dyDescent="0.25">
      <c r="B245" s="54" t="s">
        <v>440</v>
      </c>
      <c r="C245" s="54" t="s">
        <v>212</v>
      </c>
      <c r="D245" s="249">
        <f ca="1">IF(timePeriod="2020-30",'Merit calculation'!BV122,OFFSET('Merit calculation'!BV122,0,2))</f>
        <v>9</v>
      </c>
      <c r="E245">
        <v>46</v>
      </c>
      <c r="F245" t="str">
        <f>IF(ISNUMBER(SEARCH('(3) FCH technology assessment'!$B$114,C245)),E245,"")</f>
        <v/>
      </c>
      <c r="G245" t="str">
        <f t="shared" si="17"/>
        <v/>
      </c>
      <c r="H245" s="54" t="s">
        <v>78</v>
      </c>
      <c r="I245" t="str">
        <f>CONCATENATE(B245,"-",H245)</f>
        <v>Natural gas turbine (CC)-Maturity</v>
      </c>
      <c r="J245" s="54">
        <f ca="1">D245</f>
        <v>9</v>
      </c>
    </row>
    <row r="246" spans="2:10" x14ac:dyDescent="0.25">
      <c r="B246" s="54" t="s">
        <v>441</v>
      </c>
      <c r="C246" s="54" t="s">
        <v>212</v>
      </c>
      <c r="D246" s="249">
        <f ca="1">IF(timePeriod="2020-30",'Merit calculation'!BV123,OFFSET('Merit calculation'!BV123,0,2))</f>
        <v>9</v>
      </c>
      <c r="E246">
        <v>47</v>
      </c>
      <c r="F246" t="str">
        <f>IF(ISNUMBER(SEARCH('(3) FCH technology assessment'!$B$114,C246)),E246,"")</f>
        <v/>
      </c>
      <c r="G246" t="str">
        <f t="shared" si="17"/>
        <v/>
      </c>
      <c r="H246" s="54" t="s">
        <v>78</v>
      </c>
      <c r="I246" t="str">
        <f>CONCATENATE(B246,"-",H246)</f>
        <v>Gas engine-Maturity</v>
      </c>
      <c r="J246" s="54">
        <f ca="1">D246</f>
        <v>9</v>
      </c>
    </row>
    <row r="247" spans="2:10" x14ac:dyDescent="0.25">
      <c r="B247" s="54" t="s">
        <v>447</v>
      </c>
      <c r="C247" s="54" t="s">
        <v>212</v>
      </c>
      <c r="D247" s="249">
        <f ca="1">IF(timePeriod="2020-30",'Merit calculation'!BV124,OFFSET('Merit calculation'!BV124,0,2))</f>
        <v>9</v>
      </c>
      <c r="E247">
        <v>48</v>
      </c>
      <c r="F247" t="str">
        <f>IF(ISNUMBER(SEARCH('(3) FCH technology assessment'!$B$114,C247)),E247,"")</f>
        <v/>
      </c>
      <c r="G247" t="str">
        <f t="shared" si="17"/>
        <v/>
      </c>
      <c r="H247" s="54" t="s">
        <v>78</v>
      </c>
      <c r="I247" t="str">
        <f>CONCATENATE(B247,"-",H247)</f>
        <v>Gas-fired District-CHP (power)-Maturity</v>
      </c>
      <c r="J247" s="54">
        <f ca="1">D247</f>
        <v>9</v>
      </c>
    </row>
    <row r="248" spans="2:10" x14ac:dyDescent="0.25">
      <c r="B248" s="63" t="s">
        <v>162</v>
      </c>
      <c r="C248" s="54" t="s">
        <v>540</v>
      </c>
      <c r="D248" s="249">
        <f ca="1">IF(timePeriod="2020-30",'Merit calculation'!CD96,OFFSET('Merit calculation'!CD96,0,2))</f>
        <v>50</v>
      </c>
      <c r="E248">
        <v>49</v>
      </c>
      <c r="F248" t="str">
        <f>IF(ISNUMBER(SEARCH('(3) FCH technology assessment'!$B$114,C248)),E248,"")</f>
        <v/>
      </c>
      <c r="G248" t="str">
        <f t="shared" si="17"/>
        <v/>
      </c>
      <c r="H248" s="54" t="s">
        <v>534</v>
      </c>
      <c r="I248" t="str">
        <f t="shared" si="18"/>
        <v>Hydrogen turbine (OC)-Regulatory coverage</v>
      </c>
      <c r="J248" s="54">
        <f t="shared" ca="1" si="21"/>
        <v>50</v>
      </c>
    </row>
    <row r="249" spans="2:10" x14ac:dyDescent="0.25">
      <c r="B249" s="63" t="s">
        <v>163</v>
      </c>
      <c r="C249" s="54" t="s">
        <v>540</v>
      </c>
      <c r="D249" s="249">
        <f ca="1">IF(timePeriod="2020-30",'Merit calculation'!CD97,OFFSET('Merit calculation'!CD97,0,2))</f>
        <v>50</v>
      </c>
      <c r="E249">
        <v>50</v>
      </c>
      <c r="F249" t="str">
        <f>IF(ISNUMBER(SEARCH('(3) FCH technology assessment'!$B$114,C249)),E249,"")</f>
        <v/>
      </c>
      <c r="G249" t="str">
        <f t="shared" si="17"/>
        <v/>
      </c>
      <c r="H249" s="54" t="s">
        <v>534</v>
      </c>
      <c r="I249" t="str">
        <f t="shared" si="18"/>
        <v>Hydrogen turbine (CC)-Regulatory coverage</v>
      </c>
      <c r="J249" s="54">
        <f t="shared" ca="1" si="21"/>
        <v>50</v>
      </c>
    </row>
    <row r="250" spans="2:10" x14ac:dyDescent="0.25">
      <c r="B250" s="63" t="s">
        <v>164</v>
      </c>
      <c r="C250" s="54" t="s">
        <v>540</v>
      </c>
      <c r="D250" s="249">
        <f ca="1">IF(timePeriod="2020-30",'Merit calculation'!CD98,OFFSET('Merit calculation'!CD98,0,2))</f>
        <v>100</v>
      </c>
      <c r="E250">
        <v>51</v>
      </c>
      <c r="F250" t="str">
        <f>IF(ISNUMBER(SEARCH('(3) FCH technology assessment'!$B$114,C250)),E250,"")</f>
        <v/>
      </c>
      <c r="G250" t="str">
        <f t="shared" si="17"/>
        <v/>
      </c>
      <c r="H250" s="54" t="s">
        <v>534</v>
      </c>
      <c r="I250" t="str">
        <f t="shared" si="18"/>
        <v>Prime power H2 fuel cell-Regulatory coverage</v>
      </c>
      <c r="J250" s="54">
        <f t="shared" ca="1" si="21"/>
        <v>100</v>
      </c>
    </row>
    <row r="251" spans="2:10" x14ac:dyDescent="0.25">
      <c r="B251" s="63" t="s">
        <v>165</v>
      </c>
      <c r="C251" s="54" t="s">
        <v>540</v>
      </c>
      <c r="D251" s="249">
        <f ca="1">IF(timePeriod="2020-30",'Merit calculation'!CD99,OFFSET('Merit calculation'!CD99,0,2))</f>
        <v>100</v>
      </c>
      <c r="E251">
        <v>52</v>
      </c>
      <c r="F251" t="str">
        <f>IF(ISNUMBER(SEARCH('(3) FCH technology assessment'!$B$114,C251)),E251,"")</f>
        <v/>
      </c>
      <c r="G251" t="str">
        <f t="shared" si="17"/>
        <v/>
      </c>
      <c r="H251" s="54" t="s">
        <v>534</v>
      </c>
      <c r="I251" t="str">
        <f t="shared" si="18"/>
        <v>Prime power natural gas fuel cell-Regulatory coverage</v>
      </c>
      <c r="J251" s="54">
        <f t="shared" ca="1" si="21"/>
        <v>100</v>
      </c>
    </row>
    <row r="252" spans="2:10" x14ac:dyDescent="0.25">
      <c r="B252" s="63" t="s">
        <v>547</v>
      </c>
      <c r="C252" s="54" t="s">
        <v>540</v>
      </c>
      <c r="D252" s="249">
        <f ca="1">IF(timePeriod="2020-30",'Merit calculation'!CD100,OFFSET('Merit calculation'!CD100,0,2))</f>
        <v>100</v>
      </c>
      <c r="E252">
        <v>53</v>
      </c>
      <c r="F252" t="str">
        <f>IF(ISNUMBER(SEARCH('(3) FCH technology assessment'!$B$114,C252)),E252,"")</f>
        <v/>
      </c>
      <c r="G252" t="str">
        <f t="shared" si="17"/>
        <v/>
      </c>
      <c r="H252" s="54" t="s">
        <v>534</v>
      </c>
      <c r="I252" t="str">
        <f t="shared" si="18"/>
        <v>Micro-CHP with H2 fuel cell (power)-Regulatory coverage</v>
      </c>
      <c r="J252" s="54">
        <f t="shared" ca="1" si="21"/>
        <v>100</v>
      </c>
    </row>
    <row r="253" spans="2:10" x14ac:dyDescent="0.25">
      <c r="B253" s="63" t="s">
        <v>548</v>
      </c>
      <c r="C253" s="54" t="s">
        <v>540</v>
      </c>
      <c r="D253" s="249">
        <f ca="1">IF(timePeriod="2020-30",'Merit calculation'!CD101,OFFSET('Merit calculation'!CD101,0,2))</f>
        <v>100</v>
      </c>
      <c r="E253">
        <v>54</v>
      </c>
      <c r="F253" t="str">
        <f>IF(ISNUMBER(SEARCH('(3) FCH technology assessment'!$B$114,C253)),E253,"")</f>
        <v/>
      </c>
      <c r="G253" t="str">
        <f t="shared" si="17"/>
        <v/>
      </c>
      <c r="H253" s="54" t="s">
        <v>534</v>
      </c>
      <c r="I253" t="str">
        <f t="shared" si="18"/>
        <v>Micro-CHP with natural gas fuel cell (power)-Regulatory coverage</v>
      </c>
      <c r="J253" s="54">
        <f t="shared" ca="1" si="21"/>
        <v>100</v>
      </c>
    </row>
    <row r="254" spans="2:10" x14ac:dyDescent="0.25">
      <c r="B254" s="63" t="s">
        <v>549</v>
      </c>
      <c r="C254" s="54" t="s">
        <v>540</v>
      </c>
      <c r="D254" s="249">
        <f ca="1">IF(timePeriod="2020-30",'Merit calculation'!CD102,OFFSET('Merit calculation'!CD102,0,2))</f>
        <v>100</v>
      </c>
      <c r="E254">
        <v>55</v>
      </c>
      <c r="F254" t="str">
        <f>IF(ISNUMBER(SEARCH('(3) FCH technology assessment'!$B$114,C254)),E254,"")</f>
        <v/>
      </c>
      <c r="G254" t="str">
        <f t="shared" si="17"/>
        <v/>
      </c>
      <c r="H254" s="54" t="s">
        <v>534</v>
      </c>
      <c r="I254" t="str">
        <f t="shared" si="18"/>
        <v>District-CHP with H2 fuel cell (power)-Regulatory coverage</v>
      </c>
      <c r="J254" s="54">
        <f t="shared" ca="1" si="21"/>
        <v>100</v>
      </c>
    </row>
    <row r="255" spans="2:10" x14ac:dyDescent="0.25">
      <c r="B255" s="63" t="s">
        <v>550</v>
      </c>
      <c r="C255" s="54" t="s">
        <v>540</v>
      </c>
      <c r="D255" s="249">
        <f ca="1">IF(timePeriod="2020-30",'Merit calculation'!CD103,OFFSET('Merit calculation'!CD103,0,2))</f>
        <v>100</v>
      </c>
      <c r="E255">
        <v>56</v>
      </c>
      <c r="F255" t="str">
        <f>IF(ISNUMBER(SEARCH('(3) FCH technology assessment'!$B$114,C255)),E255,"")</f>
        <v/>
      </c>
      <c r="G255" t="str">
        <f t="shared" si="17"/>
        <v/>
      </c>
      <c r="H255" s="54" t="s">
        <v>534</v>
      </c>
      <c r="I255" t="str">
        <f t="shared" si="18"/>
        <v>District-CHP with natural gas fuel cell (power)-Regulatory coverage</v>
      </c>
      <c r="J255" s="54">
        <f t="shared" ca="1" si="21"/>
        <v>100</v>
      </c>
    </row>
    <row r="256" spans="2:10" x14ac:dyDescent="0.25">
      <c r="B256" s="54" t="s">
        <v>442</v>
      </c>
      <c r="C256" s="54" t="s">
        <v>540</v>
      </c>
      <c r="D256" s="249">
        <f ca="1">IF(timePeriod="2020-30",'Merit calculation'!CD121,OFFSET('Merit calculation'!CD121,0,2))</f>
        <v>100</v>
      </c>
      <c r="E256">
        <v>57</v>
      </c>
      <c r="F256" t="str">
        <f>IF(ISNUMBER(SEARCH('(3) FCH technology assessment'!$B$114,C256)),E256,"")</f>
        <v/>
      </c>
      <c r="G256" t="str">
        <f t="shared" si="17"/>
        <v/>
      </c>
      <c r="H256" s="54" t="s">
        <v>534</v>
      </c>
      <c r="I256" t="str">
        <f>CONCATENATE(B256,"-",H256)</f>
        <v>Natural gas turbine (OC) -Regulatory coverage</v>
      </c>
      <c r="J256" s="54">
        <f ca="1">D256</f>
        <v>100</v>
      </c>
    </row>
    <row r="257" spans="2:10" x14ac:dyDescent="0.25">
      <c r="B257" s="54" t="s">
        <v>440</v>
      </c>
      <c r="C257" s="54" t="s">
        <v>540</v>
      </c>
      <c r="D257" s="249">
        <f ca="1">IF(timePeriod="2020-30",'Merit calculation'!CD122,OFFSET('Merit calculation'!CD122,0,2))</f>
        <v>100</v>
      </c>
      <c r="E257">
        <v>58</v>
      </c>
      <c r="F257" t="str">
        <f>IF(ISNUMBER(SEARCH('(3) FCH technology assessment'!$B$114,C257)),E257,"")</f>
        <v/>
      </c>
      <c r="G257" t="str">
        <f t="shared" si="17"/>
        <v/>
      </c>
      <c r="H257" s="54" t="s">
        <v>534</v>
      </c>
      <c r="I257" t="str">
        <f>CONCATENATE(B257,"-",H257)</f>
        <v>Natural gas turbine (CC)-Regulatory coverage</v>
      </c>
      <c r="J257" s="54">
        <f ca="1">D257</f>
        <v>100</v>
      </c>
    </row>
    <row r="258" spans="2:10" x14ac:dyDescent="0.25">
      <c r="B258" s="54" t="s">
        <v>441</v>
      </c>
      <c r="C258" s="54" t="s">
        <v>540</v>
      </c>
      <c r="D258" s="249">
        <f ca="1">IF(timePeriod="2020-30",'Merit calculation'!CD123,OFFSET('Merit calculation'!CD123,0,2))</f>
        <v>100</v>
      </c>
      <c r="E258">
        <v>59</v>
      </c>
      <c r="F258" t="str">
        <f>IF(ISNUMBER(SEARCH('(3) FCH technology assessment'!$B$114,C258)),E258,"")</f>
        <v/>
      </c>
      <c r="G258" t="str">
        <f t="shared" si="17"/>
        <v/>
      </c>
      <c r="H258" s="54" t="s">
        <v>534</v>
      </c>
      <c r="I258" t="str">
        <f>CONCATENATE(B258,"-",H258)</f>
        <v>Gas engine-Regulatory coverage</v>
      </c>
      <c r="J258" s="54">
        <f ca="1">D258</f>
        <v>100</v>
      </c>
    </row>
    <row r="259" spans="2:10" x14ac:dyDescent="0.25">
      <c r="B259" s="54" t="s">
        <v>447</v>
      </c>
      <c r="C259" s="54" t="s">
        <v>540</v>
      </c>
      <c r="D259" s="249">
        <f ca="1">IF(timePeriod="2020-30",'Merit calculation'!CD124,OFFSET('Merit calculation'!CD124,0,2))</f>
        <v>100</v>
      </c>
      <c r="E259">
        <v>60</v>
      </c>
      <c r="F259" t="str">
        <f>IF(ISNUMBER(SEARCH('(3) FCH technology assessment'!$B$114,C259)),E259,"")</f>
        <v/>
      </c>
      <c r="G259" t="str">
        <f t="shared" si="17"/>
        <v/>
      </c>
      <c r="H259" s="54" t="s">
        <v>534</v>
      </c>
      <c r="I259" t="str">
        <f>CONCATENATE(B259,"-",H259)</f>
        <v>Gas-fired District-CHP (power)-Regulatory coverage</v>
      </c>
      <c r="J259" s="54">
        <f ca="1">D259</f>
        <v>100</v>
      </c>
    </row>
    <row r="260" spans="2:10" x14ac:dyDescent="0.25">
      <c r="B260" s="63" t="s">
        <v>162</v>
      </c>
      <c r="C260" s="443" t="s">
        <v>515</v>
      </c>
      <c r="D260" s="249">
        <f ca="1">IF(timePeriod="2020-30",'Merit calculation'!CH96,OFFSET('Merit calculation'!CH96,0,2))</f>
        <v>80</v>
      </c>
      <c r="E260">
        <v>61</v>
      </c>
      <c r="F260" t="str">
        <f>IF(ISNUMBER(SEARCH('(3) FCH technology assessment'!$B$114,C260)),E260,"")</f>
        <v/>
      </c>
      <c r="G260" t="str">
        <f t="shared" si="17"/>
        <v/>
      </c>
      <c r="H260" s="54" t="s">
        <v>82</v>
      </c>
      <c r="I260" t="str">
        <f t="shared" si="18"/>
        <v>Hydrogen turbine (OC)-Public acceptability</v>
      </c>
      <c r="J260" s="54">
        <f t="shared" ca="1" si="21"/>
        <v>80</v>
      </c>
    </row>
    <row r="261" spans="2:10" x14ac:dyDescent="0.25">
      <c r="B261" s="63" t="s">
        <v>163</v>
      </c>
      <c r="C261" s="443" t="s">
        <v>515</v>
      </c>
      <c r="D261" s="249">
        <f ca="1">IF(timePeriod="2020-30",'Merit calculation'!CH97,OFFSET('Merit calculation'!CH97,0,2))</f>
        <v>80</v>
      </c>
      <c r="E261">
        <v>62</v>
      </c>
      <c r="F261" t="str">
        <f>IF(ISNUMBER(SEARCH('(3) FCH technology assessment'!$B$114,C261)),E261,"")</f>
        <v/>
      </c>
      <c r="G261" t="str">
        <f t="shared" si="17"/>
        <v/>
      </c>
      <c r="H261" s="54" t="s">
        <v>82</v>
      </c>
      <c r="I261" t="str">
        <f t="shared" si="18"/>
        <v>Hydrogen turbine (CC)-Public acceptability</v>
      </c>
      <c r="J261" s="54">
        <f t="shared" ca="1" si="21"/>
        <v>80</v>
      </c>
    </row>
    <row r="262" spans="2:10" x14ac:dyDescent="0.25">
      <c r="B262" s="63" t="s">
        <v>164</v>
      </c>
      <c r="C262" s="443" t="s">
        <v>515</v>
      </c>
      <c r="D262" s="249">
        <f ca="1">IF(timePeriod="2020-30",'Merit calculation'!CH98,OFFSET('Merit calculation'!CH98,0,2))</f>
        <v>80</v>
      </c>
      <c r="E262">
        <v>63</v>
      </c>
      <c r="F262" t="str">
        <f>IF(ISNUMBER(SEARCH('(3) FCH technology assessment'!$B$114,C262)),E262,"")</f>
        <v/>
      </c>
      <c r="G262" t="str">
        <f t="shared" si="17"/>
        <v/>
      </c>
      <c r="H262" s="54" t="s">
        <v>82</v>
      </c>
      <c r="I262" t="str">
        <f t="shared" si="18"/>
        <v>Prime power H2 fuel cell-Public acceptability</v>
      </c>
      <c r="J262" s="54">
        <f t="shared" ca="1" si="21"/>
        <v>80</v>
      </c>
    </row>
    <row r="263" spans="2:10" x14ac:dyDescent="0.25">
      <c r="B263" s="63" t="s">
        <v>165</v>
      </c>
      <c r="C263" s="443" t="s">
        <v>515</v>
      </c>
      <c r="D263" s="249">
        <f ca="1">IF(timePeriod="2020-30",'Merit calculation'!CH99,OFFSET('Merit calculation'!CH99,0,2))</f>
        <v>80</v>
      </c>
      <c r="E263">
        <v>64</v>
      </c>
      <c r="F263" t="str">
        <f>IF(ISNUMBER(SEARCH('(3) FCH technology assessment'!$B$114,C263)),E263,"")</f>
        <v/>
      </c>
      <c r="G263" t="str">
        <f t="shared" si="17"/>
        <v/>
      </c>
      <c r="H263" s="54" t="s">
        <v>82</v>
      </c>
      <c r="I263" t="str">
        <f t="shared" si="18"/>
        <v>Prime power natural gas fuel cell-Public acceptability</v>
      </c>
      <c r="J263" s="54">
        <f t="shared" ca="1" si="21"/>
        <v>80</v>
      </c>
    </row>
    <row r="264" spans="2:10" x14ac:dyDescent="0.25">
      <c r="B264" s="63" t="s">
        <v>547</v>
      </c>
      <c r="C264" s="443" t="s">
        <v>515</v>
      </c>
      <c r="D264" s="249">
        <f ca="1">IF(timePeriod="2020-30",'Merit calculation'!CH100,OFFSET('Merit calculation'!CH100,0,2))</f>
        <v>80</v>
      </c>
      <c r="E264">
        <v>65</v>
      </c>
      <c r="F264" t="str">
        <f>IF(ISNUMBER(SEARCH('(3) FCH technology assessment'!$B$114,C264)),E264,"")</f>
        <v/>
      </c>
      <c r="G264" t="str">
        <f t="shared" si="17"/>
        <v/>
      </c>
      <c r="H264" s="54" t="s">
        <v>82</v>
      </c>
      <c r="I264" t="str">
        <f t="shared" si="18"/>
        <v>Micro-CHP with H2 fuel cell (power)-Public acceptability</v>
      </c>
      <c r="J264" s="54">
        <f t="shared" ca="1" si="21"/>
        <v>80</v>
      </c>
    </row>
    <row r="265" spans="2:10" x14ac:dyDescent="0.25">
      <c r="B265" s="63" t="s">
        <v>548</v>
      </c>
      <c r="C265" s="443" t="s">
        <v>515</v>
      </c>
      <c r="D265" s="249">
        <f ca="1">IF(timePeriod="2020-30",'Merit calculation'!CH101,OFFSET('Merit calculation'!CH101,0,2))</f>
        <v>80</v>
      </c>
      <c r="E265">
        <v>66</v>
      </c>
      <c r="F265" t="str">
        <f>IF(ISNUMBER(SEARCH('(3) FCH technology assessment'!$B$114,C265)),E265,"")</f>
        <v/>
      </c>
      <c r="G265" t="str">
        <f t="shared" ref="G265:G271" si="22">IFERROR(SMALL($F$200:$F$271,E265),"")</f>
        <v/>
      </c>
      <c r="H265" s="54" t="s">
        <v>82</v>
      </c>
      <c r="I265" t="str">
        <f t="shared" si="18"/>
        <v>Micro-CHP with natural gas fuel cell (power)-Public acceptability</v>
      </c>
      <c r="J265" s="54">
        <f t="shared" ca="1" si="21"/>
        <v>80</v>
      </c>
    </row>
    <row r="266" spans="2:10" x14ac:dyDescent="0.25">
      <c r="B266" s="63" t="s">
        <v>549</v>
      </c>
      <c r="C266" s="443" t="s">
        <v>515</v>
      </c>
      <c r="D266" s="249">
        <f ca="1">IF(timePeriod="2020-30",'Merit calculation'!CH102,OFFSET('Merit calculation'!CH102,0,2))</f>
        <v>80</v>
      </c>
      <c r="E266">
        <v>67</v>
      </c>
      <c r="F266" t="str">
        <f>IF(ISNUMBER(SEARCH('(3) FCH technology assessment'!$B$114,C266)),E266,"")</f>
        <v/>
      </c>
      <c r="G266" t="str">
        <f t="shared" si="22"/>
        <v/>
      </c>
      <c r="H266" s="54" t="s">
        <v>82</v>
      </c>
      <c r="I266" t="str">
        <f t="shared" si="18"/>
        <v>District-CHP with H2 fuel cell (power)-Public acceptability</v>
      </c>
      <c r="J266" s="54">
        <f t="shared" ca="1" si="21"/>
        <v>80</v>
      </c>
    </row>
    <row r="267" spans="2:10" x14ac:dyDescent="0.25">
      <c r="B267" s="63" t="s">
        <v>550</v>
      </c>
      <c r="C267" s="443" t="s">
        <v>515</v>
      </c>
      <c r="D267" s="249">
        <f ca="1">IF(timePeriod="2020-30",'Merit calculation'!CH103,OFFSET('Merit calculation'!CH103,0,2))</f>
        <v>80</v>
      </c>
      <c r="E267">
        <v>68</v>
      </c>
      <c r="F267" t="str">
        <f>IF(ISNUMBER(SEARCH('(3) FCH technology assessment'!$B$114,C267)),E267,"")</f>
        <v/>
      </c>
      <c r="G267" t="str">
        <f t="shared" si="22"/>
        <v/>
      </c>
      <c r="H267" s="54" t="s">
        <v>82</v>
      </c>
      <c r="I267" t="str">
        <f t="shared" si="18"/>
        <v>District-CHP with natural gas fuel cell (power)-Public acceptability</v>
      </c>
      <c r="J267" s="54">
        <f t="shared" ca="1" si="21"/>
        <v>80</v>
      </c>
    </row>
    <row r="268" spans="2:10" x14ac:dyDescent="0.25">
      <c r="B268" s="54" t="s">
        <v>442</v>
      </c>
      <c r="C268" s="443" t="s">
        <v>515</v>
      </c>
      <c r="D268" s="249">
        <f ca="1">IF(timePeriod="2020-30",'Merit calculation'!CH121,OFFSET('Merit calculation'!CH121,0,2))</f>
        <v>100</v>
      </c>
      <c r="E268">
        <v>69</v>
      </c>
      <c r="F268" t="str">
        <f>IF(ISNUMBER(SEARCH('(3) FCH technology assessment'!$B$114,C268)),E268,"")</f>
        <v/>
      </c>
      <c r="G268" t="str">
        <f t="shared" si="22"/>
        <v/>
      </c>
      <c r="H268" s="54" t="s">
        <v>82</v>
      </c>
      <c r="I268" t="str">
        <f>CONCATENATE(B268,"-",H268)</f>
        <v>Natural gas turbine (OC) -Public acceptability</v>
      </c>
      <c r="J268" s="54">
        <f ca="1">D268</f>
        <v>100</v>
      </c>
    </row>
    <row r="269" spans="2:10" x14ac:dyDescent="0.25">
      <c r="B269" s="54" t="s">
        <v>440</v>
      </c>
      <c r="C269" s="443" t="s">
        <v>515</v>
      </c>
      <c r="D269" s="249">
        <f ca="1">IF(timePeriod="2020-30",'Merit calculation'!CH122,OFFSET('Merit calculation'!CH122,0,2))</f>
        <v>100</v>
      </c>
      <c r="E269">
        <v>70</v>
      </c>
      <c r="F269" t="str">
        <f>IF(ISNUMBER(SEARCH('(3) FCH technology assessment'!$B$114,C269)),E269,"")</f>
        <v/>
      </c>
      <c r="G269" t="str">
        <f t="shared" si="22"/>
        <v/>
      </c>
      <c r="H269" s="54" t="s">
        <v>82</v>
      </c>
      <c r="I269" t="str">
        <f>CONCATENATE(B269,"-",H269)</f>
        <v>Natural gas turbine (CC)-Public acceptability</v>
      </c>
      <c r="J269" s="54">
        <f ca="1">D269</f>
        <v>100</v>
      </c>
    </row>
    <row r="270" spans="2:10" x14ac:dyDescent="0.25">
      <c r="B270" s="54" t="s">
        <v>441</v>
      </c>
      <c r="C270" s="443" t="s">
        <v>515</v>
      </c>
      <c r="D270" s="249">
        <f ca="1">IF(timePeriod="2020-30",'Merit calculation'!CH123,OFFSET('Merit calculation'!CH123,0,2))</f>
        <v>100</v>
      </c>
      <c r="E270">
        <v>71</v>
      </c>
      <c r="F270" t="str">
        <f>IF(ISNUMBER(SEARCH('(3) FCH technology assessment'!$B$114,C270)),E270,"")</f>
        <v/>
      </c>
      <c r="G270" t="str">
        <f t="shared" si="22"/>
        <v/>
      </c>
      <c r="H270" s="54" t="s">
        <v>82</v>
      </c>
      <c r="I270" t="str">
        <f>CONCATENATE(B270,"-",H270)</f>
        <v>Gas engine-Public acceptability</v>
      </c>
      <c r="J270" s="54">
        <f ca="1">D270</f>
        <v>100</v>
      </c>
    </row>
    <row r="271" spans="2:10" x14ac:dyDescent="0.25">
      <c r="B271" s="54" t="s">
        <v>447</v>
      </c>
      <c r="C271" s="443" t="s">
        <v>515</v>
      </c>
      <c r="D271" s="249">
        <f ca="1">IF(timePeriod="2020-30",'Merit calculation'!CH124,OFFSET('Merit calculation'!CH124,0,2))</f>
        <v>100</v>
      </c>
      <c r="E271">
        <v>72</v>
      </c>
      <c r="F271" t="str">
        <f>IF(ISNUMBER(SEARCH('(3) FCH technology assessment'!$B$114,C271)),E271,"")</f>
        <v/>
      </c>
      <c r="G271" t="str">
        <f t="shared" si="22"/>
        <v/>
      </c>
      <c r="H271" s="54" t="s">
        <v>82</v>
      </c>
      <c r="I271" t="str">
        <f>CONCATENATE(B271,"-",H271)</f>
        <v>Gas-fired District-CHP (power)-Public acceptability</v>
      </c>
      <c r="J271" s="54">
        <f ca="1">D271</f>
        <v>100</v>
      </c>
    </row>
    <row r="275" spans="2:10" ht="23.25" x14ac:dyDescent="0.35">
      <c r="B275" s="9" t="s">
        <v>574</v>
      </c>
      <c r="C275" s="9"/>
      <c r="D275" s="9"/>
      <c r="E275" s="9"/>
      <c r="F275" s="9"/>
      <c r="G275" s="9"/>
      <c r="H275" s="9"/>
      <c r="I275" s="9"/>
      <c r="J275" s="10"/>
    </row>
    <row r="277" spans="2:10" x14ac:dyDescent="0.25">
      <c r="B277" s="15" t="s">
        <v>142</v>
      </c>
      <c r="C277" s="15" t="s">
        <v>143</v>
      </c>
      <c r="D277" s="15" t="s">
        <v>144</v>
      </c>
      <c r="E277" s="15" t="s">
        <v>325</v>
      </c>
      <c r="F277" s="15" t="s">
        <v>326</v>
      </c>
      <c r="G277" s="15" t="s">
        <v>327</v>
      </c>
      <c r="H277" s="15"/>
      <c r="I277" s="15"/>
    </row>
    <row r="278" spans="2:10" x14ac:dyDescent="0.25">
      <c r="B278" s="63" t="s">
        <v>570</v>
      </c>
      <c r="C278" t="s">
        <v>159</v>
      </c>
      <c r="D278" s="248">
        <f ca="1">IF(timePeriod="2020-30",'Merit calculation'!BJ90+'Merit calculation'!BF90,OFFSET('Merit calculation'!BJ90,0,2)+OFFSET('Merit calculation'!BF90,0,2))</f>
        <v>3.9225572980251873E-2</v>
      </c>
      <c r="E278">
        <v>1</v>
      </c>
      <c r="F278">
        <f>IF(ISNUMBER(SEARCH('(3) FCH technology assessment'!$B$90,C146)),E146,"")</f>
        <v>1</v>
      </c>
      <c r="G278">
        <f>IFERROR(SMALL($F$278:$F$325,E278),"")</f>
        <v>1</v>
      </c>
      <c r="H278" t="s">
        <v>72</v>
      </c>
      <c r="I278" t="str">
        <f>CONCATENATE(B278,"-",H278)</f>
        <v>Industrial H2 boiler-Levelized cost</v>
      </c>
      <c r="J278" s="54">
        <f t="shared" ref="J278:J283" ca="1" si="23">D278</f>
        <v>3.9225572980251873E-2</v>
      </c>
    </row>
    <row r="279" spans="2:10" x14ac:dyDescent="0.25">
      <c r="B279" s="63" t="s">
        <v>543</v>
      </c>
      <c r="C279" t="s">
        <v>159</v>
      </c>
      <c r="D279" s="248">
        <f ca="1">IF(timePeriod="2020-30",'Merit calculation'!BJ91+'Merit calculation'!BF91,OFFSET('Merit calculation'!BJ91,0,2)+OFFSET('Merit calculation'!BF91,0,2))</f>
        <v>7.1031176912160071E-2</v>
      </c>
      <c r="E279">
        <v>2</v>
      </c>
      <c r="F279">
        <f>IF(ISNUMBER(SEARCH('(3) FCH technology assessment'!$B$90,C279)),E279,"")</f>
        <v>2</v>
      </c>
      <c r="G279">
        <f t="shared" ref="G279:G324" si="24">IFERROR(SMALL($F$278:$F$325,E279),"")</f>
        <v>2</v>
      </c>
      <c r="H279" t="s">
        <v>72</v>
      </c>
      <c r="I279" t="str">
        <f t="shared" ref="I279:I282" si="25">CONCATENATE(B279,"-",H279)</f>
        <v>Micro-CHP with H2 fuel cell (heat)-Levelized cost</v>
      </c>
      <c r="J279" s="54">
        <f t="shared" ca="1" si="23"/>
        <v>7.1031176912160071E-2</v>
      </c>
    </row>
    <row r="280" spans="2:10" x14ac:dyDescent="0.25">
      <c r="B280" s="63" t="s">
        <v>553</v>
      </c>
      <c r="C280" t="s">
        <v>159</v>
      </c>
      <c r="D280" s="248">
        <f ca="1">IF(timePeriod="2020-30",'Merit calculation'!BJ92+'Merit calculation'!BF92,OFFSET('Merit calculation'!BJ92,0,2)+OFFSET('Merit calculation'!BF92,0,2))</f>
        <v>6.7540947027102588E-2</v>
      </c>
      <c r="E280">
        <v>3</v>
      </c>
      <c r="F280">
        <f>IF(ISNUMBER(SEARCH('(3) FCH technology assessment'!$B$90,C280)),E280,"")</f>
        <v>3</v>
      </c>
      <c r="G280">
        <f t="shared" si="24"/>
        <v>3</v>
      </c>
      <c r="H280" t="s">
        <v>72</v>
      </c>
      <c r="I280" t="str">
        <f t="shared" si="25"/>
        <v>Micro-CHP with natural gas fuel cell (heat)-Levelized cost</v>
      </c>
      <c r="J280" s="54">
        <f t="shared" ca="1" si="23"/>
        <v>6.7540947027102588E-2</v>
      </c>
    </row>
    <row r="281" spans="2:10" x14ac:dyDescent="0.25">
      <c r="B281" s="63" t="s">
        <v>552</v>
      </c>
      <c r="C281" t="s">
        <v>159</v>
      </c>
      <c r="D281" s="248">
        <f ca="1">IF(timePeriod="2020-30",'Merit calculation'!BJ93+'Merit calculation'!BF93,OFFSET('Merit calculation'!BJ93,0,2)+OFFSET('Merit calculation'!BF93,0,2))</f>
        <v>6.3853717917373765E-2</v>
      </c>
      <c r="E281">
        <v>4</v>
      </c>
      <c r="F281">
        <f>IF(ISNUMBER(SEARCH('(3) FCH technology assessment'!$B$90,C281)),E281,"")</f>
        <v>4</v>
      </c>
      <c r="G281">
        <f t="shared" si="24"/>
        <v>4</v>
      </c>
      <c r="H281" t="s">
        <v>72</v>
      </c>
      <c r="I281" t="str">
        <f t="shared" si="25"/>
        <v>District-CHP with H2 fuel cell (heat)-Levelized cost</v>
      </c>
      <c r="J281" s="54">
        <f t="shared" ca="1" si="23"/>
        <v>6.3853717917373765E-2</v>
      </c>
    </row>
    <row r="282" spans="2:10" x14ac:dyDescent="0.25">
      <c r="B282" s="63" t="s">
        <v>551</v>
      </c>
      <c r="C282" t="s">
        <v>159</v>
      </c>
      <c r="D282" s="248">
        <f ca="1">IF(timePeriod="2020-30",'Merit calculation'!BJ94+'Merit calculation'!BF94,OFFSET('Merit calculation'!BJ94,0,2)+OFFSET('Merit calculation'!BF94,0,2))</f>
        <v>5.985832318053165E-2</v>
      </c>
      <c r="E282">
        <v>5</v>
      </c>
      <c r="F282">
        <f>IF(ISNUMBER(SEARCH('(3) FCH technology assessment'!$B$90,C282)),E282,"")</f>
        <v>5</v>
      </c>
      <c r="G282">
        <f t="shared" si="24"/>
        <v>5</v>
      </c>
      <c r="H282" t="s">
        <v>72</v>
      </c>
      <c r="I282" t="str">
        <f t="shared" si="25"/>
        <v>District-CHP with natural gas fuel cell (heat)-Levelized cost</v>
      </c>
      <c r="J282" s="54">
        <f t="shared" ca="1" si="23"/>
        <v>5.985832318053165E-2</v>
      </c>
    </row>
    <row r="283" spans="2:10" x14ac:dyDescent="0.25">
      <c r="B283" t="s">
        <v>443</v>
      </c>
      <c r="C283" t="s">
        <v>159</v>
      </c>
      <c r="D283" s="248">
        <f ca="1">IF(timePeriod="2020-30",'Merit calculation'!BJ117+'Merit calculation'!BF117,OFFSET('Merit calculation'!BJ117,0,2)+OFFSET('Merit calculation'!BF117,0,2))</f>
        <v>4.0142662471985696E-2</v>
      </c>
      <c r="E283">
        <v>6</v>
      </c>
      <c r="F283">
        <f>IF(ISNUMBER(SEARCH('(3) FCH technology assessment'!$B$90,C283)),E283,"")</f>
        <v>6</v>
      </c>
      <c r="G283">
        <f t="shared" si="24"/>
        <v>6</v>
      </c>
      <c r="H283" t="s">
        <v>72</v>
      </c>
      <c r="I283" t="str">
        <f>CONCATENATE(B283,"-",H283)</f>
        <v>Gas-fired industrial boiler-Levelized cost</v>
      </c>
      <c r="J283" s="54">
        <f t="shared" ca="1" si="23"/>
        <v>4.0142662471985696E-2</v>
      </c>
    </row>
    <row r="284" spans="2:10" x14ac:dyDescent="0.25">
      <c r="B284" t="s">
        <v>444</v>
      </c>
      <c r="C284" t="s">
        <v>159</v>
      </c>
      <c r="D284" s="248">
        <f ca="1">IF(timePeriod="2020-30",'Merit calculation'!BJ118+'Merit calculation'!BF118,OFFSET('Merit calculation'!BJ118,0,2)+OFFSET('Merit calculation'!BF118,0,2))</f>
        <v>3.9333221609246551E-2</v>
      </c>
      <c r="E284">
        <v>7</v>
      </c>
      <c r="F284">
        <f>IF(ISNUMBER(SEARCH('(3) FCH technology assessment'!$B$90,C284)),E284,"")</f>
        <v>7</v>
      </c>
      <c r="G284">
        <f t="shared" si="24"/>
        <v>7</v>
      </c>
      <c r="H284" t="s">
        <v>72</v>
      </c>
      <c r="I284" t="str">
        <f>CONCATENATE(B284,"-",H284)</f>
        <v>Gas-fired residential boiler-Levelized cost</v>
      </c>
      <c r="J284" s="54">
        <f ca="1">D284</f>
        <v>3.9333221609246551E-2</v>
      </c>
    </row>
    <row r="285" spans="2:10" x14ac:dyDescent="0.25">
      <c r="B285" t="s">
        <v>446</v>
      </c>
      <c r="C285" t="s">
        <v>159</v>
      </c>
      <c r="D285" s="248">
        <f ca="1">IF(timePeriod="2020-30",'Merit calculation'!BJ119+'Merit calculation'!BF119,OFFSET('Merit calculation'!BJ119,0,2)+OFFSET('Merit calculation'!BF119,0,2))</f>
        <v>3.5867216016322818E-2</v>
      </c>
      <c r="E285">
        <v>8</v>
      </c>
      <c r="F285">
        <f>IF(ISNUMBER(SEARCH('(3) FCH technology assessment'!$B$90,C285)),E285,"")</f>
        <v>8</v>
      </c>
      <c r="G285">
        <f t="shared" si="24"/>
        <v>8</v>
      </c>
      <c r="H285" t="s">
        <v>72</v>
      </c>
      <c r="I285" t="str">
        <f>CONCATENATE(B285,"-",H285)</f>
        <v>Gas-fired District-CHP (heat)-Levelized cost</v>
      </c>
      <c r="J285" s="54">
        <f ca="1">D285</f>
        <v>3.5867216016322818E-2</v>
      </c>
    </row>
    <row r="286" spans="2:10" x14ac:dyDescent="0.25">
      <c r="B286" s="63" t="s">
        <v>570</v>
      </c>
      <c r="C286" s="54" t="s">
        <v>517</v>
      </c>
      <c r="D286" s="248">
        <f ca="1">IF(timePeriod="2020-30",'Merit calculation'!BN90,OFFSET('Merit calculation'!BN90,0,2))</f>
        <v>-12.074906811240885</v>
      </c>
      <c r="E286">
        <v>9</v>
      </c>
      <c r="F286" t="str">
        <f>IF(ISNUMBER(SEARCH('(3) FCH technology assessment'!$B$90,C286)),E286,"")</f>
        <v/>
      </c>
      <c r="G286" t="str">
        <f t="shared" si="24"/>
        <v/>
      </c>
      <c r="H286" t="s">
        <v>77</v>
      </c>
      <c r="I286" t="str">
        <f t="shared" ref="I286:I298" si="26">CONCATENATE(B286,"-",H286)</f>
        <v>Industrial H2 boiler-Marginal abatement cost</v>
      </c>
      <c r="J286" s="54">
        <f t="shared" ref="J286:J298" ca="1" si="27">D286</f>
        <v>-12.074906811240885</v>
      </c>
    </row>
    <row r="287" spans="2:10" x14ac:dyDescent="0.25">
      <c r="B287" s="63" t="s">
        <v>543</v>
      </c>
      <c r="C287" s="54" t="s">
        <v>517</v>
      </c>
      <c r="D287" s="248">
        <f ca="1">IF(timePeriod="2020-30",'Merit calculation'!BN91,OFFSET('Merit calculation'!BN91,0,2))</f>
        <v>442.00853843442945</v>
      </c>
      <c r="E287">
        <v>10</v>
      </c>
      <c r="F287" t="str">
        <f>IF(ISNUMBER(SEARCH('(3) FCH technology assessment'!$B$90,C287)),E287,"")</f>
        <v/>
      </c>
      <c r="G287" t="str">
        <f t="shared" si="24"/>
        <v/>
      </c>
      <c r="H287" t="s">
        <v>77</v>
      </c>
      <c r="I287" t="str">
        <f t="shared" si="26"/>
        <v>Micro-CHP with H2 fuel cell (heat)-Marginal abatement cost</v>
      </c>
      <c r="J287" s="54">
        <f t="shared" ca="1" si="27"/>
        <v>442.00853843442945</v>
      </c>
    </row>
    <row r="288" spans="2:10" x14ac:dyDescent="0.25">
      <c r="B288" s="63" t="s">
        <v>553</v>
      </c>
      <c r="C288" s="54" t="s">
        <v>517</v>
      </c>
      <c r="D288" s="248">
        <f ca="1">IF(timePeriod="2020-30",'Merit calculation'!BN92,OFFSET('Merit calculation'!BN92,0,2))</f>
        <v>12818.247614598467</v>
      </c>
      <c r="E288">
        <v>11</v>
      </c>
      <c r="F288" t="str">
        <f>IF(ISNUMBER(SEARCH('(3) FCH technology assessment'!$B$90,C288)),E288,"")</f>
        <v/>
      </c>
      <c r="G288" t="str">
        <f t="shared" si="24"/>
        <v/>
      </c>
      <c r="H288" t="s">
        <v>77</v>
      </c>
      <c r="I288" t="str">
        <f t="shared" si="26"/>
        <v>Micro-CHP with natural gas fuel cell (heat)-Marginal abatement cost</v>
      </c>
      <c r="J288" s="54">
        <f t="shared" ca="1" si="27"/>
        <v>12818.247614598467</v>
      </c>
    </row>
    <row r="289" spans="2:10" x14ac:dyDescent="0.25">
      <c r="B289" s="63" t="s">
        <v>552</v>
      </c>
      <c r="C289" s="54" t="s">
        <v>517</v>
      </c>
      <c r="D289" s="248">
        <f ca="1">IF(timePeriod="2020-30",'Merit calculation'!BN93,OFFSET('Merit calculation'!BN93,0,2))</f>
        <v>279.92840088936202</v>
      </c>
      <c r="E289">
        <v>12</v>
      </c>
      <c r="F289" t="str">
        <f>IF(ISNUMBER(SEARCH('(3) FCH technology assessment'!$B$90,C289)),E289,"")</f>
        <v/>
      </c>
      <c r="G289" t="str">
        <f t="shared" si="24"/>
        <v/>
      </c>
      <c r="H289" t="s">
        <v>77</v>
      </c>
      <c r="I289" t="str">
        <f t="shared" si="26"/>
        <v>District-CHP with H2 fuel cell (heat)-Marginal abatement cost</v>
      </c>
      <c r="J289" s="54">
        <f t="shared" ca="1" si="27"/>
        <v>279.92840088936202</v>
      </c>
    </row>
    <row r="290" spans="2:10" x14ac:dyDescent="0.25">
      <c r="B290" s="63" t="s">
        <v>551</v>
      </c>
      <c r="C290" s="54" t="s">
        <v>517</v>
      </c>
      <c r="D290" s="248">
        <f ca="1">IF(timePeriod="2020-30",'Merit calculation'!BN94,OFFSET('Merit calculation'!BN94,0,2))</f>
        <v>-1519.6113191136794</v>
      </c>
      <c r="E290">
        <v>13</v>
      </c>
      <c r="F290" t="str">
        <f>IF(ISNUMBER(SEARCH('(3) FCH technology assessment'!$B$90,C290)),E290,"")</f>
        <v/>
      </c>
      <c r="G290" t="str">
        <f t="shared" si="24"/>
        <v/>
      </c>
      <c r="H290" t="s">
        <v>77</v>
      </c>
      <c r="I290" t="str">
        <f t="shared" si="26"/>
        <v>District-CHP with natural gas fuel cell (heat)-Marginal abatement cost</v>
      </c>
      <c r="J290" s="54">
        <f t="shared" ca="1" si="27"/>
        <v>-1519.6113191136794</v>
      </c>
    </row>
    <row r="291" spans="2:10" x14ac:dyDescent="0.25">
      <c r="B291" t="s">
        <v>443</v>
      </c>
      <c r="C291" s="54" t="s">
        <v>517</v>
      </c>
      <c r="D291" s="248">
        <v>0</v>
      </c>
      <c r="E291">
        <v>14</v>
      </c>
      <c r="F291" t="str">
        <f>IF(ISNUMBER(SEARCH('(3) FCH technology assessment'!$B$90,C291)),E291,"")</f>
        <v/>
      </c>
      <c r="G291" t="str">
        <f t="shared" si="24"/>
        <v/>
      </c>
      <c r="H291" t="s">
        <v>77</v>
      </c>
      <c r="I291" t="str">
        <f t="shared" si="26"/>
        <v>Gas-fired industrial boiler-Marginal abatement cost</v>
      </c>
      <c r="J291" s="54">
        <f t="shared" si="27"/>
        <v>0</v>
      </c>
    </row>
    <row r="292" spans="2:10" x14ac:dyDescent="0.25">
      <c r="B292" t="s">
        <v>444</v>
      </c>
      <c r="C292" s="54" t="s">
        <v>517</v>
      </c>
      <c r="D292" s="248">
        <v>0</v>
      </c>
      <c r="E292">
        <v>15</v>
      </c>
      <c r="F292" t="str">
        <f>IF(ISNUMBER(SEARCH('(3) FCH technology assessment'!$B$90,C292)),E292,"")</f>
        <v/>
      </c>
      <c r="G292" t="str">
        <f t="shared" si="24"/>
        <v/>
      </c>
      <c r="H292" t="s">
        <v>77</v>
      </c>
      <c r="I292" t="str">
        <f t="shared" si="26"/>
        <v>Gas-fired residential boiler-Marginal abatement cost</v>
      </c>
      <c r="J292" s="54">
        <f t="shared" si="27"/>
        <v>0</v>
      </c>
    </row>
    <row r="293" spans="2:10" x14ac:dyDescent="0.25">
      <c r="B293" t="s">
        <v>446</v>
      </c>
      <c r="C293" s="54" t="s">
        <v>517</v>
      </c>
      <c r="D293" s="248">
        <v>0</v>
      </c>
      <c r="E293">
        <v>16</v>
      </c>
      <c r="F293" t="str">
        <f>IF(ISNUMBER(SEARCH('(3) FCH technology assessment'!$B$90,C293)),E293,"")</f>
        <v/>
      </c>
      <c r="G293" t="str">
        <f t="shared" si="24"/>
        <v/>
      </c>
      <c r="H293" t="s">
        <v>77</v>
      </c>
      <c r="I293" t="str">
        <f t="shared" si="26"/>
        <v>Gas-fired District-CHP (heat)-Marginal abatement cost</v>
      </c>
      <c r="J293" s="54">
        <f t="shared" si="27"/>
        <v>0</v>
      </c>
    </row>
    <row r="294" spans="2:10" x14ac:dyDescent="0.25">
      <c r="B294" s="63" t="s">
        <v>570</v>
      </c>
      <c r="C294" s="54" t="s">
        <v>216</v>
      </c>
      <c r="D294" s="248">
        <f ca="1">IF(timePeriod="2020-30",'Merit calculation'!BR90,OFFSET('Merit calculation'!BR90,0,2))</f>
        <v>0</v>
      </c>
      <c r="E294">
        <v>17</v>
      </c>
      <c r="F294" t="str">
        <f>IF(ISNUMBER(SEARCH('(3) FCH technology assessment'!$B$90,C294)),E294,"")</f>
        <v/>
      </c>
      <c r="G294" t="str">
        <f t="shared" si="24"/>
        <v/>
      </c>
      <c r="H294" t="s">
        <v>329</v>
      </c>
      <c r="I294" t="str">
        <f t="shared" si="26"/>
        <v>Industrial H2 boiler-CO2 emissions</v>
      </c>
      <c r="J294" s="54">
        <f t="shared" ca="1" si="27"/>
        <v>0</v>
      </c>
    </row>
    <row r="295" spans="2:10" x14ac:dyDescent="0.25">
      <c r="B295" s="63" t="s">
        <v>543</v>
      </c>
      <c r="C295" s="54" t="s">
        <v>216</v>
      </c>
      <c r="D295" s="248">
        <f ca="1">IF(timePeriod="2020-30",'Merit calculation'!BR91,OFFSET('Merit calculation'!BR91,0,2))</f>
        <v>0</v>
      </c>
      <c r="E295">
        <v>18</v>
      </c>
      <c r="F295" t="str">
        <f>IF(ISNUMBER(SEARCH('(3) FCH technology assessment'!$B$90,C295)),E295,"")</f>
        <v/>
      </c>
      <c r="G295" t="str">
        <f t="shared" si="24"/>
        <v/>
      </c>
      <c r="H295" t="s">
        <v>329</v>
      </c>
      <c r="I295" t="str">
        <f t="shared" si="26"/>
        <v>Micro-CHP with H2 fuel cell (heat)-CO2 emissions</v>
      </c>
      <c r="J295" s="54">
        <f t="shared" ca="1" si="27"/>
        <v>0</v>
      </c>
    </row>
    <row r="296" spans="2:10" x14ac:dyDescent="0.25">
      <c r="B296" s="63" t="s">
        <v>553</v>
      </c>
      <c r="C296" s="54" t="s">
        <v>216</v>
      </c>
      <c r="D296" s="248">
        <f ca="1">IF(timePeriod="2020-30",'Merit calculation'!BR92,OFFSET('Merit calculation'!BR92,0,2))</f>
        <v>6.4482758620689654E-2</v>
      </c>
      <c r="E296">
        <v>19</v>
      </c>
      <c r="F296" t="str">
        <f>IF(ISNUMBER(SEARCH('(3) FCH technology assessment'!$B$90,C296)),E296,"")</f>
        <v/>
      </c>
      <c r="G296" t="str">
        <f t="shared" si="24"/>
        <v/>
      </c>
      <c r="H296" t="s">
        <v>329</v>
      </c>
      <c r="I296" t="str">
        <f t="shared" si="26"/>
        <v>Micro-CHP with natural gas fuel cell (heat)-CO2 emissions</v>
      </c>
      <c r="J296" s="54">
        <f t="shared" ca="1" si="27"/>
        <v>6.4482758620689654E-2</v>
      </c>
    </row>
    <row r="297" spans="2:10" x14ac:dyDescent="0.25">
      <c r="B297" s="63" t="s">
        <v>552</v>
      </c>
      <c r="C297" s="54" t="s">
        <v>216</v>
      </c>
      <c r="D297" s="248">
        <f ca="1">IF(timePeriod="2020-30",'Merit calculation'!BR93,OFFSET('Merit calculation'!BR93,0,2))</f>
        <v>0</v>
      </c>
      <c r="E297">
        <v>20</v>
      </c>
      <c r="F297" t="str">
        <f>IF(ISNUMBER(SEARCH('(3) FCH technology assessment'!$B$90,C297)),E297,"")</f>
        <v/>
      </c>
      <c r="G297" t="str">
        <f t="shared" si="24"/>
        <v/>
      </c>
      <c r="H297" t="s">
        <v>329</v>
      </c>
      <c r="I297" t="str">
        <f t="shared" si="26"/>
        <v>District-CHP with H2 fuel cell (heat)-CO2 emissions</v>
      </c>
      <c r="J297" s="54">
        <f t="shared" ca="1" si="27"/>
        <v>0</v>
      </c>
    </row>
    <row r="298" spans="2:10" x14ac:dyDescent="0.25">
      <c r="B298" s="63" t="s">
        <v>551</v>
      </c>
      <c r="C298" s="54" t="s">
        <v>216</v>
      </c>
      <c r="D298" s="248">
        <f ca="1">IF(timePeriod="2020-30",'Merit calculation'!BR94,OFFSET('Merit calculation'!BR94,0,2))</f>
        <v>7.381578947368421E-2</v>
      </c>
      <c r="E298">
        <v>21</v>
      </c>
      <c r="F298" t="str">
        <f>IF(ISNUMBER(SEARCH('(3) FCH technology assessment'!$B$90,C298)),E298,"")</f>
        <v/>
      </c>
      <c r="G298" t="str">
        <f t="shared" si="24"/>
        <v/>
      </c>
      <c r="H298" t="s">
        <v>329</v>
      </c>
      <c r="I298" t="str">
        <f t="shared" si="26"/>
        <v>District-CHP with natural gas fuel cell (heat)-CO2 emissions</v>
      </c>
      <c r="J298" s="54">
        <f t="shared" ca="1" si="27"/>
        <v>7.381578947368421E-2</v>
      </c>
    </row>
    <row r="299" spans="2:10" x14ac:dyDescent="0.25">
      <c r="B299" t="s">
        <v>443</v>
      </c>
      <c r="C299" s="54" t="s">
        <v>216</v>
      </c>
      <c r="D299" s="248">
        <f ca="1">IF(timePeriod="2020-30",'Merit calculation'!BR117,OFFSET('Merit calculation'!BR117,0,2))</f>
        <v>6.8414634146341469E-2</v>
      </c>
      <c r="E299">
        <v>22</v>
      </c>
      <c r="F299" t="str">
        <f>IF(ISNUMBER(SEARCH('(3) FCH technology assessment'!$B$90,C299)),E299,"")</f>
        <v/>
      </c>
      <c r="G299" t="str">
        <f t="shared" si="24"/>
        <v/>
      </c>
      <c r="H299" t="s">
        <v>329</v>
      </c>
      <c r="I299" t="str">
        <f>CONCATENATE(B299,"-",H299)</f>
        <v>Gas-fired industrial boiler-CO2 emissions</v>
      </c>
      <c r="J299" s="54">
        <f ca="1">D299</f>
        <v>6.8414634146341469E-2</v>
      </c>
    </row>
    <row r="300" spans="2:10" x14ac:dyDescent="0.25">
      <c r="B300" t="s">
        <v>444</v>
      </c>
      <c r="C300" s="54" t="s">
        <v>216</v>
      </c>
      <c r="D300" s="248">
        <f ca="1">IF(timePeriod="2020-30",'Merit calculation'!BR118,OFFSET('Merit calculation'!BR118,0,2))</f>
        <v>6.6785714285714282E-2</v>
      </c>
      <c r="E300">
        <v>23</v>
      </c>
      <c r="F300" t="str">
        <f>IF(ISNUMBER(SEARCH('(3) FCH technology assessment'!$B$90,C300)),E300,"")</f>
        <v/>
      </c>
      <c r="G300" t="str">
        <f t="shared" si="24"/>
        <v/>
      </c>
      <c r="H300" t="s">
        <v>329</v>
      </c>
      <c r="I300" t="str">
        <f>CONCATENATE(B300,"-",H300)</f>
        <v>Gas-fired residential boiler-CO2 emissions</v>
      </c>
      <c r="J300" s="54">
        <f ca="1">D300</f>
        <v>6.6785714285714282E-2</v>
      </c>
    </row>
    <row r="301" spans="2:10" x14ac:dyDescent="0.25">
      <c r="B301" t="s">
        <v>446</v>
      </c>
      <c r="C301" s="54" t="s">
        <v>216</v>
      </c>
      <c r="D301" s="248">
        <f ca="1">IF(timePeriod="2020-30",'Merit calculation'!BR119,OFFSET('Merit calculation'!BR119,0,2))</f>
        <v>6.2333333333333331E-2</v>
      </c>
      <c r="E301">
        <v>24</v>
      </c>
      <c r="F301" t="str">
        <f>IF(ISNUMBER(SEARCH('(3) FCH technology assessment'!$B$90,C301)),E301,"")</f>
        <v/>
      </c>
      <c r="G301" t="str">
        <f t="shared" si="24"/>
        <v/>
      </c>
      <c r="H301" t="s">
        <v>329</v>
      </c>
      <c r="I301" t="str">
        <f>CONCATENATE(B301,"-",H301)</f>
        <v>Gas-fired District-CHP (heat)-CO2 emissions</v>
      </c>
      <c r="J301" s="54">
        <f ca="1">D301</f>
        <v>6.2333333333333331E-2</v>
      </c>
    </row>
    <row r="302" spans="2:10" x14ac:dyDescent="0.25">
      <c r="B302" s="63" t="s">
        <v>570</v>
      </c>
      <c r="C302" s="54" t="s">
        <v>212</v>
      </c>
      <c r="D302" s="249">
        <f ca="1">IF(timePeriod="2020-30",'Merit calculation'!BV90,OFFSET('Merit calculation'!BV90,0,2))</f>
        <v>9</v>
      </c>
      <c r="E302">
        <v>25</v>
      </c>
      <c r="F302" t="str">
        <f>IF(ISNUMBER(SEARCH('(3) FCH technology assessment'!$B$90,C302)),E302,"")</f>
        <v/>
      </c>
      <c r="G302" t="str">
        <f t="shared" si="24"/>
        <v/>
      </c>
      <c r="H302" s="54" t="s">
        <v>78</v>
      </c>
      <c r="I302" t="str">
        <f t="shared" ref="I302:I306" si="28">CONCATENATE(B302,"-",H302)</f>
        <v>Industrial H2 boiler-Maturity</v>
      </c>
      <c r="J302" s="59">
        <f t="shared" ref="J302:J306" ca="1" si="29">D302</f>
        <v>9</v>
      </c>
    </row>
    <row r="303" spans="2:10" x14ac:dyDescent="0.25">
      <c r="B303" s="63" t="s">
        <v>543</v>
      </c>
      <c r="C303" s="54" t="s">
        <v>212</v>
      </c>
      <c r="D303" s="249">
        <f ca="1">IF(timePeriod="2020-30",'Merit calculation'!BV91,OFFSET('Merit calculation'!BV91,0,2))</f>
        <v>7</v>
      </c>
      <c r="E303">
        <v>26</v>
      </c>
      <c r="F303" t="str">
        <f>IF(ISNUMBER(SEARCH('(3) FCH technology assessment'!$B$90,C303)),E303,"")</f>
        <v/>
      </c>
      <c r="G303" t="str">
        <f t="shared" si="24"/>
        <v/>
      </c>
      <c r="H303" s="54" t="s">
        <v>78</v>
      </c>
      <c r="I303" t="str">
        <f t="shared" si="28"/>
        <v>Micro-CHP with H2 fuel cell (heat)-Maturity</v>
      </c>
      <c r="J303" s="59">
        <f t="shared" ca="1" si="29"/>
        <v>7</v>
      </c>
    </row>
    <row r="304" spans="2:10" x14ac:dyDescent="0.25">
      <c r="B304" s="63" t="s">
        <v>553</v>
      </c>
      <c r="C304" s="54" t="s">
        <v>212</v>
      </c>
      <c r="D304" s="249">
        <f ca="1">IF(timePeriod="2020-30",'Merit calculation'!BV92,OFFSET('Merit calculation'!BV92,0,2))</f>
        <v>9</v>
      </c>
      <c r="E304">
        <v>27</v>
      </c>
      <c r="F304" t="str">
        <f>IF(ISNUMBER(SEARCH('(3) FCH technology assessment'!$B$90,C304)),E304,"")</f>
        <v/>
      </c>
      <c r="G304" t="str">
        <f t="shared" si="24"/>
        <v/>
      </c>
      <c r="H304" s="54" t="s">
        <v>78</v>
      </c>
      <c r="I304" t="str">
        <f t="shared" si="28"/>
        <v>Micro-CHP with natural gas fuel cell (heat)-Maturity</v>
      </c>
      <c r="J304" s="59">
        <f t="shared" ca="1" si="29"/>
        <v>9</v>
      </c>
    </row>
    <row r="305" spans="2:10" x14ac:dyDescent="0.25">
      <c r="B305" s="63" t="s">
        <v>552</v>
      </c>
      <c r="C305" s="54" t="s">
        <v>212</v>
      </c>
      <c r="D305" s="249">
        <f ca="1">IF(timePeriod="2020-30",'Merit calculation'!BV93,OFFSET('Merit calculation'!BV93,0,2))</f>
        <v>9</v>
      </c>
      <c r="E305">
        <v>28</v>
      </c>
      <c r="F305" t="str">
        <f>IF(ISNUMBER(SEARCH('(3) FCH technology assessment'!$B$90,C305)),E305,"")</f>
        <v/>
      </c>
      <c r="G305" t="str">
        <f t="shared" si="24"/>
        <v/>
      </c>
      <c r="H305" s="54" t="s">
        <v>78</v>
      </c>
      <c r="I305" t="str">
        <f t="shared" si="28"/>
        <v>District-CHP with H2 fuel cell (heat)-Maturity</v>
      </c>
      <c r="J305" s="59">
        <f t="shared" ca="1" si="29"/>
        <v>9</v>
      </c>
    </row>
    <row r="306" spans="2:10" x14ac:dyDescent="0.25">
      <c r="B306" s="63" t="s">
        <v>551</v>
      </c>
      <c r="C306" s="54" t="s">
        <v>212</v>
      </c>
      <c r="D306" s="249">
        <f ca="1">IF(timePeriod="2020-30",'Merit calculation'!BV94,OFFSET('Merit calculation'!BV94,0,2))</f>
        <v>9</v>
      </c>
      <c r="E306">
        <v>29</v>
      </c>
      <c r="F306" t="str">
        <f>IF(ISNUMBER(SEARCH('(3) FCH technology assessment'!$B$90,C306)),E306,"")</f>
        <v/>
      </c>
      <c r="G306" t="str">
        <f t="shared" si="24"/>
        <v/>
      </c>
      <c r="H306" s="54" t="s">
        <v>78</v>
      </c>
      <c r="I306" t="str">
        <f t="shared" si="28"/>
        <v>District-CHP with natural gas fuel cell (heat)-Maturity</v>
      </c>
      <c r="J306" s="59">
        <f t="shared" ca="1" si="29"/>
        <v>9</v>
      </c>
    </row>
    <row r="307" spans="2:10" x14ac:dyDescent="0.25">
      <c r="B307" t="s">
        <v>443</v>
      </c>
      <c r="C307" s="54" t="s">
        <v>212</v>
      </c>
      <c r="D307" s="249">
        <f ca="1">IF(timePeriod="2020-30",'Merit calculation'!BV117,OFFSET('Merit calculation'!BV117,0,2))</f>
        <v>9</v>
      </c>
      <c r="E307">
        <v>30</v>
      </c>
      <c r="F307" t="str">
        <f>IF(ISNUMBER(SEARCH('(3) FCH technology assessment'!$B$90,C307)),E307,"")</f>
        <v/>
      </c>
      <c r="G307" t="str">
        <f t="shared" si="24"/>
        <v/>
      </c>
      <c r="H307" s="54" t="s">
        <v>78</v>
      </c>
      <c r="I307" t="str">
        <f>CONCATENATE(B307,"-",H307)</f>
        <v>Gas-fired industrial boiler-Maturity</v>
      </c>
      <c r="J307" s="59">
        <f ca="1">D307</f>
        <v>9</v>
      </c>
    </row>
    <row r="308" spans="2:10" x14ac:dyDescent="0.25">
      <c r="B308" t="s">
        <v>444</v>
      </c>
      <c r="C308" s="54" t="s">
        <v>212</v>
      </c>
      <c r="D308" s="249">
        <f ca="1">IF(timePeriod="2020-30",'Merit calculation'!BV118,OFFSET('Merit calculation'!BV118,0,2))</f>
        <v>9</v>
      </c>
      <c r="E308">
        <v>31</v>
      </c>
      <c r="F308" t="str">
        <f>IF(ISNUMBER(SEARCH('(3) FCH technology assessment'!$B$90,C308)),E308,"")</f>
        <v/>
      </c>
      <c r="G308" t="str">
        <f t="shared" si="24"/>
        <v/>
      </c>
      <c r="H308" s="54" t="s">
        <v>78</v>
      </c>
      <c r="I308" t="str">
        <f>CONCATENATE(B308,"-",H308)</f>
        <v>Gas-fired residential boiler-Maturity</v>
      </c>
      <c r="J308" s="59">
        <f ca="1">D308</f>
        <v>9</v>
      </c>
    </row>
    <row r="309" spans="2:10" x14ac:dyDescent="0.25">
      <c r="B309" t="s">
        <v>446</v>
      </c>
      <c r="C309" s="54" t="s">
        <v>212</v>
      </c>
      <c r="D309" s="249">
        <f ca="1">IF(timePeriod="2020-30",'Merit calculation'!BV119,OFFSET('Merit calculation'!BV119,0,2))</f>
        <v>9</v>
      </c>
      <c r="E309">
        <v>32</v>
      </c>
      <c r="F309" t="str">
        <f>IF(ISNUMBER(SEARCH('(3) FCH technology assessment'!$B$90,C309)),E309,"")</f>
        <v/>
      </c>
      <c r="G309" t="str">
        <f t="shared" si="24"/>
        <v/>
      </c>
      <c r="H309" s="54" t="s">
        <v>78</v>
      </c>
      <c r="I309" t="str">
        <f>CONCATENATE(B309,"-",H309)</f>
        <v>Gas-fired District-CHP (heat)-Maturity</v>
      </c>
      <c r="J309" s="59">
        <f ca="1">D309</f>
        <v>9</v>
      </c>
    </row>
    <row r="310" spans="2:10" x14ac:dyDescent="0.25">
      <c r="B310" s="63" t="s">
        <v>570</v>
      </c>
      <c r="C310" s="54" t="s">
        <v>540</v>
      </c>
      <c r="D310" s="249">
        <f ca="1">IF(timePeriod="2020-30",'Merit calculation'!CD90,OFFSET('Merit calculation'!CD90,0,2))</f>
        <v>50</v>
      </c>
      <c r="E310">
        <v>33</v>
      </c>
      <c r="F310" t="str">
        <f>IF(ISNUMBER(SEARCH('(3) FCH technology assessment'!$B$90,C310)),E310,"")</f>
        <v/>
      </c>
      <c r="G310" t="str">
        <f t="shared" si="24"/>
        <v/>
      </c>
      <c r="H310" s="54" t="s">
        <v>534</v>
      </c>
      <c r="I310" t="str">
        <f t="shared" ref="I310:I314" si="30">CONCATENATE(B310,"-",H310)</f>
        <v>Industrial H2 boiler-Regulatory coverage</v>
      </c>
      <c r="J310" s="59">
        <f t="shared" ref="J310:J314" ca="1" si="31">D310</f>
        <v>50</v>
      </c>
    </row>
    <row r="311" spans="2:10" x14ac:dyDescent="0.25">
      <c r="B311" s="63" t="s">
        <v>543</v>
      </c>
      <c r="C311" s="54" t="s">
        <v>540</v>
      </c>
      <c r="D311" s="249">
        <f ca="1">IF(timePeriod="2020-30",'Merit calculation'!CD91,OFFSET('Merit calculation'!CD91,0,2))</f>
        <v>100</v>
      </c>
      <c r="E311">
        <v>34</v>
      </c>
      <c r="F311" t="str">
        <f>IF(ISNUMBER(SEARCH('(3) FCH technology assessment'!$B$90,C311)),E311,"")</f>
        <v/>
      </c>
      <c r="G311" t="str">
        <f t="shared" si="24"/>
        <v/>
      </c>
      <c r="H311" s="54" t="s">
        <v>534</v>
      </c>
      <c r="I311" t="str">
        <f t="shared" si="30"/>
        <v>Micro-CHP with H2 fuel cell (heat)-Regulatory coverage</v>
      </c>
      <c r="J311" s="59">
        <f t="shared" ca="1" si="31"/>
        <v>100</v>
      </c>
    </row>
    <row r="312" spans="2:10" x14ac:dyDescent="0.25">
      <c r="B312" s="63" t="s">
        <v>553</v>
      </c>
      <c r="C312" s="54" t="s">
        <v>540</v>
      </c>
      <c r="D312" s="249">
        <f ca="1">IF(timePeriod="2020-30",'Merit calculation'!CD92,OFFSET('Merit calculation'!CD92,0,2))</f>
        <v>100</v>
      </c>
      <c r="E312">
        <v>35</v>
      </c>
      <c r="F312" t="str">
        <f>IF(ISNUMBER(SEARCH('(3) FCH technology assessment'!$B$90,C312)),E312,"")</f>
        <v/>
      </c>
      <c r="G312" t="str">
        <f t="shared" si="24"/>
        <v/>
      </c>
      <c r="H312" s="54" t="s">
        <v>534</v>
      </c>
      <c r="I312" t="str">
        <f t="shared" si="30"/>
        <v>Micro-CHP with natural gas fuel cell (heat)-Regulatory coverage</v>
      </c>
      <c r="J312" s="59">
        <f t="shared" ca="1" si="31"/>
        <v>100</v>
      </c>
    </row>
    <row r="313" spans="2:10" x14ac:dyDescent="0.25">
      <c r="B313" s="63" t="s">
        <v>552</v>
      </c>
      <c r="C313" s="54" t="s">
        <v>540</v>
      </c>
      <c r="D313" s="249">
        <f ca="1">IF(timePeriod="2020-30",'Merit calculation'!CD93,OFFSET('Merit calculation'!CD93,0,2))</f>
        <v>100</v>
      </c>
      <c r="E313">
        <v>36</v>
      </c>
      <c r="F313" t="str">
        <f>IF(ISNUMBER(SEARCH('(3) FCH technology assessment'!$B$90,C313)),E313,"")</f>
        <v/>
      </c>
      <c r="G313" t="str">
        <f t="shared" si="24"/>
        <v/>
      </c>
      <c r="H313" s="54" t="s">
        <v>534</v>
      </c>
      <c r="I313" t="str">
        <f t="shared" si="30"/>
        <v>District-CHP with H2 fuel cell (heat)-Regulatory coverage</v>
      </c>
      <c r="J313" s="59">
        <f t="shared" ca="1" si="31"/>
        <v>100</v>
      </c>
    </row>
    <row r="314" spans="2:10" x14ac:dyDescent="0.25">
      <c r="B314" s="63" t="s">
        <v>551</v>
      </c>
      <c r="C314" s="54" t="s">
        <v>540</v>
      </c>
      <c r="D314" s="249">
        <f ca="1">IF(timePeriod="2020-30",'Merit calculation'!CD94,OFFSET('Merit calculation'!CD94,0,2))</f>
        <v>100</v>
      </c>
      <c r="E314">
        <v>37</v>
      </c>
      <c r="F314" t="str">
        <f>IF(ISNUMBER(SEARCH('(3) FCH technology assessment'!$B$90,C314)),E314,"")</f>
        <v/>
      </c>
      <c r="G314" t="str">
        <f t="shared" si="24"/>
        <v/>
      </c>
      <c r="H314" s="54" t="s">
        <v>534</v>
      </c>
      <c r="I314" t="str">
        <f t="shared" si="30"/>
        <v>District-CHP with natural gas fuel cell (heat)-Regulatory coverage</v>
      </c>
      <c r="J314" s="59">
        <f t="shared" ca="1" si="31"/>
        <v>100</v>
      </c>
    </row>
    <row r="315" spans="2:10" x14ac:dyDescent="0.25">
      <c r="B315" t="s">
        <v>443</v>
      </c>
      <c r="C315" s="54" t="s">
        <v>540</v>
      </c>
      <c r="D315" s="249">
        <f ca="1">IF(timePeriod="2020-30",'Merit calculation'!CD117,OFFSET('Merit calculation'!CD117,0,2))</f>
        <v>100</v>
      </c>
      <c r="E315">
        <v>38</v>
      </c>
      <c r="F315" t="str">
        <f>IF(ISNUMBER(SEARCH('(3) FCH technology assessment'!$B$90,C315)),E315,"")</f>
        <v/>
      </c>
      <c r="G315" t="str">
        <f t="shared" si="24"/>
        <v/>
      </c>
      <c r="H315" s="54" t="s">
        <v>534</v>
      </c>
      <c r="I315" t="str">
        <f>CONCATENATE(B315,"-",H315)</f>
        <v>Gas-fired industrial boiler-Regulatory coverage</v>
      </c>
      <c r="J315" s="59">
        <f ca="1">D315</f>
        <v>100</v>
      </c>
    </row>
    <row r="316" spans="2:10" x14ac:dyDescent="0.25">
      <c r="B316" t="s">
        <v>444</v>
      </c>
      <c r="C316" s="54" t="s">
        <v>540</v>
      </c>
      <c r="D316" s="249">
        <f ca="1">IF(timePeriod="2020-30",'Merit calculation'!CD118,OFFSET('Merit calculation'!CD118,0,2))</f>
        <v>100</v>
      </c>
      <c r="E316">
        <v>39</v>
      </c>
      <c r="F316" t="str">
        <f>IF(ISNUMBER(SEARCH('(3) FCH technology assessment'!$B$90,C316)),E316,"")</f>
        <v/>
      </c>
      <c r="G316" t="str">
        <f t="shared" si="24"/>
        <v/>
      </c>
      <c r="H316" s="54" t="s">
        <v>534</v>
      </c>
      <c r="I316" t="str">
        <f>CONCATENATE(B316,"-",H316)</f>
        <v>Gas-fired residential boiler-Regulatory coverage</v>
      </c>
      <c r="J316" s="59">
        <f ca="1">D316</f>
        <v>100</v>
      </c>
    </row>
    <row r="317" spans="2:10" x14ac:dyDescent="0.25">
      <c r="B317" t="s">
        <v>446</v>
      </c>
      <c r="C317" s="54" t="s">
        <v>540</v>
      </c>
      <c r="D317" s="249">
        <f ca="1">IF(timePeriod="2020-30",'Merit calculation'!CD119,OFFSET('Merit calculation'!CD119,0,2))</f>
        <v>100</v>
      </c>
      <c r="E317">
        <v>40</v>
      </c>
      <c r="F317" t="str">
        <f>IF(ISNUMBER(SEARCH('(3) FCH technology assessment'!$B$90,C317)),E317,"")</f>
        <v/>
      </c>
      <c r="G317" t="str">
        <f t="shared" si="24"/>
        <v/>
      </c>
      <c r="H317" s="54" t="s">
        <v>534</v>
      </c>
      <c r="I317" t="str">
        <f>CONCATENATE(B317,"-",H317)</f>
        <v>Gas-fired District-CHP (heat)-Regulatory coverage</v>
      </c>
      <c r="J317" s="59">
        <f ca="1">D317</f>
        <v>100</v>
      </c>
    </row>
    <row r="318" spans="2:10" x14ac:dyDescent="0.25">
      <c r="B318" s="63" t="s">
        <v>570</v>
      </c>
      <c r="C318" s="443" t="s">
        <v>515</v>
      </c>
      <c r="D318" s="249">
        <f ca="1">IF(timePeriod="2020-30",'Merit calculation'!CH90,OFFSET('Merit calculation'!CH90,0,2))</f>
        <v>80</v>
      </c>
      <c r="E318">
        <v>41</v>
      </c>
      <c r="F318" t="str">
        <f>IF(ISNUMBER(SEARCH('(3) FCH technology assessment'!$B$90,C318)),E318,"")</f>
        <v/>
      </c>
      <c r="G318" t="str">
        <f t="shared" si="24"/>
        <v/>
      </c>
      <c r="H318" s="54" t="s">
        <v>82</v>
      </c>
      <c r="I318" t="str">
        <f t="shared" ref="I318:I322" si="32">CONCATENATE(B318,"-",H318)</f>
        <v>Industrial H2 boiler-Public acceptability</v>
      </c>
      <c r="J318" s="247">
        <f t="shared" ref="J318:J322" ca="1" si="33">D318</f>
        <v>80</v>
      </c>
    </row>
    <row r="319" spans="2:10" x14ac:dyDescent="0.25">
      <c r="B319" s="63" t="s">
        <v>543</v>
      </c>
      <c r="C319" s="443" t="s">
        <v>515</v>
      </c>
      <c r="D319" s="249">
        <f ca="1">IF(timePeriod="2020-30",'Merit calculation'!CH91,OFFSET('Merit calculation'!CH91,0,2))</f>
        <v>80</v>
      </c>
      <c r="E319">
        <v>42</v>
      </c>
      <c r="F319" t="str">
        <f>IF(ISNUMBER(SEARCH('(3) FCH technology assessment'!$B$90,C319)),E319,"")</f>
        <v/>
      </c>
      <c r="G319" t="str">
        <f t="shared" si="24"/>
        <v/>
      </c>
      <c r="H319" s="54" t="s">
        <v>82</v>
      </c>
      <c r="I319" t="str">
        <f t="shared" si="32"/>
        <v>Micro-CHP with H2 fuel cell (heat)-Public acceptability</v>
      </c>
      <c r="J319" s="247">
        <f t="shared" ca="1" si="33"/>
        <v>80</v>
      </c>
    </row>
    <row r="320" spans="2:10" x14ac:dyDescent="0.25">
      <c r="B320" s="63" t="s">
        <v>553</v>
      </c>
      <c r="C320" s="443" t="s">
        <v>515</v>
      </c>
      <c r="D320" s="249">
        <f ca="1">IF(timePeriod="2020-30",'Merit calculation'!CH92,OFFSET('Merit calculation'!CH92,0,2))</f>
        <v>80</v>
      </c>
      <c r="E320">
        <v>43</v>
      </c>
      <c r="F320" t="str">
        <f>IF(ISNUMBER(SEARCH('(3) FCH technology assessment'!$B$90,C320)),E320,"")</f>
        <v/>
      </c>
      <c r="G320" t="str">
        <f t="shared" si="24"/>
        <v/>
      </c>
      <c r="H320" s="54" t="s">
        <v>82</v>
      </c>
      <c r="I320" t="str">
        <f t="shared" si="32"/>
        <v>Micro-CHP with natural gas fuel cell (heat)-Public acceptability</v>
      </c>
      <c r="J320" s="247">
        <f t="shared" ca="1" si="33"/>
        <v>80</v>
      </c>
    </row>
    <row r="321" spans="2:10" x14ac:dyDescent="0.25">
      <c r="B321" s="63" t="s">
        <v>552</v>
      </c>
      <c r="C321" s="443" t="s">
        <v>515</v>
      </c>
      <c r="D321" s="249">
        <f ca="1">IF(timePeriod="2020-30",'Merit calculation'!CH93,OFFSET('Merit calculation'!CH93,0,2))</f>
        <v>80</v>
      </c>
      <c r="E321">
        <v>44</v>
      </c>
      <c r="F321" t="str">
        <f>IF(ISNUMBER(SEARCH('(3) FCH technology assessment'!$B$90,C321)),E321,"")</f>
        <v/>
      </c>
      <c r="G321" t="str">
        <f t="shared" si="24"/>
        <v/>
      </c>
      <c r="H321" s="54" t="s">
        <v>82</v>
      </c>
      <c r="I321" t="str">
        <f t="shared" si="32"/>
        <v>District-CHP with H2 fuel cell (heat)-Public acceptability</v>
      </c>
      <c r="J321" s="247">
        <f t="shared" ca="1" si="33"/>
        <v>80</v>
      </c>
    </row>
    <row r="322" spans="2:10" x14ac:dyDescent="0.25">
      <c r="B322" s="63" t="s">
        <v>551</v>
      </c>
      <c r="C322" s="443" t="s">
        <v>515</v>
      </c>
      <c r="D322" s="249">
        <f ca="1">IF(timePeriod="2020-30",'Merit calculation'!CH94,OFFSET('Merit calculation'!CH94,0,2))</f>
        <v>80</v>
      </c>
      <c r="E322">
        <v>45</v>
      </c>
      <c r="F322" t="str">
        <f>IF(ISNUMBER(SEARCH('(3) FCH technology assessment'!$B$90,C322)),E322,"")</f>
        <v/>
      </c>
      <c r="G322" t="str">
        <f t="shared" si="24"/>
        <v/>
      </c>
      <c r="H322" s="54" t="s">
        <v>82</v>
      </c>
      <c r="I322" t="str">
        <f t="shared" si="32"/>
        <v>District-CHP with natural gas fuel cell (heat)-Public acceptability</v>
      </c>
      <c r="J322" s="247">
        <f t="shared" ca="1" si="33"/>
        <v>80</v>
      </c>
    </row>
    <row r="323" spans="2:10" x14ac:dyDescent="0.25">
      <c r="B323" t="s">
        <v>443</v>
      </c>
      <c r="C323" s="443" t="s">
        <v>515</v>
      </c>
      <c r="D323" s="249">
        <f ca="1">IF(timePeriod="2020-30",'Merit calculation'!CH117,OFFSET('Merit calculation'!CH117,0,2))</f>
        <v>100</v>
      </c>
      <c r="E323">
        <v>46</v>
      </c>
      <c r="F323" t="str">
        <f>IF(ISNUMBER(SEARCH('(3) FCH technology assessment'!$B$90,C323)),E323,"")</f>
        <v/>
      </c>
      <c r="G323" t="str">
        <f t="shared" si="24"/>
        <v/>
      </c>
      <c r="H323" s="54" t="s">
        <v>82</v>
      </c>
      <c r="I323" t="str">
        <f>CONCATENATE(B323,"-",H323)</f>
        <v>Gas-fired industrial boiler-Public acceptability</v>
      </c>
      <c r="J323" s="247">
        <f ca="1">D323</f>
        <v>100</v>
      </c>
    </row>
    <row r="324" spans="2:10" x14ac:dyDescent="0.25">
      <c r="B324" t="s">
        <v>444</v>
      </c>
      <c r="C324" s="443" t="s">
        <v>515</v>
      </c>
      <c r="D324" s="249">
        <f ca="1">IF(timePeriod="2020-30",'Merit calculation'!CH118,OFFSET('Merit calculation'!CH118,0,2))</f>
        <v>100</v>
      </c>
      <c r="E324">
        <v>47</v>
      </c>
      <c r="F324" t="str">
        <f>IF(ISNUMBER(SEARCH('(3) FCH technology assessment'!$B$90,C324)),E324,"")</f>
        <v/>
      </c>
      <c r="G324" t="str">
        <f t="shared" si="24"/>
        <v/>
      </c>
      <c r="H324" s="54" t="s">
        <v>82</v>
      </c>
      <c r="I324" t="str">
        <f>CONCATENATE(B324,"-",H324)</f>
        <v>Gas-fired residential boiler-Public acceptability</v>
      </c>
      <c r="J324" s="247">
        <f ca="1">D324</f>
        <v>100</v>
      </c>
    </row>
    <row r="325" spans="2:10" x14ac:dyDescent="0.25">
      <c r="B325" t="s">
        <v>446</v>
      </c>
      <c r="C325" s="443" t="s">
        <v>515</v>
      </c>
      <c r="D325" s="249">
        <f ca="1">IF(timePeriod="2020-30",'Merit calculation'!CH119,OFFSET('Merit calculation'!CH119,0,2))</f>
        <v>100</v>
      </c>
      <c r="E325">
        <v>48</v>
      </c>
      <c r="F325" t="str">
        <f>IF(ISNUMBER(SEARCH('(3) FCH technology assessment'!$B$90,C325)),E325,"")</f>
        <v/>
      </c>
      <c r="G325" t="str">
        <f>IFERROR(SMALL($F$278:$F$325,E325),"")</f>
        <v/>
      </c>
      <c r="H325" s="54" t="s">
        <v>82</v>
      </c>
      <c r="I325" t="str">
        <f>CONCATENATE(B325,"-",H325)</f>
        <v>Gas-fired District-CHP (heat)-Public acceptability</v>
      </c>
      <c r="J325" s="247">
        <f ca="1">D325</f>
        <v>100</v>
      </c>
    </row>
    <row r="326" spans="2:10" x14ac:dyDescent="0.25">
      <c r="H326" s="54"/>
      <c r="J326" s="247"/>
    </row>
    <row r="327" spans="2:10" x14ac:dyDescent="0.25">
      <c r="H327" s="54"/>
      <c r="J327" s="247"/>
    </row>
    <row r="328" spans="2:10" x14ac:dyDescent="0.25">
      <c r="H328" s="54"/>
      <c r="J328" s="247"/>
    </row>
    <row r="329" spans="2:10" ht="23.25" x14ac:dyDescent="0.35">
      <c r="B329" s="9" t="s">
        <v>575</v>
      </c>
      <c r="C329" s="9"/>
      <c r="D329" s="9"/>
      <c r="E329" s="9"/>
      <c r="F329" s="9"/>
      <c r="G329" s="9"/>
      <c r="H329" s="9"/>
      <c r="I329" s="9"/>
      <c r="J329" s="10"/>
    </row>
    <row r="331" spans="2:10" x14ac:dyDescent="0.25">
      <c r="B331" s="15" t="s">
        <v>142</v>
      </c>
      <c r="C331" s="15" t="s">
        <v>143</v>
      </c>
      <c r="D331" s="15" t="s">
        <v>144</v>
      </c>
      <c r="E331" s="15" t="s">
        <v>325</v>
      </c>
      <c r="F331" s="15" t="s">
        <v>326</v>
      </c>
      <c r="G331" s="15" t="s">
        <v>327</v>
      </c>
      <c r="H331" s="15"/>
      <c r="I331" s="15"/>
    </row>
    <row r="332" spans="2:10" x14ac:dyDescent="0.25">
      <c r="B332" s="63" t="s">
        <v>162</v>
      </c>
      <c r="C332" t="s">
        <v>161</v>
      </c>
      <c r="D332" s="248">
        <f ca="1">IF(timePeriod="2020-30",'Merit calculation'!BJ96+'Merit calculation'!BF96,OFFSET('Merit calculation'!BJ228,0,2)+OFFSET('Merit calculation'!BF96,0,2))</f>
        <v>0.2693465051836762</v>
      </c>
      <c r="E332">
        <v>1</v>
      </c>
      <c r="F332">
        <f>IF(ISNUMBER(SEARCH('(3) FCH technology assessment'!$B$114,C332)),E332,"")</f>
        <v>1</v>
      </c>
      <c r="G332">
        <f>IFERROR(SMALL($F$332:$F$403,E332),"")</f>
        <v>1</v>
      </c>
      <c r="H332" t="s">
        <v>72</v>
      </c>
      <c r="I332" t="str">
        <f>CONCATENATE(B332,"-",H332)</f>
        <v>Hydrogen turbine (OC)-Levelized cost</v>
      </c>
      <c r="J332" s="54">
        <f t="shared" ref="J332:J340" ca="1" si="34">D332</f>
        <v>0.2693465051836762</v>
      </c>
    </row>
    <row r="333" spans="2:10" x14ac:dyDescent="0.25">
      <c r="B333" s="63" t="s">
        <v>163</v>
      </c>
      <c r="C333" t="s">
        <v>161</v>
      </c>
      <c r="D333" s="248">
        <f ca="1">IF(timePeriod="2020-30",'Merit calculation'!BJ97+'Merit calculation'!BF97,OFFSET('Merit calculation'!BJ229,0,2)+OFFSET('Merit calculation'!BF97,0,2))</f>
        <v>0.39854653524833017</v>
      </c>
      <c r="E333">
        <v>2</v>
      </c>
      <c r="F333">
        <f>IF(ISNUMBER(SEARCH('(3) FCH technology assessment'!$B$114,C333)),E333,"")</f>
        <v>2</v>
      </c>
      <c r="G333">
        <f t="shared" ref="G333:G396" si="35">IFERROR(SMALL($F$332:$F$403,E333),"")</f>
        <v>2</v>
      </c>
      <c r="H333" t="s">
        <v>72</v>
      </c>
      <c r="I333" t="str">
        <f t="shared" ref="I333:I339" si="36">CONCATENATE(B333,"-",H333)</f>
        <v>Hydrogen turbine (CC)-Levelized cost</v>
      </c>
      <c r="J333" s="54">
        <f t="shared" ca="1" si="34"/>
        <v>0.39854653524833017</v>
      </c>
    </row>
    <row r="334" spans="2:10" x14ac:dyDescent="0.25">
      <c r="B334" s="63" t="s">
        <v>164</v>
      </c>
      <c r="C334" t="s">
        <v>161</v>
      </c>
      <c r="D334" s="248">
        <f ca="1">IF(timePeriod="2020-30",'Merit calculation'!BJ98+'Merit calculation'!BF98,OFFSET('Merit calculation'!BJ230,0,2)+OFFSET('Merit calculation'!BF98,0,2))</f>
        <v>0.31957917791440077</v>
      </c>
      <c r="E334">
        <v>3</v>
      </c>
      <c r="F334">
        <f>IF(ISNUMBER(SEARCH('(3) FCH technology assessment'!$B$114,C334)),E334,"")</f>
        <v>3</v>
      </c>
      <c r="G334">
        <f t="shared" si="35"/>
        <v>3</v>
      </c>
      <c r="H334" t="s">
        <v>72</v>
      </c>
      <c r="I334" t="str">
        <f t="shared" si="36"/>
        <v>Prime power H2 fuel cell-Levelized cost</v>
      </c>
      <c r="J334" s="54">
        <f t="shared" ca="1" si="34"/>
        <v>0.31957917791440077</v>
      </c>
    </row>
    <row r="335" spans="2:10" x14ac:dyDescent="0.25">
      <c r="B335" s="63" t="s">
        <v>165</v>
      </c>
      <c r="C335" t="s">
        <v>161</v>
      </c>
      <c r="D335" s="248">
        <f ca="1">IF(timePeriod="2020-30",'Merit calculation'!BJ99+'Merit calculation'!BF99,OFFSET('Merit calculation'!BJ231,0,2)+OFFSET('Merit calculation'!BF99,0,2))</f>
        <v>0.29632088004206025</v>
      </c>
      <c r="E335">
        <v>4</v>
      </c>
      <c r="F335">
        <f>IF(ISNUMBER(SEARCH('(3) FCH technology assessment'!$B$114,C335)),E335,"")</f>
        <v>4</v>
      </c>
      <c r="G335">
        <f t="shared" si="35"/>
        <v>4</v>
      </c>
      <c r="H335" t="s">
        <v>72</v>
      </c>
      <c r="I335" t="str">
        <f t="shared" si="36"/>
        <v>Prime power natural gas fuel cell-Levelized cost</v>
      </c>
      <c r="J335" s="54">
        <f t="shared" ca="1" si="34"/>
        <v>0.29632088004206025</v>
      </c>
    </row>
    <row r="336" spans="2:10" x14ac:dyDescent="0.25">
      <c r="B336" s="63" t="s">
        <v>547</v>
      </c>
      <c r="C336" t="s">
        <v>161</v>
      </c>
      <c r="D336" s="248">
        <f ca="1">IF(timePeriod="2020-30",'Merit calculation'!BJ100+'Merit calculation'!BF100,OFFSET('Merit calculation'!BJ232,0,2)+OFFSET('Merit calculation'!BF100,0,2))</f>
        <v>0.25571223688377626</v>
      </c>
      <c r="E336">
        <v>5</v>
      </c>
      <c r="F336">
        <f>IF(ISNUMBER(SEARCH('(3) FCH technology assessment'!$B$114,C336)),E336,"")</f>
        <v>5</v>
      </c>
      <c r="G336">
        <f t="shared" si="35"/>
        <v>5</v>
      </c>
      <c r="H336" t="s">
        <v>72</v>
      </c>
      <c r="I336" t="str">
        <f t="shared" si="36"/>
        <v>Micro-CHP with H2 fuel cell (power)-Levelized cost</v>
      </c>
      <c r="J336" s="54">
        <f t="shared" ca="1" si="34"/>
        <v>0.25571223688377626</v>
      </c>
    </row>
    <row r="337" spans="2:10" x14ac:dyDescent="0.25">
      <c r="B337" s="63" t="s">
        <v>548</v>
      </c>
      <c r="C337" t="s">
        <v>161</v>
      </c>
      <c r="D337" s="248">
        <f ca="1">IF(timePeriod="2020-30",'Merit calculation'!BJ101+'Merit calculation'!BF101,OFFSET('Merit calculation'!BJ233,0,2)+OFFSET('Merit calculation'!BF101,0,2))</f>
        <v>0.24314740929756934</v>
      </c>
      <c r="E337">
        <v>6</v>
      </c>
      <c r="F337">
        <f>IF(ISNUMBER(SEARCH('(3) FCH technology assessment'!$B$114,C337)),E337,"")</f>
        <v>6</v>
      </c>
      <c r="G337">
        <f t="shared" si="35"/>
        <v>6</v>
      </c>
      <c r="H337" t="s">
        <v>72</v>
      </c>
      <c r="I337" t="str">
        <f t="shared" si="36"/>
        <v>Micro-CHP with natural gas fuel cell (power)-Levelized cost</v>
      </c>
      <c r="J337" s="54">
        <f t="shared" ca="1" si="34"/>
        <v>0.24314740929756934</v>
      </c>
    </row>
    <row r="338" spans="2:10" x14ac:dyDescent="0.25">
      <c r="B338" s="63" t="s">
        <v>549</v>
      </c>
      <c r="C338" t="s">
        <v>161</v>
      </c>
      <c r="D338" s="248">
        <f ca="1">IF(timePeriod="2020-30",'Merit calculation'!BJ102+'Merit calculation'!BF102,OFFSET('Merit calculation'!BJ234,0,2)+OFFSET('Merit calculation'!BF102,0,2))</f>
        <v>0.22987338450254557</v>
      </c>
      <c r="E338">
        <v>7</v>
      </c>
      <c r="F338">
        <f>IF(ISNUMBER(SEARCH('(3) FCH technology assessment'!$B$114,C338)),E338,"")</f>
        <v>7</v>
      </c>
      <c r="G338">
        <f t="shared" si="35"/>
        <v>7</v>
      </c>
      <c r="H338" t="s">
        <v>72</v>
      </c>
      <c r="I338" t="str">
        <f t="shared" si="36"/>
        <v>District-CHP with H2 fuel cell (power)-Levelized cost</v>
      </c>
      <c r="J338" s="54">
        <f t="shared" ca="1" si="34"/>
        <v>0.22987338450254557</v>
      </c>
    </row>
    <row r="339" spans="2:10" x14ac:dyDescent="0.25">
      <c r="B339" s="63" t="s">
        <v>550</v>
      </c>
      <c r="C339" t="s">
        <v>161</v>
      </c>
      <c r="D339" s="248">
        <f ca="1">IF(timePeriod="2020-30",'Merit calculation'!BJ103+'Merit calculation'!BF103,OFFSET('Merit calculation'!BJ235,0,2)+OFFSET('Merit calculation'!BF103,0,2))</f>
        <v>0.21548996344991395</v>
      </c>
      <c r="E339">
        <v>8</v>
      </c>
      <c r="F339">
        <f>IF(ISNUMBER(SEARCH('(3) FCH technology assessment'!$B$114,C339)),E339,"")</f>
        <v>8</v>
      </c>
      <c r="G339">
        <f t="shared" si="35"/>
        <v>8</v>
      </c>
      <c r="H339" t="s">
        <v>72</v>
      </c>
      <c r="I339" t="str">
        <f t="shared" si="36"/>
        <v>District-CHP with natural gas fuel cell (power)-Levelized cost</v>
      </c>
      <c r="J339" s="54">
        <f t="shared" ca="1" si="34"/>
        <v>0.21548996344991395</v>
      </c>
    </row>
    <row r="340" spans="2:10" x14ac:dyDescent="0.25">
      <c r="B340" s="54" t="s">
        <v>442</v>
      </c>
      <c r="C340" t="s">
        <v>161</v>
      </c>
      <c r="D340" s="248">
        <f ca="1">IF(timePeriod="2020-30",'Merit calculation'!BJ121+'Merit calculation'!BF121,OFFSET('Merit calculation'!BJ121,0,2)+OFFSET('Merit calculation'!BF121,0,2))</f>
        <v>0.26418345189527337</v>
      </c>
      <c r="E340">
        <v>9</v>
      </c>
      <c r="F340">
        <f>IF(ISNUMBER(SEARCH('(3) FCH technology assessment'!$B$114,C340)),E340,"")</f>
        <v>9</v>
      </c>
      <c r="G340">
        <f t="shared" si="35"/>
        <v>9</v>
      </c>
      <c r="H340" t="s">
        <v>72</v>
      </c>
      <c r="I340" t="str">
        <f>CONCATENATE(B340,"-",H340)</f>
        <v>Natural gas turbine (OC) -Levelized cost</v>
      </c>
      <c r="J340" s="54">
        <f t="shared" ca="1" si="34"/>
        <v>0.26418345189527337</v>
      </c>
    </row>
    <row r="341" spans="2:10" x14ac:dyDescent="0.25">
      <c r="B341" s="54" t="s">
        <v>440</v>
      </c>
      <c r="C341" t="s">
        <v>161</v>
      </c>
      <c r="D341" s="248">
        <f ca="1">IF(timePeriod="2020-30",'Merit calculation'!BJ122+'Merit calculation'!BF122,OFFSET('Merit calculation'!BJ122,0,2)+OFFSET('Merit calculation'!BF122,0,2))</f>
        <v>0.19832164711691966</v>
      </c>
      <c r="E341">
        <v>10</v>
      </c>
      <c r="F341">
        <f>IF(ISNUMBER(SEARCH('(3) FCH technology assessment'!$B$114,C341)),E341,"")</f>
        <v>10</v>
      </c>
      <c r="G341">
        <f t="shared" si="35"/>
        <v>10</v>
      </c>
      <c r="H341" t="s">
        <v>72</v>
      </c>
      <c r="I341" t="str">
        <f>CONCATENATE(B341,"-",H341)</f>
        <v>Natural gas turbine (CC)-Levelized cost</v>
      </c>
      <c r="J341" s="54">
        <f ca="1">D341</f>
        <v>0.19832164711691966</v>
      </c>
    </row>
    <row r="342" spans="2:10" x14ac:dyDescent="0.25">
      <c r="B342" s="54" t="s">
        <v>441</v>
      </c>
      <c r="C342" t="s">
        <v>161</v>
      </c>
      <c r="D342" s="248">
        <f ca="1">IF(timePeriod="2020-30",'Merit calculation'!BJ123+'Merit calculation'!BF123,OFFSET('Merit calculation'!BJ123,0,2)+OFFSET('Merit calculation'!BF123,0,2))</f>
        <v>0.29734591207818223</v>
      </c>
      <c r="E342">
        <v>11</v>
      </c>
      <c r="F342">
        <f>IF(ISNUMBER(SEARCH('(3) FCH technology assessment'!$B$114,C342)),E342,"")</f>
        <v>11</v>
      </c>
      <c r="G342">
        <f t="shared" si="35"/>
        <v>11</v>
      </c>
      <c r="H342" t="s">
        <v>72</v>
      </c>
      <c r="I342" t="str">
        <f>CONCATENATE(B342,"-",H342)</f>
        <v>Gas engine-Levelized cost</v>
      </c>
      <c r="J342" s="54">
        <f ca="1">D342</f>
        <v>0.29734591207818223</v>
      </c>
    </row>
    <row r="343" spans="2:10" x14ac:dyDescent="0.25">
      <c r="B343" s="54" t="s">
        <v>447</v>
      </c>
      <c r="C343" t="s">
        <v>161</v>
      </c>
      <c r="D343" s="248">
        <f ca="1">IF(timePeriod="2020-30",'Merit calculation'!BJ124+'Merit calculation'!BF124,OFFSET('Merit calculation'!BJ124,0,2)+OFFSET('Merit calculation'!BF124,0,2))</f>
        <v>0.24196536483800726</v>
      </c>
      <c r="E343">
        <v>12</v>
      </c>
      <c r="F343">
        <f>IF(ISNUMBER(SEARCH('(3) FCH technology assessment'!$B$114,C343)),E343,"")</f>
        <v>12</v>
      </c>
      <c r="G343">
        <f t="shared" si="35"/>
        <v>12</v>
      </c>
      <c r="H343" t="s">
        <v>72</v>
      </c>
      <c r="I343" t="str">
        <f>CONCATENATE(B343,"-",H343)</f>
        <v>Gas-fired District-CHP (power)-Levelized cost</v>
      </c>
      <c r="J343" s="54">
        <f ca="1">D343</f>
        <v>0.24196536483800726</v>
      </c>
    </row>
    <row r="344" spans="2:10" x14ac:dyDescent="0.25">
      <c r="B344" s="63" t="s">
        <v>162</v>
      </c>
      <c r="C344" s="54" t="s">
        <v>517</v>
      </c>
      <c r="D344" s="248">
        <f ca="1">IF(timePeriod="2020-30",'Merit calculation'!BN96,OFFSET('Merit calculation'!B96,0,2))</f>
        <v>-3.6295604090846156</v>
      </c>
      <c r="E344">
        <v>13</v>
      </c>
      <c r="F344" t="str">
        <f>IF(ISNUMBER(SEARCH('(3) FCH technology assessment'!$B$114,C344)),E344,"")</f>
        <v/>
      </c>
      <c r="G344" t="str">
        <f t="shared" si="35"/>
        <v/>
      </c>
      <c r="H344" t="s">
        <v>77</v>
      </c>
      <c r="I344" t="str">
        <f t="shared" ref="I344:I363" si="37">CONCATENATE(B344,"-",H344)</f>
        <v>Hydrogen turbine (OC)-Marginal abatement cost</v>
      </c>
      <c r="J344" s="54">
        <f t="shared" ref="J344:J363" ca="1" si="38">D344</f>
        <v>-3.6295604090846156</v>
      </c>
    </row>
    <row r="345" spans="2:10" x14ac:dyDescent="0.25">
      <c r="B345" s="63" t="s">
        <v>163</v>
      </c>
      <c r="C345" s="54" t="s">
        <v>517</v>
      </c>
      <c r="D345" s="248">
        <f ca="1">IF(timePeriod="2020-30",'Merit calculation'!BN97,OFFSET('Merit calculation'!B97,0,2))</f>
        <v>-14.763904930875372</v>
      </c>
      <c r="E345">
        <v>14</v>
      </c>
      <c r="F345" t="str">
        <f>IF(ISNUMBER(SEARCH('(3) FCH technology assessment'!$B$114,C345)),E345,"")</f>
        <v/>
      </c>
      <c r="G345" t="str">
        <f t="shared" si="35"/>
        <v/>
      </c>
      <c r="H345" t="s">
        <v>77</v>
      </c>
      <c r="I345" t="str">
        <f t="shared" si="37"/>
        <v>Hydrogen turbine (CC)-Marginal abatement cost</v>
      </c>
      <c r="J345" s="54">
        <f t="shared" ca="1" si="38"/>
        <v>-14.763904930875372</v>
      </c>
    </row>
    <row r="346" spans="2:10" x14ac:dyDescent="0.25">
      <c r="B346" s="63" t="s">
        <v>164</v>
      </c>
      <c r="C346" s="54" t="s">
        <v>517</v>
      </c>
      <c r="D346" s="248">
        <f ca="1">IF(timePeriod="2020-30",'Merit calculation'!BN98,OFFSET('Merit calculation'!B98,0,2))</f>
        <v>88.914255219002129</v>
      </c>
      <c r="E346">
        <v>15</v>
      </c>
      <c r="F346" t="str">
        <f>IF(ISNUMBER(SEARCH('(3) FCH technology assessment'!$B$114,C346)),E346,"")</f>
        <v/>
      </c>
      <c r="G346" t="str">
        <f t="shared" si="35"/>
        <v/>
      </c>
      <c r="H346" t="s">
        <v>77</v>
      </c>
      <c r="I346" t="str">
        <f t="shared" si="37"/>
        <v>Prime power H2 fuel cell-Marginal abatement cost</v>
      </c>
      <c r="J346" s="54">
        <f t="shared" ca="1" si="38"/>
        <v>88.914255219002129</v>
      </c>
    </row>
    <row r="347" spans="2:10" x14ac:dyDescent="0.25">
      <c r="B347" s="63" t="s">
        <v>165</v>
      </c>
      <c r="C347" s="54" t="s">
        <v>517</v>
      </c>
      <c r="D347" s="248">
        <f ca="1">IF(timePeriod="2020-30",'Merit calculation'!BN99,OFFSET('Merit calculation'!B99,0,2))</f>
        <v>557.19599937241378</v>
      </c>
      <c r="E347">
        <v>16</v>
      </c>
      <c r="F347" t="str">
        <f>IF(ISNUMBER(SEARCH('(3) FCH technology assessment'!$B$114,C347)),E347,"")</f>
        <v/>
      </c>
      <c r="G347" t="str">
        <f t="shared" si="35"/>
        <v/>
      </c>
      <c r="H347" t="s">
        <v>77</v>
      </c>
      <c r="I347" t="str">
        <f t="shared" si="37"/>
        <v>Prime power natural gas fuel cell-Marginal abatement cost</v>
      </c>
      <c r="J347" s="54">
        <f t="shared" ca="1" si="38"/>
        <v>557.19599937241378</v>
      </c>
    </row>
    <row r="348" spans="2:10" x14ac:dyDescent="0.25">
      <c r="B348" s="63" t="s">
        <v>547</v>
      </c>
      <c r="C348" s="54" t="s">
        <v>517</v>
      </c>
      <c r="D348" s="248">
        <f ca="1">IF(timePeriod="2020-30",'Merit calculation'!BN100,OFFSET('Merit calculation'!B100,0,2))</f>
        <v>205.07230019055987</v>
      </c>
      <c r="E348">
        <v>17</v>
      </c>
      <c r="F348" t="str">
        <f>IF(ISNUMBER(SEARCH('(3) FCH technology assessment'!$B$114,C348)),E348,"")</f>
        <v/>
      </c>
      <c r="G348" t="str">
        <f t="shared" si="35"/>
        <v/>
      </c>
      <c r="H348" t="s">
        <v>77</v>
      </c>
      <c r="I348" t="str">
        <f t="shared" si="37"/>
        <v>Micro-CHP with H2 fuel cell (power)-Marginal abatement cost</v>
      </c>
      <c r="J348" s="54">
        <f t="shared" ca="1" si="38"/>
        <v>205.07230019055987</v>
      </c>
    </row>
    <row r="349" spans="2:10" x14ac:dyDescent="0.25">
      <c r="B349" s="63" t="s">
        <v>548</v>
      </c>
      <c r="C349" s="54" t="s">
        <v>517</v>
      </c>
      <c r="D349" s="248">
        <f ca="1">IF(timePeriod="2020-30",'Merit calculation'!BN101,OFFSET('Merit calculation'!B101,0,2))</f>
        <v>375.60610771744649</v>
      </c>
      <c r="E349">
        <v>18</v>
      </c>
      <c r="F349" t="str">
        <f>IF(ISNUMBER(SEARCH('(3) FCH technology assessment'!$B$114,C349)),E349,"")</f>
        <v/>
      </c>
      <c r="G349" t="str">
        <f t="shared" si="35"/>
        <v/>
      </c>
      <c r="H349" t="s">
        <v>77</v>
      </c>
      <c r="I349" t="str">
        <f t="shared" si="37"/>
        <v>Micro-CHP with natural gas fuel cell (power)-Marginal abatement cost</v>
      </c>
      <c r="J349" s="54">
        <f t="shared" ca="1" si="38"/>
        <v>375.60610771744649</v>
      </c>
    </row>
    <row r="350" spans="2:10" x14ac:dyDescent="0.25">
      <c r="B350" s="63" t="s">
        <v>549</v>
      </c>
      <c r="C350" s="54" t="s">
        <v>517</v>
      </c>
      <c r="D350" s="248">
        <f ca="1">IF(timePeriod="2020-30",'Merit calculation'!BN102,OFFSET('Merit calculation'!B102,0,2))</f>
        <v>133.77540235820089</v>
      </c>
      <c r="E350">
        <v>19</v>
      </c>
      <c r="F350" t="str">
        <f>IF(ISNUMBER(SEARCH('(3) FCH technology assessment'!$B$114,C350)),E350,"")</f>
        <v/>
      </c>
      <c r="G350" t="str">
        <f t="shared" si="35"/>
        <v/>
      </c>
      <c r="H350" t="s">
        <v>77</v>
      </c>
      <c r="I350" t="str">
        <f t="shared" si="37"/>
        <v>District-CHP with H2 fuel cell (power)-Marginal abatement cost</v>
      </c>
      <c r="J350" s="54">
        <f t="shared" ca="1" si="38"/>
        <v>133.77540235820089</v>
      </c>
    </row>
    <row r="351" spans="2:10" x14ac:dyDescent="0.25">
      <c r="B351" s="63" t="s">
        <v>550</v>
      </c>
      <c r="C351" s="54" t="s">
        <v>517</v>
      </c>
      <c r="D351" s="248">
        <f ca="1">IF(timePeriod="2020-30",'Merit calculation'!BN103,OFFSET('Merit calculation'!B103,0,2))</f>
        <v>383.65775770653852</v>
      </c>
      <c r="E351">
        <v>20</v>
      </c>
      <c r="F351" t="str">
        <f>IF(ISNUMBER(SEARCH('(3) FCH technology assessment'!$B$114,C351)),E351,"")</f>
        <v/>
      </c>
      <c r="G351" t="str">
        <f t="shared" si="35"/>
        <v/>
      </c>
      <c r="H351" t="s">
        <v>77</v>
      </c>
      <c r="I351" t="str">
        <f t="shared" si="37"/>
        <v>District-CHP with natural gas fuel cell (power)-Marginal abatement cost</v>
      </c>
      <c r="J351" s="54">
        <f t="shared" ca="1" si="38"/>
        <v>383.65775770653852</v>
      </c>
    </row>
    <row r="352" spans="2:10" x14ac:dyDescent="0.25">
      <c r="B352" s="54" t="s">
        <v>442</v>
      </c>
      <c r="C352" s="54" t="s">
        <v>517</v>
      </c>
      <c r="D352" s="248">
        <v>0</v>
      </c>
      <c r="E352">
        <v>21</v>
      </c>
      <c r="F352" t="str">
        <f>IF(ISNUMBER(SEARCH('(3) FCH technology assessment'!$B$114,C352)),E352,"")</f>
        <v/>
      </c>
      <c r="G352" t="str">
        <f t="shared" si="35"/>
        <v/>
      </c>
      <c r="H352" t="s">
        <v>77</v>
      </c>
      <c r="I352" t="str">
        <f t="shared" si="37"/>
        <v>Natural gas turbine (OC) -Marginal abatement cost</v>
      </c>
      <c r="J352" s="54">
        <f t="shared" si="38"/>
        <v>0</v>
      </c>
    </row>
    <row r="353" spans="2:10" x14ac:dyDescent="0.25">
      <c r="B353" s="54" t="s">
        <v>440</v>
      </c>
      <c r="C353" s="54" t="s">
        <v>517</v>
      </c>
      <c r="D353" s="248">
        <v>0</v>
      </c>
      <c r="E353">
        <v>22</v>
      </c>
      <c r="F353" t="str">
        <f>IF(ISNUMBER(SEARCH('(3) FCH technology assessment'!$B$114,C353)),E353,"")</f>
        <v/>
      </c>
      <c r="G353" t="str">
        <f t="shared" si="35"/>
        <v/>
      </c>
      <c r="H353" t="s">
        <v>77</v>
      </c>
      <c r="I353" t="str">
        <f t="shared" si="37"/>
        <v>Natural gas turbine (CC)-Marginal abatement cost</v>
      </c>
      <c r="J353" s="54">
        <f t="shared" si="38"/>
        <v>0</v>
      </c>
    </row>
    <row r="354" spans="2:10" x14ac:dyDescent="0.25">
      <c r="B354" s="54" t="s">
        <v>441</v>
      </c>
      <c r="C354" s="54" t="s">
        <v>517</v>
      </c>
      <c r="D354" s="248">
        <v>0</v>
      </c>
      <c r="E354">
        <v>23</v>
      </c>
      <c r="F354" t="str">
        <f>IF(ISNUMBER(SEARCH('(3) FCH technology assessment'!$B$114,C354)),E354,"")</f>
        <v/>
      </c>
      <c r="G354" t="str">
        <f t="shared" si="35"/>
        <v/>
      </c>
      <c r="H354" t="s">
        <v>77</v>
      </c>
      <c r="I354" t="str">
        <f t="shared" si="37"/>
        <v>Gas engine-Marginal abatement cost</v>
      </c>
      <c r="J354" s="54">
        <f t="shared" si="38"/>
        <v>0</v>
      </c>
    </row>
    <row r="355" spans="2:10" x14ac:dyDescent="0.25">
      <c r="B355" s="54" t="s">
        <v>447</v>
      </c>
      <c r="C355" s="54" t="s">
        <v>517</v>
      </c>
      <c r="D355" s="248">
        <v>0</v>
      </c>
      <c r="E355">
        <v>24</v>
      </c>
      <c r="F355" t="str">
        <f>IF(ISNUMBER(SEARCH('(3) FCH technology assessment'!$B$114,C355)),E355,"")</f>
        <v/>
      </c>
      <c r="G355" t="str">
        <f t="shared" si="35"/>
        <v/>
      </c>
      <c r="H355" t="s">
        <v>77</v>
      </c>
      <c r="I355" t="str">
        <f t="shared" si="37"/>
        <v>Gas-fired District-CHP (power)-Marginal abatement cost</v>
      </c>
      <c r="J355" s="54">
        <f t="shared" si="38"/>
        <v>0</v>
      </c>
    </row>
    <row r="356" spans="2:10" x14ac:dyDescent="0.25">
      <c r="B356" s="63" t="s">
        <v>162</v>
      </c>
      <c r="C356" s="54" t="s">
        <v>218</v>
      </c>
      <c r="D356" s="248">
        <f ca="1">IF(timePeriod="2020-30",'Merit calculation'!BR96,OFFSET('Merit calculation'!BR96,0,2))</f>
        <v>0</v>
      </c>
      <c r="E356">
        <v>25</v>
      </c>
      <c r="F356" t="str">
        <f>IF(ISNUMBER(SEARCH('(3) FCH technology assessment'!$B$114,C356)),E356,"")</f>
        <v/>
      </c>
      <c r="G356" t="str">
        <f t="shared" si="35"/>
        <v/>
      </c>
      <c r="H356" t="s">
        <v>329</v>
      </c>
      <c r="I356" t="str">
        <f t="shared" si="37"/>
        <v>Hydrogen turbine (OC)-CO2 emissions</v>
      </c>
      <c r="J356" s="54">
        <f t="shared" ca="1" si="38"/>
        <v>0</v>
      </c>
    </row>
    <row r="357" spans="2:10" x14ac:dyDescent="0.25">
      <c r="B357" s="63" t="s">
        <v>163</v>
      </c>
      <c r="C357" s="54" t="s">
        <v>218</v>
      </c>
      <c r="D357" s="248">
        <f ca="1">IF(timePeriod="2020-30",'Merit calculation'!BR97,OFFSET('Merit calculation'!BR97,0,2))</f>
        <v>0</v>
      </c>
      <c r="E357">
        <v>26</v>
      </c>
      <c r="F357" t="str">
        <f>IF(ISNUMBER(SEARCH('(3) FCH technology assessment'!$B$114,C357)),E357,"")</f>
        <v/>
      </c>
      <c r="G357" t="str">
        <f t="shared" si="35"/>
        <v/>
      </c>
      <c r="H357" t="s">
        <v>329</v>
      </c>
      <c r="I357" t="str">
        <f t="shared" si="37"/>
        <v>Hydrogen turbine (CC)-CO2 emissions</v>
      </c>
      <c r="J357" s="54">
        <f t="shared" ca="1" si="38"/>
        <v>0</v>
      </c>
    </row>
    <row r="358" spans="2:10" x14ac:dyDescent="0.25">
      <c r="B358" s="63" t="s">
        <v>164</v>
      </c>
      <c r="C358" s="54" t="s">
        <v>218</v>
      </c>
      <c r="D358" s="248">
        <f ca="1">IF(timePeriod="2020-30",'Merit calculation'!BR98,OFFSET('Merit calculation'!BR98,0,2))</f>
        <v>0</v>
      </c>
      <c r="E358">
        <v>27</v>
      </c>
      <c r="F358" t="str">
        <f>IF(ISNUMBER(SEARCH('(3) FCH technology assessment'!$B$114,C358)),E358,"")</f>
        <v/>
      </c>
      <c r="G358" t="str">
        <f t="shared" si="35"/>
        <v/>
      </c>
      <c r="H358" t="s">
        <v>329</v>
      </c>
      <c r="I358" t="str">
        <f t="shared" si="37"/>
        <v>Prime power H2 fuel cell-CO2 emissions</v>
      </c>
      <c r="J358" s="54">
        <f t="shared" ca="1" si="38"/>
        <v>0</v>
      </c>
    </row>
    <row r="359" spans="2:10" x14ac:dyDescent="0.25">
      <c r="B359" s="63" t="s">
        <v>165</v>
      </c>
      <c r="C359" s="54" t="s">
        <v>218</v>
      </c>
      <c r="D359" s="248">
        <f ca="1">IF(timePeriod="2020-30",'Merit calculation'!BR99,OFFSET('Merit calculation'!BR99,0,2))</f>
        <v>0.4297021276595745</v>
      </c>
      <c r="E359">
        <v>28</v>
      </c>
      <c r="F359" t="str">
        <f>IF(ISNUMBER(SEARCH('(3) FCH technology assessment'!$B$114,C359)),E359,"")</f>
        <v/>
      </c>
      <c r="G359" t="str">
        <f t="shared" si="35"/>
        <v/>
      </c>
      <c r="H359" t="s">
        <v>329</v>
      </c>
      <c r="I359" t="str">
        <f t="shared" si="37"/>
        <v>Prime power natural gas fuel cell-CO2 emissions</v>
      </c>
      <c r="J359" s="54">
        <f t="shared" ca="1" si="38"/>
        <v>0.4297021276595745</v>
      </c>
    </row>
    <row r="360" spans="2:10" x14ac:dyDescent="0.25">
      <c r="B360" s="63" t="s">
        <v>547</v>
      </c>
      <c r="C360" s="54" t="s">
        <v>218</v>
      </c>
      <c r="D360" s="248">
        <f ca="1">IF(timePeriod="2020-30",'Merit calculation'!BR100,OFFSET('Merit calculation'!BR100,0,2))</f>
        <v>0</v>
      </c>
      <c r="E360">
        <v>29</v>
      </c>
      <c r="F360" t="str">
        <f>IF(ISNUMBER(SEARCH('(3) FCH technology assessment'!$B$114,C360)),E360,"")</f>
        <v/>
      </c>
      <c r="G360" t="str">
        <f t="shared" si="35"/>
        <v/>
      </c>
      <c r="H360" t="s">
        <v>329</v>
      </c>
      <c r="I360" t="str">
        <f t="shared" si="37"/>
        <v>Micro-CHP with H2 fuel cell (power)-CO2 emissions</v>
      </c>
      <c r="J360" s="54">
        <f t="shared" ca="1" si="38"/>
        <v>0</v>
      </c>
    </row>
    <row r="361" spans="2:10" x14ac:dyDescent="0.25">
      <c r="B361" s="63" t="s">
        <v>548</v>
      </c>
      <c r="C361" s="54" t="s">
        <v>218</v>
      </c>
      <c r="D361" s="248">
        <f ca="1">IF(timePeriod="2020-30",'Merit calculation'!BR101,OFFSET('Merit calculation'!BR101,0,2))</f>
        <v>0.23213793103448277</v>
      </c>
      <c r="E361">
        <v>30</v>
      </c>
      <c r="F361" t="str">
        <f>IF(ISNUMBER(SEARCH('(3) FCH technology assessment'!$B$114,C361)),E361,"")</f>
        <v/>
      </c>
      <c r="G361" t="str">
        <f t="shared" si="35"/>
        <v/>
      </c>
      <c r="H361" t="s">
        <v>329</v>
      </c>
      <c r="I361" t="str">
        <f t="shared" si="37"/>
        <v>Micro-CHP with natural gas fuel cell (power)-CO2 emissions</v>
      </c>
      <c r="J361" s="54">
        <f t="shared" ca="1" si="38"/>
        <v>0.23213793103448277</v>
      </c>
    </row>
    <row r="362" spans="2:10" x14ac:dyDescent="0.25">
      <c r="B362" s="63" t="s">
        <v>549</v>
      </c>
      <c r="C362" s="54" t="s">
        <v>218</v>
      </c>
      <c r="D362" s="248">
        <f ca="1">IF(timePeriod="2020-30",'Merit calculation'!BR102,OFFSET('Merit calculation'!BR102,0,2))</f>
        <v>0</v>
      </c>
      <c r="E362">
        <v>31</v>
      </c>
      <c r="F362" t="str">
        <f>IF(ISNUMBER(SEARCH('(3) FCH technology assessment'!$B$114,C362)),E362,"")</f>
        <v/>
      </c>
      <c r="G362" t="str">
        <f t="shared" si="35"/>
        <v/>
      </c>
      <c r="H362" t="s">
        <v>329</v>
      </c>
      <c r="I362" t="str">
        <f t="shared" si="37"/>
        <v>District-CHP with H2 fuel cell (power)-CO2 emissions</v>
      </c>
      <c r="J362" s="54">
        <f t="shared" ca="1" si="38"/>
        <v>0</v>
      </c>
    </row>
    <row r="363" spans="2:10" x14ac:dyDescent="0.25">
      <c r="B363" s="63" t="s">
        <v>550</v>
      </c>
      <c r="C363" s="54" t="s">
        <v>218</v>
      </c>
      <c r="D363" s="248">
        <f ca="1">IF(timePeriod="2020-30",'Merit calculation'!BR103,OFFSET('Merit calculation'!BR103,0,2))</f>
        <v>0.26573684210526316</v>
      </c>
      <c r="E363">
        <v>32</v>
      </c>
      <c r="F363" t="str">
        <f>IF(ISNUMBER(SEARCH('(3) FCH technology assessment'!$B$114,C363)),E363,"")</f>
        <v/>
      </c>
      <c r="G363" t="str">
        <f t="shared" si="35"/>
        <v/>
      </c>
      <c r="H363" t="s">
        <v>329</v>
      </c>
      <c r="I363" t="str">
        <f t="shared" si="37"/>
        <v>District-CHP with natural gas fuel cell (power)-CO2 emissions</v>
      </c>
      <c r="J363" s="54">
        <f t="shared" ca="1" si="38"/>
        <v>0.26573684210526316</v>
      </c>
    </row>
    <row r="364" spans="2:10" x14ac:dyDescent="0.25">
      <c r="B364" s="54" t="s">
        <v>442</v>
      </c>
      <c r="C364" s="54" t="s">
        <v>218</v>
      </c>
      <c r="D364" s="248">
        <f ca="1">IF(timePeriod="2020-30",'Merit calculation'!BR121,OFFSET('Merit calculation'!BR121,0,2))</f>
        <v>0.44879999999999998</v>
      </c>
      <c r="E364">
        <v>33</v>
      </c>
      <c r="F364" t="str">
        <f>IF(ISNUMBER(SEARCH('(3) FCH technology assessment'!$B$114,C364)),E364,"")</f>
        <v/>
      </c>
      <c r="G364" t="str">
        <f t="shared" si="35"/>
        <v/>
      </c>
      <c r="H364" t="s">
        <v>329</v>
      </c>
      <c r="I364" t="str">
        <f>CONCATENATE(B364,"-",H364)</f>
        <v>Natural gas turbine (OC) -CO2 emissions</v>
      </c>
      <c r="J364" s="54">
        <f ca="1">D364</f>
        <v>0.44879999999999998</v>
      </c>
    </row>
    <row r="365" spans="2:10" x14ac:dyDescent="0.25">
      <c r="B365" s="54" t="s">
        <v>440</v>
      </c>
      <c r="C365" s="54" t="s">
        <v>218</v>
      </c>
      <c r="D365" s="248">
        <f ca="1">IF(timePeriod="2020-30",'Merit calculation'!BR122,OFFSET('Merit calculation'!BR122,0,2))</f>
        <v>0.33108196721311478</v>
      </c>
      <c r="E365">
        <v>34</v>
      </c>
      <c r="F365" t="str">
        <f>IF(ISNUMBER(SEARCH('(3) FCH technology assessment'!$B$114,C365)),E365,"")</f>
        <v/>
      </c>
      <c r="G365" t="str">
        <f t="shared" si="35"/>
        <v/>
      </c>
      <c r="H365" t="s">
        <v>329</v>
      </c>
      <c r="I365" t="str">
        <f>CONCATENATE(B365,"-",H365)</f>
        <v>Natural gas turbine (CC)-CO2 emissions</v>
      </c>
      <c r="J365" s="54">
        <f ca="1">D365</f>
        <v>0.33108196721311478</v>
      </c>
    </row>
    <row r="366" spans="2:10" x14ac:dyDescent="0.25">
      <c r="B366" s="54" t="s">
        <v>441</v>
      </c>
      <c r="C366" s="54" t="s">
        <v>218</v>
      </c>
      <c r="D366" s="248">
        <f ca="1">IF(timePeriod="2020-30",'Merit calculation'!BR123,OFFSET('Merit calculation'!BR123,0,2))</f>
        <v>0.51129113924050629</v>
      </c>
      <c r="E366">
        <v>35</v>
      </c>
      <c r="F366" t="str">
        <f>IF(ISNUMBER(SEARCH('(3) FCH technology assessment'!$B$114,C366)),E366,"")</f>
        <v/>
      </c>
      <c r="G366" t="str">
        <f t="shared" si="35"/>
        <v/>
      </c>
      <c r="H366" t="s">
        <v>329</v>
      </c>
      <c r="I366" t="str">
        <f>CONCATENATE(B366,"-",H366)</f>
        <v>Gas engine-CO2 emissions</v>
      </c>
      <c r="J366" s="54">
        <f ca="1">D366</f>
        <v>0.51129113924050629</v>
      </c>
    </row>
    <row r="367" spans="2:10" x14ac:dyDescent="0.25">
      <c r="B367" s="54" t="s">
        <v>447</v>
      </c>
      <c r="C367" s="54" t="s">
        <v>218</v>
      </c>
      <c r="D367" s="248">
        <f ca="1">IF(timePeriod="2020-30",'Merit calculation'!BR124,OFFSET('Merit calculation'!BR124,0,2))</f>
        <v>0.40799999999999997</v>
      </c>
      <c r="E367">
        <v>36</v>
      </c>
      <c r="F367" t="str">
        <f>IF(ISNUMBER(SEARCH('(3) FCH technology assessment'!$B$114,C367)),E367,"")</f>
        <v/>
      </c>
      <c r="G367" t="str">
        <f t="shared" si="35"/>
        <v/>
      </c>
      <c r="H367" t="s">
        <v>329</v>
      </c>
      <c r="I367" t="str">
        <f>CONCATENATE(B367,"-",H367)</f>
        <v>Gas-fired District-CHP (power)-CO2 emissions</v>
      </c>
      <c r="J367" s="54">
        <f ca="1">D367</f>
        <v>0.40799999999999997</v>
      </c>
    </row>
    <row r="368" spans="2:10" x14ac:dyDescent="0.25">
      <c r="B368" s="63" t="s">
        <v>162</v>
      </c>
      <c r="C368" s="54" t="s">
        <v>212</v>
      </c>
      <c r="D368" s="249">
        <f ca="1">IF(timePeriod="2020-30",'Merit calculation'!BV96,OFFSET('Merit calculation'!BV96,0,2))</f>
        <v>7</v>
      </c>
      <c r="E368">
        <v>37</v>
      </c>
      <c r="F368" t="str">
        <f>IF(ISNUMBER(SEARCH('(3) FCH technology assessment'!$B$114,C368)),E368,"")</f>
        <v/>
      </c>
      <c r="G368" t="str">
        <f t="shared" si="35"/>
        <v/>
      </c>
      <c r="H368" s="54" t="s">
        <v>78</v>
      </c>
      <c r="I368" t="str">
        <f t="shared" ref="I368:I375" si="39">CONCATENATE(B368,"-",H368)</f>
        <v>Hydrogen turbine (OC)-Maturity</v>
      </c>
      <c r="J368" s="54">
        <f t="shared" ref="J368:J375" ca="1" si="40">D368</f>
        <v>7</v>
      </c>
    </row>
    <row r="369" spans="2:10" x14ac:dyDescent="0.25">
      <c r="B369" s="63" t="s">
        <v>163</v>
      </c>
      <c r="C369" s="54" t="s">
        <v>212</v>
      </c>
      <c r="D369" s="249">
        <f ca="1">IF(timePeriod="2020-30",'Merit calculation'!BV97,OFFSET('Merit calculation'!BV97,0,2))</f>
        <v>7</v>
      </c>
      <c r="E369">
        <v>38</v>
      </c>
      <c r="F369" t="str">
        <f>IF(ISNUMBER(SEARCH('(3) FCH technology assessment'!$B$114,C369)),E369,"")</f>
        <v/>
      </c>
      <c r="G369" t="str">
        <f t="shared" si="35"/>
        <v/>
      </c>
      <c r="H369" s="54" t="s">
        <v>78</v>
      </c>
      <c r="I369" t="str">
        <f t="shared" si="39"/>
        <v>Hydrogen turbine (CC)-Maturity</v>
      </c>
      <c r="J369" s="54">
        <f t="shared" ca="1" si="40"/>
        <v>7</v>
      </c>
    </row>
    <row r="370" spans="2:10" x14ac:dyDescent="0.25">
      <c r="B370" s="63" t="s">
        <v>164</v>
      </c>
      <c r="C370" s="54" t="s">
        <v>212</v>
      </c>
      <c r="D370" s="249">
        <f ca="1">IF(timePeriod="2020-30",'Merit calculation'!BV98,OFFSET('Merit calculation'!BV98,0,2))</f>
        <v>9</v>
      </c>
      <c r="E370">
        <v>39</v>
      </c>
      <c r="F370" t="str">
        <f>IF(ISNUMBER(SEARCH('(3) FCH technology assessment'!$B$114,C370)),E370,"")</f>
        <v/>
      </c>
      <c r="G370" t="str">
        <f t="shared" si="35"/>
        <v/>
      </c>
      <c r="H370" s="54" t="s">
        <v>78</v>
      </c>
      <c r="I370" t="str">
        <f t="shared" si="39"/>
        <v>Prime power H2 fuel cell-Maturity</v>
      </c>
      <c r="J370" s="54">
        <f t="shared" ca="1" si="40"/>
        <v>9</v>
      </c>
    </row>
    <row r="371" spans="2:10" x14ac:dyDescent="0.25">
      <c r="B371" s="63" t="s">
        <v>165</v>
      </c>
      <c r="C371" s="54" t="s">
        <v>212</v>
      </c>
      <c r="D371" s="249">
        <f ca="1">IF(timePeriod="2020-30",'Merit calculation'!BV99,OFFSET('Merit calculation'!BV99,0,2))</f>
        <v>9</v>
      </c>
      <c r="E371">
        <v>40</v>
      </c>
      <c r="F371" t="str">
        <f>IF(ISNUMBER(SEARCH('(3) FCH technology assessment'!$B$114,C371)),E371,"")</f>
        <v/>
      </c>
      <c r="G371" t="str">
        <f t="shared" si="35"/>
        <v/>
      </c>
      <c r="H371" s="54" t="s">
        <v>78</v>
      </c>
      <c r="I371" t="str">
        <f t="shared" si="39"/>
        <v>Prime power natural gas fuel cell-Maturity</v>
      </c>
      <c r="J371" s="54">
        <f t="shared" ca="1" si="40"/>
        <v>9</v>
      </c>
    </row>
    <row r="372" spans="2:10" x14ac:dyDescent="0.25">
      <c r="B372" s="63" t="s">
        <v>547</v>
      </c>
      <c r="C372" s="54" t="s">
        <v>212</v>
      </c>
      <c r="D372" s="249">
        <f ca="1">IF(timePeriod="2020-30",'Merit calculation'!BV100,OFFSET('Merit calculation'!BV100,0,2))</f>
        <v>7</v>
      </c>
      <c r="E372">
        <v>41</v>
      </c>
      <c r="F372" t="str">
        <f>IF(ISNUMBER(SEARCH('(3) FCH technology assessment'!$B$114,C372)),E372,"")</f>
        <v/>
      </c>
      <c r="G372" t="str">
        <f t="shared" si="35"/>
        <v/>
      </c>
      <c r="H372" s="54" t="s">
        <v>78</v>
      </c>
      <c r="I372" t="str">
        <f t="shared" si="39"/>
        <v>Micro-CHP with H2 fuel cell (power)-Maturity</v>
      </c>
      <c r="J372" s="54">
        <f t="shared" ca="1" si="40"/>
        <v>7</v>
      </c>
    </row>
    <row r="373" spans="2:10" x14ac:dyDescent="0.25">
      <c r="B373" s="63" t="s">
        <v>548</v>
      </c>
      <c r="C373" s="54" t="s">
        <v>212</v>
      </c>
      <c r="D373" s="249">
        <f ca="1">IF(timePeriod="2020-30",'Merit calculation'!BV101,OFFSET('Merit calculation'!BV101,0,2))</f>
        <v>9</v>
      </c>
      <c r="E373">
        <v>42</v>
      </c>
      <c r="F373" t="str">
        <f>IF(ISNUMBER(SEARCH('(3) FCH technology assessment'!$B$114,C373)),E373,"")</f>
        <v/>
      </c>
      <c r="G373" t="str">
        <f t="shared" si="35"/>
        <v/>
      </c>
      <c r="H373" s="54" t="s">
        <v>78</v>
      </c>
      <c r="I373" t="str">
        <f t="shared" si="39"/>
        <v>Micro-CHP with natural gas fuel cell (power)-Maturity</v>
      </c>
      <c r="J373" s="54">
        <f t="shared" ca="1" si="40"/>
        <v>9</v>
      </c>
    </row>
    <row r="374" spans="2:10" x14ac:dyDescent="0.25">
      <c r="B374" s="63" t="s">
        <v>549</v>
      </c>
      <c r="C374" s="54" t="s">
        <v>212</v>
      </c>
      <c r="D374" s="249">
        <f ca="1">IF(timePeriod="2020-30",'Merit calculation'!BV102,OFFSET('Merit calculation'!BV102,0,2))</f>
        <v>7</v>
      </c>
      <c r="E374">
        <v>43</v>
      </c>
      <c r="F374" t="str">
        <f>IF(ISNUMBER(SEARCH('(3) FCH technology assessment'!$B$114,C374)),E374,"")</f>
        <v/>
      </c>
      <c r="G374" t="str">
        <f t="shared" si="35"/>
        <v/>
      </c>
      <c r="H374" s="54" t="s">
        <v>78</v>
      </c>
      <c r="I374" t="str">
        <f t="shared" si="39"/>
        <v>District-CHP with H2 fuel cell (power)-Maturity</v>
      </c>
      <c r="J374" s="54">
        <f t="shared" ca="1" si="40"/>
        <v>7</v>
      </c>
    </row>
    <row r="375" spans="2:10" x14ac:dyDescent="0.25">
      <c r="B375" s="63" t="s">
        <v>550</v>
      </c>
      <c r="C375" s="54" t="s">
        <v>212</v>
      </c>
      <c r="D375" s="249">
        <f ca="1">IF(timePeriod="2020-30",'Merit calculation'!BV103,OFFSET('Merit calculation'!BV103,0,2))</f>
        <v>9</v>
      </c>
      <c r="E375">
        <v>44</v>
      </c>
      <c r="F375" t="str">
        <f>IF(ISNUMBER(SEARCH('(3) FCH technology assessment'!$B$114,C375)),E375,"")</f>
        <v/>
      </c>
      <c r="G375" t="str">
        <f t="shared" si="35"/>
        <v/>
      </c>
      <c r="H375" s="54" t="s">
        <v>78</v>
      </c>
      <c r="I375" t="str">
        <f t="shared" si="39"/>
        <v>District-CHP with natural gas fuel cell (power)-Maturity</v>
      </c>
      <c r="J375" s="54">
        <f t="shared" ca="1" si="40"/>
        <v>9</v>
      </c>
    </row>
    <row r="376" spans="2:10" x14ac:dyDescent="0.25">
      <c r="B376" s="54" t="s">
        <v>442</v>
      </c>
      <c r="C376" s="54" t="s">
        <v>212</v>
      </c>
      <c r="D376" s="249">
        <f ca="1">IF(timePeriod="2020-30",'Merit calculation'!BV121,OFFSET('Merit calculation'!BV121,0,2))</f>
        <v>9</v>
      </c>
      <c r="E376">
        <v>45</v>
      </c>
      <c r="F376" t="str">
        <f>IF(ISNUMBER(SEARCH('(3) FCH technology assessment'!$B$114,C376)),E376,"")</f>
        <v/>
      </c>
      <c r="G376" t="str">
        <f t="shared" si="35"/>
        <v/>
      </c>
      <c r="H376" s="54" t="s">
        <v>78</v>
      </c>
      <c r="I376" t="str">
        <f>CONCATENATE(B376,"-",H376)</f>
        <v>Natural gas turbine (OC) -Maturity</v>
      </c>
      <c r="J376" s="54">
        <f ca="1">D376</f>
        <v>9</v>
      </c>
    </row>
    <row r="377" spans="2:10" x14ac:dyDescent="0.25">
      <c r="B377" s="54" t="s">
        <v>440</v>
      </c>
      <c r="C377" s="54" t="s">
        <v>212</v>
      </c>
      <c r="D377" s="249">
        <f ca="1">IF(timePeriod="2020-30",'Merit calculation'!BV122,OFFSET('Merit calculation'!BV122,0,2))</f>
        <v>9</v>
      </c>
      <c r="E377">
        <v>46</v>
      </c>
      <c r="F377" t="str">
        <f>IF(ISNUMBER(SEARCH('(3) FCH technology assessment'!$B$114,C377)),E377,"")</f>
        <v/>
      </c>
      <c r="G377" t="str">
        <f t="shared" si="35"/>
        <v/>
      </c>
      <c r="H377" s="54" t="s">
        <v>78</v>
      </c>
      <c r="I377" t="str">
        <f>CONCATENATE(B377,"-",H377)</f>
        <v>Natural gas turbine (CC)-Maturity</v>
      </c>
      <c r="J377" s="54">
        <f ca="1">D377</f>
        <v>9</v>
      </c>
    </row>
    <row r="378" spans="2:10" x14ac:dyDescent="0.25">
      <c r="B378" s="54" t="s">
        <v>441</v>
      </c>
      <c r="C378" s="54" t="s">
        <v>212</v>
      </c>
      <c r="D378" s="249">
        <f ca="1">IF(timePeriod="2020-30",'Merit calculation'!BV123,OFFSET('Merit calculation'!BV123,0,2))</f>
        <v>9</v>
      </c>
      <c r="E378">
        <v>47</v>
      </c>
      <c r="F378" t="str">
        <f>IF(ISNUMBER(SEARCH('(3) FCH technology assessment'!$B$114,C378)),E378,"")</f>
        <v/>
      </c>
      <c r="G378" t="str">
        <f t="shared" si="35"/>
        <v/>
      </c>
      <c r="H378" s="54" t="s">
        <v>78</v>
      </c>
      <c r="I378" t="str">
        <f>CONCATENATE(B378,"-",H378)</f>
        <v>Gas engine-Maturity</v>
      </c>
      <c r="J378" s="54">
        <f ca="1">D378</f>
        <v>9</v>
      </c>
    </row>
    <row r="379" spans="2:10" x14ac:dyDescent="0.25">
      <c r="B379" s="54" t="s">
        <v>447</v>
      </c>
      <c r="C379" s="54" t="s">
        <v>212</v>
      </c>
      <c r="D379" s="249">
        <f ca="1">IF(timePeriod="2020-30",'Merit calculation'!BV124,OFFSET('Merit calculation'!BV124,0,2))</f>
        <v>9</v>
      </c>
      <c r="E379">
        <v>48</v>
      </c>
      <c r="F379" t="str">
        <f>IF(ISNUMBER(SEARCH('(3) FCH technology assessment'!$B$114,C379)),E379,"")</f>
        <v/>
      </c>
      <c r="G379" t="str">
        <f t="shared" si="35"/>
        <v/>
      </c>
      <c r="H379" s="54" t="s">
        <v>78</v>
      </c>
      <c r="I379" t="str">
        <f>CONCATENATE(B379,"-",H379)</f>
        <v>Gas-fired District-CHP (power)-Maturity</v>
      </c>
      <c r="J379" s="54">
        <f ca="1">D379</f>
        <v>9</v>
      </c>
    </row>
    <row r="380" spans="2:10" x14ac:dyDescent="0.25">
      <c r="B380" s="63" t="s">
        <v>162</v>
      </c>
      <c r="C380" s="54" t="s">
        <v>540</v>
      </c>
      <c r="D380" s="249">
        <f ca="1">IF(timePeriod="2020-30",'Merit calculation'!CD96,OFFSET('Merit calculation'!CD96,0,2))</f>
        <v>50</v>
      </c>
      <c r="E380">
        <v>49</v>
      </c>
      <c r="F380" t="str">
        <f>IF(ISNUMBER(SEARCH('(3) FCH technology assessment'!$B$114,C380)),E380,"")</f>
        <v/>
      </c>
      <c r="G380" t="str">
        <f t="shared" si="35"/>
        <v/>
      </c>
      <c r="H380" s="54" t="s">
        <v>534</v>
      </c>
      <c r="I380" t="str">
        <f t="shared" ref="I380:I387" si="41">CONCATENATE(B380,"-",H380)</f>
        <v>Hydrogen turbine (OC)-Regulatory coverage</v>
      </c>
      <c r="J380" s="54">
        <f t="shared" ref="J380:J387" ca="1" si="42">D380</f>
        <v>50</v>
      </c>
    </row>
    <row r="381" spans="2:10" x14ac:dyDescent="0.25">
      <c r="B381" s="63" t="s">
        <v>163</v>
      </c>
      <c r="C381" s="54" t="s">
        <v>540</v>
      </c>
      <c r="D381" s="249">
        <f ca="1">IF(timePeriod="2020-30",'Merit calculation'!CD97,OFFSET('Merit calculation'!CD97,0,2))</f>
        <v>50</v>
      </c>
      <c r="E381">
        <v>50</v>
      </c>
      <c r="F381" t="str">
        <f>IF(ISNUMBER(SEARCH('(3) FCH technology assessment'!$B$114,C381)),E381,"")</f>
        <v/>
      </c>
      <c r="G381" t="str">
        <f t="shared" si="35"/>
        <v/>
      </c>
      <c r="H381" s="54" t="s">
        <v>534</v>
      </c>
      <c r="I381" t="str">
        <f t="shared" si="41"/>
        <v>Hydrogen turbine (CC)-Regulatory coverage</v>
      </c>
      <c r="J381" s="54">
        <f t="shared" ca="1" si="42"/>
        <v>50</v>
      </c>
    </row>
    <row r="382" spans="2:10" x14ac:dyDescent="0.25">
      <c r="B382" s="63" t="s">
        <v>164</v>
      </c>
      <c r="C382" s="54" t="s">
        <v>540</v>
      </c>
      <c r="D382" s="249">
        <f ca="1">IF(timePeriod="2020-30",'Merit calculation'!CD98,OFFSET('Merit calculation'!CD98,0,2))</f>
        <v>100</v>
      </c>
      <c r="E382">
        <v>51</v>
      </c>
      <c r="F382" t="str">
        <f>IF(ISNUMBER(SEARCH('(3) FCH technology assessment'!$B$114,C382)),E382,"")</f>
        <v/>
      </c>
      <c r="G382" t="str">
        <f t="shared" si="35"/>
        <v/>
      </c>
      <c r="H382" s="54" t="s">
        <v>534</v>
      </c>
      <c r="I382" t="str">
        <f t="shared" si="41"/>
        <v>Prime power H2 fuel cell-Regulatory coverage</v>
      </c>
      <c r="J382" s="54">
        <f t="shared" ca="1" si="42"/>
        <v>100</v>
      </c>
    </row>
    <row r="383" spans="2:10" x14ac:dyDescent="0.25">
      <c r="B383" s="63" t="s">
        <v>165</v>
      </c>
      <c r="C383" s="54" t="s">
        <v>540</v>
      </c>
      <c r="D383" s="249">
        <f ca="1">IF(timePeriod="2020-30",'Merit calculation'!CD99,OFFSET('Merit calculation'!CD99,0,2))</f>
        <v>100</v>
      </c>
      <c r="E383">
        <v>52</v>
      </c>
      <c r="F383" t="str">
        <f>IF(ISNUMBER(SEARCH('(3) FCH technology assessment'!$B$114,C383)),E383,"")</f>
        <v/>
      </c>
      <c r="G383" t="str">
        <f t="shared" si="35"/>
        <v/>
      </c>
      <c r="H383" s="54" t="s">
        <v>534</v>
      </c>
      <c r="I383" t="str">
        <f t="shared" si="41"/>
        <v>Prime power natural gas fuel cell-Regulatory coverage</v>
      </c>
      <c r="J383" s="54">
        <f t="shared" ca="1" si="42"/>
        <v>100</v>
      </c>
    </row>
    <row r="384" spans="2:10" x14ac:dyDescent="0.25">
      <c r="B384" s="63" t="s">
        <v>547</v>
      </c>
      <c r="C384" s="54" t="s">
        <v>540</v>
      </c>
      <c r="D384" s="249">
        <f ca="1">IF(timePeriod="2020-30",'Merit calculation'!CD100,OFFSET('Merit calculation'!CD100,0,2))</f>
        <v>100</v>
      </c>
      <c r="E384">
        <v>53</v>
      </c>
      <c r="F384" t="str">
        <f>IF(ISNUMBER(SEARCH('(3) FCH technology assessment'!$B$114,C384)),E384,"")</f>
        <v/>
      </c>
      <c r="G384" t="str">
        <f t="shared" si="35"/>
        <v/>
      </c>
      <c r="H384" s="54" t="s">
        <v>534</v>
      </c>
      <c r="I384" t="str">
        <f t="shared" si="41"/>
        <v>Micro-CHP with H2 fuel cell (power)-Regulatory coverage</v>
      </c>
      <c r="J384" s="54">
        <f t="shared" ca="1" si="42"/>
        <v>100</v>
      </c>
    </row>
    <row r="385" spans="2:10" x14ac:dyDescent="0.25">
      <c r="B385" s="63" t="s">
        <v>548</v>
      </c>
      <c r="C385" s="54" t="s">
        <v>540</v>
      </c>
      <c r="D385" s="249">
        <f ca="1">IF(timePeriod="2020-30",'Merit calculation'!CD101,OFFSET('Merit calculation'!CD101,0,2))</f>
        <v>100</v>
      </c>
      <c r="E385">
        <v>54</v>
      </c>
      <c r="F385" t="str">
        <f>IF(ISNUMBER(SEARCH('(3) FCH technology assessment'!$B$114,C385)),E385,"")</f>
        <v/>
      </c>
      <c r="G385" t="str">
        <f t="shared" si="35"/>
        <v/>
      </c>
      <c r="H385" s="54" t="s">
        <v>534</v>
      </c>
      <c r="I385" t="str">
        <f t="shared" si="41"/>
        <v>Micro-CHP with natural gas fuel cell (power)-Regulatory coverage</v>
      </c>
      <c r="J385" s="54">
        <f t="shared" ca="1" si="42"/>
        <v>100</v>
      </c>
    </row>
    <row r="386" spans="2:10" x14ac:dyDescent="0.25">
      <c r="B386" s="63" t="s">
        <v>549</v>
      </c>
      <c r="C386" s="54" t="s">
        <v>540</v>
      </c>
      <c r="D386" s="249">
        <f ca="1">IF(timePeriod="2020-30",'Merit calculation'!CD102,OFFSET('Merit calculation'!CD102,0,2))</f>
        <v>100</v>
      </c>
      <c r="E386">
        <v>55</v>
      </c>
      <c r="F386" t="str">
        <f>IF(ISNUMBER(SEARCH('(3) FCH technology assessment'!$B$114,C386)),E386,"")</f>
        <v/>
      </c>
      <c r="G386" t="str">
        <f t="shared" si="35"/>
        <v/>
      </c>
      <c r="H386" s="54" t="s">
        <v>534</v>
      </c>
      <c r="I386" t="str">
        <f t="shared" si="41"/>
        <v>District-CHP with H2 fuel cell (power)-Regulatory coverage</v>
      </c>
      <c r="J386" s="54">
        <f t="shared" ca="1" si="42"/>
        <v>100</v>
      </c>
    </row>
    <row r="387" spans="2:10" x14ac:dyDescent="0.25">
      <c r="B387" s="63" t="s">
        <v>550</v>
      </c>
      <c r="C387" s="54" t="s">
        <v>540</v>
      </c>
      <c r="D387" s="249">
        <f ca="1">IF(timePeriod="2020-30",'Merit calculation'!CD103,OFFSET('Merit calculation'!CD103,0,2))</f>
        <v>100</v>
      </c>
      <c r="E387">
        <v>56</v>
      </c>
      <c r="F387" t="str">
        <f>IF(ISNUMBER(SEARCH('(3) FCH technology assessment'!$B$114,C387)),E387,"")</f>
        <v/>
      </c>
      <c r="G387" t="str">
        <f t="shared" si="35"/>
        <v/>
      </c>
      <c r="H387" s="54" t="s">
        <v>534</v>
      </c>
      <c r="I387" t="str">
        <f t="shared" si="41"/>
        <v>District-CHP with natural gas fuel cell (power)-Regulatory coverage</v>
      </c>
      <c r="J387" s="54">
        <f t="shared" ca="1" si="42"/>
        <v>100</v>
      </c>
    </row>
    <row r="388" spans="2:10" x14ac:dyDescent="0.25">
      <c r="B388" s="54" t="s">
        <v>442</v>
      </c>
      <c r="C388" s="54" t="s">
        <v>540</v>
      </c>
      <c r="D388" s="249">
        <f ca="1">IF(timePeriod="2020-30",'Merit calculation'!CD121,OFFSET('Merit calculation'!CD121,0,2))</f>
        <v>100</v>
      </c>
      <c r="E388">
        <v>57</v>
      </c>
      <c r="F388" t="str">
        <f>IF(ISNUMBER(SEARCH('(3) FCH technology assessment'!$B$114,C388)),E388,"")</f>
        <v/>
      </c>
      <c r="G388" t="str">
        <f t="shared" si="35"/>
        <v/>
      </c>
      <c r="H388" s="54" t="s">
        <v>534</v>
      </c>
      <c r="I388" t="str">
        <f>CONCATENATE(B388,"-",H388)</f>
        <v>Natural gas turbine (OC) -Regulatory coverage</v>
      </c>
      <c r="J388" s="54">
        <f ca="1">D388</f>
        <v>100</v>
      </c>
    </row>
    <row r="389" spans="2:10" x14ac:dyDescent="0.25">
      <c r="B389" s="54" t="s">
        <v>440</v>
      </c>
      <c r="C389" s="54" t="s">
        <v>540</v>
      </c>
      <c r="D389" s="249">
        <f ca="1">IF(timePeriod="2020-30",'Merit calculation'!CD122,OFFSET('Merit calculation'!CD122,0,2))</f>
        <v>100</v>
      </c>
      <c r="E389">
        <v>58</v>
      </c>
      <c r="F389" t="str">
        <f>IF(ISNUMBER(SEARCH('(3) FCH technology assessment'!$B$114,C389)),E389,"")</f>
        <v/>
      </c>
      <c r="G389" t="str">
        <f t="shared" si="35"/>
        <v/>
      </c>
      <c r="H389" s="54" t="s">
        <v>534</v>
      </c>
      <c r="I389" t="str">
        <f>CONCATENATE(B389,"-",H389)</f>
        <v>Natural gas turbine (CC)-Regulatory coverage</v>
      </c>
      <c r="J389" s="54">
        <f ca="1">D389</f>
        <v>100</v>
      </c>
    </row>
    <row r="390" spans="2:10" x14ac:dyDescent="0.25">
      <c r="B390" s="54" t="s">
        <v>441</v>
      </c>
      <c r="C390" s="54" t="s">
        <v>540</v>
      </c>
      <c r="D390" s="249">
        <f ca="1">IF(timePeriod="2020-30",'Merit calculation'!CD123,OFFSET('Merit calculation'!CD123,0,2))</f>
        <v>100</v>
      </c>
      <c r="E390">
        <v>59</v>
      </c>
      <c r="F390" t="str">
        <f>IF(ISNUMBER(SEARCH('(3) FCH technology assessment'!$B$114,C390)),E390,"")</f>
        <v/>
      </c>
      <c r="G390" t="str">
        <f t="shared" si="35"/>
        <v/>
      </c>
      <c r="H390" s="54" t="s">
        <v>534</v>
      </c>
      <c r="I390" t="str">
        <f>CONCATENATE(B390,"-",H390)</f>
        <v>Gas engine-Regulatory coverage</v>
      </c>
      <c r="J390" s="54">
        <f ca="1">D390</f>
        <v>100</v>
      </c>
    </row>
    <row r="391" spans="2:10" x14ac:dyDescent="0.25">
      <c r="B391" s="54" t="s">
        <v>447</v>
      </c>
      <c r="C391" s="54" t="s">
        <v>540</v>
      </c>
      <c r="D391" s="249">
        <f ca="1">IF(timePeriod="2020-30",'Merit calculation'!CD124,OFFSET('Merit calculation'!CD124,0,2))</f>
        <v>100</v>
      </c>
      <c r="E391">
        <v>60</v>
      </c>
      <c r="F391" t="str">
        <f>IF(ISNUMBER(SEARCH('(3) FCH technology assessment'!$B$114,C391)),E391,"")</f>
        <v/>
      </c>
      <c r="G391" t="str">
        <f t="shared" si="35"/>
        <v/>
      </c>
      <c r="H391" s="54" t="s">
        <v>534</v>
      </c>
      <c r="I391" t="str">
        <f>CONCATENATE(B391,"-",H391)</f>
        <v>Gas-fired District-CHP (power)-Regulatory coverage</v>
      </c>
      <c r="J391" s="54">
        <f ca="1">D391</f>
        <v>100</v>
      </c>
    </row>
    <row r="392" spans="2:10" x14ac:dyDescent="0.25">
      <c r="B392" s="63" t="s">
        <v>162</v>
      </c>
      <c r="C392" s="443" t="s">
        <v>515</v>
      </c>
      <c r="D392" s="249">
        <f ca="1">IF(timePeriod="2020-30",'Merit calculation'!CH96,OFFSET('Merit calculation'!CH96,0,2))</f>
        <v>80</v>
      </c>
      <c r="E392">
        <v>61</v>
      </c>
      <c r="F392" t="str">
        <f>IF(ISNUMBER(SEARCH('(3) FCH technology assessment'!$B$114,C392)),E392,"")</f>
        <v/>
      </c>
      <c r="G392" t="str">
        <f t="shared" si="35"/>
        <v/>
      </c>
      <c r="H392" s="54" t="s">
        <v>82</v>
      </c>
      <c r="I392" t="str">
        <f t="shared" ref="I392:I399" si="43">CONCATENATE(B392,"-",H392)</f>
        <v>Hydrogen turbine (OC)-Public acceptability</v>
      </c>
      <c r="J392" s="54">
        <f t="shared" ref="J392:J399" ca="1" si="44">D392</f>
        <v>80</v>
      </c>
    </row>
    <row r="393" spans="2:10" x14ac:dyDescent="0.25">
      <c r="B393" s="63" t="s">
        <v>163</v>
      </c>
      <c r="C393" s="443" t="s">
        <v>515</v>
      </c>
      <c r="D393" s="249">
        <f ca="1">IF(timePeriod="2020-30",'Merit calculation'!CH97,OFFSET('Merit calculation'!CH97,0,2))</f>
        <v>80</v>
      </c>
      <c r="E393">
        <v>62</v>
      </c>
      <c r="F393" t="str">
        <f>IF(ISNUMBER(SEARCH('(3) FCH technology assessment'!$B$114,C393)),E393,"")</f>
        <v/>
      </c>
      <c r="G393" t="str">
        <f t="shared" si="35"/>
        <v/>
      </c>
      <c r="H393" s="54" t="s">
        <v>82</v>
      </c>
      <c r="I393" t="str">
        <f t="shared" si="43"/>
        <v>Hydrogen turbine (CC)-Public acceptability</v>
      </c>
      <c r="J393" s="54">
        <f t="shared" ca="1" si="44"/>
        <v>80</v>
      </c>
    </row>
    <row r="394" spans="2:10" x14ac:dyDescent="0.25">
      <c r="B394" s="63" t="s">
        <v>164</v>
      </c>
      <c r="C394" s="443" t="s">
        <v>515</v>
      </c>
      <c r="D394" s="249">
        <f ca="1">IF(timePeriod="2020-30",'Merit calculation'!CH98,OFFSET('Merit calculation'!CH98,0,2))</f>
        <v>80</v>
      </c>
      <c r="E394">
        <v>63</v>
      </c>
      <c r="F394" t="str">
        <f>IF(ISNUMBER(SEARCH('(3) FCH technology assessment'!$B$114,C394)),E394,"")</f>
        <v/>
      </c>
      <c r="G394" t="str">
        <f t="shared" si="35"/>
        <v/>
      </c>
      <c r="H394" s="54" t="s">
        <v>82</v>
      </c>
      <c r="I394" t="str">
        <f t="shared" si="43"/>
        <v>Prime power H2 fuel cell-Public acceptability</v>
      </c>
      <c r="J394" s="54">
        <f t="shared" ca="1" si="44"/>
        <v>80</v>
      </c>
    </row>
    <row r="395" spans="2:10" x14ac:dyDescent="0.25">
      <c r="B395" s="63" t="s">
        <v>165</v>
      </c>
      <c r="C395" s="443" t="s">
        <v>515</v>
      </c>
      <c r="D395" s="249">
        <f ca="1">IF(timePeriod="2020-30",'Merit calculation'!CH99,OFFSET('Merit calculation'!CH99,0,2))</f>
        <v>80</v>
      </c>
      <c r="E395">
        <v>64</v>
      </c>
      <c r="F395" t="str">
        <f>IF(ISNUMBER(SEARCH('(3) FCH technology assessment'!$B$114,C395)),E395,"")</f>
        <v/>
      </c>
      <c r="G395" t="str">
        <f t="shared" si="35"/>
        <v/>
      </c>
      <c r="H395" s="54" t="s">
        <v>82</v>
      </c>
      <c r="I395" t="str">
        <f t="shared" si="43"/>
        <v>Prime power natural gas fuel cell-Public acceptability</v>
      </c>
      <c r="J395" s="54">
        <f t="shared" ca="1" si="44"/>
        <v>80</v>
      </c>
    </row>
    <row r="396" spans="2:10" x14ac:dyDescent="0.25">
      <c r="B396" s="63" t="s">
        <v>547</v>
      </c>
      <c r="C396" s="443" t="s">
        <v>515</v>
      </c>
      <c r="D396" s="249">
        <f ca="1">IF(timePeriod="2020-30",'Merit calculation'!CH100,OFFSET('Merit calculation'!CH100,0,2))</f>
        <v>80</v>
      </c>
      <c r="E396">
        <v>65</v>
      </c>
      <c r="F396" t="str">
        <f>IF(ISNUMBER(SEARCH('(3) FCH technology assessment'!$B$114,C396)),E396,"")</f>
        <v/>
      </c>
      <c r="G396" t="str">
        <f t="shared" si="35"/>
        <v/>
      </c>
      <c r="H396" s="54" t="s">
        <v>82</v>
      </c>
      <c r="I396" t="str">
        <f t="shared" si="43"/>
        <v>Micro-CHP with H2 fuel cell (power)-Public acceptability</v>
      </c>
      <c r="J396" s="54">
        <f t="shared" ca="1" si="44"/>
        <v>80</v>
      </c>
    </row>
    <row r="397" spans="2:10" x14ac:dyDescent="0.25">
      <c r="B397" s="63" t="s">
        <v>548</v>
      </c>
      <c r="C397" s="443" t="s">
        <v>515</v>
      </c>
      <c r="D397" s="249">
        <f ca="1">IF(timePeriod="2020-30",'Merit calculation'!CH101,OFFSET('Merit calculation'!CH101,0,2))</f>
        <v>80</v>
      </c>
      <c r="E397">
        <v>66</v>
      </c>
      <c r="F397" t="str">
        <f>IF(ISNUMBER(SEARCH('(3) FCH technology assessment'!$B$114,C397)),E397,"")</f>
        <v/>
      </c>
      <c r="G397" t="str">
        <f t="shared" ref="G397:G403" si="45">IFERROR(SMALL($F$332:$F$403,E397),"")</f>
        <v/>
      </c>
      <c r="H397" s="54" t="s">
        <v>82</v>
      </c>
      <c r="I397" t="str">
        <f t="shared" si="43"/>
        <v>Micro-CHP with natural gas fuel cell (power)-Public acceptability</v>
      </c>
      <c r="J397" s="54">
        <f t="shared" ca="1" si="44"/>
        <v>80</v>
      </c>
    </row>
    <row r="398" spans="2:10" x14ac:dyDescent="0.25">
      <c r="B398" s="63" t="s">
        <v>549</v>
      </c>
      <c r="C398" s="443" t="s">
        <v>515</v>
      </c>
      <c r="D398" s="249">
        <f ca="1">IF(timePeriod="2020-30",'Merit calculation'!CH102,OFFSET('Merit calculation'!CH102,0,2))</f>
        <v>80</v>
      </c>
      <c r="E398">
        <v>67</v>
      </c>
      <c r="F398" t="str">
        <f>IF(ISNUMBER(SEARCH('(3) FCH technology assessment'!$B$114,C398)),E398,"")</f>
        <v/>
      </c>
      <c r="G398" t="str">
        <f t="shared" si="45"/>
        <v/>
      </c>
      <c r="H398" s="54" t="s">
        <v>82</v>
      </c>
      <c r="I398" t="str">
        <f t="shared" si="43"/>
        <v>District-CHP with H2 fuel cell (power)-Public acceptability</v>
      </c>
      <c r="J398" s="54">
        <f t="shared" ca="1" si="44"/>
        <v>80</v>
      </c>
    </row>
    <row r="399" spans="2:10" x14ac:dyDescent="0.25">
      <c r="B399" s="63" t="s">
        <v>550</v>
      </c>
      <c r="C399" s="443" t="s">
        <v>515</v>
      </c>
      <c r="D399" s="249">
        <f ca="1">IF(timePeriod="2020-30",'Merit calculation'!CH103,OFFSET('Merit calculation'!CH103,0,2))</f>
        <v>80</v>
      </c>
      <c r="E399">
        <v>68</v>
      </c>
      <c r="F399" t="str">
        <f>IF(ISNUMBER(SEARCH('(3) FCH technology assessment'!$B$114,C399)),E399,"")</f>
        <v/>
      </c>
      <c r="G399" t="str">
        <f t="shared" si="45"/>
        <v/>
      </c>
      <c r="H399" s="54" t="s">
        <v>82</v>
      </c>
      <c r="I399" t="str">
        <f t="shared" si="43"/>
        <v>District-CHP with natural gas fuel cell (power)-Public acceptability</v>
      </c>
      <c r="J399" s="54">
        <f t="shared" ca="1" si="44"/>
        <v>80</v>
      </c>
    </row>
    <row r="400" spans="2:10" x14ac:dyDescent="0.25">
      <c r="B400" s="54" t="s">
        <v>442</v>
      </c>
      <c r="C400" s="443" t="s">
        <v>515</v>
      </c>
      <c r="D400" s="249">
        <f ca="1">IF(timePeriod="2020-30",'Merit calculation'!CH121,OFFSET('Merit calculation'!CH121,0,2))</f>
        <v>100</v>
      </c>
      <c r="E400">
        <v>69</v>
      </c>
      <c r="F400" t="str">
        <f>IF(ISNUMBER(SEARCH('(3) FCH technology assessment'!$B$114,C400)),E400,"")</f>
        <v/>
      </c>
      <c r="G400" t="str">
        <f t="shared" si="45"/>
        <v/>
      </c>
      <c r="H400" s="54" t="s">
        <v>82</v>
      </c>
      <c r="I400" t="str">
        <f>CONCATENATE(B400,"-",H400)</f>
        <v>Natural gas turbine (OC) -Public acceptability</v>
      </c>
      <c r="J400" s="54">
        <f ca="1">D400</f>
        <v>100</v>
      </c>
    </row>
    <row r="401" spans="2:10" x14ac:dyDescent="0.25">
      <c r="B401" s="54" t="s">
        <v>440</v>
      </c>
      <c r="C401" s="443" t="s">
        <v>515</v>
      </c>
      <c r="D401" s="249">
        <f ca="1">IF(timePeriod="2020-30",'Merit calculation'!CH122,OFFSET('Merit calculation'!CH122,0,2))</f>
        <v>100</v>
      </c>
      <c r="E401">
        <v>70</v>
      </c>
      <c r="F401" t="str">
        <f>IF(ISNUMBER(SEARCH('(3) FCH technology assessment'!$B$114,C401)),E401,"")</f>
        <v/>
      </c>
      <c r="G401" t="str">
        <f t="shared" si="45"/>
        <v/>
      </c>
      <c r="H401" s="54" t="s">
        <v>82</v>
      </c>
      <c r="I401" t="str">
        <f>CONCATENATE(B401,"-",H401)</f>
        <v>Natural gas turbine (CC)-Public acceptability</v>
      </c>
      <c r="J401" s="54">
        <f ca="1">D401</f>
        <v>100</v>
      </c>
    </row>
    <row r="402" spans="2:10" x14ac:dyDescent="0.25">
      <c r="B402" s="54" t="s">
        <v>441</v>
      </c>
      <c r="C402" s="443" t="s">
        <v>515</v>
      </c>
      <c r="D402" s="249">
        <f ca="1">IF(timePeriod="2020-30",'Merit calculation'!CH123,OFFSET('Merit calculation'!CH123,0,2))</f>
        <v>100</v>
      </c>
      <c r="E402">
        <v>71</v>
      </c>
      <c r="F402" t="str">
        <f>IF(ISNUMBER(SEARCH('(3) FCH technology assessment'!$B$114,C402)),E402,"")</f>
        <v/>
      </c>
      <c r="G402" t="str">
        <f t="shared" si="45"/>
        <v/>
      </c>
      <c r="H402" s="54" t="s">
        <v>82</v>
      </c>
      <c r="I402" t="str">
        <f>CONCATENATE(B402,"-",H402)</f>
        <v>Gas engine-Public acceptability</v>
      </c>
      <c r="J402" s="54">
        <f ca="1">D402</f>
        <v>100</v>
      </c>
    </row>
    <row r="403" spans="2:10" x14ac:dyDescent="0.25">
      <c r="B403" s="54" t="s">
        <v>447</v>
      </c>
      <c r="C403" s="443" t="s">
        <v>515</v>
      </c>
      <c r="D403" s="249">
        <f ca="1">IF(timePeriod="2020-30",'Merit calculation'!CH124,OFFSET('Merit calculation'!CH124,0,2))</f>
        <v>100</v>
      </c>
      <c r="E403">
        <v>72</v>
      </c>
      <c r="F403" t="str">
        <f>IF(ISNUMBER(SEARCH('(3) FCH technology assessment'!$B$114,C403)),E403,"")</f>
        <v/>
      </c>
      <c r="G403" t="str">
        <f t="shared" si="45"/>
        <v/>
      </c>
      <c r="H403" s="54" t="s">
        <v>82</v>
      </c>
      <c r="I403" t="str">
        <f>CONCATENATE(B403,"-",H403)</f>
        <v>Gas-fired District-CHP (power)-Public acceptability</v>
      </c>
      <c r="J403" s="54">
        <f ca="1">D403</f>
        <v>100</v>
      </c>
    </row>
  </sheetData>
  <dataValidations count="1">
    <dataValidation type="list" allowBlank="1" showInputMessage="1" showErrorMessage="1" sqref="G83:G84 G109:G110 G143:G144 G197:G198 G275:G276 G329:G330">
      <formula1>$B$39:$B$40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AN1991"/>
  <sheetViews>
    <sheetView zoomScale="70" zoomScaleNormal="70" workbookViewId="0">
      <selection activeCell="B2" sqref="B2"/>
    </sheetView>
  </sheetViews>
  <sheetFormatPr defaultColWidth="9.140625" defaultRowHeight="15" x14ac:dyDescent="0.25"/>
  <cols>
    <col min="3" max="3" width="49.5703125" bestFit="1" customWidth="1"/>
    <col min="7" max="7" width="9.140625" customWidth="1"/>
  </cols>
  <sheetData>
    <row r="2" spans="1:40" ht="31.5" x14ac:dyDescent="0.5">
      <c r="A2" s="242"/>
      <c r="B2" s="242" t="s">
        <v>402</v>
      </c>
      <c r="C2" s="242"/>
      <c r="D2" s="242"/>
      <c r="E2" s="243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376"/>
      <c r="AA2" s="242"/>
      <c r="AB2" s="242"/>
      <c r="AC2" s="242"/>
      <c r="AD2" s="242"/>
      <c r="AE2" s="242"/>
    </row>
    <row r="3" spans="1:40" x14ac:dyDescent="0.25">
      <c r="Z3" s="67"/>
      <c r="AC3" s="25"/>
    </row>
    <row r="4" spans="1:40" x14ac:dyDescent="0.25">
      <c r="Z4" s="67"/>
      <c r="AC4" s="25"/>
    </row>
    <row r="5" spans="1:40" x14ac:dyDescent="0.25">
      <c r="B5" s="377"/>
      <c r="C5" s="264"/>
      <c r="D5" s="483" t="s">
        <v>403</v>
      </c>
      <c r="E5" s="484"/>
      <c r="F5" s="484"/>
      <c r="G5" s="484"/>
      <c r="H5" s="378"/>
      <c r="I5" s="483" t="s">
        <v>404</v>
      </c>
      <c r="J5" s="486"/>
      <c r="K5" s="486"/>
      <c r="L5" s="486"/>
      <c r="M5" s="486"/>
      <c r="N5" s="486"/>
      <c r="O5" s="487"/>
      <c r="P5" s="483" t="s">
        <v>405</v>
      </c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486"/>
      <c r="AG5" s="486"/>
      <c r="AH5" s="486"/>
      <c r="AI5" s="487"/>
      <c r="AJ5" s="483" t="s">
        <v>406</v>
      </c>
      <c r="AK5" s="484"/>
      <c r="AL5" s="484"/>
      <c r="AM5" s="485"/>
      <c r="AN5" s="379"/>
    </row>
    <row r="6" spans="1:40" ht="135" x14ac:dyDescent="0.25">
      <c r="B6" s="380"/>
      <c r="C6" s="381" t="s">
        <v>407</v>
      </c>
      <c r="D6" s="382" t="s">
        <v>62</v>
      </c>
      <c r="E6" s="383" t="s">
        <v>155</v>
      </c>
      <c r="F6" s="383" t="s">
        <v>130</v>
      </c>
      <c r="G6" s="383" t="s">
        <v>63</v>
      </c>
      <c r="H6" s="384" t="s">
        <v>177</v>
      </c>
      <c r="I6" s="385" t="s">
        <v>128</v>
      </c>
      <c r="J6" s="386" t="s">
        <v>157</v>
      </c>
      <c r="K6" s="386" t="s">
        <v>122</v>
      </c>
      <c r="L6" s="386" t="s">
        <v>116</v>
      </c>
      <c r="M6" s="386" t="s">
        <v>65</v>
      </c>
      <c r="N6" s="387" t="s">
        <v>66</v>
      </c>
      <c r="O6" s="388" t="s">
        <v>180</v>
      </c>
      <c r="P6" s="382" t="s">
        <v>570</v>
      </c>
      <c r="Q6" s="383" t="s">
        <v>543</v>
      </c>
      <c r="R6" s="383" t="s">
        <v>553</v>
      </c>
      <c r="S6" s="383" t="s">
        <v>552</v>
      </c>
      <c r="T6" s="383" t="s">
        <v>554</v>
      </c>
      <c r="U6" s="383" t="s">
        <v>443</v>
      </c>
      <c r="V6" s="383" t="s">
        <v>444</v>
      </c>
      <c r="W6" s="383" t="s">
        <v>446</v>
      </c>
      <c r="X6" s="383" t="s">
        <v>162</v>
      </c>
      <c r="Y6" s="383" t="s">
        <v>163</v>
      </c>
      <c r="Z6" s="383" t="s">
        <v>164</v>
      </c>
      <c r="AA6" s="383" t="s">
        <v>165</v>
      </c>
      <c r="AB6" s="383" t="s">
        <v>555</v>
      </c>
      <c r="AC6" s="383" t="s">
        <v>556</v>
      </c>
      <c r="AD6" s="383" t="s">
        <v>549</v>
      </c>
      <c r="AE6" s="383" t="s">
        <v>550</v>
      </c>
      <c r="AF6" s="383" t="s">
        <v>442</v>
      </c>
      <c r="AG6" s="383" t="s">
        <v>440</v>
      </c>
      <c r="AH6" s="383" t="s">
        <v>441</v>
      </c>
      <c r="AI6" s="383" t="s">
        <v>447</v>
      </c>
      <c r="AJ6" s="382" t="s">
        <v>114</v>
      </c>
      <c r="AK6" s="383" t="s">
        <v>126</v>
      </c>
      <c r="AL6" s="383" t="s">
        <v>120</v>
      </c>
      <c r="AM6" s="389" t="s">
        <v>132</v>
      </c>
      <c r="AN6" s="390" t="s">
        <v>408</v>
      </c>
    </row>
    <row r="7" spans="1:40" x14ac:dyDescent="0.25">
      <c r="A7">
        <v>17</v>
      </c>
      <c r="B7" s="488" t="s">
        <v>409</v>
      </c>
      <c r="C7" s="114" t="s">
        <v>49</v>
      </c>
      <c r="D7" s="391">
        <f>IF(timePeriod="2020-30",IF(AND('Merit calculation'!$BV$17&gt;=TRLthreshold,H2use="high"),1,0),IF(AND('Merit calculation'!$BX$17&gt;=TRLthreshold,H2use="high"),1,0))</f>
        <v>1</v>
      </c>
      <c r="E7" s="392">
        <f>IF(timePeriod="2020-30",IF(AND('Merit calculation'!$BV$17&gt;=TRLthreshold,H2use="high"),1,0),IF(AND('Merit calculation'!$BX$17&gt;=TRLthreshold,H2use="high"),1,0))</f>
        <v>1</v>
      </c>
      <c r="F7" s="393">
        <v>0</v>
      </c>
      <c r="G7" s="393">
        <v>0</v>
      </c>
      <c r="H7" s="394">
        <v>0</v>
      </c>
      <c r="I7" s="395"/>
      <c r="J7" s="396"/>
      <c r="K7" s="396"/>
      <c r="L7" s="397"/>
      <c r="M7" s="397"/>
      <c r="N7" s="396"/>
      <c r="O7" s="398"/>
      <c r="P7" s="395"/>
      <c r="Q7" s="396"/>
      <c r="R7" s="396"/>
      <c r="S7" s="396"/>
      <c r="T7" s="396"/>
      <c r="U7" s="397"/>
      <c r="V7" s="397"/>
      <c r="W7" s="397"/>
      <c r="X7" s="396"/>
      <c r="Y7" s="396"/>
      <c r="Z7" s="396"/>
      <c r="AA7" s="396"/>
      <c r="AB7" s="396"/>
      <c r="AC7" s="396"/>
      <c r="AD7" s="396"/>
      <c r="AE7" s="396"/>
      <c r="AF7" s="397"/>
      <c r="AG7" s="397"/>
      <c r="AH7" s="397"/>
      <c r="AI7" s="436"/>
      <c r="AJ7" s="395"/>
      <c r="AK7" s="396"/>
      <c r="AL7" s="396"/>
      <c r="AM7" s="398"/>
      <c r="AN7" s="265">
        <f>SUM(D7:AM7)</f>
        <v>2</v>
      </c>
    </row>
    <row r="8" spans="1:40" x14ac:dyDescent="0.25">
      <c r="A8">
        <v>18</v>
      </c>
      <c r="B8" s="490"/>
      <c r="C8" s="114" t="s">
        <v>51</v>
      </c>
      <c r="D8" s="399">
        <v>0</v>
      </c>
      <c r="E8" s="400">
        <f>IF(timePeriod="2020-30",IF('Merit calculation'!$BV$18&gt;=TRLthreshold,1,0),IF('Merit calculation'!$BX$18&gt;=TRLthreshold,1,0))</f>
        <v>1</v>
      </c>
      <c r="F8" s="401">
        <v>0</v>
      </c>
      <c r="G8" s="401">
        <v>0</v>
      </c>
      <c r="H8" s="402">
        <v>0</v>
      </c>
      <c r="I8" s="403"/>
      <c r="J8" s="404"/>
      <c r="K8" s="404"/>
      <c r="L8" s="405"/>
      <c r="M8" s="405"/>
      <c r="N8" s="404"/>
      <c r="O8" s="406"/>
      <c r="P8" s="403"/>
      <c r="Q8" s="404"/>
      <c r="R8" s="404"/>
      <c r="S8" s="404"/>
      <c r="T8" s="404"/>
      <c r="U8" s="405"/>
      <c r="V8" s="405"/>
      <c r="W8" s="405"/>
      <c r="X8" s="404"/>
      <c r="Y8" s="404"/>
      <c r="Z8" s="404"/>
      <c r="AA8" s="404"/>
      <c r="AB8" s="404"/>
      <c r="AC8" s="404"/>
      <c r="AD8" s="404"/>
      <c r="AE8" s="404"/>
      <c r="AF8" s="405"/>
      <c r="AG8" s="405"/>
      <c r="AH8" s="405"/>
      <c r="AI8" s="437"/>
      <c r="AJ8" s="403"/>
      <c r="AK8" s="404"/>
      <c r="AL8" s="404"/>
      <c r="AM8" s="406"/>
      <c r="AN8" s="265">
        <f t="shared" ref="AN8:AN50" si="0">SUM(D8:AM8)</f>
        <v>1</v>
      </c>
    </row>
    <row r="9" spans="1:40" x14ac:dyDescent="0.25">
      <c r="A9">
        <v>19</v>
      </c>
      <c r="B9" s="490"/>
      <c r="C9" s="114" t="s">
        <v>52</v>
      </c>
      <c r="D9" s="399">
        <v>0</v>
      </c>
      <c r="E9" s="401">
        <v>0</v>
      </c>
      <c r="F9" s="407">
        <f>IF(timePeriod="2020-30",IF('Merit calculation'!$BV$19&gt;=TRLthreshold,1,0),IF('Merit calculation'!$BX$19&gt;=TRLthreshold,1,0))</f>
        <v>1</v>
      </c>
      <c r="G9" s="401">
        <v>0</v>
      </c>
      <c r="H9" s="402">
        <v>0</v>
      </c>
      <c r="I9" s="403"/>
      <c r="J9" s="404"/>
      <c r="K9" s="404"/>
      <c r="L9" s="405"/>
      <c r="M9" s="405"/>
      <c r="N9" s="404"/>
      <c r="O9" s="406"/>
      <c r="P9" s="403"/>
      <c r="Q9" s="404"/>
      <c r="R9" s="404"/>
      <c r="S9" s="404"/>
      <c r="T9" s="404"/>
      <c r="U9" s="405"/>
      <c r="V9" s="405"/>
      <c r="W9" s="405"/>
      <c r="X9" s="404"/>
      <c r="Y9" s="404"/>
      <c r="Z9" s="404"/>
      <c r="AA9" s="404"/>
      <c r="AB9" s="404"/>
      <c r="AC9" s="404"/>
      <c r="AD9" s="404"/>
      <c r="AE9" s="404"/>
      <c r="AF9" s="405"/>
      <c r="AG9" s="405"/>
      <c r="AH9" s="405"/>
      <c r="AI9" s="437"/>
      <c r="AJ9" s="403"/>
      <c r="AK9" s="404"/>
      <c r="AL9" s="404"/>
      <c r="AM9" s="406"/>
      <c r="AN9" s="265">
        <f t="shared" si="0"/>
        <v>1</v>
      </c>
    </row>
    <row r="10" spans="1:40" x14ac:dyDescent="0.25">
      <c r="A10">
        <v>20</v>
      </c>
      <c r="B10" s="490"/>
      <c r="C10" s="114" t="s">
        <v>53</v>
      </c>
      <c r="D10" s="399">
        <v>0</v>
      </c>
      <c r="E10" s="407">
        <f>IF(timePeriod="2020-30",IF('Merit calculation'!$BV$20&gt;=TRLthreshold,1,0),IF('Merit calculation'!$BX$20&gt;=TRLthreshold,1,0))</f>
        <v>0</v>
      </c>
      <c r="F10" s="401">
        <v>0</v>
      </c>
      <c r="G10" s="401">
        <v>0</v>
      </c>
      <c r="H10" s="402">
        <v>0</v>
      </c>
      <c r="I10" s="403"/>
      <c r="J10" s="404"/>
      <c r="K10" s="404"/>
      <c r="L10" s="405"/>
      <c r="M10" s="405"/>
      <c r="N10" s="404"/>
      <c r="O10" s="406"/>
      <c r="P10" s="403"/>
      <c r="Q10" s="404"/>
      <c r="R10" s="404"/>
      <c r="S10" s="404"/>
      <c r="T10" s="404"/>
      <c r="U10" s="405"/>
      <c r="V10" s="405"/>
      <c r="W10" s="405"/>
      <c r="X10" s="404"/>
      <c r="Y10" s="404"/>
      <c r="Z10" s="404"/>
      <c r="AA10" s="404"/>
      <c r="AB10" s="404"/>
      <c r="AC10" s="404"/>
      <c r="AD10" s="404"/>
      <c r="AE10" s="404"/>
      <c r="AF10" s="405"/>
      <c r="AG10" s="405"/>
      <c r="AH10" s="405"/>
      <c r="AI10" s="437"/>
      <c r="AJ10" s="403"/>
      <c r="AK10" s="404"/>
      <c r="AL10" s="404"/>
      <c r="AM10" s="406"/>
      <c r="AN10" s="265">
        <f t="shared" si="0"/>
        <v>0</v>
      </c>
    </row>
    <row r="11" spans="1:40" x14ac:dyDescent="0.25">
      <c r="A11">
        <v>21</v>
      </c>
      <c r="B11" s="490"/>
      <c r="C11" s="61" t="s">
        <v>54</v>
      </c>
      <c r="D11" s="399">
        <v>0</v>
      </c>
      <c r="E11" s="407">
        <f>IF(timePeriod="2020-30",IF('Merit calculation'!$BV$21&gt;=TRLthreshold,1,0),IF('Merit calculation'!$BX$21&gt;=TRLthreshold,1,0))</f>
        <v>0</v>
      </c>
      <c r="F11" s="401">
        <v>0</v>
      </c>
      <c r="G11" s="401">
        <v>0</v>
      </c>
      <c r="H11" s="402">
        <v>0</v>
      </c>
      <c r="I11" s="403"/>
      <c r="J11" s="404"/>
      <c r="K11" s="404"/>
      <c r="L11" s="405"/>
      <c r="M11" s="405"/>
      <c r="N11" s="404"/>
      <c r="O11" s="406"/>
      <c r="P11" s="403"/>
      <c r="Q11" s="404"/>
      <c r="R11" s="404"/>
      <c r="S11" s="404"/>
      <c r="T11" s="404"/>
      <c r="U11" s="405"/>
      <c r="V11" s="405"/>
      <c r="W11" s="405"/>
      <c r="X11" s="404"/>
      <c r="Y11" s="404"/>
      <c r="Z11" s="404"/>
      <c r="AA11" s="404"/>
      <c r="AB11" s="404"/>
      <c r="AC11" s="404"/>
      <c r="AD11" s="404"/>
      <c r="AE11" s="404"/>
      <c r="AF11" s="405"/>
      <c r="AG11" s="405"/>
      <c r="AH11" s="405"/>
      <c r="AI11" s="437"/>
      <c r="AJ11" s="403"/>
      <c r="AK11" s="404"/>
      <c r="AL11" s="404"/>
      <c r="AM11" s="406"/>
      <c r="AN11" s="265">
        <f t="shared" si="0"/>
        <v>0</v>
      </c>
    </row>
    <row r="12" spans="1:40" x14ac:dyDescent="0.25">
      <c r="A12">
        <v>22</v>
      </c>
      <c r="B12" s="490"/>
      <c r="C12" s="114" t="s">
        <v>55</v>
      </c>
      <c r="D12" s="399">
        <v>0</v>
      </c>
      <c r="E12" s="401">
        <v>0</v>
      </c>
      <c r="F12" s="407">
        <f>IF(timePeriod="2020-30",IF('Merit calculation'!$BV$22&gt;=TRLthreshold,1,0),IF('Merit calculation'!$BX$22&gt;=TRLthreshold,1,0))</f>
        <v>0</v>
      </c>
      <c r="G12" s="401">
        <v>0</v>
      </c>
      <c r="H12" s="402">
        <v>0</v>
      </c>
      <c r="I12" s="403"/>
      <c r="J12" s="404"/>
      <c r="K12" s="404"/>
      <c r="L12" s="405"/>
      <c r="M12" s="405"/>
      <c r="N12" s="404"/>
      <c r="O12" s="406"/>
      <c r="P12" s="403"/>
      <c r="Q12" s="404"/>
      <c r="R12" s="404"/>
      <c r="S12" s="404"/>
      <c r="T12" s="404"/>
      <c r="U12" s="405"/>
      <c r="V12" s="405"/>
      <c r="W12" s="405"/>
      <c r="X12" s="404"/>
      <c r="Y12" s="404"/>
      <c r="Z12" s="404"/>
      <c r="AA12" s="404"/>
      <c r="AB12" s="404"/>
      <c r="AC12" s="404"/>
      <c r="AD12" s="404"/>
      <c r="AE12" s="404"/>
      <c r="AF12" s="405"/>
      <c r="AG12" s="405"/>
      <c r="AH12" s="405"/>
      <c r="AI12" s="437"/>
      <c r="AJ12" s="403"/>
      <c r="AK12" s="404"/>
      <c r="AL12" s="404"/>
      <c r="AM12" s="406"/>
      <c r="AN12" s="265">
        <f t="shared" si="0"/>
        <v>0</v>
      </c>
    </row>
    <row r="13" spans="1:40" x14ac:dyDescent="0.25">
      <c r="A13">
        <v>23</v>
      </c>
      <c r="B13" s="490"/>
      <c r="C13" s="114" t="s">
        <v>56</v>
      </c>
      <c r="D13" s="408">
        <f>IF(timePeriod="2020-30",IF(AND('Merit calculation'!$BV$23&gt;=TRLthreshold,H2use="high"),1,0),IF(AND('Merit calculation'!$BX$23&gt;=TRLthreshold,H2use="high"),1,0))</f>
        <v>0</v>
      </c>
      <c r="E13" s="401">
        <v>0</v>
      </c>
      <c r="F13" s="401">
        <v>0</v>
      </c>
      <c r="G13" s="409">
        <f>IF(timePeriod="2020-30",IF(AND('Merit calculation'!$BV$23&gt;=TRLthreshold,H2use="high"),1,0),IF(AND('Merit calculation'!$BX$23&gt;=TRLthreshold,H2use="high"),1,0))</f>
        <v>0</v>
      </c>
      <c r="H13" s="402">
        <v>0</v>
      </c>
      <c r="I13" s="403"/>
      <c r="J13" s="404"/>
      <c r="K13" s="404"/>
      <c r="L13" s="405"/>
      <c r="M13" s="405"/>
      <c r="N13" s="404"/>
      <c r="O13" s="406"/>
      <c r="P13" s="403"/>
      <c r="Q13" s="404"/>
      <c r="R13" s="404"/>
      <c r="S13" s="404"/>
      <c r="T13" s="404"/>
      <c r="U13" s="405"/>
      <c r="V13" s="405"/>
      <c r="W13" s="405"/>
      <c r="X13" s="404"/>
      <c r="Y13" s="404"/>
      <c r="Z13" s="404"/>
      <c r="AA13" s="404"/>
      <c r="AB13" s="404"/>
      <c r="AC13" s="404"/>
      <c r="AD13" s="404"/>
      <c r="AE13" s="404"/>
      <c r="AF13" s="405"/>
      <c r="AG13" s="405"/>
      <c r="AH13" s="405"/>
      <c r="AI13" s="437"/>
      <c r="AJ13" s="403"/>
      <c r="AK13" s="404"/>
      <c r="AL13" s="404"/>
      <c r="AM13" s="406"/>
      <c r="AN13" s="265">
        <f t="shared" si="0"/>
        <v>0</v>
      </c>
    </row>
    <row r="14" spans="1:40" x14ac:dyDescent="0.25">
      <c r="A14">
        <v>24</v>
      </c>
      <c r="B14" s="490"/>
      <c r="C14" s="61" t="s">
        <v>57</v>
      </c>
      <c r="D14" s="408">
        <f>IF(timePeriod="2020-30",IF(AND('Merit calculation'!$BV$24&gt;=TRLthreshold,H2use="high"),1,0),IF(AND('Merit calculation'!$BX$24&gt;=TRLthreshold,H2use="high"),1,0))</f>
        <v>1</v>
      </c>
      <c r="E14" s="401">
        <v>0</v>
      </c>
      <c r="F14" s="401">
        <v>0</v>
      </c>
      <c r="G14" s="409">
        <f>IF(timePeriod="2020-30",IF(AND('Merit calculation'!$BV$24&gt;=TRLthreshold,H2use="high"),1,0),IF(AND('Merit calculation'!$BX$24&gt;=TRLthreshold,H2use="high"),1,0))</f>
        <v>1</v>
      </c>
      <c r="H14" s="402">
        <v>0</v>
      </c>
      <c r="I14" s="403"/>
      <c r="J14" s="404"/>
      <c r="K14" s="404"/>
      <c r="L14" s="405"/>
      <c r="M14" s="405"/>
      <c r="N14" s="404"/>
      <c r="O14" s="406"/>
      <c r="P14" s="403"/>
      <c r="Q14" s="404"/>
      <c r="R14" s="404"/>
      <c r="S14" s="404"/>
      <c r="T14" s="404"/>
      <c r="U14" s="405"/>
      <c r="V14" s="405"/>
      <c r="W14" s="405"/>
      <c r="X14" s="404"/>
      <c r="Y14" s="404"/>
      <c r="Z14" s="404"/>
      <c r="AA14" s="404"/>
      <c r="AB14" s="404"/>
      <c r="AC14" s="404"/>
      <c r="AD14" s="404"/>
      <c r="AE14" s="404"/>
      <c r="AF14" s="405"/>
      <c r="AG14" s="405"/>
      <c r="AH14" s="405"/>
      <c r="AI14" s="437"/>
      <c r="AJ14" s="403"/>
      <c r="AK14" s="404"/>
      <c r="AL14" s="404"/>
      <c r="AM14" s="406"/>
      <c r="AN14" s="265">
        <f t="shared" si="0"/>
        <v>2</v>
      </c>
    </row>
    <row r="15" spans="1:40" x14ac:dyDescent="0.25">
      <c r="A15">
        <v>25</v>
      </c>
      <c r="B15" s="490"/>
      <c r="C15" s="114" t="s">
        <v>58</v>
      </c>
      <c r="D15" s="399">
        <v>0</v>
      </c>
      <c r="E15" s="407">
        <f>IF(timePeriod="2020-30",IF('Merit calculation'!$BV$25&gt;=TRLthreshold,1,0),IF('Merit calculation'!$BX$25&gt;=TRLthreshold,1,0))</f>
        <v>1</v>
      </c>
      <c r="F15" s="401">
        <v>0</v>
      </c>
      <c r="G15" s="401">
        <v>0</v>
      </c>
      <c r="H15" s="402">
        <v>0</v>
      </c>
      <c r="I15" s="403"/>
      <c r="J15" s="404"/>
      <c r="K15" s="404"/>
      <c r="L15" s="405"/>
      <c r="M15" s="405"/>
      <c r="N15" s="404"/>
      <c r="O15" s="406"/>
      <c r="P15" s="403"/>
      <c r="Q15" s="404"/>
      <c r="R15" s="404"/>
      <c r="S15" s="404"/>
      <c r="T15" s="404"/>
      <c r="U15" s="405"/>
      <c r="V15" s="405"/>
      <c r="W15" s="405"/>
      <c r="X15" s="404"/>
      <c r="Y15" s="404"/>
      <c r="Z15" s="404"/>
      <c r="AA15" s="404"/>
      <c r="AB15" s="404"/>
      <c r="AC15" s="404"/>
      <c r="AD15" s="404"/>
      <c r="AE15" s="404"/>
      <c r="AF15" s="405"/>
      <c r="AG15" s="405"/>
      <c r="AH15" s="405"/>
      <c r="AI15" s="437"/>
      <c r="AJ15" s="403"/>
      <c r="AK15" s="404"/>
      <c r="AL15" s="404"/>
      <c r="AM15" s="406"/>
      <c r="AN15" s="265">
        <f t="shared" si="0"/>
        <v>1</v>
      </c>
    </row>
    <row r="16" spans="1:40" x14ac:dyDescent="0.25">
      <c r="A16">
        <v>26</v>
      </c>
      <c r="B16" s="490"/>
      <c r="C16" s="114" t="s">
        <v>59</v>
      </c>
      <c r="D16" s="399">
        <v>0</v>
      </c>
      <c r="E16" s="401">
        <v>0</v>
      </c>
      <c r="F16" s="407">
        <f>IF(timePeriod="2020-30",IF('Merit calculation'!$BV$26&gt;=TRLthreshold,1,0),IF('Merit calculation'!$BX$26&gt;=TRLthreshold,1,0))</f>
        <v>1</v>
      </c>
      <c r="G16" s="401">
        <v>0</v>
      </c>
      <c r="H16" s="402">
        <v>0</v>
      </c>
      <c r="I16" s="403"/>
      <c r="J16" s="404"/>
      <c r="K16" s="404"/>
      <c r="L16" s="405"/>
      <c r="M16" s="405"/>
      <c r="N16" s="404"/>
      <c r="O16" s="406"/>
      <c r="P16" s="403"/>
      <c r="Q16" s="404"/>
      <c r="R16" s="404"/>
      <c r="S16" s="404"/>
      <c r="T16" s="404"/>
      <c r="U16" s="405"/>
      <c r="V16" s="405"/>
      <c r="W16" s="405"/>
      <c r="X16" s="404"/>
      <c r="Y16" s="404"/>
      <c r="Z16" s="404"/>
      <c r="AA16" s="404"/>
      <c r="AB16" s="404"/>
      <c r="AC16" s="404"/>
      <c r="AD16" s="404"/>
      <c r="AE16" s="404"/>
      <c r="AF16" s="405"/>
      <c r="AG16" s="405"/>
      <c r="AH16" s="405"/>
      <c r="AI16" s="437"/>
      <c r="AJ16" s="403"/>
      <c r="AK16" s="404"/>
      <c r="AL16" s="404"/>
      <c r="AM16" s="406"/>
      <c r="AN16" s="265">
        <f t="shared" si="0"/>
        <v>1</v>
      </c>
    </row>
    <row r="17" spans="1:40" x14ac:dyDescent="0.25">
      <c r="A17">
        <v>27</v>
      </c>
      <c r="B17" s="490"/>
      <c r="C17" s="410" t="s">
        <v>60</v>
      </c>
      <c r="D17" s="399">
        <v>0</v>
      </c>
      <c r="E17" s="401">
        <v>0</v>
      </c>
      <c r="F17" s="407">
        <f>IF(timePeriod="2020-30",IF('Merit calculation'!$BV$27&gt;=TRLthreshold,1,0),IF('Merit calculation'!$BX$27&gt;=TRLthreshold,1,0))</f>
        <v>1</v>
      </c>
      <c r="G17" s="401">
        <v>0</v>
      </c>
      <c r="H17" s="402">
        <v>0</v>
      </c>
      <c r="I17" s="403"/>
      <c r="J17" s="404"/>
      <c r="K17" s="404"/>
      <c r="L17" s="405"/>
      <c r="M17" s="405"/>
      <c r="N17" s="404"/>
      <c r="O17" s="406"/>
      <c r="P17" s="403"/>
      <c r="Q17" s="404"/>
      <c r="R17" s="404"/>
      <c r="S17" s="404"/>
      <c r="T17" s="404"/>
      <c r="U17" s="405"/>
      <c r="V17" s="405"/>
      <c r="W17" s="405"/>
      <c r="X17" s="404"/>
      <c r="Y17" s="404"/>
      <c r="Z17" s="404"/>
      <c r="AA17" s="404"/>
      <c r="AB17" s="404"/>
      <c r="AC17" s="404"/>
      <c r="AD17" s="404"/>
      <c r="AE17" s="404"/>
      <c r="AF17" s="405"/>
      <c r="AG17" s="405"/>
      <c r="AH17" s="405"/>
      <c r="AI17" s="437"/>
      <c r="AJ17" s="403"/>
      <c r="AK17" s="404"/>
      <c r="AL17" s="404"/>
      <c r="AM17" s="406"/>
      <c r="AN17" s="265">
        <f t="shared" si="0"/>
        <v>1</v>
      </c>
    </row>
    <row r="18" spans="1:40" x14ac:dyDescent="0.25">
      <c r="A18">
        <v>28</v>
      </c>
      <c r="B18" s="491"/>
      <c r="C18" s="411" t="s">
        <v>174</v>
      </c>
      <c r="D18" s="412">
        <v>0</v>
      </c>
      <c r="E18" s="413">
        <v>0</v>
      </c>
      <c r="F18" s="413">
        <v>0</v>
      </c>
      <c r="G18" s="413">
        <v>0</v>
      </c>
      <c r="H18" s="414">
        <v>1</v>
      </c>
      <c r="I18" s="415"/>
      <c r="J18" s="416"/>
      <c r="K18" s="416"/>
      <c r="L18" s="417"/>
      <c r="M18" s="417"/>
      <c r="N18" s="416"/>
      <c r="O18" s="418"/>
      <c r="P18" s="415"/>
      <c r="Q18" s="416"/>
      <c r="R18" s="416"/>
      <c r="S18" s="416"/>
      <c r="T18" s="416"/>
      <c r="U18" s="417"/>
      <c r="V18" s="417"/>
      <c r="W18" s="417"/>
      <c r="X18" s="416"/>
      <c r="Y18" s="416"/>
      <c r="Z18" s="416"/>
      <c r="AA18" s="416"/>
      <c r="AB18" s="416"/>
      <c r="AC18" s="416"/>
      <c r="AD18" s="416"/>
      <c r="AE18" s="416"/>
      <c r="AF18" s="417"/>
      <c r="AG18" s="417"/>
      <c r="AH18" s="417"/>
      <c r="AI18" s="438"/>
      <c r="AJ18" s="415"/>
      <c r="AK18" s="416"/>
      <c r="AL18" s="416"/>
      <c r="AM18" s="418"/>
      <c r="AN18" s="265">
        <f t="shared" si="0"/>
        <v>1</v>
      </c>
    </row>
    <row r="19" spans="1:40" x14ac:dyDescent="0.25">
      <c r="A19">
        <v>48</v>
      </c>
      <c r="B19" s="488" t="s">
        <v>403</v>
      </c>
      <c r="C19" s="60" t="s">
        <v>62</v>
      </c>
      <c r="D19" s="403"/>
      <c r="E19" s="404"/>
      <c r="F19" s="404"/>
      <c r="G19" s="404"/>
      <c r="H19" s="406"/>
      <c r="I19" s="399">
        <v>0</v>
      </c>
      <c r="J19" s="409">
        <f>IF(timePeriod="2020-30",IF(AND('Merit calculation'!$BV$48&gt;=TRLthreshold,H2use="high"),1,0),IF(AND('Merit calculation'!$BX$48&gt;=TRLthreshold,H2use="high"),1,0))</f>
        <v>0</v>
      </c>
      <c r="K19" s="409">
        <f>IF(timePeriod="2020-30",IF(AND('Merit calculation'!$BV$48&gt;=TRLthreshold,H2use="high"),1,0),IF(AND('Merit calculation'!$BX$48&gt;=TRLthreshold,H2use="high"),1,0))</f>
        <v>0</v>
      </c>
      <c r="L19" s="407">
        <f>IF(timePeriod="2020-30",IF('Merit calculation'!$BV$48&gt;=TRLthreshold,1,0),IF('Merit calculation'!$BX$48&gt;=TRLthreshold,1,0))</f>
        <v>0</v>
      </c>
      <c r="M19" s="407">
        <f>IF(timePeriod="2020-30",IF('Merit calculation'!$BV$48&gt;=TRLthreshold,1,0),IF('Merit calculation'!$BX$48&gt;=TRLthreshold,1,0))</f>
        <v>0</v>
      </c>
      <c r="N19" s="409">
        <f>IF(timePeriod="2020-30",IF(AND('Merit calculation'!$BV$48&gt;=TRLthreshold,H2use="high"),1,0),IF(AND('Merit calculation'!$BX$48&gt;=TRLthreshold,H2use="high"),1,0))</f>
        <v>0</v>
      </c>
      <c r="O19" s="402">
        <v>0</v>
      </c>
      <c r="P19" s="395"/>
      <c r="Q19" s="396"/>
      <c r="R19" s="396"/>
      <c r="S19" s="396"/>
      <c r="T19" s="396"/>
      <c r="U19" s="397"/>
      <c r="V19" s="397"/>
      <c r="W19" s="397"/>
      <c r="X19" s="396"/>
      <c r="Y19" s="396"/>
      <c r="Z19" s="396"/>
      <c r="AA19" s="396"/>
      <c r="AB19" s="396"/>
      <c r="AC19" s="396"/>
      <c r="AD19" s="396"/>
      <c r="AE19" s="396"/>
      <c r="AF19" s="397"/>
      <c r="AG19" s="397"/>
      <c r="AH19" s="397"/>
      <c r="AI19" s="436"/>
      <c r="AJ19" s="403"/>
      <c r="AK19" s="404"/>
      <c r="AL19" s="404"/>
      <c r="AM19" s="406"/>
      <c r="AN19" s="265">
        <f t="shared" si="0"/>
        <v>0</v>
      </c>
    </row>
    <row r="20" spans="1:40" x14ac:dyDescent="0.25">
      <c r="A20">
        <v>49</v>
      </c>
      <c r="B20" s="490"/>
      <c r="C20" s="60" t="s">
        <v>155</v>
      </c>
      <c r="D20" s="403"/>
      <c r="E20" s="404"/>
      <c r="F20" s="404"/>
      <c r="G20" s="404"/>
      <c r="H20" s="406"/>
      <c r="I20" s="399">
        <v>0</v>
      </c>
      <c r="J20" s="409">
        <f>IF(timePeriod="2020-30",IF(AND('Merit calculation'!$BV$49&gt;=TRLthreshold,H2use="high"),1,0),IF(AND('Merit calculation'!$BX$49&gt;=TRLthreshold,H2use="high"),1,0))</f>
        <v>1</v>
      </c>
      <c r="K20" s="409">
        <f>IF(timePeriod="2020-30",IF(AND('Merit calculation'!$BV$49&gt;=TRLthreshold,H2use="high"),1,0),IF(AND('Merit calculation'!$BX$49&gt;=TRLthreshold,H2use="high"),1,0))</f>
        <v>1</v>
      </c>
      <c r="L20" s="407">
        <f>IF(timePeriod="2020-30",IF('Merit calculation'!$BV$49&gt;=TRLthreshold,1,0),IF('Merit calculation'!$BX$49&gt;=TRLthreshold,1,0))</f>
        <v>1</v>
      </c>
      <c r="M20" s="407">
        <f>IF(timePeriod="2020-30",IF('Merit calculation'!$BV$49&gt;=TRLthreshold,1,0),IF('Merit calculation'!$BX$49&gt;=TRLthreshold,1,0))</f>
        <v>1</v>
      </c>
      <c r="N20" s="409">
        <f>IF(timePeriod="2020-30",IF(AND('Merit calculation'!$BV$49&gt;=TRLthreshold,H2use="high"),1,0),IF(AND('Merit calculation'!$BX$49&gt;=TRLthreshold,H2use="high"),1,0))</f>
        <v>1</v>
      </c>
      <c r="O20" s="402">
        <v>0</v>
      </c>
      <c r="P20" s="403"/>
      <c r="Q20" s="404"/>
      <c r="R20" s="404"/>
      <c r="S20" s="404"/>
      <c r="T20" s="404"/>
      <c r="U20" s="405"/>
      <c r="V20" s="405"/>
      <c r="W20" s="405"/>
      <c r="X20" s="404"/>
      <c r="Y20" s="404"/>
      <c r="Z20" s="404"/>
      <c r="AA20" s="404"/>
      <c r="AB20" s="404"/>
      <c r="AC20" s="404"/>
      <c r="AD20" s="404"/>
      <c r="AE20" s="404"/>
      <c r="AF20" s="405"/>
      <c r="AG20" s="405"/>
      <c r="AH20" s="405"/>
      <c r="AI20" s="437"/>
      <c r="AJ20" s="403"/>
      <c r="AK20" s="404"/>
      <c r="AL20" s="404"/>
      <c r="AM20" s="406"/>
      <c r="AN20" s="265">
        <f t="shared" si="0"/>
        <v>5</v>
      </c>
    </row>
    <row r="21" spans="1:40" x14ac:dyDescent="0.25">
      <c r="A21">
        <v>50</v>
      </c>
      <c r="B21" s="490"/>
      <c r="C21" s="60" t="s">
        <v>130</v>
      </c>
      <c r="D21" s="403"/>
      <c r="E21" s="404"/>
      <c r="F21" s="404"/>
      <c r="G21" s="404"/>
      <c r="H21" s="406"/>
      <c r="I21" s="419">
        <f>IF(timePeriod="2020-30",IF('Merit calculation'!$BV$50&gt;=TRLthreshold,1,0),IF('Merit calculation'!$BX$50&gt;=TRLthreshold,1,0))</f>
        <v>1</v>
      </c>
      <c r="J21" s="401">
        <v>0</v>
      </c>
      <c r="K21" s="401">
        <v>0</v>
      </c>
      <c r="L21" s="401">
        <v>0</v>
      </c>
      <c r="M21" s="401">
        <v>0</v>
      </c>
      <c r="N21" s="407">
        <f>IF(timePeriod="2020-30",IF('Merit calculation'!$BV$50&gt;=TRLthreshold,1,0),IF('Merit calculation'!$BX$50&gt;=TRLthreshold,1,0))</f>
        <v>1</v>
      </c>
      <c r="O21" s="402">
        <v>0</v>
      </c>
      <c r="P21" s="403"/>
      <c r="Q21" s="404"/>
      <c r="R21" s="404"/>
      <c r="S21" s="404"/>
      <c r="T21" s="404"/>
      <c r="U21" s="405"/>
      <c r="V21" s="405"/>
      <c r="W21" s="405"/>
      <c r="X21" s="404"/>
      <c r="Y21" s="404"/>
      <c r="Z21" s="404"/>
      <c r="AA21" s="404"/>
      <c r="AB21" s="404"/>
      <c r="AC21" s="404"/>
      <c r="AD21" s="404"/>
      <c r="AE21" s="404"/>
      <c r="AF21" s="405"/>
      <c r="AG21" s="405"/>
      <c r="AH21" s="405"/>
      <c r="AI21" s="437"/>
      <c r="AJ21" s="403"/>
      <c r="AK21" s="404"/>
      <c r="AL21" s="404"/>
      <c r="AM21" s="406"/>
      <c r="AN21" s="265">
        <f t="shared" si="0"/>
        <v>2</v>
      </c>
    </row>
    <row r="22" spans="1:40" x14ac:dyDescent="0.25">
      <c r="A22">
        <v>51</v>
      </c>
      <c r="B22" s="490"/>
      <c r="C22" s="61" t="s">
        <v>63</v>
      </c>
      <c r="D22" s="403"/>
      <c r="E22" s="404"/>
      <c r="F22" s="404"/>
      <c r="G22" s="404"/>
      <c r="H22" s="406"/>
      <c r="I22" s="399">
        <v>0</v>
      </c>
      <c r="J22" s="401">
        <v>0</v>
      </c>
      <c r="K22" s="407">
        <f>IF(timePeriod="2020-30",IF('Merit calculation'!$BV$51&gt;=TRLthreshold,1,0),IF('Merit calculation'!$BX$51&gt;=TRLthreshold,1,0))</f>
        <v>1</v>
      </c>
      <c r="L22" s="401">
        <v>0</v>
      </c>
      <c r="M22" s="401">
        <v>0</v>
      </c>
      <c r="N22" s="401">
        <v>0</v>
      </c>
      <c r="O22" s="402">
        <v>0</v>
      </c>
      <c r="P22" s="403"/>
      <c r="Q22" s="404"/>
      <c r="R22" s="404"/>
      <c r="S22" s="404"/>
      <c r="T22" s="404"/>
      <c r="U22" s="405"/>
      <c r="V22" s="405"/>
      <c r="W22" s="405"/>
      <c r="X22" s="404"/>
      <c r="Y22" s="404"/>
      <c r="Z22" s="404"/>
      <c r="AA22" s="404"/>
      <c r="AB22" s="404"/>
      <c r="AC22" s="404"/>
      <c r="AD22" s="404"/>
      <c r="AE22" s="404"/>
      <c r="AF22" s="405"/>
      <c r="AG22" s="405"/>
      <c r="AH22" s="405"/>
      <c r="AI22" s="437"/>
      <c r="AJ22" s="403"/>
      <c r="AK22" s="404"/>
      <c r="AL22" s="404"/>
      <c r="AM22" s="406"/>
      <c r="AN22" s="265">
        <f t="shared" si="0"/>
        <v>1</v>
      </c>
    </row>
    <row r="23" spans="1:40" x14ac:dyDescent="0.25">
      <c r="A23">
        <v>52</v>
      </c>
      <c r="B23" s="491"/>
      <c r="C23" s="420" t="s">
        <v>177</v>
      </c>
      <c r="D23" s="415"/>
      <c r="E23" s="416"/>
      <c r="F23" s="416"/>
      <c r="G23" s="416"/>
      <c r="H23" s="418"/>
      <c r="I23" s="412">
        <v>0</v>
      </c>
      <c r="J23" s="413">
        <v>0</v>
      </c>
      <c r="K23" s="413">
        <v>0</v>
      </c>
      <c r="L23" s="413">
        <v>0</v>
      </c>
      <c r="M23" s="413">
        <v>0</v>
      </c>
      <c r="N23" s="413">
        <v>0</v>
      </c>
      <c r="O23" s="414">
        <v>1</v>
      </c>
      <c r="P23" s="415"/>
      <c r="Q23" s="416"/>
      <c r="R23" s="416"/>
      <c r="S23" s="416"/>
      <c r="T23" s="416"/>
      <c r="U23" s="417"/>
      <c r="V23" s="417"/>
      <c r="W23" s="417"/>
      <c r="X23" s="416"/>
      <c r="Y23" s="416"/>
      <c r="Z23" s="416"/>
      <c r="AA23" s="416"/>
      <c r="AB23" s="416"/>
      <c r="AC23" s="416"/>
      <c r="AD23" s="416"/>
      <c r="AE23" s="416"/>
      <c r="AF23" s="417"/>
      <c r="AG23" s="417"/>
      <c r="AH23" s="417"/>
      <c r="AI23" s="438"/>
      <c r="AJ23" s="415"/>
      <c r="AK23" s="416"/>
      <c r="AL23" s="416"/>
      <c r="AM23" s="418"/>
      <c r="AN23" s="265">
        <f t="shared" si="0"/>
        <v>1</v>
      </c>
    </row>
    <row r="24" spans="1:40" x14ac:dyDescent="0.25">
      <c r="A24">
        <v>67</v>
      </c>
      <c r="B24" s="488" t="s">
        <v>404</v>
      </c>
      <c r="C24" s="421" t="s">
        <v>128</v>
      </c>
      <c r="D24" s="395"/>
      <c r="E24" s="396"/>
      <c r="F24" s="396"/>
      <c r="G24" s="396"/>
      <c r="H24" s="398"/>
      <c r="I24" s="395"/>
      <c r="J24" s="396"/>
      <c r="K24" s="396"/>
      <c r="L24" s="397"/>
      <c r="M24" s="397"/>
      <c r="N24" s="396"/>
      <c r="O24" s="398"/>
      <c r="P24" s="422">
        <v>0</v>
      </c>
      <c r="Q24" s="423">
        <f>IF(timePeriod="2020-30",IF('Merit calculation'!$BV$67&gt;=TRLthreshold,1,0),IF('Merit calculation'!$BX$67&gt;=TRLthreshold,1,0))</f>
        <v>1</v>
      </c>
      <c r="R24" s="393">
        <v>0</v>
      </c>
      <c r="S24" s="393">
        <v>0</v>
      </c>
      <c r="T24" s="393">
        <v>0</v>
      </c>
      <c r="U24" s="401">
        <v>0</v>
      </c>
      <c r="V24" s="401">
        <v>0</v>
      </c>
      <c r="W24" s="401">
        <v>0</v>
      </c>
      <c r="X24" s="393">
        <v>0</v>
      </c>
      <c r="Y24" s="393">
        <v>0</v>
      </c>
      <c r="Z24" s="393">
        <v>0</v>
      </c>
      <c r="AA24" s="393">
        <v>0</v>
      </c>
      <c r="AB24" s="423">
        <f>IF(timePeriod="2020-30",IF('Merit calculation'!$BV$67&gt;=TRLthreshold,1,0),IF('Merit calculation'!$BX$67&gt;=TRLthreshold,1,0))</f>
        <v>1</v>
      </c>
      <c r="AC24" s="393">
        <v>0</v>
      </c>
      <c r="AD24" s="393">
        <v>0</v>
      </c>
      <c r="AE24" s="393">
        <v>0</v>
      </c>
      <c r="AF24" s="401">
        <v>0</v>
      </c>
      <c r="AG24" s="401">
        <v>0</v>
      </c>
      <c r="AH24" s="401">
        <v>0</v>
      </c>
      <c r="AI24" s="401">
        <v>0</v>
      </c>
      <c r="AJ24" s="395"/>
      <c r="AK24" s="396"/>
      <c r="AL24" s="396"/>
      <c r="AM24" s="398"/>
      <c r="AN24" s="265">
        <f t="shared" si="0"/>
        <v>2</v>
      </c>
    </row>
    <row r="25" spans="1:40" x14ac:dyDescent="0.25">
      <c r="A25">
        <v>68</v>
      </c>
      <c r="B25" s="489"/>
      <c r="C25" s="62" t="s">
        <v>157</v>
      </c>
      <c r="D25" s="403"/>
      <c r="E25" s="404"/>
      <c r="F25" s="404"/>
      <c r="G25" s="404"/>
      <c r="H25" s="406"/>
      <c r="I25" s="403"/>
      <c r="J25" s="404"/>
      <c r="K25" s="404"/>
      <c r="L25" s="405"/>
      <c r="M25" s="405"/>
      <c r="N25" s="404"/>
      <c r="O25" s="406"/>
      <c r="P25" s="419">
        <f>IF(timePeriod="2020-30",IF('Merit calculation'!$BV$68&gt;=TRLthreshold,1,0),IF('Merit calculation'!$BX$68&gt;=TRLthreshold,1,0))</f>
        <v>0</v>
      </c>
      <c r="Q25" s="407">
        <f>IF(timePeriod="2020-30",IF('Merit calculation'!$BV$68&gt;=TRLthreshold,1,0),IF('Merit calculation'!$BX$68&gt;=TRLthreshold,1,0))</f>
        <v>0</v>
      </c>
      <c r="R25" s="401">
        <v>0</v>
      </c>
      <c r="S25" s="407">
        <f>IF(timePeriod="2020-30",IF('Merit calculation'!$BV$68&gt;=TRLthreshold,1,0),IF('Merit calculation'!$BX$68&gt;=TRLthreshold,1,0))</f>
        <v>0</v>
      </c>
      <c r="T25" s="401">
        <v>0</v>
      </c>
      <c r="U25" s="401">
        <v>0</v>
      </c>
      <c r="V25" s="401">
        <v>0</v>
      </c>
      <c r="W25" s="401">
        <v>0</v>
      </c>
      <c r="X25" s="407">
        <f>IF(timePeriod="2020-30",IF('Merit calculation'!$BV$68&gt;=TRLthreshold,1,0),IF('Merit calculation'!$BX$68&gt;=TRLthreshold,1,0))</f>
        <v>0</v>
      </c>
      <c r="Y25" s="407">
        <f>IF(timePeriod="2020-30",IF('Merit calculation'!$BV$68&gt;=TRLthreshold,1,0),IF('Merit calculation'!$BX$68&gt;=TRLthreshold,1,0))</f>
        <v>0</v>
      </c>
      <c r="Z25" s="407">
        <f>IF(timePeriod="2020-30",IF('Merit calculation'!$BV$68&gt;=TRLthreshold,1,0),IF('Merit calculation'!$BX$68&gt;=TRLthreshold,1,0))</f>
        <v>0</v>
      </c>
      <c r="AA25" s="401">
        <v>0</v>
      </c>
      <c r="AB25" s="407">
        <f>IF(timePeriod="2020-30",IF('Merit calculation'!$BV$68&gt;=TRLthreshold,1,0),IF('Merit calculation'!$BX$68&gt;=TRLthreshold,1,0))</f>
        <v>0</v>
      </c>
      <c r="AC25" s="401">
        <v>0</v>
      </c>
      <c r="AD25" s="407">
        <f>IF(timePeriod="2020-30",IF('Merit calculation'!$BV$68&gt;=TRLthreshold,1,0),IF('Merit calculation'!$BX$68&gt;=TRLthreshold,1,0))</f>
        <v>0</v>
      </c>
      <c r="AE25" s="401">
        <v>0</v>
      </c>
      <c r="AF25" s="401">
        <v>0</v>
      </c>
      <c r="AG25" s="401">
        <v>0</v>
      </c>
      <c r="AH25" s="401">
        <v>0</v>
      </c>
      <c r="AI25" s="401">
        <v>0</v>
      </c>
      <c r="AJ25" s="403"/>
      <c r="AK25" s="404"/>
      <c r="AL25" s="404"/>
      <c r="AM25" s="406"/>
      <c r="AN25" s="265">
        <f t="shared" si="0"/>
        <v>0</v>
      </c>
    </row>
    <row r="26" spans="1:40" x14ac:dyDescent="0.25">
      <c r="A26">
        <v>69</v>
      </c>
      <c r="B26" s="489"/>
      <c r="C26" s="62" t="s">
        <v>122</v>
      </c>
      <c r="D26" s="403"/>
      <c r="E26" s="404"/>
      <c r="F26" s="404"/>
      <c r="G26" s="404"/>
      <c r="H26" s="406"/>
      <c r="I26" s="403"/>
      <c r="J26" s="404"/>
      <c r="K26" s="404"/>
      <c r="L26" s="405"/>
      <c r="M26" s="405"/>
      <c r="N26" s="404"/>
      <c r="O26" s="406"/>
      <c r="P26" s="408">
        <f>IF(timePeriod="2020-30",IF(AND('Merit calculation'!$BV$69&gt;=TRLthreshold,H2use="high"),1,0),IF(AND('Merit calculation'!$BX$69&gt;=TRLthreshold,H2use="high"),1,0))</f>
        <v>1</v>
      </c>
      <c r="Q26" s="409">
        <f>IF(timePeriod="2020-30",IF(AND('Merit calculation'!$BV$69&gt;=TRLthreshold,H2use="high"),1,0),IF(AND('Merit calculation'!$BX$69&gt;=TRLthreshold,H2use="high"),1,0))</f>
        <v>1</v>
      </c>
      <c r="R26" s="401">
        <v>0</v>
      </c>
      <c r="S26" s="409">
        <f>IF(timePeriod="2020-30",IF(AND('Merit calculation'!$BV$69&gt;=TRLthreshold,H2use="high"),1,0),IF(AND('Merit calculation'!$BX$69&gt;=TRLthreshold,H2use="high"),1,0))</f>
        <v>1</v>
      </c>
      <c r="T26" s="401">
        <v>0</v>
      </c>
      <c r="U26" s="401">
        <v>0</v>
      </c>
      <c r="V26" s="401">
        <v>0</v>
      </c>
      <c r="W26" s="401">
        <v>0</v>
      </c>
      <c r="X26" s="409">
        <f>IF(timePeriod="2020-30",IF(AND('Merit calculation'!$BV$69&gt;=TRLthreshold,H2use="high"),1,0),IF(AND('Merit calculation'!$BX$69&gt;=TRLthreshold,H2use="high"),1,0))</f>
        <v>1</v>
      </c>
      <c r="Y26" s="409">
        <f>IF(timePeriod="2020-30",IF(AND('Merit calculation'!$BV$69&gt;=TRLthreshold,H2use="high"),1,0),IF(AND('Merit calculation'!$BX$69&gt;=TRLthreshold,H2use="high"),1,0))</f>
        <v>1</v>
      </c>
      <c r="Z26" s="409">
        <f>IF(timePeriod="2020-30",IF(AND('Merit calculation'!$BV$69&gt;=TRLthreshold,H2use="high"),1,0),IF(AND('Merit calculation'!$BX$69&gt;=TRLthreshold,H2use="high"),1,0))</f>
        <v>1</v>
      </c>
      <c r="AA26" s="401">
        <v>0</v>
      </c>
      <c r="AB26" s="409">
        <f>IF(timePeriod="2020-30",IF(AND('Merit calculation'!$BV$69&gt;=TRLthreshold,H2use="high"),1,0),IF(AND('Merit calculation'!$BX$69&gt;=TRLthreshold,H2use="high"),1,0))</f>
        <v>1</v>
      </c>
      <c r="AC26" s="401">
        <v>0</v>
      </c>
      <c r="AD26" s="409">
        <f>IF(timePeriod="2020-30",IF(AND('Merit calculation'!$BV$69&gt;=TRLthreshold,H2use="high"),1,0),IF(AND('Merit calculation'!$BX$69&gt;=TRLthreshold,H2use="high"),1,0))</f>
        <v>1</v>
      </c>
      <c r="AE26" s="401">
        <v>0</v>
      </c>
      <c r="AF26" s="401">
        <v>0</v>
      </c>
      <c r="AG26" s="401">
        <v>0</v>
      </c>
      <c r="AH26" s="401">
        <v>0</v>
      </c>
      <c r="AI26" s="401">
        <v>0</v>
      </c>
      <c r="AJ26" s="403"/>
      <c r="AK26" s="404"/>
      <c r="AL26" s="404"/>
      <c r="AM26" s="406"/>
      <c r="AN26" s="265">
        <f t="shared" si="0"/>
        <v>8</v>
      </c>
    </row>
    <row r="27" spans="1:40" x14ac:dyDescent="0.25">
      <c r="A27">
        <v>70</v>
      </c>
      <c r="B27" s="489"/>
      <c r="C27" s="66" t="s">
        <v>116</v>
      </c>
      <c r="D27" s="403"/>
      <c r="E27" s="404"/>
      <c r="F27" s="404"/>
      <c r="G27" s="404"/>
      <c r="H27" s="406"/>
      <c r="I27" s="403"/>
      <c r="J27" s="404"/>
      <c r="K27" s="404"/>
      <c r="L27" s="405"/>
      <c r="M27" s="405"/>
      <c r="N27" s="404"/>
      <c r="O27" s="406"/>
      <c r="P27" s="419">
        <f>IF(timePeriod="2020-30",IF('Merit calculation'!$BV$70&gt;=TRLthreshold,1,0),IF('Merit calculation'!$BX$70&gt;=TRLthreshold,1,0))</f>
        <v>1</v>
      </c>
      <c r="Q27" s="424">
        <v>0</v>
      </c>
      <c r="R27" s="424">
        <v>0</v>
      </c>
      <c r="S27" s="407">
        <f>IF(timePeriod="2020-30",IF('Merit calculation'!$BV$70&gt;=TRLthreshold,1,0),IF('Merit calculation'!$BX$70&gt;=TRLthreshold,1,0))</f>
        <v>1</v>
      </c>
      <c r="T27" s="424">
        <v>0</v>
      </c>
      <c r="U27" s="401">
        <v>0</v>
      </c>
      <c r="V27" s="401">
        <v>0</v>
      </c>
      <c r="W27" s="401">
        <v>0</v>
      </c>
      <c r="X27" s="407">
        <f>IF(timePeriod="2020-30",IF('Merit calculation'!$BV$70&gt;=TRLthreshold,1,0),IF('Merit calculation'!$BX$70&gt;=TRLthreshold,1,0))</f>
        <v>1</v>
      </c>
      <c r="Y27" s="407">
        <f>IF(timePeriod="2020-30",IF('Merit calculation'!$BV$70&gt;=TRLthreshold,1,0),IF('Merit calculation'!$BX$70&gt;=TRLthreshold,1,0))</f>
        <v>1</v>
      </c>
      <c r="Z27" s="424">
        <v>0</v>
      </c>
      <c r="AA27" s="424">
        <v>0</v>
      </c>
      <c r="AB27" s="424">
        <v>0</v>
      </c>
      <c r="AC27" s="424">
        <v>0</v>
      </c>
      <c r="AD27" s="407">
        <f>IF(timePeriod="2020-30",IF('Merit calculation'!$BV$70&gt;=TRLthreshold,1,0),IF('Merit calculation'!$BX$70&gt;=TRLthreshold,1,0))</f>
        <v>1</v>
      </c>
      <c r="AE27" s="424">
        <v>0</v>
      </c>
      <c r="AF27" s="401">
        <v>0</v>
      </c>
      <c r="AG27" s="401">
        <v>0</v>
      </c>
      <c r="AH27" s="401">
        <v>0</v>
      </c>
      <c r="AI27" s="401">
        <v>0</v>
      </c>
      <c r="AJ27" s="403"/>
      <c r="AK27" s="404"/>
      <c r="AL27" s="404"/>
      <c r="AM27" s="406"/>
      <c r="AN27" s="265">
        <f t="shared" si="0"/>
        <v>5</v>
      </c>
    </row>
    <row r="28" spans="1:40" x14ac:dyDescent="0.25">
      <c r="A28">
        <v>71</v>
      </c>
      <c r="B28" s="489"/>
      <c r="C28" s="66" t="s">
        <v>65</v>
      </c>
      <c r="D28" s="403"/>
      <c r="E28" s="404"/>
      <c r="F28" s="404"/>
      <c r="G28" s="404"/>
      <c r="H28" s="406"/>
      <c r="I28" s="403"/>
      <c r="J28" s="404"/>
      <c r="K28" s="404"/>
      <c r="L28" s="405"/>
      <c r="M28" s="405"/>
      <c r="N28" s="404"/>
      <c r="O28" s="406"/>
      <c r="P28" s="425">
        <v>0</v>
      </c>
      <c r="Q28" s="424">
        <v>0</v>
      </c>
      <c r="R28" s="407">
        <f>IF(timePeriod="2020-30",IF('Merit calculation'!$BV$71&gt;=TRLthreshold,1,0),IF('Merit calculation'!$BX$71&gt;=TRLthreshold,1,0))</f>
        <v>0</v>
      </c>
      <c r="S28" s="424">
        <v>0</v>
      </c>
      <c r="T28" s="407">
        <f>IF(timePeriod="2020-30",IF('Merit calculation'!$BV$71&gt;=TRLthreshold,1,0),IF('Merit calculation'!$BX$71&gt;=TRLthreshold,1,0))</f>
        <v>0</v>
      </c>
      <c r="U28" s="407">
        <f>IF(timePeriod="2020-30",IF('Merit calculation'!$BV$71&gt;=TRLthreshold,1,0),IF('Merit calculation'!$BX$71&gt;=TRLthreshold,1,0))</f>
        <v>0</v>
      </c>
      <c r="V28" s="407">
        <f>IF(timePeriod="2020-30",IF('Merit calculation'!$BV$71&gt;=TRLthreshold,1,0),IF('Merit calculation'!$BX$71&gt;=TRLthreshold,1,0))</f>
        <v>0</v>
      </c>
      <c r="W28" s="407">
        <f>IF(timePeriod="2020-30",IF('Merit calculation'!$BV$71&gt;=TRLthreshold,1,0),IF('Merit calculation'!$BX$71&gt;=TRLthreshold,1,0))</f>
        <v>0</v>
      </c>
      <c r="X28" s="424">
        <v>0</v>
      </c>
      <c r="Y28" s="424">
        <v>0</v>
      </c>
      <c r="Z28" s="424">
        <v>0</v>
      </c>
      <c r="AA28" s="407">
        <f>IF(timePeriod="2020-30",IF('Merit calculation'!$BV$71&gt;=TRLthreshold,1,0),IF('Merit calculation'!$BX$71&gt;=TRLthreshold,1,0))</f>
        <v>0</v>
      </c>
      <c r="AB28" s="424">
        <v>0</v>
      </c>
      <c r="AC28" s="407">
        <f>IF(timePeriod="2020-30",IF('Merit calculation'!$BV$71&gt;=TRLthreshold,1,0),IF('Merit calculation'!$BX$71&gt;=TRLthreshold,1,0))</f>
        <v>0</v>
      </c>
      <c r="AD28" s="424">
        <v>0</v>
      </c>
      <c r="AE28" s="407">
        <f>IF(timePeriod="2020-30",IF('Merit calculation'!$BV$71&gt;=TRLthreshold,1,0),IF('Merit calculation'!$BX$71&gt;=TRLthreshold,1,0))</f>
        <v>0</v>
      </c>
      <c r="AF28" s="407">
        <f>IF(timePeriod="2020-30",IF('Merit calculation'!$BV$71&gt;=TRLthreshold,1,0),IF('Merit calculation'!$BX$71&gt;=TRLthreshold,1,0))</f>
        <v>0</v>
      </c>
      <c r="AG28" s="407">
        <f>IF(timePeriod="2020-30",IF('Merit calculation'!$BV$71&gt;=TRLthreshold,1,0),IF('Merit calculation'!$BX$71&gt;=TRLthreshold,1,0))</f>
        <v>0</v>
      </c>
      <c r="AH28" s="407">
        <f>IF(timePeriod="2020-30",IF('Merit calculation'!$BV$71&gt;=TRLthreshold,1,0),IF('Merit calculation'!$BX$71&gt;=TRLthreshold,1,0))</f>
        <v>0</v>
      </c>
      <c r="AI28" s="407">
        <f>IF(timePeriod="2020-30",IF('Merit calculation'!$BV$71&gt;=TRLthreshold,1,0),IF('Merit calculation'!$BX$71&gt;=TRLthreshold,1,0))</f>
        <v>0</v>
      </c>
      <c r="AJ28" s="403"/>
      <c r="AK28" s="404"/>
      <c r="AL28" s="404"/>
      <c r="AM28" s="406"/>
      <c r="AN28" s="265">
        <f t="shared" si="0"/>
        <v>0</v>
      </c>
    </row>
    <row r="29" spans="1:40" x14ac:dyDescent="0.25">
      <c r="A29">
        <v>72</v>
      </c>
      <c r="B29" s="490"/>
      <c r="C29" s="427" t="s">
        <v>66</v>
      </c>
      <c r="D29" s="403"/>
      <c r="E29" s="404"/>
      <c r="F29" s="404"/>
      <c r="G29" s="404"/>
      <c r="H29" s="406"/>
      <c r="I29" s="403"/>
      <c r="J29" s="404"/>
      <c r="K29" s="404"/>
      <c r="L29" s="405"/>
      <c r="M29" s="405"/>
      <c r="N29" s="404"/>
      <c r="O29" s="406"/>
      <c r="P29" s="419">
        <f>IF(timePeriod="2020-30",IF('Merit calculation'!$BV$72&gt;=TRLthreshold,1,0),IF('Merit calculation'!$BX$72&gt;=TRLthreshold,1,0))</f>
        <v>1</v>
      </c>
      <c r="Q29" s="401">
        <v>0</v>
      </c>
      <c r="R29" s="401">
        <v>0</v>
      </c>
      <c r="S29" s="407">
        <f>IF(timePeriod="2020-30",IF('Merit calculation'!$BV$72&gt;=TRLthreshold,1,0),IF('Merit calculation'!$BX$72&gt;=TRLthreshold,1,0))</f>
        <v>1</v>
      </c>
      <c r="T29" s="401">
        <v>0</v>
      </c>
      <c r="U29" s="401">
        <v>0</v>
      </c>
      <c r="V29" s="401">
        <v>0</v>
      </c>
      <c r="W29" s="401">
        <v>0</v>
      </c>
      <c r="X29" s="407">
        <f>IF(timePeriod="2020-30",IF('Merit calculation'!$BV$72&gt;=TRLthreshold,1,0),IF('Merit calculation'!$BX$72&gt;=TRLthreshold,1,0))</f>
        <v>1</v>
      </c>
      <c r="Y29" s="407">
        <f>IF(timePeriod="2020-30",IF('Merit calculation'!$BV$72&gt;=TRLthreshold,1,0),IF('Merit calculation'!$BX$72&gt;=TRLthreshold,1,0))</f>
        <v>1</v>
      </c>
      <c r="Z29" s="407">
        <f>IF(timePeriod="2020-30",IF('Merit calculation'!$BV$72&gt;=TRLthreshold,1,0),IF('Merit calculation'!$BX$72&gt;=TRLthreshold,1,0))</f>
        <v>1</v>
      </c>
      <c r="AA29" s="401">
        <v>0</v>
      </c>
      <c r="AB29" s="401">
        <v>0</v>
      </c>
      <c r="AC29" s="401">
        <v>0</v>
      </c>
      <c r="AD29" s="407">
        <f>IF(timePeriod="2020-30",IF('Merit calculation'!$BV$72&gt;=TRLthreshold,1,0),IF('Merit calculation'!$BX$72&gt;=TRLthreshold,1,0))</f>
        <v>1</v>
      </c>
      <c r="AE29" s="401">
        <v>0</v>
      </c>
      <c r="AF29" s="401">
        <v>0</v>
      </c>
      <c r="AG29" s="401">
        <v>0</v>
      </c>
      <c r="AH29" s="401">
        <v>0</v>
      </c>
      <c r="AI29" s="401">
        <v>0</v>
      </c>
      <c r="AJ29" s="403"/>
      <c r="AK29" s="404"/>
      <c r="AL29" s="404"/>
      <c r="AM29" s="406"/>
      <c r="AN29" s="265">
        <f t="shared" si="0"/>
        <v>6</v>
      </c>
    </row>
    <row r="30" spans="1:40" x14ac:dyDescent="0.25">
      <c r="A30">
        <v>73</v>
      </c>
      <c r="B30" s="491"/>
      <c r="C30" s="420" t="s">
        <v>180</v>
      </c>
      <c r="D30" s="403"/>
      <c r="E30" s="404"/>
      <c r="F30" s="404"/>
      <c r="G30" s="404"/>
      <c r="H30" s="406"/>
      <c r="I30" s="403"/>
      <c r="J30" s="404"/>
      <c r="K30" s="404"/>
      <c r="L30" s="405"/>
      <c r="M30" s="405"/>
      <c r="N30" s="404"/>
      <c r="O30" s="406"/>
      <c r="P30" s="433">
        <v>0</v>
      </c>
      <c r="Q30" s="434">
        <v>0</v>
      </c>
      <c r="R30" s="435">
        <v>1</v>
      </c>
      <c r="S30" s="434">
        <v>0</v>
      </c>
      <c r="T30" s="435">
        <v>1</v>
      </c>
      <c r="U30" s="435">
        <v>1</v>
      </c>
      <c r="V30" s="435">
        <v>1</v>
      </c>
      <c r="W30" s="435">
        <v>1</v>
      </c>
      <c r="X30" s="434">
        <v>0</v>
      </c>
      <c r="Y30" s="434">
        <v>0</v>
      </c>
      <c r="Z30" s="434">
        <v>0</v>
      </c>
      <c r="AA30" s="435">
        <v>1</v>
      </c>
      <c r="AB30" s="434">
        <v>0</v>
      </c>
      <c r="AC30" s="435">
        <v>1</v>
      </c>
      <c r="AD30" s="434">
        <v>0</v>
      </c>
      <c r="AE30" s="435">
        <v>1</v>
      </c>
      <c r="AF30" s="435">
        <v>1</v>
      </c>
      <c r="AG30" s="435">
        <v>1</v>
      </c>
      <c r="AH30" s="435">
        <v>1</v>
      </c>
      <c r="AI30" s="435">
        <v>1</v>
      </c>
      <c r="AJ30" s="403"/>
      <c r="AK30" s="404"/>
      <c r="AL30" s="404"/>
      <c r="AM30" s="406"/>
      <c r="AN30" s="265">
        <f t="shared" si="0"/>
        <v>12</v>
      </c>
    </row>
    <row r="31" spans="1:40" x14ac:dyDescent="0.25">
      <c r="A31">
        <v>90</v>
      </c>
      <c r="B31" s="488" t="s">
        <v>405</v>
      </c>
      <c r="C31" s="63" t="s">
        <v>570</v>
      </c>
      <c r="D31" s="395"/>
      <c r="E31" s="396"/>
      <c r="F31" s="396"/>
      <c r="G31" s="396"/>
      <c r="H31" s="398"/>
      <c r="I31" s="395"/>
      <c r="J31" s="396"/>
      <c r="K31" s="396"/>
      <c r="L31" s="397"/>
      <c r="M31" s="397"/>
      <c r="N31" s="396"/>
      <c r="O31" s="398"/>
      <c r="P31" s="395"/>
      <c r="Q31" s="396"/>
      <c r="R31" s="396"/>
      <c r="S31" s="396"/>
      <c r="T31" s="396"/>
      <c r="U31" s="397"/>
      <c r="V31" s="397"/>
      <c r="W31" s="397"/>
      <c r="X31" s="396"/>
      <c r="Y31" s="396"/>
      <c r="Z31" s="396"/>
      <c r="AA31" s="396"/>
      <c r="AB31" s="396"/>
      <c r="AC31" s="396"/>
      <c r="AD31" s="396"/>
      <c r="AE31" s="396"/>
      <c r="AF31" s="397"/>
      <c r="AG31" s="397"/>
      <c r="AH31" s="397"/>
      <c r="AI31" s="436"/>
      <c r="AJ31" s="422">
        <v>0</v>
      </c>
      <c r="AK31" s="393">
        <v>0</v>
      </c>
      <c r="AL31" s="423">
        <f>IF(timePeriod="2020-30",IF('Merit calculation'!$BV$90&gt;=TRLthreshold,1,0),IF('Merit calculation'!$BX$90&gt;=TRLthreshold,1,0))</f>
        <v>1</v>
      </c>
      <c r="AM31" s="394">
        <v>0</v>
      </c>
      <c r="AN31" s="265">
        <f t="shared" si="0"/>
        <v>1</v>
      </c>
    </row>
    <row r="32" spans="1:40" x14ac:dyDescent="0.25">
      <c r="A32">
        <v>91</v>
      </c>
      <c r="B32" s="489"/>
      <c r="C32" s="63" t="s">
        <v>543</v>
      </c>
      <c r="D32" s="403"/>
      <c r="E32" s="404"/>
      <c r="F32" s="404"/>
      <c r="G32" s="404"/>
      <c r="H32" s="406"/>
      <c r="I32" s="403"/>
      <c r="J32" s="404"/>
      <c r="K32" s="404"/>
      <c r="L32" s="405"/>
      <c r="M32" s="405"/>
      <c r="N32" s="404"/>
      <c r="O32" s="406"/>
      <c r="P32" s="403"/>
      <c r="Q32" s="404"/>
      <c r="R32" s="404"/>
      <c r="S32" s="404"/>
      <c r="T32" s="404"/>
      <c r="U32" s="405"/>
      <c r="V32" s="405"/>
      <c r="W32" s="405"/>
      <c r="X32" s="404"/>
      <c r="Y32" s="404"/>
      <c r="Z32" s="404"/>
      <c r="AA32" s="404"/>
      <c r="AB32" s="404"/>
      <c r="AC32" s="404"/>
      <c r="AD32" s="404"/>
      <c r="AE32" s="404"/>
      <c r="AF32" s="405"/>
      <c r="AG32" s="405"/>
      <c r="AH32" s="405"/>
      <c r="AI32" s="437"/>
      <c r="AJ32" s="399">
        <v>0</v>
      </c>
      <c r="AK32" s="401">
        <v>0</v>
      </c>
      <c r="AL32" s="401">
        <v>0</v>
      </c>
      <c r="AM32" s="426">
        <f>IF(timePeriod="2020-30",IF('Merit calculation'!$BV$91&gt;=TRLthreshold,1,0),IF('Merit calculation'!$BX$91&gt;=TRLthreshold,1,0))</f>
        <v>0</v>
      </c>
      <c r="AN32" s="265">
        <f t="shared" si="0"/>
        <v>0</v>
      </c>
    </row>
    <row r="33" spans="1:40" x14ac:dyDescent="0.25">
      <c r="A33">
        <v>92</v>
      </c>
      <c r="B33" s="489"/>
      <c r="C33" s="63" t="s">
        <v>553</v>
      </c>
      <c r="D33" s="403"/>
      <c r="E33" s="404"/>
      <c r="F33" s="404"/>
      <c r="G33" s="404"/>
      <c r="H33" s="406"/>
      <c r="I33" s="403"/>
      <c r="J33" s="404"/>
      <c r="K33" s="404"/>
      <c r="L33" s="405"/>
      <c r="M33" s="405"/>
      <c r="N33" s="404"/>
      <c r="O33" s="406"/>
      <c r="P33" s="403"/>
      <c r="Q33" s="404"/>
      <c r="R33" s="404"/>
      <c r="S33" s="404"/>
      <c r="T33" s="404"/>
      <c r="U33" s="405"/>
      <c r="V33" s="405"/>
      <c r="W33" s="405"/>
      <c r="X33" s="404"/>
      <c r="Y33" s="404"/>
      <c r="Z33" s="404"/>
      <c r="AA33" s="404"/>
      <c r="AB33" s="404"/>
      <c r="AC33" s="404"/>
      <c r="AD33" s="404"/>
      <c r="AE33" s="404"/>
      <c r="AF33" s="405"/>
      <c r="AG33" s="405"/>
      <c r="AH33" s="405"/>
      <c r="AI33" s="437"/>
      <c r="AJ33" s="399">
        <v>0</v>
      </c>
      <c r="AK33" s="401">
        <v>0</v>
      </c>
      <c r="AL33" s="401">
        <v>0</v>
      </c>
      <c r="AM33" s="426">
        <f>IF(timePeriod="2020-30",IF('Merit calculation'!$BV$92&gt;=TRLthreshold,1,0),IF('Merit calculation'!$BX$92&gt;=TRLthreshold,1,0))</f>
        <v>1</v>
      </c>
      <c r="AN33" s="265">
        <f t="shared" si="0"/>
        <v>1</v>
      </c>
    </row>
    <row r="34" spans="1:40" x14ac:dyDescent="0.25">
      <c r="A34">
        <v>93</v>
      </c>
      <c r="B34" s="489"/>
      <c r="C34" s="63" t="s">
        <v>552</v>
      </c>
      <c r="D34" s="403"/>
      <c r="E34" s="404"/>
      <c r="F34" s="404"/>
      <c r="G34" s="404"/>
      <c r="H34" s="406"/>
      <c r="I34" s="403"/>
      <c r="J34" s="404"/>
      <c r="K34" s="404"/>
      <c r="L34" s="405"/>
      <c r="M34" s="405"/>
      <c r="N34" s="404"/>
      <c r="O34" s="406"/>
      <c r="P34" s="403"/>
      <c r="Q34" s="404"/>
      <c r="R34" s="404"/>
      <c r="S34" s="404"/>
      <c r="T34" s="404"/>
      <c r="U34" s="405"/>
      <c r="V34" s="405"/>
      <c r="W34" s="405"/>
      <c r="X34" s="404"/>
      <c r="Y34" s="404"/>
      <c r="Z34" s="404"/>
      <c r="AA34" s="404"/>
      <c r="AB34" s="404"/>
      <c r="AC34" s="404"/>
      <c r="AD34" s="404"/>
      <c r="AE34" s="404"/>
      <c r="AF34" s="405"/>
      <c r="AG34" s="405"/>
      <c r="AH34" s="405"/>
      <c r="AI34" s="437"/>
      <c r="AJ34" s="399">
        <v>0</v>
      </c>
      <c r="AK34" s="401">
        <v>0</v>
      </c>
      <c r="AL34" s="401">
        <v>0</v>
      </c>
      <c r="AM34" s="426">
        <f>IF(timePeriod="2020-30",IF('Merit calculation'!$BV$93&gt;=TRLthreshold,1,0),IF('Merit calculation'!$BX$93&gt;=TRLthreshold,1,0))</f>
        <v>1</v>
      </c>
      <c r="AN34" s="265">
        <f t="shared" si="0"/>
        <v>1</v>
      </c>
    </row>
    <row r="35" spans="1:40" x14ac:dyDescent="0.25">
      <c r="A35">
        <v>94</v>
      </c>
      <c r="B35" s="489"/>
      <c r="C35" s="63" t="s">
        <v>554</v>
      </c>
      <c r="D35" s="403"/>
      <c r="E35" s="404"/>
      <c r="F35" s="404"/>
      <c r="G35" s="404"/>
      <c r="H35" s="406"/>
      <c r="I35" s="403"/>
      <c r="J35" s="404"/>
      <c r="K35" s="404"/>
      <c r="L35" s="405"/>
      <c r="M35" s="405"/>
      <c r="N35" s="404"/>
      <c r="O35" s="406"/>
      <c r="P35" s="403"/>
      <c r="Q35" s="404"/>
      <c r="R35" s="404"/>
      <c r="S35" s="404"/>
      <c r="T35" s="404"/>
      <c r="U35" s="405"/>
      <c r="V35" s="405"/>
      <c r="W35" s="405"/>
      <c r="X35" s="404"/>
      <c r="Y35" s="404"/>
      <c r="Z35" s="404"/>
      <c r="AA35" s="404"/>
      <c r="AB35" s="404"/>
      <c r="AC35" s="404"/>
      <c r="AD35" s="404"/>
      <c r="AE35" s="404"/>
      <c r="AF35" s="405"/>
      <c r="AG35" s="405"/>
      <c r="AH35" s="405"/>
      <c r="AI35" s="437"/>
      <c r="AJ35" s="399">
        <v>0</v>
      </c>
      <c r="AK35" s="401">
        <v>0</v>
      </c>
      <c r="AL35" s="401">
        <v>0</v>
      </c>
      <c r="AM35" s="426">
        <f>IF(timePeriod="2020-30",IF('Merit calculation'!$BV$94&gt;=TRLthreshold,1,0),IF('Merit calculation'!$BX$94&gt;=TRLthreshold,1,0))</f>
        <v>1</v>
      </c>
      <c r="AN35" s="265">
        <f t="shared" si="0"/>
        <v>1</v>
      </c>
    </row>
    <row r="36" spans="1:40" x14ac:dyDescent="0.25">
      <c r="A36">
        <v>117</v>
      </c>
      <c r="B36" s="489"/>
      <c r="C36" t="s">
        <v>443</v>
      </c>
      <c r="D36" s="403"/>
      <c r="E36" s="404"/>
      <c r="F36" s="404"/>
      <c r="G36" s="404"/>
      <c r="H36" s="406"/>
      <c r="I36" s="403"/>
      <c r="J36" s="404"/>
      <c r="K36" s="404"/>
      <c r="L36" s="405"/>
      <c r="M36" s="405"/>
      <c r="N36" s="404"/>
      <c r="O36" s="406"/>
      <c r="P36" s="403"/>
      <c r="Q36" s="404"/>
      <c r="R36" s="404"/>
      <c r="S36" s="404"/>
      <c r="T36" s="404"/>
      <c r="U36" s="405"/>
      <c r="V36" s="405"/>
      <c r="W36" s="405"/>
      <c r="X36" s="404"/>
      <c r="Y36" s="404"/>
      <c r="Z36" s="404"/>
      <c r="AA36" s="404"/>
      <c r="AB36" s="404"/>
      <c r="AC36" s="404"/>
      <c r="AD36" s="404"/>
      <c r="AE36" s="404"/>
      <c r="AF36" s="405"/>
      <c r="AG36" s="405"/>
      <c r="AH36" s="405"/>
      <c r="AI36" s="437"/>
      <c r="AJ36" s="399">
        <v>0</v>
      </c>
      <c r="AK36" s="401">
        <v>0</v>
      </c>
      <c r="AL36" s="407">
        <f>IF(timePeriod="2020-30",IF('Merit calculation'!$BV$117&gt;=TRLthreshold,1,0),IF('Merit calculation'!$BX$117&gt;=TRLthreshold,1,0))</f>
        <v>1</v>
      </c>
      <c r="AM36" s="402">
        <v>0</v>
      </c>
      <c r="AN36" s="265">
        <f t="shared" si="0"/>
        <v>1</v>
      </c>
    </row>
    <row r="37" spans="1:40" x14ac:dyDescent="0.25">
      <c r="A37">
        <v>118</v>
      </c>
      <c r="B37" s="489"/>
      <c r="C37" t="s">
        <v>444</v>
      </c>
      <c r="D37" s="403"/>
      <c r="E37" s="404"/>
      <c r="F37" s="404"/>
      <c r="G37" s="404"/>
      <c r="H37" s="406"/>
      <c r="I37" s="403"/>
      <c r="J37" s="404"/>
      <c r="K37" s="404"/>
      <c r="L37" s="405"/>
      <c r="M37" s="405"/>
      <c r="N37" s="404"/>
      <c r="O37" s="406"/>
      <c r="P37" s="403"/>
      <c r="Q37" s="404"/>
      <c r="R37" s="404"/>
      <c r="S37" s="404"/>
      <c r="T37" s="404"/>
      <c r="U37" s="405"/>
      <c r="V37" s="405"/>
      <c r="W37" s="405"/>
      <c r="X37" s="404"/>
      <c r="Y37" s="404"/>
      <c r="Z37" s="404"/>
      <c r="AA37" s="404"/>
      <c r="AB37" s="404"/>
      <c r="AC37" s="404"/>
      <c r="AD37" s="404"/>
      <c r="AE37" s="404"/>
      <c r="AF37" s="405"/>
      <c r="AG37" s="405"/>
      <c r="AH37" s="405"/>
      <c r="AI37" s="437"/>
      <c r="AJ37" s="399">
        <v>0</v>
      </c>
      <c r="AK37" s="401">
        <v>0</v>
      </c>
      <c r="AL37" s="401">
        <v>0</v>
      </c>
      <c r="AM37" s="426">
        <f>IF(timePeriod="2020-30",IF('Merit calculation'!$BV$118&gt;=TRLthreshold,1,0),IF('Merit calculation'!$BX$118&gt;=TRLthreshold,1,0))</f>
        <v>1</v>
      </c>
      <c r="AN37" s="265">
        <f t="shared" si="0"/>
        <v>1</v>
      </c>
    </row>
    <row r="38" spans="1:40" x14ac:dyDescent="0.25">
      <c r="A38">
        <v>119</v>
      </c>
      <c r="B38" s="489"/>
      <c r="C38" t="s">
        <v>446</v>
      </c>
      <c r="D38" s="403"/>
      <c r="E38" s="404"/>
      <c r="F38" s="404"/>
      <c r="G38" s="404"/>
      <c r="H38" s="406"/>
      <c r="I38" s="403"/>
      <c r="J38" s="404"/>
      <c r="K38" s="404"/>
      <c r="L38" s="405"/>
      <c r="M38" s="405"/>
      <c r="N38" s="404"/>
      <c r="O38" s="406"/>
      <c r="P38" s="403"/>
      <c r="Q38" s="404"/>
      <c r="R38" s="404"/>
      <c r="S38" s="404"/>
      <c r="T38" s="404"/>
      <c r="U38" s="405"/>
      <c r="V38" s="405"/>
      <c r="W38" s="405"/>
      <c r="X38" s="404"/>
      <c r="Y38" s="404"/>
      <c r="Z38" s="404"/>
      <c r="AA38" s="404"/>
      <c r="AB38" s="404"/>
      <c r="AC38" s="404"/>
      <c r="AD38" s="404"/>
      <c r="AE38" s="404"/>
      <c r="AF38" s="405"/>
      <c r="AG38" s="405"/>
      <c r="AH38" s="405"/>
      <c r="AI38" s="437"/>
      <c r="AJ38" s="399">
        <v>0</v>
      </c>
      <c r="AK38" s="401">
        <v>0</v>
      </c>
      <c r="AL38" s="401">
        <v>0</v>
      </c>
      <c r="AM38" s="426">
        <f>IF(timePeriod="2020-30",IF('Merit calculation'!$BV$119&gt;=TRLthreshold,1,0),IF('Merit calculation'!$BX$119&gt;=TRLthreshold,1,0))</f>
        <v>1</v>
      </c>
      <c r="AN38" s="265">
        <f t="shared" si="0"/>
        <v>1</v>
      </c>
    </row>
    <row r="39" spans="1:40" ht="15" customHeight="1" x14ac:dyDescent="0.25">
      <c r="A39">
        <v>96</v>
      </c>
      <c r="B39" s="489"/>
      <c r="C39" s="62" t="s">
        <v>162</v>
      </c>
      <c r="D39" s="403"/>
      <c r="E39" s="404"/>
      <c r="F39" s="404"/>
      <c r="G39" s="404"/>
      <c r="H39" s="406"/>
      <c r="I39" s="403"/>
      <c r="J39" s="404"/>
      <c r="K39" s="404"/>
      <c r="L39" s="405"/>
      <c r="M39" s="405"/>
      <c r="N39" s="404"/>
      <c r="O39" s="406"/>
      <c r="P39" s="403"/>
      <c r="Q39" s="404"/>
      <c r="R39" s="404"/>
      <c r="S39" s="404"/>
      <c r="T39" s="404"/>
      <c r="U39" s="405"/>
      <c r="V39" s="405"/>
      <c r="W39" s="405"/>
      <c r="X39" s="404"/>
      <c r="Y39" s="404"/>
      <c r="Z39" s="404"/>
      <c r="AA39" s="404"/>
      <c r="AB39" s="404"/>
      <c r="AC39" s="404"/>
      <c r="AD39" s="404"/>
      <c r="AE39" s="404"/>
      <c r="AF39" s="405"/>
      <c r="AG39" s="405"/>
      <c r="AH39" s="405"/>
      <c r="AI39" s="437"/>
      <c r="AJ39" s="408">
        <f>IF(timePeriod="2020-30",IF(AND('Merit calculation'!$BV$96&gt;=TRLthreshold,H2use="high"),1,0),IF(AND('Merit calculation'!$BX$96&gt;=TRLthreshold,H2use="high"),1,0))</f>
        <v>0</v>
      </c>
      <c r="AK39" s="401">
        <v>0</v>
      </c>
      <c r="AL39" s="401">
        <v>0</v>
      </c>
      <c r="AM39" s="402">
        <v>0</v>
      </c>
      <c r="AN39" s="265">
        <f t="shared" si="0"/>
        <v>0</v>
      </c>
    </row>
    <row r="40" spans="1:40" x14ac:dyDescent="0.25">
      <c r="A40">
        <v>97</v>
      </c>
      <c r="B40" s="489"/>
      <c r="C40" s="62" t="s">
        <v>163</v>
      </c>
      <c r="D40" s="403"/>
      <c r="E40" s="404"/>
      <c r="F40" s="404"/>
      <c r="G40" s="404"/>
      <c r="H40" s="406"/>
      <c r="I40" s="403"/>
      <c r="J40" s="404"/>
      <c r="K40" s="404"/>
      <c r="L40" s="405"/>
      <c r="M40" s="405"/>
      <c r="N40" s="404"/>
      <c r="O40" s="406"/>
      <c r="P40" s="403"/>
      <c r="Q40" s="404"/>
      <c r="R40" s="404"/>
      <c r="S40" s="404"/>
      <c r="T40" s="404"/>
      <c r="U40" s="405"/>
      <c r="V40" s="405"/>
      <c r="W40" s="405"/>
      <c r="X40" s="404"/>
      <c r="Y40" s="404"/>
      <c r="Z40" s="404"/>
      <c r="AA40" s="404"/>
      <c r="AB40" s="404"/>
      <c r="AC40" s="404"/>
      <c r="AD40" s="404"/>
      <c r="AE40" s="404"/>
      <c r="AF40" s="405"/>
      <c r="AG40" s="405"/>
      <c r="AH40" s="405"/>
      <c r="AI40" s="437"/>
      <c r="AJ40" s="408">
        <f>IF(timePeriod="2020-30",IF(AND('Merit calculation'!$BV$97&gt;=TRLthreshold,H2use="high"),1,0),IF(AND('Merit calculation'!$BX$97&gt;=TRLthreshold,H2use="high"),1,0))</f>
        <v>0</v>
      </c>
      <c r="AK40" s="401">
        <v>0</v>
      </c>
      <c r="AL40" s="401">
        <v>0</v>
      </c>
      <c r="AM40" s="402">
        <v>0</v>
      </c>
      <c r="AN40" s="265">
        <f t="shared" si="0"/>
        <v>0</v>
      </c>
    </row>
    <row r="41" spans="1:40" x14ac:dyDescent="0.25">
      <c r="A41">
        <v>98</v>
      </c>
      <c r="B41" s="489"/>
      <c r="C41" s="62" t="s">
        <v>164</v>
      </c>
      <c r="D41" s="403"/>
      <c r="E41" s="404"/>
      <c r="F41" s="404"/>
      <c r="G41" s="404"/>
      <c r="H41" s="406"/>
      <c r="I41" s="403"/>
      <c r="J41" s="404"/>
      <c r="K41" s="404"/>
      <c r="L41" s="405"/>
      <c r="M41" s="405"/>
      <c r="N41" s="404"/>
      <c r="O41" s="406"/>
      <c r="P41" s="403"/>
      <c r="Q41" s="404"/>
      <c r="R41" s="404"/>
      <c r="S41" s="404"/>
      <c r="T41" s="404"/>
      <c r="U41" s="405"/>
      <c r="V41" s="405"/>
      <c r="W41" s="405"/>
      <c r="X41" s="404"/>
      <c r="Y41" s="404"/>
      <c r="Z41" s="404"/>
      <c r="AA41" s="404"/>
      <c r="AB41" s="404"/>
      <c r="AC41" s="404"/>
      <c r="AD41" s="404"/>
      <c r="AE41" s="404"/>
      <c r="AF41" s="405"/>
      <c r="AG41" s="405"/>
      <c r="AH41" s="405"/>
      <c r="AI41" s="437"/>
      <c r="AJ41" s="399">
        <v>0</v>
      </c>
      <c r="AK41" s="407">
        <f>IF(timePeriod="2020-30",IF('Merit calculation'!$BV$98&gt;=TRLthreshold,1,0),IF('Merit calculation'!$BX$98&gt;=TRLthreshold,1,0))</f>
        <v>1</v>
      </c>
      <c r="AL41" s="401">
        <v>0</v>
      </c>
      <c r="AM41" s="402">
        <v>0</v>
      </c>
      <c r="AN41" s="265">
        <f t="shared" si="0"/>
        <v>1</v>
      </c>
    </row>
    <row r="42" spans="1:40" x14ac:dyDescent="0.25">
      <c r="A42">
        <v>99</v>
      </c>
      <c r="B42" s="489"/>
      <c r="C42" s="62" t="s">
        <v>165</v>
      </c>
      <c r="D42" s="403"/>
      <c r="E42" s="404"/>
      <c r="F42" s="404"/>
      <c r="G42" s="404"/>
      <c r="H42" s="406"/>
      <c r="I42" s="403"/>
      <c r="J42" s="404"/>
      <c r="K42" s="404"/>
      <c r="L42" s="405"/>
      <c r="M42" s="405"/>
      <c r="N42" s="404"/>
      <c r="O42" s="406"/>
      <c r="P42" s="403"/>
      <c r="Q42" s="404"/>
      <c r="R42" s="404"/>
      <c r="S42" s="404"/>
      <c r="T42" s="404"/>
      <c r="U42" s="405"/>
      <c r="V42" s="405"/>
      <c r="W42" s="405"/>
      <c r="X42" s="404"/>
      <c r="Y42" s="404"/>
      <c r="Z42" s="404"/>
      <c r="AA42" s="404"/>
      <c r="AB42" s="404"/>
      <c r="AC42" s="404"/>
      <c r="AD42" s="404"/>
      <c r="AE42" s="404"/>
      <c r="AF42" s="405"/>
      <c r="AG42" s="405"/>
      <c r="AH42" s="405"/>
      <c r="AI42" s="437"/>
      <c r="AJ42" s="399">
        <v>0</v>
      </c>
      <c r="AK42" s="407">
        <f>IF(timePeriod="2020-30",IF('Merit calculation'!$BV$99&gt;=TRLthreshold,1,0),IF('Merit calculation'!$BX$99&gt;=TRLthreshold,1,0))</f>
        <v>1</v>
      </c>
      <c r="AL42" s="401">
        <v>0</v>
      </c>
      <c r="AM42" s="402">
        <v>0</v>
      </c>
      <c r="AN42" s="265">
        <f t="shared" si="0"/>
        <v>1</v>
      </c>
    </row>
    <row r="43" spans="1:40" x14ac:dyDescent="0.25">
      <c r="A43">
        <v>100</v>
      </c>
      <c r="B43" s="489"/>
      <c r="C43" s="63" t="s">
        <v>555</v>
      </c>
      <c r="D43" s="403"/>
      <c r="E43" s="404"/>
      <c r="F43" s="404"/>
      <c r="G43" s="404"/>
      <c r="H43" s="406"/>
      <c r="I43" s="403"/>
      <c r="J43" s="404"/>
      <c r="K43" s="404"/>
      <c r="L43" s="405"/>
      <c r="M43" s="405"/>
      <c r="N43" s="404"/>
      <c r="O43" s="406"/>
      <c r="P43" s="403"/>
      <c r="Q43" s="404"/>
      <c r="R43" s="404"/>
      <c r="S43" s="404"/>
      <c r="T43" s="404"/>
      <c r="U43" s="405"/>
      <c r="V43" s="405"/>
      <c r="W43" s="405"/>
      <c r="X43" s="404"/>
      <c r="Y43" s="404"/>
      <c r="Z43" s="404"/>
      <c r="AA43" s="404"/>
      <c r="AB43" s="404"/>
      <c r="AC43" s="404"/>
      <c r="AD43" s="404"/>
      <c r="AE43" s="404"/>
      <c r="AF43" s="405"/>
      <c r="AG43" s="405"/>
      <c r="AH43" s="405"/>
      <c r="AI43" s="437"/>
      <c r="AJ43" s="399">
        <v>0</v>
      </c>
      <c r="AK43" s="407">
        <f>IF(timePeriod="2020-30",IF('Merit calculation'!$BV$100&gt;=TRLthreshold,1,0),IF('Merit calculation'!$BX$100&gt;=TRLthreshold,1,0))</f>
        <v>0</v>
      </c>
      <c r="AL43" s="401">
        <v>0</v>
      </c>
      <c r="AM43" s="402">
        <v>0</v>
      </c>
      <c r="AN43" s="265">
        <f t="shared" si="0"/>
        <v>0</v>
      </c>
    </row>
    <row r="44" spans="1:40" x14ac:dyDescent="0.25">
      <c r="A44">
        <v>101</v>
      </c>
      <c r="B44" s="489"/>
      <c r="C44" s="63" t="s">
        <v>556</v>
      </c>
      <c r="D44" s="403"/>
      <c r="E44" s="404"/>
      <c r="F44" s="404"/>
      <c r="G44" s="404"/>
      <c r="H44" s="406"/>
      <c r="I44" s="403"/>
      <c r="J44" s="404"/>
      <c r="K44" s="404"/>
      <c r="L44" s="405"/>
      <c r="M44" s="405"/>
      <c r="N44" s="404"/>
      <c r="O44" s="406"/>
      <c r="P44" s="403"/>
      <c r="Q44" s="404"/>
      <c r="R44" s="404"/>
      <c r="S44" s="404"/>
      <c r="T44" s="404"/>
      <c r="U44" s="405"/>
      <c r="V44" s="405"/>
      <c r="W44" s="405"/>
      <c r="X44" s="404"/>
      <c r="Y44" s="404"/>
      <c r="Z44" s="404"/>
      <c r="AA44" s="404"/>
      <c r="AB44" s="404"/>
      <c r="AC44" s="404"/>
      <c r="AD44" s="404"/>
      <c r="AE44" s="404"/>
      <c r="AF44" s="405"/>
      <c r="AG44" s="405"/>
      <c r="AH44" s="405"/>
      <c r="AI44" s="437"/>
      <c r="AJ44" s="399">
        <v>0</v>
      </c>
      <c r="AK44" s="407">
        <f>IF(timePeriod="2020-30",IF('Merit calculation'!$BV$101&gt;=TRLthreshold,1,0),IF('Merit calculation'!$BX$101&gt;=TRLthreshold,1,0))</f>
        <v>1</v>
      </c>
      <c r="AL44" s="401">
        <v>0</v>
      </c>
      <c r="AM44" s="402">
        <v>0</v>
      </c>
      <c r="AN44" s="265">
        <f t="shared" si="0"/>
        <v>1</v>
      </c>
    </row>
    <row r="45" spans="1:40" x14ac:dyDescent="0.25">
      <c r="A45">
        <v>102</v>
      </c>
      <c r="B45" s="489"/>
      <c r="C45" s="62" t="s">
        <v>549</v>
      </c>
      <c r="D45" s="403"/>
      <c r="E45" s="404"/>
      <c r="F45" s="404"/>
      <c r="G45" s="404"/>
      <c r="H45" s="406"/>
      <c r="I45" s="403"/>
      <c r="J45" s="404"/>
      <c r="K45" s="404"/>
      <c r="L45" s="405"/>
      <c r="M45" s="405"/>
      <c r="N45" s="404"/>
      <c r="O45" s="406"/>
      <c r="P45" s="403"/>
      <c r="Q45" s="404"/>
      <c r="R45" s="404"/>
      <c r="S45" s="404"/>
      <c r="T45" s="404"/>
      <c r="U45" s="405"/>
      <c r="V45" s="405"/>
      <c r="W45" s="405"/>
      <c r="X45" s="404"/>
      <c r="Y45" s="404"/>
      <c r="Z45" s="404"/>
      <c r="AA45" s="404"/>
      <c r="AB45" s="404"/>
      <c r="AC45" s="404"/>
      <c r="AD45" s="404"/>
      <c r="AE45" s="404"/>
      <c r="AF45" s="405"/>
      <c r="AG45" s="405"/>
      <c r="AH45" s="405"/>
      <c r="AI45" s="437"/>
      <c r="AJ45" s="419">
        <f>IF(timePeriod="2020-30",IF('Merit calculation'!$BV$102&gt;=TRLthreshold,1,0),IF('Merit calculation'!$BX$102&gt;=TRLthreshold,1,0))</f>
        <v>0</v>
      </c>
      <c r="AK45" s="401">
        <v>0</v>
      </c>
      <c r="AL45" s="401">
        <v>0</v>
      </c>
      <c r="AM45" s="402">
        <v>0</v>
      </c>
      <c r="AN45" s="265">
        <f t="shared" si="0"/>
        <v>0</v>
      </c>
    </row>
    <row r="46" spans="1:40" x14ac:dyDescent="0.25">
      <c r="A46">
        <v>103</v>
      </c>
      <c r="B46" s="489"/>
      <c r="C46" s="62" t="s">
        <v>550</v>
      </c>
      <c r="D46" s="403"/>
      <c r="E46" s="404"/>
      <c r="F46" s="404"/>
      <c r="G46" s="404"/>
      <c r="H46" s="406"/>
      <c r="I46" s="403"/>
      <c r="J46" s="404"/>
      <c r="K46" s="404"/>
      <c r="L46" s="405"/>
      <c r="M46" s="405"/>
      <c r="N46" s="404"/>
      <c r="O46" s="406"/>
      <c r="P46" s="403"/>
      <c r="Q46" s="404"/>
      <c r="R46" s="404"/>
      <c r="S46" s="404"/>
      <c r="T46" s="404"/>
      <c r="U46" s="405"/>
      <c r="V46" s="405"/>
      <c r="W46" s="405"/>
      <c r="X46" s="404"/>
      <c r="Y46" s="404"/>
      <c r="Z46" s="404"/>
      <c r="AA46" s="404"/>
      <c r="AB46" s="404"/>
      <c r="AC46" s="404"/>
      <c r="AD46" s="404"/>
      <c r="AE46" s="404"/>
      <c r="AF46" s="405"/>
      <c r="AG46" s="405"/>
      <c r="AH46" s="405"/>
      <c r="AI46" s="437"/>
      <c r="AJ46" s="419">
        <f>IF(timePeriod="2020-30",IF('Merit calculation'!$BV$103&gt;=TRLthreshold,1,0),IF('Merit calculation'!$BX$103&gt;=TRLthreshold,1,0))</f>
        <v>1</v>
      </c>
      <c r="AK46" s="401">
        <v>0</v>
      </c>
      <c r="AL46" s="401">
        <v>0</v>
      </c>
      <c r="AM46" s="402">
        <v>0</v>
      </c>
      <c r="AN46" s="265">
        <f t="shared" si="0"/>
        <v>1</v>
      </c>
    </row>
    <row r="47" spans="1:40" x14ac:dyDescent="0.25">
      <c r="A47">
        <v>121</v>
      </c>
      <c r="B47" s="489"/>
      <c r="C47" s="62" t="s">
        <v>442</v>
      </c>
      <c r="D47" s="403"/>
      <c r="E47" s="404"/>
      <c r="F47" s="404"/>
      <c r="G47" s="404"/>
      <c r="H47" s="406"/>
      <c r="I47" s="403"/>
      <c r="J47" s="404"/>
      <c r="K47" s="404"/>
      <c r="L47" s="405"/>
      <c r="M47" s="405"/>
      <c r="N47" s="404"/>
      <c r="O47" s="406"/>
      <c r="P47" s="403"/>
      <c r="Q47" s="404"/>
      <c r="R47" s="404"/>
      <c r="S47" s="404"/>
      <c r="T47" s="404"/>
      <c r="U47" s="405"/>
      <c r="V47" s="405"/>
      <c r="W47" s="405"/>
      <c r="X47" s="404"/>
      <c r="Y47" s="404"/>
      <c r="Z47" s="404"/>
      <c r="AA47" s="404"/>
      <c r="AB47" s="404"/>
      <c r="AC47" s="404"/>
      <c r="AD47" s="404"/>
      <c r="AE47" s="404"/>
      <c r="AF47" s="405"/>
      <c r="AG47" s="405"/>
      <c r="AH47" s="405"/>
      <c r="AI47" s="437"/>
      <c r="AJ47" s="419">
        <f>IF(timePeriod="2020-30",IF('Merit calculation'!$BV$121&gt;=TRLthreshold,1,0),IF('Merit calculation'!$BX$121&gt;=TRLthreshold,1,0))</f>
        <v>1</v>
      </c>
      <c r="AK47" s="401">
        <v>0</v>
      </c>
      <c r="AL47" s="401">
        <v>0</v>
      </c>
      <c r="AM47" s="402">
        <v>0</v>
      </c>
      <c r="AN47" s="265">
        <f t="shared" si="0"/>
        <v>1</v>
      </c>
    </row>
    <row r="48" spans="1:40" x14ac:dyDescent="0.25">
      <c r="A48">
        <v>122</v>
      </c>
      <c r="B48" s="489"/>
      <c r="C48" s="62" t="s">
        <v>440</v>
      </c>
      <c r="D48" s="403"/>
      <c r="E48" s="404"/>
      <c r="F48" s="404"/>
      <c r="G48" s="404"/>
      <c r="H48" s="406"/>
      <c r="I48" s="403"/>
      <c r="J48" s="404"/>
      <c r="K48" s="404"/>
      <c r="L48" s="405"/>
      <c r="M48" s="405"/>
      <c r="N48" s="404"/>
      <c r="O48" s="406"/>
      <c r="P48" s="403"/>
      <c r="Q48" s="404"/>
      <c r="R48" s="404"/>
      <c r="S48" s="404"/>
      <c r="T48" s="404"/>
      <c r="U48" s="405"/>
      <c r="V48" s="405"/>
      <c r="W48" s="405"/>
      <c r="X48" s="404"/>
      <c r="Y48" s="404"/>
      <c r="Z48" s="404"/>
      <c r="AA48" s="404"/>
      <c r="AB48" s="404"/>
      <c r="AC48" s="404"/>
      <c r="AD48" s="404"/>
      <c r="AE48" s="404"/>
      <c r="AF48" s="405"/>
      <c r="AG48" s="405"/>
      <c r="AH48" s="405"/>
      <c r="AI48" s="437"/>
      <c r="AJ48" s="419">
        <f>IF(timePeriod="2020-30",IF('Merit calculation'!$BV$122&gt;=TRLthreshold,1,0),IF('Merit calculation'!$BX$122&gt;=TRLthreshold,1,0))</f>
        <v>1</v>
      </c>
      <c r="AK48" s="401">
        <v>0</v>
      </c>
      <c r="AL48" s="401">
        <v>0</v>
      </c>
      <c r="AM48" s="402">
        <v>0</v>
      </c>
      <c r="AN48" s="265">
        <f t="shared" si="0"/>
        <v>1</v>
      </c>
    </row>
    <row r="49" spans="1:40" x14ac:dyDescent="0.25">
      <c r="A49">
        <v>123</v>
      </c>
      <c r="B49" s="489"/>
      <c r="C49" s="62" t="s">
        <v>441</v>
      </c>
      <c r="D49" s="403"/>
      <c r="E49" s="404"/>
      <c r="F49" s="404"/>
      <c r="G49" s="404"/>
      <c r="H49" s="406"/>
      <c r="I49" s="403"/>
      <c r="J49" s="404"/>
      <c r="K49" s="404"/>
      <c r="L49" s="405"/>
      <c r="M49" s="405"/>
      <c r="N49" s="404"/>
      <c r="O49" s="406"/>
      <c r="P49" s="403"/>
      <c r="Q49" s="404"/>
      <c r="R49" s="404"/>
      <c r="S49" s="404"/>
      <c r="T49" s="404"/>
      <c r="U49" s="405"/>
      <c r="V49" s="405"/>
      <c r="W49" s="405"/>
      <c r="X49" s="404"/>
      <c r="Y49" s="404"/>
      <c r="Z49" s="404"/>
      <c r="AA49" s="404"/>
      <c r="AB49" s="404"/>
      <c r="AC49" s="404"/>
      <c r="AD49" s="404"/>
      <c r="AE49" s="404"/>
      <c r="AF49" s="405"/>
      <c r="AG49" s="405"/>
      <c r="AH49" s="405"/>
      <c r="AI49" s="437"/>
      <c r="AJ49" s="399">
        <v>0</v>
      </c>
      <c r="AK49" s="407">
        <f>IF(timePeriod="2020-30",IF('Merit calculation'!$BV$123&gt;=TRLthreshold,1,0),IF('Merit calculation'!$BX$123&gt;=TRLthreshold,1,0))</f>
        <v>1</v>
      </c>
      <c r="AL49" s="401">
        <v>0</v>
      </c>
      <c r="AM49" s="402">
        <v>0</v>
      </c>
      <c r="AN49" s="265">
        <f t="shared" si="0"/>
        <v>1</v>
      </c>
    </row>
    <row r="50" spans="1:40" x14ac:dyDescent="0.25">
      <c r="A50">
        <v>124</v>
      </c>
      <c r="B50" s="491"/>
      <c r="C50" s="186" t="s">
        <v>447</v>
      </c>
      <c r="D50" s="415"/>
      <c r="E50" s="416"/>
      <c r="F50" s="416"/>
      <c r="G50" s="416"/>
      <c r="H50" s="418"/>
      <c r="I50" s="415"/>
      <c r="J50" s="416"/>
      <c r="K50" s="416"/>
      <c r="L50" s="417"/>
      <c r="M50" s="417"/>
      <c r="N50" s="416"/>
      <c r="O50" s="418"/>
      <c r="P50" s="415"/>
      <c r="Q50" s="416"/>
      <c r="R50" s="416"/>
      <c r="S50" s="416"/>
      <c r="T50" s="416"/>
      <c r="U50" s="417"/>
      <c r="V50" s="417"/>
      <c r="W50" s="417"/>
      <c r="X50" s="416"/>
      <c r="Y50" s="416"/>
      <c r="Z50" s="416"/>
      <c r="AA50" s="416"/>
      <c r="AB50" s="416"/>
      <c r="AC50" s="416"/>
      <c r="AD50" s="416"/>
      <c r="AE50" s="416"/>
      <c r="AF50" s="417"/>
      <c r="AG50" s="417"/>
      <c r="AH50" s="417"/>
      <c r="AI50" s="438"/>
      <c r="AJ50" s="428">
        <f>IF(timePeriod="2020-30",IF('Merit calculation'!$BV$124&gt;=TRLthreshold,1,0),IF('Merit calculation'!$BX$124&gt;=TRLthreshold,1,0))</f>
        <v>1</v>
      </c>
      <c r="AK50" s="413">
        <v>0</v>
      </c>
      <c r="AL50" s="413">
        <v>0</v>
      </c>
      <c r="AM50" s="429">
        <v>0</v>
      </c>
      <c r="AN50" s="265">
        <f t="shared" si="0"/>
        <v>1</v>
      </c>
    </row>
    <row r="51" spans="1:40" x14ac:dyDescent="0.25">
      <c r="B51" s="21"/>
      <c r="C51" s="430" t="s">
        <v>410</v>
      </c>
      <c r="D51" s="265">
        <f t="shared" ref="D51:AL51" si="1">SUM(D7:D50)</f>
        <v>2</v>
      </c>
      <c r="E51" s="265">
        <f t="shared" si="1"/>
        <v>3</v>
      </c>
      <c r="F51" s="265">
        <f t="shared" si="1"/>
        <v>3</v>
      </c>
      <c r="G51" s="265">
        <f t="shared" si="1"/>
        <v>1</v>
      </c>
      <c r="H51" s="265">
        <f t="shared" si="1"/>
        <v>1</v>
      </c>
      <c r="I51" s="265">
        <f t="shared" si="1"/>
        <v>1</v>
      </c>
      <c r="J51" s="265">
        <f t="shared" si="1"/>
        <v>1</v>
      </c>
      <c r="K51" s="265">
        <f t="shared" si="1"/>
        <v>2</v>
      </c>
      <c r="L51" s="265">
        <f t="shared" si="1"/>
        <v>1</v>
      </c>
      <c r="M51" s="265">
        <f t="shared" si="1"/>
        <v>1</v>
      </c>
      <c r="N51" s="265">
        <f t="shared" si="1"/>
        <v>2</v>
      </c>
      <c r="O51" s="265">
        <f t="shared" si="1"/>
        <v>1</v>
      </c>
      <c r="P51" s="265">
        <f t="shared" si="1"/>
        <v>3</v>
      </c>
      <c r="Q51" s="265">
        <f t="shared" si="1"/>
        <v>2</v>
      </c>
      <c r="R51" s="265">
        <f t="shared" si="1"/>
        <v>1</v>
      </c>
      <c r="S51" s="265">
        <f t="shared" si="1"/>
        <v>3</v>
      </c>
      <c r="T51" s="265">
        <f t="shared" si="1"/>
        <v>1</v>
      </c>
      <c r="U51" s="265">
        <f t="shared" si="1"/>
        <v>1</v>
      </c>
      <c r="V51" s="265">
        <f t="shared" si="1"/>
        <v>1</v>
      </c>
      <c r="W51" s="265">
        <f t="shared" si="1"/>
        <v>1</v>
      </c>
      <c r="X51" s="265">
        <f t="shared" si="1"/>
        <v>3</v>
      </c>
      <c r="Y51" s="265">
        <f t="shared" si="1"/>
        <v>3</v>
      </c>
      <c r="Z51" s="265">
        <f t="shared" si="1"/>
        <v>2</v>
      </c>
      <c r="AA51" s="265">
        <f t="shared" si="1"/>
        <v>1</v>
      </c>
      <c r="AB51" s="265">
        <f t="shared" si="1"/>
        <v>2</v>
      </c>
      <c r="AC51" s="265">
        <f t="shared" si="1"/>
        <v>1</v>
      </c>
      <c r="AD51" s="265">
        <f t="shared" si="1"/>
        <v>3</v>
      </c>
      <c r="AE51" s="265">
        <f t="shared" si="1"/>
        <v>1</v>
      </c>
      <c r="AF51" s="265">
        <f t="shared" si="1"/>
        <v>1</v>
      </c>
      <c r="AG51" s="265">
        <f t="shared" si="1"/>
        <v>1</v>
      </c>
      <c r="AH51" s="265">
        <f t="shared" si="1"/>
        <v>1</v>
      </c>
      <c r="AI51" s="265">
        <f t="shared" si="1"/>
        <v>1</v>
      </c>
      <c r="AJ51" s="265">
        <f t="shared" si="1"/>
        <v>4</v>
      </c>
      <c r="AK51" s="265">
        <f t="shared" si="1"/>
        <v>4</v>
      </c>
      <c r="AL51" s="265">
        <f t="shared" si="1"/>
        <v>2</v>
      </c>
      <c r="AM51" s="265">
        <f>SUM(AM7:AM50)</f>
        <v>5</v>
      </c>
    </row>
    <row r="53" spans="1:40" x14ac:dyDescent="0.25">
      <c r="D53" s="432" t="s">
        <v>460</v>
      </c>
      <c r="E53" s="432"/>
      <c r="F53" s="432"/>
      <c r="G53" s="432"/>
      <c r="H53" s="432"/>
      <c r="J53" s="317" t="s">
        <v>461</v>
      </c>
      <c r="K53" s="317"/>
      <c r="L53" s="317"/>
      <c r="M53" s="317"/>
      <c r="N53" s="317"/>
      <c r="P53" s="431" t="s">
        <v>445</v>
      </c>
      <c r="Q53" s="431"/>
      <c r="R53" s="431"/>
      <c r="S53" s="431"/>
    </row>
    <row r="56" spans="1:40" x14ac:dyDescent="0.25">
      <c r="B56" t="s">
        <v>411</v>
      </c>
      <c r="D56" t="s">
        <v>412</v>
      </c>
      <c r="E56">
        <f>COUNTA(B60:B1048576)</f>
        <v>1932</v>
      </c>
    </row>
    <row r="58" spans="1:40" x14ac:dyDescent="0.25">
      <c r="B58" t="s">
        <v>413</v>
      </c>
      <c r="J58" t="s">
        <v>414</v>
      </c>
      <c r="K58" t="s">
        <v>415</v>
      </c>
      <c r="P58" t="s">
        <v>416</v>
      </c>
      <c r="T58" t="s">
        <v>435</v>
      </c>
      <c r="Z58" t="s">
        <v>436</v>
      </c>
    </row>
    <row r="59" spans="1:40" x14ac:dyDescent="0.25">
      <c r="B59" t="s">
        <v>417</v>
      </c>
      <c r="C59" t="s">
        <v>418</v>
      </c>
      <c r="D59" t="s">
        <v>175</v>
      </c>
      <c r="E59" t="s">
        <v>419</v>
      </c>
      <c r="F59" t="s">
        <v>420</v>
      </c>
      <c r="G59" t="s">
        <v>167</v>
      </c>
      <c r="H59" t="s">
        <v>421</v>
      </c>
      <c r="I59" t="s">
        <v>422</v>
      </c>
      <c r="J59" t="s">
        <v>143</v>
      </c>
      <c r="K59" t="s">
        <v>423</v>
      </c>
      <c r="L59" t="s">
        <v>424</v>
      </c>
      <c r="M59" t="s">
        <v>425</v>
      </c>
      <c r="N59" t="s">
        <v>426</v>
      </c>
      <c r="O59" t="s">
        <v>427</v>
      </c>
      <c r="P59" t="s">
        <v>428</v>
      </c>
      <c r="Q59" t="s">
        <v>429</v>
      </c>
      <c r="R59" t="s">
        <v>430</v>
      </c>
      <c r="S59" t="s">
        <v>431</v>
      </c>
      <c r="T59" t="s">
        <v>418</v>
      </c>
      <c r="U59" t="s">
        <v>175</v>
      </c>
      <c r="V59" t="s">
        <v>419</v>
      </c>
      <c r="W59" t="s">
        <v>437</v>
      </c>
      <c r="X59" t="s">
        <v>438</v>
      </c>
      <c r="Y59" t="s">
        <v>439</v>
      </c>
      <c r="Z59" t="s">
        <v>168</v>
      </c>
      <c r="AA59" t="s">
        <v>167</v>
      </c>
      <c r="AB59" t="s">
        <v>143</v>
      </c>
      <c r="AC59" t="s">
        <v>144</v>
      </c>
      <c r="AD59" t="s">
        <v>325</v>
      </c>
      <c r="AE59" t="s">
        <v>326</v>
      </c>
      <c r="AF59" t="s">
        <v>327</v>
      </c>
    </row>
    <row r="60" spans="1:40" x14ac:dyDescent="0.25">
      <c r="B60" t="s">
        <v>117</v>
      </c>
      <c r="C60" t="s">
        <v>53</v>
      </c>
      <c r="D60" t="s">
        <v>155</v>
      </c>
      <c r="E60" t="s">
        <v>157</v>
      </c>
      <c r="F60" t="s">
        <v>570</v>
      </c>
      <c r="G60" t="s">
        <v>120</v>
      </c>
      <c r="H60" t="s">
        <v>432</v>
      </c>
      <c r="I60" t="s">
        <v>32</v>
      </c>
      <c r="J60" t="s">
        <v>329</v>
      </c>
      <c r="K60">
        <f t="shared" ref="K60:K67" si="2">SUMPRODUCT(($C$7:$C$18=$C60)*($D$6:$H$6=$D60)*($D$7:$H$18))</f>
        <v>0</v>
      </c>
      <c r="L60">
        <f t="shared" ref="L60:L67" si="3">SUMPRODUCT(($C$19:$C$23=$D60)*($I$6:$O$6=$E60)*($I$19:$O$23))</f>
        <v>1</v>
      </c>
      <c r="M60">
        <f t="shared" ref="M60:M67" si="4">SUMPRODUCT(($C$24:$C$30=$E60)*($P$6:$AI$6=$F60)*($P$24:$AI$30))</f>
        <v>0</v>
      </c>
      <c r="N60">
        <f t="shared" ref="N60:N67" si="5">SUMPRODUCT(($C$31:$C$50=$F60)*($AJ$6:$AM$6=$G60)*($AJ$31:$AM$50))</f>
        <v>1</v>
      </c>
      <c r="O60">
        <f t="shared" ref="O60:O67" si="6">K60+L60+M60+N60</f>
        <v>2</v>
      </c>
      <c r="P60" t="str">
        <f t="shared" ref="P60:P67" si="7">CONCATENATE(C60,"-",J60)</f>
        <v>Medium centralized biomass gasification-CO2 emissions</v>
      </c>
      <c r="Q60" t="str">
        <f t="shared" ref="Q60:Q67" si="8">CONCATENATE(D60,"-",J60)</f>
        <v>Central gas storage-CO2 emissions</v>
      </c>
      <c r="R60" t="str">
        <f t="shared" ref="R60:R67" si="9">CONCATENATE(E60,"-",J60)</f>
        <v>Blending in natural gas pipeline-CO2 emissions</v>
      </c>
      <c r="S60" t="str">
        <f t="shared" ref="S60:S67" si="10">CONCATENATE(F60,"-",J60)</f>
        <v>Industrial H2 boiler-CO2 emissions</v>
      </c>
      <c r="T60">
        <f ca="1">IF(timePeriod="2020-30",(VLOOKUP($P60,'TA database'!$I$8:$J$79,2,FALSE)/VLOOKUP($D60,'Merit calculation'!$B$48:$I$52,5,FALSE)/VLOOKUP($E60,'Merit calculation'!$B$67:$I$73,5,FALSE)/VLOOKUP($F60,'Merit calculation'!$B$90:$I$103,5,FALSE)/energyContentH2),(VLOOKUP($P60,'TA database'!$I$8:$J$79,2,FALSE)/VLOOKUP($D60,'Merit calculation'!$B$48:$I$52,7,FALSE)/VLOOKUP($E60,'Merit calculation'!$B$67:$I$73,7,FALSE)/VLOOKUP($F60,'Merit calculation'!$B$90:$I$103,7,FALSE)/energyContentH2))</f>
        <v>0</v>
      </c>
      <c r="U60">
        <v>0</v>
      </c>
      <c r="V60">
        <v>0</v>
      </c>
      <c r="W60">
        <f ca="1">IFERROR(VLOOKUP($S60,'TA database'!$I$146:$J$193,2,FALSE),0)</f>
        <v>0</v>
      </c>
      <c r="X60">
        <f>IFERROR(VLOOKUP($S60,'TA database'!$I$200:$J$271,2,FALSE),0)</f>
        <v>0</v>
      </c>
      <c r="Y60">
        <f t="shared" ref="Y60:Y67" ca="1" si="11">IF($W60=0,T60*3.6+X60,T60+W60)</f>
        <v>0</v>
      </c>
      <c r="Z60" t="str">
        <f t="shared" ref="Z60:Z67" si="12">CONCATENATE(AG60,"   →   ",AH60,"   →   ",AI60,"   →   ",AJ60)</f>
        <v>BIO_GSF_MED_C   →   C_GAS_STRG   →   H2_BLND_NG_P   →   H2_IND_BOIL_HEAT</v>
      </c>
      <c r="AA60" t="str">
        <f t="shared" ref="AA60:AA67" si="13">G60</f>
        <v>Industrial heat</v>
      </c>
      <c r="AB60" t="str">
        <f t="shared" ref="AB60:AB67" si="14">J60</f>
        <v>CO2 emissions</v>
      </c>
      <c r="AC60">
        <f t="shared" ref="AC60:AC67" ca="1" si="15">Y60</f>
        <v>0</v>
      </c>
      <c r="AD60">
        <v>1</v>
      </c>
      <c r="AE60" t="str">
        <f>IF(AND(ISNUMBER(SEARCH(O60,4)),ISNUMBER(SEARCH('(4) FCH pathway assessment'!$B$16,AB60)),ISNUMBER(SEARCH('(4) FCH pathway assessment'!$B$10,AA60))),AD60,"")</f>
        <v/>
      </c>
      <c r="AF60">
        <f t="shared" ref="AF60:AF123" si="16">IFERROR(SMALL($AE$60:$AE$1991,AD60),"")</f>
        <v>623</v>
      </c>
      <c r="AG60" t="str">
        <f>VLOOKUP(C60,Assumptions!$B$116:$C$162,2,FALSE)</f>
        <v>BIO_GSF_MED_C</v>
      </c>
      <c r="AH60" t="str">
        <f>VLOOKUP(D60,Assumptions!$B$116:$C$162,2,FALSE)</f>
        <v>C_GAS_STRG</v>
      </c>
      <c r="AI60" t="str">
        <f>VLOOKUP(E60,Assumptions!$B$116:$C$162,2,FALSE)</f>
        <v>H2_BLND_NG_P</v>
      </c>
      <c r="AJ60" t="str">
        <f>VLOOKUP(F60,Assumptions!$B$116:$C$162,2,FALSE)</f>
        <v>H2_IND_BOIL_HEAT</v>
      </c>
    </row>
    <row r="61" spans="1:40" x14ac:dyDescent="0.25">
      <c r="B61" t="s">
        <v>117</v>
      </c>
      <c r="C61" t="s">
        <v>53</v>
      </c>
      <c r="D61" t="s">
        <v>155</v>
      </c>
      <c r="E61" t="s">
        <v>122</v>
      </c>
      <c r="F61" t="s">
        <v>570</v>
      </c>
      <c r="G61" t="s">
        <v>120</v>
      </c>
      <c r="H61" t="s">
        <v>432</v>
      </c>
      <c r="I61" t="s">
        <v>32</v>
      </c>
      <c r="J61" t="s">
        <v>329</v>
      </c>
      <c r="K61">
        <f t="shared" si="2"/>
        <v>0</v>
      </c>
      <c r="L61">
        <f t="shared" si="3"/>
        <v>1</v>
      </c>
      <c r="M61">
        <f t="shared" si="4"/>
        <v>1</v>
      </c>
      <c r="N61">
        <f t="shared" si="5"/>
        <v>1</v>
      </c>
      <c r="O61">
        <f t="shared" si="6"/>
        <v>3</v>
      </c>
      <c r="P61" t="str">
        <f t="shared" si="7"/>
        <v>Medium centralized biomass gasification-CO2 emissions</v>
      </c>
      <c r="Q61" t="str">
        <f t="shared" si="8"/>
        <v>Central gas storage-CO2 emissions</v>
      </c>
      <c r="R61" t="str">
        <f t="shared" si="9"/>
        <v>Hydrogen transmission &amp; distribution pipeline-CO2 emissions</v>
      </c>
      <c r="S61" t="str">
        <f t="shared" si="10"/>
        <v>Industrial H2 boiler-CO2 emissions</v>
      </c>
      <c r="T61">
        <f ca="1">IF(timePeriod="2020-30",(VLOOKUP($P61,'TA database'!$I$8:$J$79,2,FALSE)/VLOOKUP($D61,'Merit calculation'!$B$48:$I$52,5,FALSE)/VLOOKUP($E61,'Merit calculation'!$B$67:$I$73,5,FALSE)/VLOOKUP($F61,'Merit calculation'!$B$90:$I$103,5,FALSE)/energyContentH2),(VLOOKUP($P61,'TA database'!$I$8:$J$79,2,FALSE)/VLOOKUP($D61,'Merit calculation'!$B$48:$I$52,7,FALSE)/VLOOKUP($E61,'Merit calculation'!$B$67:$I$73,7,FALSE)/VLOOKUP($F61,'Merit calculation'!$B$90:$I$103,7,FALSE)/energyContentH2))</f>
        <v>0</v>
      </c>
      <c r="U61">
        <v>0</v>
      </c>
      <c r="V61">
        <v>0</v>
      </c>
      <c r="W61">
        <f ca="1">IFERROR(VLOOKUP($S61,'TA database'!$I$146:$J$193,2,FALSE),0)</f>
        <v>0</v>
      </c>
      <c r="X61">
        <f>IFERROR(VLOOKUP($S61,'TA database'!$I$200:$J$271,2,FALSE),0)</f>
        <v>0</v>
      </c>
      <c r="Y61">
        <f t="shared" ca="1" si="11"/>
        <v>0</v>
      </c>
      <c r="Z61" t="str">
        <f t="shared" si="12"/>
        <v>BIO_GSF_MED_C   →   C_GAS_STRG   →   H2_T&amp;D_P   →   H2_IND_BOIL_HEAT</v>
      </c>
      <c r="AA61" t="str">
        <f t="shared" si="13"/>
        <v>Industrial heat</v>
      </c>
      <c r="AB61" t="str">
        <f t="shared" si="14"/>
        <v>CO2 emissions</v>
      </c>
      <c r="AC61">
        <f t="shared" ca="1" si="15"/>
        <v>0</v>
      </c>
      <c r="AD61">
        <v>2</v>
      </c>
      <c r="AE61" t="str">
        <f>IF(AND(ISNUMBER(SEARCH(O61,4)),ISNUMBER(SEARCH('(4) FCH pathway assessment'!$B$16,AB61)),ISNUMBER(SEARCH('(4) FCH pathway assessment'!$B$10,AA61))),AD61,"")</f>
        <v/>
      </c>
      <c r="AF61">
        <f t="shared" si="16"/>
        <v>1901</v>
      </c>
      <c r="AG61" t="str">
        <f>VLOOKUP(C61,Assumptions!$B$116:$C$162,2,FALSE)</f>
        <v>BIO_GSF_MED_C</v>
      </c>
      <c r="AH61" t="str">
        <f>VLOOKUP(D61,Assumptions!$B$116:$C$162,2,FALSE)</f>
        <v>C_GAS_STRG</v>
      </c>
      <c r="AI61" t="str">
        <f>VLOOKUP(E61,Assumptions!$B$116:$C$162,2,FALSE)</f>
        <v>H2_T&amp;D_P</v>
      </c>
      <c r="AJ61" t="str">
        <f>VLOOKUP(F61,Assumptions!$B$116:$C$162,2,FALSE)</f>
        <v>H2_IND_BOIL_HEAT</v>
      </c>
    </row>
    <row r="62" spans="1:40" x14ac:dyDescent="0.25">
      <c r="B62" t="s">
        <v>117</v>
      </c>
      <c r="C62" t="s">
        <v>53</v>
      </c>
      <c r="D62" t="s">
        <v>155</v>
      </c>
      <c r="E62" t="s">
        <v>116</v>
      </c>
      <c r="F62" t="s">
        <v>570</v>
      </c>
      <c r="G62" t="s">
        <v>120</v>
      </c>
      <c r="H62" t="s">
        <v>432</v>
      </c>
      <c r="I62" t="s">
        <v>32</v>
      </c>
      <c r="J62" t="s">
        <v>329</v>
      </c>
      <c r="K62">
        <f t="shared" si="2"/>
        <v>0</v>
      </c>
      <c r="L62">
        <f t="shared" si="3"/>
        <v>1</v>
      </c>
      <c r="M62">
        <f t="shared" si="4"/>
        <v>1</v>
      </c>
      <c r="N62">
        <f t="shared" si="5"/>
        <v>1</v>
      </c>
      <c r="O62">
        <f t="shared" si="6"/>
        <v>3</v>
      </c>
      <c r="P62" t="str">
        <f t="shared" si="7"/>
        <v>Medium centralized biomass gasification-CO2 emissions</v>
      </c>
      <c r="Q62" t="str">
        <f t="shared" si="8"/>
        <v>Central gas storage-CO2 emissions</v>
      </c>
      <c r="R62" t="str">
        <f t="shared" si="9"/>
        <v>Liquid hydrogen truck-CO2 emissions</v>
      </c>
      <c r="S62" t="str">
        <f t="shared" si="10"/>
        <v>Industrial H2 boiler-CO2 emissions</v>
      </c>
      <c r="T62">
        <f ca="1">IF(timePeriod="2020-30",(VLOOKUP($P62,'TA database'!$I$8:$J$79,2,FALSE)/VLOOKUP($D62,'Merit calculation'!$B$48:$I$52,5,FALSE)/VLOOKUP($E62,'Merit calculation'!$B$67:$I$73,5,FALSE)/VLOOKUP($F62,'Merit calculation'!$B$90:$I$103,5,FALSE)/energyContentH2),(VLOOKUP($P62,'TA database'!$I$8:$J$79,2,FALSE)/VLOOKUP($D62,'Merit calculation'!$B$48:$I$52,7,FALSE)/VLOOKUP($E62,'Merit calculation'!$B$67:$I$73,7,FALSE)/VLOOKUP($F62,'Merit calculation'!$B$90:$I$103,7,FALSE)/energyContentH2))</f>
        <v>0</v>
      </c>
      <c r="U62">
        <v>0</v>
      </c>
      <c r="V62">
        <v>0</v>
      </c>
      <c r="W62">
        <f ca="1">IFERROR(VLOOKUP($S62,'TA database'!$I$146:$J$193,2,FALSE),0)</f>
        <v>0</v>
      </c>
      <c r="X62">
        <f>IFERROR(VLOOKUP($S62,'TA database'!$I$200:$J$271,2,FALSE),0)</f>
        <v>0</v>
      </c>
      <c r="Y62">
        <f t="shared" ca="1" si="11"/>
        <v>0</v>
      </c>
      <c r="Z62" t="str">
        <f t="shared" si="12"/>
        <v>BIO_GSF_MED_C   →   C_GAS_STRG   →   LQ_TRUCK   →   H2_IND_BOIL_HEAT</v>
      </c>
      <c r="AA62" t="str">
        <f t="shared" si="13"/>
        <v>Industrial heat</v>
      </c>
      <c r="AB62" t="str">
        <f t="shared" si="14"/>
        <v>CO2 emissions</v>
      </c>
      <c r="AC62">
        <f t="shared" ca="1" si="15"/>
        <v>0</v>
      </c>
      <c r="AD62">
        <v>3</v>
      </c>
      <c r="AE62" t="str">
        <f>IF(AND(ISNUMBER(SEARCH(O62,4)),ISNUMBER(SEARCH('(4) FCH pathway assessment'!$B$16,AB62)),ISNUMBER(SEARCH('(4) FCH pathway assessment'!$B$10,AA62))),AD62,"")</f>
        <v/>
      </c>
      <c r="AF62">
        <f t="shared" si="16"/>
        <v>1902</v>
      </c>
      <c r="AG62" t="str">
        <f>VLOOKUP(C62,Assumptions!$B$116:$C$162,2,FALSE)</f>
        <v>BIO_GSF_MED_C</v>
      </c>
      <c r="AH62" t="str">
        <f>VLOOKUP(D62,Assumptions!$B$116:$C$162,2,FALSE)</f>
        <v>C_GAS_STRG</v>
      </c>
      <c r="AI62" t="str">
        <f>VLOOKUP(E62,Assumptions!$B$116:$C$162,2,FALSE)</f>
        <v>LQ_TRUCK</v>
      </c>
      <c r="AJ62" t="str">
        <f>VLOOKUP(F62,Assumptions!$B$116:$C$162,2,FALSE)</f>
        <v>H2_IND_BOIL_HEAT</v>
      </c>
    </row>
    <row r="63" spans="1:40" x14ac:dyDescent="0.25">
      <c r="B63" t="s">
        <v>117</v>
      </c>
      <c r="C63" t="s">
        <v>53</v>
      </c>
      <c r="D63" t="s">
        <v>155</v>
      </c>
      <c r="E63" t="s">
        <v>66</v>
      </c>
      <c r="F63" t="s">
        <v>570</v>
      </c>
      <c r="G63" t="s">
        <v>120</v>
      </c>
      <c r="H63" t="s">
        <v>432</v>
      </c>
      <c r="I63" t="s">
        <v>32</v>
      </c>
      <c r="J63" t="s">
        <v>329</v>
      </c>
      <c r="K63">
        <f t="shared" si="2"/>
        <v>0</v>
      </c>
      <c r="L63">
        <f t="shared" si="3"/>
        <v>1</v>
      </c>
      <c r="M63">
        <f t="shared" si="4"/>
        <v>1</v>
      </c>
      <c r="N63">
        <f t="shared" si="5"/>
        <v>1</v>
      </c>
      <c r="O63">
        <f t="shared" si="6"/>
        <v>3</v>
      </c>
      <c r="P63" t="str">
        <f t="shared" si="7"/>
        <v>Medium centralized biomass gasification-CO2 emissions</v>
      </c>
      <c r="Q63" t="str">
        <f t="shared" si="8"/>
        <v>Central gas storage-CO2 emissions</v>
      </c>
      <c r="R63" t="str">
        <f t="shared" si="9"/>
        <v>Onsite-CO2 emissions</v>
      </c>
      <c r="S63" t="str">
        <f t="shared" si="10"/>
        <v>Industrial H2 boiler-CO2 emissions</v>
      </c>
      <c r="T63">
        <f ca="1">IF(timePeriod="2020-30",(VLOOKUP($P63,'TA database'!$I$8:$J$79,2,FALSE)/VLOOKUP($D63,'Merit calculation'!$B$48:$I$52,5,FALSE)/VLOOKUP($E63,'Merit calculation'!$B$67:$I$73,5,FALSE)/VLOOKUP($F63,'Merit calculation'!$B$90:$I$103,5,FALSE)/energyContentH2),(VLOOKUP($P63,'TA database'!$I$8:$J$79,2,FALSE)/VLOOKUP($D63,'Merit calculation'!$B$48:$I$52,7,FALSE)/VLOOKUP($E63,'Merit calculation'!$B$67:$I$73,7,FALSE)/VLOOKUP($F63,'Merit calculation'!$B$90:$I$103,7,FALSE)/energyContentH2))</f>
        <v>0</v>
      </c>
      <c r="U63">
        <v>0</v>
      </c>
      <c r="V63">
        <v>0</v>
      </c>
      <c r="W63">
        <f ca="1">IFERROR(VLOOKUP($S63,'TA database'!$I$146:$J$193,2,FALSE),0)</f>
        <v>0</v>
      </c>
      <c r="X63">
        <f>IFERROR(VLOOKUP($S63,'TA database'!$I$200:$J$271,2,FALSE),0)</f>
        <v>0</v>
      </c>
      <c r="Y63">
        <f t="shared" ca="1" si="11"/>
        <v>0</v>
      </c>
      <c r="Z63" t="str">
        <f t="shared" si="12"/>
        <v>BIO_GSF_MED_C   →   C_GAS_STRG   →   ONSITE_USE   →   H2_IND_BOIL_HEAT</v>
      </c>
      <c r="AA63" t="str">
        <f t="shared" si="13"/>
        <v>Industrial heat</v>
      </c>
      <c r="AB63" t="str">
        <f t="shared" si="14"/>
        <v>CO2 emissions</v>
      </c>
      <c r="AC63">
        <f t="shared" ca="1" si="15"/>
        <v>0</v>
      </c>
      <c r="AD63">
        <v>4</v>
      </c>
      <c r="AE63" t="str">
        <f>IF(AND(ISNUMBER(SEARCH(O63,4)),ISNUMBER(SEARCH('(4) FCH pathway assessment'!$B$16,AB63)),ISNUMBER(SEARCH('(4) FCH pathway assessment'!$B$10,AA63))),AD63,"")</f>
        <v/>
      </c>
      <c r="AF63">
        <f t="shared" si="16"/>
        <v>1904</v>
      </c>
      <c r="AG63" t="str">
        <f>VLOOKUP(C63,Assumptions!$B$116:$C$162,2,FALSE)</f>
        <v>BIO_GSF_MED_C</v>
      </c>
      <c r="AH63" t="str">
        <f>VLOOKUP(D63,Assumptions!$B$116:$C$162,2,FALSE)</f>
        <v>C_GAS_STRG</v>
      </c>
      <c r="AI63" t="str">
        <f>VLOOKUP(E63,Assumptions!$B$116:$C$162,2,FALSE)</f>
        <v>ONSITE_USE</v>
      </c>
      <c r="AJ63" t="str">
        <f>VLOOKUP(F63,Assumptions!$B$116:$C$162,2,FALSE)</f>
        <v>H2_IND_BOIL_HEAT</v>
      </c>
    </row>
    <row r="64" spans="1:40" x14ac:dyDescent="0.25">
      <c r="B64" t="s">
        <v>117</v>
      </c>
      <c r="C64" t="s">
        <v>54</v>
      </c>
      <c r="D64" t="s">
        <v>155</v>
      </c>
      <c r="E64" t="s">
        <v>157</v>
      </c>
      <c r="F64" t="s">
        <v>570</v>
      </c>
      <c r="G64" t="s">
        <v>120</v>
      </c>
      <c r="H64" t="s">
        <v>432</v>
      </c>
      <c r="I64" t="s">
        <v>32</v>
      </c>
      <c r="J64" t="s">
        <v>329</v>
      </c>
      <c r="K64">
        <f t="shared" si="2"/>
        <v>0</v>
      </c>
      <c r="L64">
        <f t="shared" si="3"/>
        <v>1</v>
      </c>
      <c r="M64">
        <f t="shared" si="4"/>
        <v>0</v>
      </c>
      <c r="N64">
        <f t="shared" si="5"/>
        <v>1</v>
      </c>
      <c r="O64">
        <f t="shared" si="6"/>
        <v>2</v>
      </c>
      <c r="P64" t="str">
        <f t="shared" si="7"/>
        <v>Medium centralized biomass gasification w/ CCS-CO2 emissions</v>
      </c>
      <c r="Q64" t="str">
        <f t="shared" si="8"/>
        <v>Central gas storage-CO2 emissions</v>
      </c>
      <c r="R64" t="str">
        <f t="shared" si="9"/>
        <v>Blending in natural gas pipeline-CO2 emissions</v>
      </c>
      <c r="S64" t="str">
        <f t="shared" si="10"/>
        <v>Industrial H2 boiler-CO2 emissions</v>
      </c>
      <c r="T64">
        <f ca="1">IF(timePeriod="2020-30",(VLOOKUP($P64,'TA database'!$I$8:$J$79,2,FALSE)/VLOOKUP($D64,'Merit calculation'!$B$48:$I$52,5,FALSE)/VLOOKUP($E64,'Merit calculation'!$B$67:$I$73,5,FALSE)/VLOOKUP($F64,'Merit calculation'!$B$90:$I$103,5,FALSE)/energyContentH2),(VLOOKUP($P64,'TA database'!$I$8:$J$79,2,FALSE)/VLOOKUP($D64,'Merit calculation'!$B$48:$I$52,7,FALSE)/VLOOKUP($E64,'Merit calculation'!$B$67:$I$73,7,FALSE)/VLOOKUP($F64,'Merit calculation'!$B$90:$I$103,7,FALSE)/energyContentH2))</f>
        <v>-0.1282667949334616</v>
      </c>
      <c r="U64">
        <v>0</v>
      </c>
      <c r="V64">
        <v>0</v>
      </c>
      <c r="W64">
        <f ca="1">IFERROR(VLOOKUP($S64,'TA database'!$I$146:$J$193,2,FALSE),0)</f>
        <v>0</v>
      </c>
      <c r="X64">
        <f>IFERROR(VLOOKUP($S64,'TA database'!$I$200:$J$271,2,FALSE),0)</f>
        <v>0</v>
      </c>
      <c r="Y64">
        <f t="shared" ca="1" si="11"/>
        <v>-0.46176046176046176</v>
      </c>
      <c r="Z64" t="str">
        <f t="shared" si="12"/>
        <v>BIO_GSF_CCS_MED_C   →   C_GAS_STRG   →   H2_BLND_NG_P   →   H2_IND_BOIL_HEAT</v>
      </c>
      <c r="AA64" t="str">
        <f t="shared" si="13"/>
        <v>Industrial heat</v>
      </c>
      <c r="AB64" t="str">
        <f t="shared" si="14"/>
        <v>CO2 emissions</v>
      </c>
      <c r="AC64">
        <f t="shared" ca="1" si="15"/>
        <v>-0.46176046176046176</v>
      </c>
      <c r="AD64">
        <v>5</v>
      </c>
      <c r="AE64" t="str">
        <f>IF(AND(ISNUMBER(SEARCH(O64,4)),ISNUMBER(SEARCH('(4) FCH pathway assessment'!$B$16,AB64)),ISNUMBER(SEARCH('(4) FCH pathway assessment'!$B$10,AA64))),AD64,"")</f>
        <v/>
      </c>
      <c r="AF64" t="str">
        <f t="shared" si="16"/>
        <v/>
      </c>
      <c r="AG64" t="str">
        <f>VLOOKUP(C64,Assumptions!$B$116:$C$162,2,FALSE)</f>
        <v>BIO_GSF_CCS_MED_C</v>
      </c>
      <c r="AH64" t="str">
        <f>VLOOKUP(D64,Assumptions!$B$116:$C$162,2,FALSE)</f>
        <v>C_GAS_STRG</v>
      </c>
      <c r="AI64" t="str">
        <f>VLOOKUP(E64,Assumptions!$B$116:$C$162,2,FALSE)</f>
        <v>H2_BLND_NG_P</v>
      </c>
      <c r="AJ64" t="str">
        <f>VLOOKUP(F64,Assumptions!$B$116:$C$162,2,FALSE)</f>
        <v>H2_IND_BOIL_HEAT</v>
      </c>
    </row>
    <row r="65" spans="2:36" x14ac:dyDescent="0.25">
      <c r="B65" t="s">
        <v>117</v>
      </c>
      <c r="C65" t="s">
        <v>54</v>
      </c>
      <c r="D65" t="s">
        <v>155</v>
      </c>
      <c r="E65" t="s">
        <v>122</v>
      </c>
      <c r="F65" t="s">
        <v>570</v>
      </c>
      <c r="G65" t="s">
        <v>120</v>
      </c>
      <c r="H65" t="s">
        <v>432</v>
      </c>
      <c r="I65" t="s">
        <v>32</v>
      </c>
      <c r="J65" t="s">
        <v>329</v>
      </c>
      <c r="K65">
        <f t="shared" si="2"/>
        <v>0</v>
      </c>
      <c r="L65">
        <f t="shared" si="3"/>
        <v>1</v>
      </c>
      <c r="M65">
        <f t="shared" si="4"/>
        <v>1</v>
      </c>
      <c r="N65">
        <f t="shared" si="5"/>
        <v>1</v>
      </c>
      <c r="O65">
        <f t="shared" si="6"/>
        <v>3</v>
      </c>
      <c r="P65" t="str">
        <f t="shared" si="7"/>
        <v>Medium centralized biomass gasification w/ CCS-CO2 emissions</v>
      </c>
      <c r="Q65" t="str">
        <f t="shared" si="8"/>
        <v>Central gas storage-CO2 emissions</v>
      </c>
      <c r="R65" t="str">
        <f t="shared" si="9"/>
        <v>Hydrogen transmission &amp; distribution pipeline-CO2 emissions</v>
      </c>
      <c r="S65" t="str">
        <f t="shared" si="10"/>
        <v>Industrial H2 boiler-CO2 emissions</v>
      </c>
      <c r="T65">
        <f ca="1">IF(timePeriod="2020-30",(VLOOKUP($P65,'TA database'!$I$8:$J$79,2,FALSE)/VLOOKUP($D65,'Merit calculation'!$B$48:$I$52,5,FALSE)/VLOOKUP($E65,'Merit calculation'!$B$67:$I$73,5,FALSE)/VLOOKUP($F65,'Merit calculation'!$B$90:$I$103,5,FALSE)/energyContentH2),(VLOOKUP($P65,'TA database'!$I$8:$J$79,2,FALSE)/VLOOKUP($D65,'Merit calculation'!$B$48:$I$52,7,FALSE)/VLOOKUP($E65,'Merit calculation'!$B$67:$I$73,7,FALSE)/VLOOKUP($F65,'Merit calculation'!$B$90:$I$103,7,FALSE)/energyContentH2))</f>
        <v>-0.1282667949334616</v>
      </c>
      <c r="U65">
        <v>0</v>
      </c>
      <c r="V65">
        <v>0</v>
      </c>
      <c r="W65">
        <f ca="1">IFERROR(VLOOKUP($S65,'TA database'!$I$146:$J$193,2,FALSE),0)</f>
        <v>0</v>
      </c>
      <c r="X65">
        <f>IFERROR(VLOOKUP($S65,'TA database'!$I$200:$J$271,2,FALSE),0)</f>
        <v>0</v>
      </c>
      <c r="Y65">
        <f t="shared" ca="1" si="11"/>
        <v>-0.46176046176046176</v>
      </c>
      <c r="Z65" t="str">
        <f t="shared" si="12"/>
        <v>BIO_GSF_CCS_MED_C   →   C_GAS_STRG   →   H2_T&amp;D_P   →   H2_IND_BOIL_HEAT</v>
      </c>
      <c r="AA65" t="str">
        <f t="shared" si="13"/>
        <v>Industrial heat</v>
      </c>
      <c r="AB65" t="str">
        <f t="shared" si="14"/>
        <v>CO2 emissions</v>
      </c>
      <c r="AC65">
        <f t="shared" ca="1" si="15"/>
        <v>-0.46176046176046176</v>
      </c>
      <c r="AD65">
        <v>6</v>
      </c>
      <c r="AE65" t="str">
        <f>IF(AND(ISNUMBER(SEARCH(O65,4)),ISNUMBER(SEARCH('(4) FCH pathway assessment'!$B$16,AB65)),ISNUMBER(SEARCH('(4) FCH pathway assessment'!$B$10,AA65))),AD65,"")</f>
        <v/>
      </c>
      <c r="AF65" t="str">
        <f t="shared" si="16"/>
        <v/>
      </c>
      <c r="AG65" t="str">
        <f>VLOOKUP(C65,Assumptions!$B$116:$C$162,2,FALSE)</f>
        <v>BIO_GSF_CCS_MED_C</v>
      </c>
      <c r="AH65" t="str">
        <f>VLOOKUP(D65,Assumptions!$B$116:$C$162,2,FALSE)</f>
        <v>C_GAS_STRG</v>
      </c>
      <c r="AI65" t="str">
        <f>VLOOKUP(E65,Assumptions!$B$116:$C$162,2,FALSE)</f>
        <v>H2_T&amp;D_P</v>
      </c>
      <c r="AJ65" t="str">
        <f>VLOOKUP(F65,Assumptions!$B$116:$C$162,2,FALSE)</f>
        <v>H2_IND_BOIL_HEAT</v>
      </c>
    </row>
    <row r="66" spans="2:36" x14ac:dyDescent="0.25">
      <c r="B66" t="s">
        <v>117</v>
      </c>
      <c r="C66" t="s">
        <v>54</v>
      </c>
      <c r="D66" t="s">
        <v>155</v>
      </c>
      <c r="E66" t="s">
        <v>116</v>
      </c>
      <c r="F66" t="s">
        <v>570</v>
      </c>
      <c r="G66" t="s">
        <v>120</v>
      </c>
      <c r="H66" t="s">
        <v>432</v>
      </c>
      <c r="I66" t="s">
        <v>32</v>
      </c>
      <c r="J66" t="s">
        <v>329</v>
      </c>
      <c r="K66">
        <f t="shared" si="2"/>
        <v>0</v>
      </c>
      <c r="L66">
        <f t="shared" si="3"/>
        <v>1</v>
      </c>
      <c r="M66">
        <f t="shared" si="4"/>
        <v>1</v>
      </c>
      <c r="N66">
        <f t="shared" si="5"/>
        <v>1</v>
      </c>
      <c r="O66">
        <f t="shared" si="6"/>
        <v>3</v>
      </c>
      <c r="P66" t="str">
        <f t="shared" si="7"/>
        <v>Medium centralized biomass gasification w/ CCS-CO2 emissions</v>
      </c>
      <c r="Q66" t="str">
        <f t="shared" si="8"/>
        <v>Central gas storage-CO2 emissions</v>
      </c>
      <c r="R66" t="str">
        <f t="shared" si="9"/>
        <v>Liquid hydrogen truck-CO2 emissions</v>
      </c>
      <c r="S66" t="str">
        <f t="shared" si="10"/>
        <v>Industrial H2 boiler-CO2 emissions</v>
      </c>
      <c r="T66">
        <f ca="1">IF(timePeriod="2020-30",(VLOOKUP($P66,'TA database'!$I$8:$J$79,2,FALSE)/VLOOKUP($D66,'Merit calculation'!$B$48:$I$52,5,FALSE)/VLOOKUP($E66,'Merit calculation'!$B$67:$I$73,5,FALSE)/VLOOKUP($F66,'Merit calculation'!$B$90:$I$103,5,FALSE)/energyContentH2),(VLOOKUP($P66,'TA database'!$I$8:$J$79,2,FALSE)/VLOOKUP($D66,'Merit calculation'!$B$48:$I$52,7,FALSE)/VLOOKUP($E66,'Merit calculation'!$B$67:$I$73,7,FALSE)/VLOOKUP($F66,'Merit calculation'!$B$90:$I$103,7,FALSE)/energyContentH2))</f>
        <v>-0.14817284362208516</v>
      </c>
      <c r="U66">
        <v>0</v>
      </c>
      <c r="V66">
        <v>0</v>
      </c>
      <c r="W66">
        <f ca="1">IFERROR(VLOOKUP($S66,'TA database'!$I$146:$J$193,2,FALSE),0)</f>
        <v>0</v>
      </c>
      <c r="X66">
        <f>IFERROR(VLOOKUP($S66,'TA database'!$I$200:$J$271,2,FALSE),0)</f>
        <v>0</v>
      </c>
      <c r="Y66">
        <f t="shared" ca="1" si="11"/>
        <v>-0.53342223703950664</v>
      </c>
      <c r="Z66" t="str">
        <f t="shared" si="12"/>
        <v>BIO_GSF_CCS_MED_C   →   C_GAS_STRG   →   LQ_TRUCK   →   H2_IND_BOIL_HEAT</v>
      </c>
      <c r="AA66" t="str">
        <f t="shared" si="13"/>
        <v>Industrial heat</v>
      </c>
      <c r="AB66" t="str">
        <f t="shared" si="14"/>
        <v>CO2 emissions</v>
      </c>
      <c r="AC66">
        <f t="shared" ca="1" si="15"/>
        <v>-0.53342223703950664</v>
      </c>
      <c r="AD66">
        <v>7</v>
      </c>
      <c r="AE66" t="str">
        <f>IF(AND(ISNUMBER(SEARCH(O66,4)),ISNUMBER(SEARCH('(4) FCH pathway assessment'!$B$16,AB66)),ISNUMBER(SEARCH('(4) FCH pathway assessment'!$B$10,AA66))),AD66,"")</f>
        <v/>
      </c>
      <c r="AF66" t="str">
        <f t="shared" si="16"/>
        <v/>
      </c>
      <c r="AG66" t="str">
        <f>VLOOKUP(C66,Assumptions!$B$116:$C$162,2,FALSE)</f>
        <v>BIO_GSF_CCS_MED_C</v>
      </c>
      <c r="AH66" t="str">
        <f>VLOOKUP(D66,Assumptions!$B$116:$C$162,2,FALSE)</f>
        <v>C_GAS_STRG</v>
      </c>
      <c r="AI66" t="str">
        <f>VLOOKUP(E66,Assumptions!$B$116:$C$162,2,FALSE)</f>
        <v>LQ_TRUCK</v>
      </c>
      <c r="AJ66" t="str">
        <f>VLOOKUP(F66,Assumptions!$B$116:$C$162,2,FALSE)</f>
        <v>H2_IND_BOIL_HEAT</v>
      </c>
    </row>
    <row r="67" spans="2:36" x14ac:dyDescent="0.25">
      <c r="B67" t="s">
        <v>117</v>
      </c>
      <c r="C67" t="s">
        <v>54</v>
      </c>
      <c r="D67" t="s">
        <v>155</v>
      </c>
      <c r="E67" t="s">
        <v>66</v>
      </c>
      <c r="F67" t="s">
        <v>570</v>
      </c>
      <c r="G67" t="s">
        <v>120</v>
      </c>
      <c r="H67" t="s">
        <v>432</v>
      </c>
      <c r="I67" t="s">
        <v>32</v>
      </c>
      <c r="J67" t="s">
        <v>329</v>
      </c>
      <c r="K67">
        <f t="shared" si="2"/>
        <v>0</v>
      </c>
      <c r="L67">
        <f t="shared" si="3"/>
        <v>1</v>
      </c>
      <c r="M67">
        <f t="shared" si="4"/>
        <v>1</v>
      </c>
      <c r="N67">
        <f t="shared" si="5"/>
        <v>1</v>
      </c>
      <c r="O67">
        <f t="shared" si="6"/>
        <v>3</v>
      </c>
      <c r="P67" t="str">
        <f t="shared" si="7"/>
        <v>Medium centralized biomass gasification w/ CCS-CO2 emissions</v>
      </c>
      <c r="Q67" t="str">
        <f t="shared" si="8"/>
        <v>Central gas storage-CO2 emissions</v>
      </c>
      <c r="R67" t="str">
        <f t="shared" si="9"/>
        <v>Onsite-CO2 emissions</v>
      </c>
      <c r="S67" t="str">
        <f t="shared" si="10"/>
        <v>Industrial H2 boiler-CO2 emissions</v>
      </c>
      <c r="T67">
        <f ca="1">IF(timePeriod="2020-30",(VLOOKUP($P67,'TA database'!$I$8:$J$79,2,FALSE)/VLOOKUP($D67,'Merit calculation'!$B$48:$I$52,5,FALSE)/VLOOKUP($E67,'Merit calculation'!$B$67:$I$73,5,FALSE)/VLOOKUP($F67,'Merit calculation'!$B$90:$I$103,5,FALSE)/energyContentH2),(VLOOKUP($P67,'TA database'!$I$8:$J$79,2,FALSE)/VLOOKUP($D67,'Merit calculation'!$B$48:$I$52,7,FALSE)/VLOOKUP($E67,'Merit calculation'!$B$67:$I$73,7,FALSE)/VLOOKUP($F67,'Merit calculation'!$B$90:$I$103,7,FALSE)/energyContentH2))</f>
        <v>-0.12698412698412698</v>
      </c>
      <c r="U67">
        <v>0</v>
      </c>
      <c r="V67">
        <v>0</v>
      </c>
      <c r="W67">
        <f ca="1">IFERROR(VLOOKUP($S67,'TA database'!$I$146:$J$193,2,FALSE),0)</f>
        <v>0</v>
      </c>
      <c r="X67">
        <f>IFERROR(VLOOKUP($S67,'TA database'!$I$200:$J$271,2,FALSE),0)</f>
        <v>0</v>
      </c>
      <c r="Y67">
        <f t="shared" ca="1" si="11"/>
        <v>-0.45714285714285713</v>
      </c>
      <c r="Z67" t="str">
        <f t="shared" si="12"/>
        <v>BIO_GSF_CCS_MED_C   →   C_GAS_STRG   →   ONSITE_USE   →   H2_IND_BOIL_HEAT</v>
      </c>
      <c r="AA67" t="str">
        <f t="shared" si="13"/>
        <v>Industrial heat</v>
      </c>
      <c r="AB67" t="str">
        <f t="shared" si="14"/>
        <v>CO2 emissions</v>
      </c>
      <c r="AC67">
        <f t="shared" ca="1" si="15"/>
        <v>-0.45714285714285713</v>
      </c>
      <c r="AD67">
        <v>8</v>
      </c>
      <c r="AE67" t="str">
        <f>IF(AND(ISNUMBER(SEARCH(O67,4)),ISNUMBER(SEARCH('(4) FCH pathway assessment'!$B$16,AB67)),ISNUMBER(SEARCH('(4) FCH pathway assessment'!$B$10,AA67))),AD67,"")</f>
        <v/>
      </c>
      <c r="AF67" t="str">
        <f t="shared" si="16"/>
        <v/>
      </c>
      <c r="AG67" t="str">
        <f>VLOOKUP(C67,Assumptions!$B$116:$C$162,2,FALSE)</f>
        <v>BIO_GSF_CCS_MED_C</v>
      </c>
      <c r="AH67" t="str">
        <f>VLOOKUP(D67,Assumptions!$B$116:$C$162,2,FALSE)</f>
        <v>C_GAS_STRG</v>
      </c>
      <c r="AI67" t="str">
        <f>VLOOKUP(E67,Assumptions!$B$116:$C$162,2,FALSE)</f>
        <v>ONSITE_USE</v>
      </c>
      <c r="AJ67" t="str">
        <f>VLOOKUP(F67,Assumptions!$B$116:$C$162,2,FALSE)</f>
        <v>H2_IND_BOIL_HEAT</v>
      </c>
    </row>
    <row r="68" spans="2:36" x14ac:dyDescent="0.25">
      <c r="B68" t="s">
        <v>117</v>
      </c>
      <c r="C68" t="s">
        <v>55</v>
      </c>
      <c r="D68" s="60" t="s">
        <v>130</v>
      </c>
      <c r="E68" t="s">
        <v>66</v>
      </c>
      <c r="F68" t="s">
        <v>570</v>
      </c>
      <c r="G68" t="s">
        <v>120</v>
      </c>
      <c r="H68" t="s">
        <v>432</v>
      </c>
      <c r="I68" t="s">
        <v>32</v>
      </c>
      <c r="J68" t="s">
        <v>329</v>
      </c>
      <c r="K68">
        <f t="shared" ref="K68:K73" si="17">SUMPRODUCT(($C$7:$C$18=$C68)*($D$6:$H$6=$D68)*($D$7:$H$18))</f>
        <v>0</v>
      </c>
      <c r="L68">
        <f t="shared" ref="L68:L73" si="18">SUMPRODUCT(($C$19:$C$23=$D68)*($I$6:$O$6=$E68)*($I$19:$O$23))</f>
        <v>1</v>
      </c>
      <c r="M68">
        <f t="shared" ref="M68:M73" si="19">SUMPRODUCT(($C$24:$C$30=$E68)*($P$6:$AI$6=$F68)*($P$24:$AI$30))</f>
        <v>1</v>
      </c>
      <c r="N68">
        <f t="shared" ref="N68:N73" si="20">SUMPRODUCT(($C$31:$C$50=$F68)*($AJ$6:$AM$6=$G68)*($AJ$31:$AM$50))</f>
        <v>1</v>
      </c>
      <c r="O68">
        <f t="shared" ref="O68:O72" si="21">K68+L68+M68+N68</f>
        <v>3</v>
      </c>
      <c r="P68" t="str">
        <f t="shared" ref="P68:P73" si="22">CONCATENATE(C68,"-",J68)</f>
        <v>Small decentralized biomass gasification-CO2 emissions</v>
      </c>
      <c r="Q68" t="str">
        <f t="shared" ref="Q68:Q73" si="23">CONCATENATE(D68,"-",J68)</f>
        <v>Distributed gas storage-CO2 emissions</v>
      </c>
      <c r="R68" t="str">
        <f t="shared" ref="R68:R73" si="24">CONCATENATE(E68,"-",J68)</f>
        <v>Onsite-CO2 emissions</v>
      </c>
      <c r="S68" t="str">
        <f t="shared" ref="S68:S73" si="25">CONCATENATE(F68,"-",J68)</f>
        <v>Industrial H2 boiler-CO2 emissions</v>
      </c>
      <c r="T68">
        <f ca="1">IF(timePeriod="2020-30",(VLOOKUP($P68,'TA database'!$I$8:$J$79,2,FALSE)/VLOOKUP($D68,'Merit calculation'!$B$48:$I$52,5,FALSE)/VLOOKUP($E68,'Merit calculation'!$B$67:$I$73,5,FALSE)/VLOOKUP($F68,'Merit calculation'!$B$90:$I$103,5,FALSE)/energyContentH2),(VLOOKUP($P68,'TA database'!$I$8:$J$79,2,FALSE)/VLOOKUP($D68,'Merit calculation'!$B$48:$I$52,7,FALSE)/VLOOKUP($E68,'Merit calculation'!$B$67:$I$73,7,FALSE)/VLOOKUP($F68,'Merit calculation'!$B$90:$I$103,7,FALSE)/energyContentH2))</f>
        <v>0</v>
      </c>
      <c r="U68">
        <v>0</v>
      </c>
      <c r="V68">
        <v>0</v>
      </c>
      <c r="W68">
        <f ca="1">IFERROR(VLOOKUP($S68,'TA database'!$I$146:$J$193,2,FALSE),0)</f>
        <v>0</v>
      </c>
      <c r="X68">
        <f>IFERROR(VLOOKUP($S68,'TA database'!$I$200:$J$271,2,FALSE),0)</f>
        <v>0</v>
      </c>
      <c r="Y68">
        <f t="shared" ref="Y68:Y73" ca="1" si="26">IF($W68=0,T68*3.6+X68,T68+W68)</f>
        <v>0</v>
      </c>
      <c r="Z68" t="str">
        <f t="shared" ref="Z68:Z72" si="27">CONCATENATE(AG68,"   →   ",AH68,"   →   ",AI68,"   →   ",AJ68)</f>
        <v>BIO_GSF_SML_D   →   D_GAS_STRG   →   ONSITE_USE   →   H2_IND_BOIL_HEAT</v>
      </c>
      <c r="AA68" t="str">
        <f t="shared" ref="AA68:AA72" si="28">G68</f>
        <v>Industrial heat</v>
      </c>
      <c r="AB68" t="str">
        <f t="shared" ref="AB68:AB72" si="29">J68</f>
        <v>CO2 emissions</v>
      </c>
      <c r="AC68">
        <f t="shared" ref="AC68:AC72" ca="1" si="30">Y68</f>
        <v>0</v>
      </c>
      <c r="AD68">
        <v>9</v>
      </c>
      <c r="AE68" t="str">
        <f>IF(AND(ISNUMBER(SEARCH(O68,4)),ISNUMBER(SEARCH('(4) FCH pathway assessment'!$B$16,AB68)),ISNUMBER(SEARCH('(4) FCH pathway assessment'!$B$10,AA68))),AD68,"")</f>
        <v/>
      </c>
      <c r="AF68" t="str">
        <f t="shared" si="16"/>
        <v/>
      </c>
      <c r="AG68" t="str">
        <f>VLOOKUP(C68,Assumptions!$B$116:$C$162,2,FALSE)</f>
        <v>BIO_GSF_SML_D</v>
      </c>
      <c r="AH68" t="str">
        <f>VLOOKUP(D68,Assumptions!$B$116:$C$162,2,FALSE)</f>
        <v>D_GAS_STRG</v>
      </c>
      <c r="AI68" t="str">
        <f>VLOOKUP(E68,Assumptions!$B$116:$C$162,2,FALSE)</f>
        <v>ONSITE_USE</v>
      </c>
      <c r="AJ68" t="str">
        <f>VLOOKUP(F68,Assumptions!$B$116:$C$162,2,FALSE)</f>
        <v>H2_IND_BOIL_HEAT</v>
      </c>
    </row>
    <row r="69" spans="2:36" x14ac:dyDescent="0.25">
      <c r="B69" t="s">
        <v>117</v>
      </c>
      <c r="C69" t="s">
        <v>56</v>
      </c>
      <c r="D69" t="s">
        <v>62</v>
      </c>
      <c r="E69" t="s">
        <v>157</v>
      </c>
      <c r="F69" t="s">
        <v>570</v>
      </c>
      <c r="G69" t="s">
        <v>120</v>
      </c>
      <c r="H69" t="s">
        <v>432</v>
      </c>
      <c r="I69" t="s">
        <v>32</v>
      </c>
      <c r="J69" t="s">
        <v>329</v>
      </c>
      <c r="K69">
        <f t="shared" si="17"/>
        <v>0</v>
      </c>
      <c r="L69">
        <f t="shared" si="18"/>
        <v>0</v>
      </c>
      <c r="M69">
        <f t="shared" si="19"/>
        <v>0</v>
      </c>
      <c r="N69">
        <f t="shared" si="20"/>
        <v>1</v>
      </c>
      <c r="O69">
        <f t="shared" si="21"/>
        <v>1</v>
      </c>
      <c r="P69" t="str">
        <f t="shared" si="22"/>
        <v>Large centralized biomass steam reforming -CO2 emissions</v>
      </c>
      <c r="Q69" t="str">
        <f t="shared" si="23"/>
        <v>Underground storage-CO2 emissions</v>
      </c>
      <c r="R69" t="str">
        <f t="shared" si="24"/>
        <v>Blending in natural gas pipeline-CO2 emissions</v>
      </c>
      <c r="S69" t="str">
        <f t="shared" si="25"/>
        <v>Industrial H2 boiler-CO2 emissions</v>
      </c>
      <c r="T69">
        <f ca="1">IF(timePeriod="2020-30",(VLOOKUP($P69,'TA database'!$I$8:$J$79,2,FALSE)/VLOOKUP($D69,'Merit calculation'!$B$48:$I$52,5,FALSE)/VLOOKUP($E69,'Merit calculation'!$B$67:$I$73,5,FALSE)/VLOOKUP($F69,'Merit calculation'!$B$90:$I$103,5,FALSE)/energyContentH2),(VLOOKUP($P69,'TA database'!$I$8:$J$79,2,FALSE)/VLOOKUP($D69,'Merit calculation'!$B$48:$I$52,7,FALSE)/VLOOKUP($E69,'Merit calculation'!$B$67:$I$73,7,FALSE)/VLOOKUP($F69,'Merit calculation'!$B$90:$I$103,7,FALSE)/energyContentH2))</f>
        <v>0</v>
      </c>
      <c r="U69">
        <v>0</v>
      </c>
      <c r="V69">
        <v>0</v>
      </c>
      <c r="W69">
        <f ca="1">IFERROR(VLOOKUP($S69,'TA database'!$I$146:$J$193,2,FALSE),0)</f>
        <v>0</v>
      </c>
      <c r="X69">
        <f>IFERROR(VLOOKUP($S69,'TA database'!$I$200:$J$271,2,FALSE),0)</f>
        <v>0</v>
      </c>
      <c r="Y69">
        <f t="shared" ca="1" si="26"/>
        <v>0</v>
      </c>
      <c r="Z69" t="str">
        <f t="shared" si="27"/>
        <v>BIO_SR_LRG_C   →   C_UNDRGRND_STRG   →   H2_BLND_NG_P   →   H2_IND_BOIL_HEAT</v>
      </c>
      <c r="AA69" t="str">
        <f t="shared" si="28"/>
        <v>Industrial heat</v>
      </c>
      <c r="AB69" t="str">
        <f t="shared" si="29"/>
        <v>CO2 emissions</v>
      </c>
      <c r="AC69">
        <f t="shared" ca="1" si="30"/>
        <v>0</v>
      </c>
      <c r="AD69">
        <v>10</v>
      </c>
      <c r="AE69" t="str">
        <f>IF(AND(ISNUMBER(SEARCH(O69,4)),ISNUMBER(SEARCH('(4) FCH pathway assessment'!$B$16,AB69)),ISNUMBER(SEARCH('(4) FCH pathway assessment'!$B$10,AA69))),AD69,"")</f>
        <v/>
      </c>
      <c r="AF69" t="str">
        <f t="shared" si="16"/>
        <v/>
      </c>
      <c r="AG69" t="str">
        <f>VLOOKUP(C69,Assumptions!$B$116:$C$162,2,FALSE)</f>
        <v>BIO_SR_LRG_C</v>
      </c>
      <c r="AH69" t="str">
        <f>VLOOKUP(D69,Assumptions!$B$116:$C$162,2,FALSE)</f>
        <v>C_UNDRGRND_STRG</v>
      </c>
      <c r="AI69" t="str">
        <f>VLOOKUP(E69,Assumptions!$B$116:$C$162,2,FALSE)</f>
        <v>H2_BLND_NG_P</v>
      </c>
      <c r="AJ69" t="str">
        <f>VLOOKUP(F69,Assumptions!$B$116:$C$162,2,FALSE)</f>
        <v>H2_IND_BOIL_HEAT</v>
      </c>
    </row>
    <row r="70" spans="2:36" x14ac:dyDescent="0.25">
      <c r="B70" t="s">
        <v>117</v>
      </c>
      <c r="C70" t="s">
        <v>56</v>
      </c>
      <c r="D70" t="s">
        <v>62</v>
      </c>
      <c r="E70" t="s">
        <v>122</v>
      </c>
      <c r="F70" t="s">
        <v>570</v>
      </c>
      <c r="G70" t="s">
        <v>120</v>
      </c>
      <c r="H70" t="s">
        <v>432</v>
      </c>
      <c r="I70" t="s">
        <v>32</v>
      </c>
      <c r="J70" t="s">
        <v>329</v>
      </c>
      <c r="K70">
        <f t="shared" si="17"/>
        <v>0</v>
      </c>
      <c r="L70">
        <f t="shared" si="18"/>
        <v>0</v>
      </c>
      <c r="M70">
        <f t="shared" si="19"/>
        <v>1</v>
      </c>
      <c r="N70">
        <f t="shared" si="20"/>
        <v>1</v>
      </c>
      <c r="O70">
        <f t="shared" si="21"/>
        <v>2</v>
      </c>
      <c r="P70" t="str">
        <f t="shared" si="22"/>
        <v>Large centralized biomass steam reforming -CO2 emissions</v>
      </c>
      <c r="Q70" t="str">
        <f t="shared" si="23"/>
        <v>Underground storage-CO2 emissions</v>
      </c>
      <c r="R70" t="str">
        <f t="shared" si="24"/>
        <v>Hydrogen transmission &amp; distribution pipeline-CO2 emissions</v>
      </c>
      <c r="S70" t="str">
        <f t="shared" si="25"/>
        <v>Industrial H2 boiler-CO2 emissions</v>
      </c>
      <c r="T70">
        <f ca="1">IF(timePeriod="2020-30",(VLOOKUP($P70,'TA database'!$I$8:$J$79,2,FALSE)/VLOOKUP($D70,'Merit calculation'!$B$48:$I$52,5,FALSE)/VLOOKUP($E70,'Merit calculation'!$B$67:$I$73,5,FALSE)/VLOOKUP($F70,'Merit calculation'!$B$90:$I$103,5,FALSE)/energyContentH2),(VLOOKUP($P70,'TA database'!$I$8:$J$79,2,FALSE)/VLOOKUP($D70,'Merit calculation'!$B$48:$I$52,7,FALSE)/VLOOKUP($E70,'Merit calculation'!$B$67:$I$73,7,FALSE)/VLOOKUP($F70,'Merit calculation'!$B$90:$I$103,7,FALSE)/energyContentH2))</f>
        <v>0</v>
      </c>
      <c r="U70">
        <v>0</v>
      </c>
      <c r="V70">
        <v>0</v>
      </c>
      <c r="W70">
        <f ca="1">IFERROR(VLOOKUP($S70,'TA database'!$I$146:$J$193,2,FALSE),0)</f>
        <v>0</v>
      </c>
      <c r="X70">
        <f>IFERROR(VLOOKUP($S70,'TA database'!$I$200:$J$271,2,FALSE),0)</f>
        <v>0</v>
      </c>
      <c r="Y70">
        <f t="shared" ca="1" si="26"/>
        <v>0</v>
      </c>
      <c r="Z70" t="str">
        <f t="shared" si="27"/>
        <v>BIO_SR_LRG_C   →   C_UNDRGRND_STRG   →   H2_T&amp;D_P   →   H2_IND_BOIL_HEAT</v>
      </c>
      <c r="AA70" t="str">
        <f t="shared" si="28"/>
        <v>Industrial heat</v>
      </c>
      <c r="AB70" t="str">
        <f t="shared" si="29"/>
        <v>CO2 emissions</v>
      </c>
      <c r="AC70">
        <f t="shared" ca="1" si="30"/>
        <v>0</v>
      </c>
      <c r="AD70">
        <v>11</v>
      </c>
      <c r="AE70" t="str">
        <f>IF(AND(ISNUMBER(SEARCH(O70,4)),ISNUMBER(SEARCH('(4) FCH pathway assessment'!$B$16,AB70)),ISNUMBER(SEARCH('(4) FCH pathway assessment'!$B$10,AA70))),AD70,"")</f>
        <v/>
      </c>
      <c r="AF70" t="str">
        <f t="shared" si="16"/>
        <v/>
      </c>
      <c r="AG70" t="str">
        <f>VLOOKUP(C70,Assumptions!$B$116:$C$162,2,FALSE)</f>
        <v>BIO_SR_LRG_C</v>
      </c>
      <c r="AH70" t="str">
        <f>VLOOKUP(D70,Assumptions!$B$116:$C$162,2,FALSE)</f>
        <v>C_UNDRGRND_STRG</v>
      </c>
      <c r="AI70" t="str">
        <f>VLOOKUP(E70,Assumptions!$B$116:$C$162,2,FALSE)</f>
        <v>H2_T&amp;D_P</v>
      </c>
      <c r="AJ70" t="str">
        <f>VLOOKUP(F70,Assumptions!$B$116:$C$162,2,FALSE)</f>
        <v>H2_IND_BOIL_HEAT</v>
      </c>
    </row>
    <row r="71" spans="2:36" x14ac:dyDescent="0.25">
      <c r="B71" t="s">
        <v>117</v>
      </c>
      <c r="C71" t="s">
        <v>56</v>
      </c>
      <c r="D71" t="s">
        <v>62</v>
      </c>
      <c r="E71" t="s">
        <v>116</v>
      </c>
      <c r="F71" t="s">
        <v>570</v>
      </c>
      <c r="G71" t="s">
        <v>120</v>
      </c>
      <c r="H71" t="s">
        <v>432</v>
      </c>
      <c r="I71" t="s">
        <v>32</v>
      </c>
      <c r="J71" t="s">
        <v>329</v>
      </c>
      <c r="K71">
        <f t="shared" si="17"/>
        <v>0</v>
      </c>
      <c r="L71">
        <f t="shared" si="18"/>
        <v>0</v>
      </c>
      <c r="M71">
        <f t="shared" si="19"/>
        <v>1</v>
      </c>
      <c r="N71">
        <f t="shared" si="20"/>
        <v>1</v>
      </c>
      <c r="O71">
        <f t="shared" si="21"/>
        <v>2</v>
      </c>
      <c r="P71" t="str">
        <f t="shared" si="22"/>
        <v>Large centralized biomass steam reforming -CO2 emissions</v>
      </c>
      <c r="Q71" t="str">
        <f t="shared" si="23"/>
        <v>Underground storage-CO2 emissions</v>
      </c>
      <c r="R71" t="str">
        <f t="shared" si="24"/>
        <v>Liquid hydrogen truck-CO2 emissions</v>
      </c>
      <c r="S71" t="str">
        <f t="shared" si="25"/>
        <v>Industrial H2 boiler-CO2 emissions</v>
      </c>
      <c r="T71">
        <f ca="1">IF(timePeriod="2020-30",(VLOOKUP($P71,'TA database'!$I$8:$J$79,2,FALSE)/VLOOKUP($D71,'Merit calculation'!$B$48:$I$52,5,FALSE)/VLOOKUP($E71,'Merit calculation'!$B$67:$I$73,5,FALSE)/VLOOKUP($F71,'Merit calculation'!$B$90:$I$103,5,FALSE)/energyContentH2),(VLOOKUP($P71,'TA database'!$I$8:$J$79,2,FALSE)/VLOOKUP($D71,'Merit calculation'!$B$48:$I$52,7,FALSE)/VLOOKUP($E71,'Merit calculation'!$B$67:$I$73,7,FALSE)/VLOOKUP($F71,'Merit calculation'!$B$90:$I$103,7,FALSE)/energyContentH2))</f>
        <v>0</v>
      </c>
      <c r="U71">
        <v>0</v>
      </c>
      <c r="V71">
        <v>0</v>
      </c>
      <c r="W71">
        <f ca="1">IFERROR(VLOOKUP($S71,'TA database'!$I$146:$J$193,2,FALSE),0)</f>
        <v>0</v>
      </c>
      <c r="X71">
        <f>IFERROR(VLOOKUP($S71,'TA database'!$I$200:$J$271,2,FALSE),0)</f>
        <v>0</v>
      </c>
      <c r="Y71">
        <f t="shared" ca="1" si="26"/>
        <v>0</v>
      </c>
      <c r="Z71" t="str">
        <f t="shared" si="27"/>
        <v>BIO_SR_LRG_C   →   C_UNDRGRND_STRG   →   LQ_TRUCK   →   H2_IND_BOIL_HEAT</v>
      </c>
      <c r="AA71" t="str">
        <f t="shared" si="28"/>
        <v>Industrial heat</v>
      </c>
      <c r="AB71" t="str">
        <f t="shared" si="29"/>
        <v>CO2 emissions</v>
      </c>
      <c r="AC71">
        <f t="shared" ca="1" si="30"/>
        <v>0</v>
      </c>
      <c r="AD71">
        <v>12</v>
      </c>
      <c r="AE71" t="str">
        <f>IF(AND(ISNUMBER(SEARCH(O71,4)),ISNUMBER(SEARCH('(4) FCH pathway assessment'!$B$16,AB71)),ISNUMBER(SEARCH('(4) FCH pathway assessment'!$B$10,AA71))),AD71,"")</f>
        <v/>
      </c>
      <c r="AF71" t="str">
        <f t="shared" si="16"/>
        <v/>
      </c>
      <c r="AG71" t="str">
        <f>VLOOKUP(C71,Assumptions!$B$116:$C$162,2,FALSE)</f>
        <v>BIO_SR_LRG_C</v>
      </c>
      <c r="AH71" t="str">
        <f>VLOOKUP(D71,Assumptions!$B$116:$C$162,2,FALSE)</f>
        <v>C_UNDRGRND_STRG</v>
      </c>
      <c r="AI71" t="str">
        <f>VLOOKUP(E71,Assumptions!$B$116:$C$162,2,FALSE)</f>
        <v>LQ_TRUCK</v>
      </c>
      <c r="AJ71" t="str">
        <f>VLOOKUP(F71,Assumptions!$B$116:$C$162,2,FALSE)</f>
        <v>H2_IND_BOIL_HEAT</v>
      </c>
    </row>
    <row r="72" spans="2:36" x14ac:dyDescent="0.25">
      <c r="B72" t="s">
        <v>117</v>
      </c>
      <c r="C72" t="s">
        <v>56</v>
      </c>
      <c r="D72" t="s">
        <v>62</v>
      </c>
      <c r="E72" t="s">
        <v>66</v>
      </c>
      <c r="F72" t="s">
        <v>570</v>
      </c>
      <c r="G72" t="s">
        <v>120</v>
      </c>
      <c r="H72" t="s">
        <v>432</v>
      </c>
      <c r="I72" t="s">
        <v>32</v>
      </c>
      <c r="J72" t="s">
        <v>329</v>
      </c>
      <c r="K72">
        <f t="shared" si="17"/>
        <v>0</v>
      </c>
      <c r="L72">
        <f t="shared" si="18"/>
        <v>0</v>
      </c>
      <c r="M72">
        <f t="shared" si="19"/>
        <v>1</v>
      </c>
      <c r="N72">
        <f t="shared" si="20"/>
        <v>1</v>
      </c>
      <c r="O72">
        <f t="shared" si="21"/>
        <v>2</v>
      </c>
      <c r="P72" t="str">
        <f t="shared" si="22"/>
        <v>Large centralized biomass steam reforming -CO2 emissions</v>
      </c>
      <c r="Q72" t="str">
        <f t="shared" si="23"/>
        <v>Underground storage-CO2 emissions</v>
      </c>
      <c r="R72" t="str">
        <f t="shared" si="24"/>
        <v>Onsite-CO2 emissions</v>
      </c>
      <c r="S72" t="str">
        <f t="shared" si="25"/>
        <v>Industrial H2 boiler-CO2 emissions</v>
      </c>
      <c r="T72">
        <f ca="1">IF(timePeriod="2020-30",(VLOOKUP($P72,'TA database'!$I$8:$J$79,2,FALSE)/VLOOKUP($D72,'Merit calculation'!$B$48:$I$52,5,FALSE)/VLOOKUP($E72,'Merit calculation'!$B$67:$I$73,5,FALSE)/VLOOKUP($F72,'Merit calculation'!$B$90:$I$103,5,FALSE)/energyContentH2),(VLOOKUP($P72,'TA database'!$I$8:$J$79,2,FALSE)/VLOOKUP($D72,'Merit calculation'!$B$48:$I$52,7,FALSE)/VLOOKUP($E72,'Merit calculation'!$B$67:$I$73,7,FALSE)/VLOOKUP($F72,'Merit calculation'!$B$90:$I$103,7,FALSE)/energyContentH2))</f>
        <v>0</v>
      </c>
      <c r="U72">
        <v>0</v>
      </c>
      <c r="V72">
        <v>0</v>
      </c>
      <c r="W72">
        <f ca="1">IFERROR(VLOOKUP($S72,'TA database'!$I$146:$J$193,2,FALSE),0)</f>
        <v>0</v>
      </c>
      <c r="X72">
        <f>IFERROR(VLOOKUP($S72,'TA database'!$I$200:$J$271,2,FALSE),0)</f>
        <v>0</v>
      </c>
      <c r="Y72">
        <f t="shared" ca="1" si="26"/>
        <v>0</v>
      </c>
      <c r="Z72" t="str">
        <f t="shared" si="27"/>
        <v>BIO_SR_LRG_C   →   C_UNDRGRND_STRG   →   ONSITE_USE   →   H2_IND_BOIL_HEAT</v>
      </c>
      <c r="AA72" t="str">
        <f t="shared" si="28"/>
        <v>Industrial heat</v>
      </c>
      <c r="AB72" t="str">
        <f t="shared" si="29"/>
        <v>CO2 emissions</v>
      </c>
      <c r="AC72">
        <f t="shared" ca="1" si="30"/>
        <v>0</v>
      </c>
      <c r="AD72">
        <v>13</v>
      </c>
      <c r="AE72" t="str">
        <f>IF(AND(ISNUMBER(SEARCH(O72,4)),ISNUMBER(SEARCH('(4) FCH pathway assessment'!$B$16,AB72)),ISNUMBER(SEARCH('(4) FCH pathway assessment'!$B$10,AA72))),AD72,"")</f>
        <v/>
      </c>
      <c r="AF72" t="str">
        <f t="shared" si="16"/>
        <v/>
      </c>
      <c r="AG72" t="str">
        <f>VLOOKUP(C72,Assumptions!$B$116:$C$162,2,FALSE)</f>
        <v>BIO_SR_LRG_C</v>
      </c>
      <c r="AH72" t="str">
        <f>VLOOKUP(D72,Assumptions!$B$116:$C$162,2,FALSE)</f>
        <v>C_UNDRGRND_STRG</v>
      </c>
      <c r="AI72" t="str">
        <f>VLOOKUP(E72,Assumptions!$B$116:$C$162,2,FALSE)</f>
        <v>ONSITE_USE</v>
      </c>
      <c r="AJ72" t="str">
        <f>VLOOKUP(F72,Assumptions!$B$116:$C$162,2,FALSE)</f>
        <v>H2_IND_BOIL_HEAT</v>
      </c>
    </row>
    <row r="73" spans="2:36" x14ac:dyDescent="0.25">
      <c r="B73" t="s">
        <v>117</v>
      </c>
      <c r="C73" t="s">
        <v>56</v>
      </c>
      <c r="D73" s="61" t="s">
        <v>63</v>
      </c>
      <c r="E73" t="s">
        <v>122</v>
      </c>
      <c r="F73" t="s">
        <v>570</v>
      </c>
      <c r="G73" t="s">
        <v>120</v>
      </c>
      <c r="H73" t="s">
        <v>432</v>
      </c>
      <c r="I73" t="s">
        <v>32</v>
      </c>
      <c r="J73" t="s">
        <v>329</v>
      </c>
      <c r="K73">
        <f t="shared" si="17"/>
        <v>0</v>
      </c>
      <c r="L73">
        <f t="shared" si="18"/>
        <v>1</v>
      </c>
      <c r="M73">
        <f t="shared" si="19"/>
        <v>1</v>
      </c>
      <c r="N73">
        <f t="shared" si="20"/>
        <v>1</v>
      </c>
      <c r="O73">
        <f t="shared" ref="O73:O85" si="31">K73+L73+M73+N73</f>
        <v>3</v>
      </c>
      <c r="P73" t="str">
        <f t="shared" si="22"/>
        <v>Large centralized biomass steam reforming -CO2 emissions</v>
      </c>
      <c r="Q73" t="str">
        <f t="shared" si="23"/>
        <v>No storage-CO2 emissions</v>
      </c>
      <c r="R73" t="str">
        <f t="shared" si="24"/>
        <v>Hydrogen transmission &amp; distribution pipeline-CO2 emissions</v>
      </c>
      <c r="S73" t="str">
        <f t="shared" si="25"/>
        <v>Industrial H2 boiler-CO2 emissions</v>
      </c>
      <c r="T73">
        <f ca="1">IF(timePeriod="2020-30",(VLOOKUP($P73,'TA database'!$I$8:$J$79,2,FALSE)/VLOOKUP($D73,'Merit calculation'!$B$48:$I$52,5,FALSE)/VLOOKUP($E73,'Merit calculation'!$B$67:$I$73,5,FALSE)/VLOOKUP($F73,'Merit calculation'!$B$90:$I$103,5,FALSE)/energyContentH2),(VLOOKUP($P73,'TA database'!$I$8:$J$79,2,FALSE)/VLOOKUP($D73,'Merit calculation'!$B$48:$I$52,7,FALSE)/VLOOKUP($E73,'Merit calculation'!$B$67:$I$73,7,FALSE)/VLOOKUP($F73,'Merit calculation'!$B$90:$I$103,7,FALSE)/energyContentH2))</f>
        <v>0</v>
      </c>
      <c r="U73">
        <v>0</v>
      </c>
      <c r="V73">
        <v>0</v>
      </c>
      <c r="W73">
        <f ca="1">IFERROR(VLOOKUP($S73,'TA database'!$I$146:$J$193,2,FALSE),0)</f>
        <v>0</v>
      </c>
      <c r="X73">
        <f>IFERROR(VLOOKUP($S73,'TA database'!$I$200:$J$271,2,FALSE),0)</f>
        <v>0</v>
      </c>
      <c r="Y73">
        <f t="shared" ca="1" si="26"/>
        <v>0</v>
      </c>
      <c r="Z73" t="str">
        <f t="shared" ref="Z73:Z85" si="32">CONCATENATE(AG73,"   →   ",AH73,"   →   ",AI73,"   →   ",AJ73)</f>
        <v>BIO_SR_LRG_C   →   NO_STRG   →   H2_T&amp;D_P   →   H2_IND_BOIL_HEAT</v>
      </c>
      <c r="AA73" t="str">
        <f t="shared" ref="AA73:AA85" si="33">G73</f>
        <v>Industrial heat</v>
      </c>
      <c r="AB73" t="str">
        <f t="shared" ref="AB73:AB85" si="34">J73</f>
        <v>CO2 emissions</v>
      </c>
      <c r="AC73">
        <f t="shared" ref="AC73:AC85" ca="1" si="35">Y73</f>
        <v>0</v>
      </c>
      <c r="AD73">
        <v>14</v>
      </c>
      <c r="AE73" t="str">
        <f>IF(AND(ISNUMBER(SEARCH(O73,4)),ISNUMBER(SEARCH('(4) FCH pathway assessment'!$B$16,AB73)),ISNUMBER(SEARCH('(4) FCH pathway assessment'!$B$10,AA73))),AD73,"")</f>
        <v/>
      </c>
      <c r="AF73" t="str">
        <f t="shared" si="16"/>
        <v/>
      </c>
      <c r="AG73" t="str">
        <f>VLOOKUP(C73,Assumptions!$B$116:$C$162,2,FALSE)</f>
        <v>BIO_SR_LRG_C</v>
      </c>
      <c r="AH73" t="str">
        <f>VLOOKUP(D73,Assumptions!$B$116:$C$162,2,FALSE)</f>
        <v>NO_STRG</v>
      </c>
      <c r="AI73" t="str">
        <f>VLOOKUP(E73,Assumptions!$B$116:$C$162,2,FALSE)</f>
        <v>H2_T&amp;D_P</v>
      </c>
      <c r="AJ73" t="str">
        <f>VLOOKUP(F73,Assumptions!$B$116:$C$162,2,FALSE)</f>
        <v>H2_IND_BOIL_HEAT</v>
      </c>
    </row>
    <row r="74" spans="2:36" x14ac:dyDescent="0.25">
      <c r="B74" t="s">
        <v>112</v>
      </c>
      <c r="C74" t="s">
        <v>49</v>
      </c>
      <c r="D74" t="s">
        <v>62</v>
      </c>
      <c r="E74" t="s">
        <v>157</v>
      </c>
      <c r="F74" t="s">
        <v>570</v>
      </c>
      <c r="G74" t="s">
        <v>120</v>
      </c>
      <c r="H74" t="s">
        <v>432</v>
      </c>
      <c r="I74" t="s">
        <v>32</v>
      </c>
      <c r="J74" t="s">
        <v>329</v>
      </c>
      <c r="K74">
        <f t="shared" ref="K74:K85" si="36">SUMPRODUCT(($C$7:$C$18=$C74)*($D$6:$H$6=$D74)*($D$7:$H$18))</f>
        <v>1</v>
      </c>
      <c r="L74">
        <f t="shared" ref="L74:L85" si="37">SUMPRODUCT(($C$19:$C$23=$D74)*($I$6:$O$6=$E74)*($I$19:$O$23))</f>
        <v>0</v>
      </c>
      <c r="M74">
        <f t="shared" ref="M74:M85" si="38">SUMPRODUCT(($C$24:$C$30=$E74)*($P$6:$AI$6=$F74)*($P$24:$AI$30))</f>
        <v>0</v>
      </c>
      <c r="N74">
        <f t="shared" ref="N74:N85" si="39">SUMPRODUCT(($C$31:$C$50=$F74)*($AJ$6:$AM$6=$G74)*($AJ$31:$AM$50))</f>
        <v>1</v>
      </c>
      <c r="O74">
        <f t="shared" si="31"/>
        <v>2</v>
      </c>
      <c r="P74" t="str">
        <f t="shared" ref="P74:P85" si="40">CONCATENATE(C74,"-",J74)</f>
        <v>Large centralized electrolysis-CO2 emissions</v>
      </c>
      <c r="Q74" t="str">
        <f t="shared" ref="Q74:Q85" si="41">CONCATENATE(D74,"-",J74)</f>
        <v>Underground storage-CO2 emissions</v>
      </c>
      <c r="R74" t="str">
        <f t="shared" ref="R74:R85" si="42">CONCATENATE(E74,"-",J74)</f>
        <v>Blending in natural gas pipeline-CO2 emissions</v>
      </c>
      <c r="S74" t="str">
        <f t="shared" ref="S74:S85" si="43">CONCATENATE(F74,"-",J74)</f>
        <v>Industrial H2 boiler-CO2 emissions</v>
      </c>
      <c r="T74">
        <f ca="1">IF(timePeriod="2020-30",(VLOOKUP($P74,'TA database'!$I$8:$J$79,2,FALSE)/VLOOKUP($D74,'Merit calculation'!$B$48:$I$52,5,FALSE)/VLOOKUP($E74,'Merit calculation'!$B$67:$I$73,5,FALSE)/VLOOKUP($F74,'Merit calculation'!$B$90:$I$103,5,FALSE)/energyContentH2),(VLOOKUP($P74,'TA database'!$I$8:$J$79,2,FALSE)/VLOOKUP($D74,'Merit calculation'!$B$48:$I$52,7,FALSE)/VLOOKUP($E74,'Merit calculation'!$B$67:$I$73,7,FALSE)/VLOOKUP($F74,'Merit calculation'!$B$90:$I$103,7,FALSE)/energyContentH2))</f>
        <v>1.7494925421932112E-2</v>
      </c>
      <c r="U74">
        <v>0</v>
      </c>
      <c r="V74">
        <v>0</v>
      </c>
      <c r="W74">
        <f ca="1">IFERROR(VLOOKUP($S74,'TA database'!$I$146:$J$193,2,FALSE),0)</f>
        <v>0</v>
      </c>
      <c r="X74">
        <f>IFERROR(VLOOKUP($S74,'TA database'!$I$200:$J$271,2,FALSE),0)</f>
        <v>0</v>
      </c>
      <c r="Y74">
        <f t="shared" ref="Y74:Y85" ca="1" si="44">IF($W74=0,T74*3.6+X74,T74+W74)</f>
        <v>6.29817315189556E-2</v>
      </c>
      <c r="Z74" t="str">
        <f t="shared" si="32"/>
        <v>ELCTRLYZ_LRG_C   →   C_UNDRGRND_STRG   →   H2_BLND_NG_P   →   H2_IND_BOIL_HEAT</v>
      </c>
      <c r="AA74" t="str">
        <f t="shared" si="33"/>
        <v>Industrial heat</v>
      </c>
      <c r="AB74" t="str">
        <f t="shared" si="34"/>
        <v>CO2 emissions</v>
      </c>
      <c r="AC74">
        <f t="shared" ca="1" si="35"/>
        <v>6.29817315189556E-2</v>
      </c>
      <c r="AD74">
        <v>15</v>
      </c>
      <c r="AE74" t="str">
        <f>IF(AND(ISNUMBER(SEARCH(O74,4)),ISNUMBER(SEARCH('(4) FCH pathway assessment'!$B$16,AB74)),ISNUMBER(SEARCH('(4) FCH pathway assessment'!$B$10,AA74))),AD74,"")</f>
        <v/>
      </c>
      <c r="AF74" t="str">
        <f t="shared" si="16"/>
        <v/>
      </c>
      <c r="AG74" t="str">
        <f>VLOOKUP(C74,Assumptions!$B$116:$C$162,2,FALSE)</f>
        <v>ELCTRLYZ_LRG_C</v>
      </c>
      <c r="AH74" t="str">
        <f>VLOOKUP(D74,Assumptions!$B$116:$C$162,2,FALSE)</f>
        <v>C_UNDRGRND_STRG</v>
      </c>
      <c r="AI74" t="str">
        <f>VLOOKUP(E74,Assumptions!$B$116:$C$162,2,FALSE)</f>
        <v>H2_BLND_NG_P</v>
      </c>
      <c r="AJ74" t="str">
        <f>VLOOKUP(F74,Assumptions!$B$116:$C$162,2,FALSE)</f>
        <v>H2_IND_BOIL_HEAT</v>
      </c>
    </row>
    <row r="75" spans="2:36" x14ac:dyDescent="0.25">
      <c r="B75" t="s">
        <v>112</v>
      </c>
      <c r="C75" t="s">
        <v>49</v>
      </c>
      <c r="D75" t="s">
        <v>62</v>
      </c>
      <c r="E75" t="s">
        <v>122</v>
      </c>
      <c r="F75" t="s">
        <v>570</v>
      </c>
      <c r="G75" t="s">
        <v>120</v>
      </c>
      <c r="H75" t="s">
        <v>432</v>
      </c>
      <c r="I75" t="s">
        <v>32</v>
      </c>
      <c r="J75" t="s">
        <v>329</v>
      </c>
      <c r="K75">
        <f t="shared" si="36"/>
        <v>1</v>
      </c>
      <c r="L75">
        <f t="shared" si="37"/>
        <v>0</v>
      </c>
      <c r="M75">
        <f t="shared" si="38"/>
        <v>1</v>
      </c>
      <c r="N75">
        <f t="shared" si="39"/>
        <v>1</v>
      </c>
      <c r="O75">
        <f t="shared" si="31"/>
        <v>3</v>
      </c>
      <c r="P75" t="str">
        <f t="shared" si="40"/>
        <v>Large centralized electrolysis-CO2 emissions</v>
      </c>
      <c r="Q75" t="str">
        <f t="shared" si="41"/>
        <v>Underground storage-CO2 emissions</v>
      </c>
      <c r="R75" t="str">
        <f t="shared" si="42"/>
        <v>Hydrogen transmission &amp; distribution pipeline-CO2 emissions</v>
      </c>
      <c r="S75" t="str">
        <f t="shared" si="43"/>
        <v>Industrial H2 boiler-CO2 emissions</v>
      </c>
      <c r="T75">
        <f ca="1">IF(timePeriod="2020-30",(VLOOKUP($P75,'TA database'!$I$8:$J$79,2,FALSE)/VLOOKUP($D75,'Merit calculation'!$B$48:$I$52,5,FALSE)/VLOOKUP($E75,'Merit calculation'!$B$67:$I$73,5,FALSE)/VLOOKUP($F75,'Merit calculation'!$B$90:$I$103,5,FALSE)/energyContentH2),(VLOOKUP($P75,'TA database'!$I$8:$J$79,2,FALSE)/VLOOKUP($D75,'Merit calculation'!$B$48:$I$52,7,FALSE)/VLOOKUP($E75,'Merit calculation'!$B$67:$I$73,7,FALSE)/VLOOKUP($F75,'Merit calculation'!$B$90:$I$103,7,FALSE)/energyContentH2))</f>
        <v>1.7494925421932112E-2</v>
      </c>
      <c r="U75">
        <v>0</v>
      </c>
      <c r="V75">
        <v>0</v>
      </c>
      <c r="W75">
        <f ca="1">IFERROR(VLOOKUP($S75,'TA database'!$I$146:$J$193,2,FALSE),0)</f>
        <v>0</v>
      </c>
      <c r="X75">
        <f>IFERROR(VLOOKUP($S75,'TA database'!$I$200:$J$271,2,FALSE),0)</f>
        <v>0</v>
      </c>
      <c r="Y75">
        <f t="shared" ca="1" si="44"/>
        <v>6.29817315189556E-2</v>
      </c>
      <c r="Z75" t="str">
        <f t="shared" si="32"/>
        <v>ELCTRLYZ_LRG_C   →   C_UNDRGRND_STRG   →   H2_T&amp;D_P   →   H2_IND_BOIL_HEAT</v>
      </c>
      <c r="AA75" t="str">
        <f t="shared" si="33"/>
        <v>Industrial heat</v>
      </c>
      <c r="AB75" t="str">
        <f t="shared" si="34"/>
        <v>CO2 emissions</v>
      </c>
      <c r="AC75">
        <f t="shared" ca="1" si="35"/>
        <v>6.29817315189556E-2</v>
      </c>
      <c r="AD75">
        <v>16</v>
      </c>
      <c r="AE75" t="str">
        <f>IF(AND(ISNUMBER(SEARCH(O75,4)),ISNUMBER(SEARCH('(4) FCH pathway assessment'!$B$16,AB75)),ISNUMBER(SEARCH('(4) FCH pathway assessment'!$B$10,AA75))),AD75,"")</f>
        <v/>
      </c>
      <c r="AF75" t="str">
        <f t="shared" si="16"/>
        <v/>
      </c>
      <c r="AG75" t="str">
        <f>VLOOKUP(C75,Assumptions!$B$116:$C$162,2,FALSE)</f>
        <v>ELCTRLYZ_LRG_C</v>
      </c>
      <c r="AH75" t="str">
        <f>VLOOKUP(D75,Assumptions!$B$116:$C$162,2,FALSE)</f>
        <v>C_UNDRGRND_STRG</v>
      </c>
      <c r="AI75" t="str">
        <f>VLOOKUP(E75,Assumptions!$B$116:$C$162,2,FALSE)</f>
        <v>H2_T&amp;D_P</v>
      </c>
      <c r="AJ75" t="str">
        <f>VLOOKUP(F75,Assumptions!$B$116:$C$162,2,FALSE)</f>
        <v>H2_IND_BOIL_HEAT</v>
      </c>
    </row>
    <row r="76" spans="2:36" x14ac:dyDescent="0.25">
      <c r="B76" t="s">
        <v>112</v>
      </c>
      <c r="C76" t="s">
        <v>49</v>
      </c>
      <c r="D76" t="s">
        <v>62</v>
      </c>
      <c r="E76" t="s">
        <v>116</v>
      </c>
      <c r="F76" t="s">
        <v>570</v>
      </c>
      <c r="G76" t="s">
        <v>120</v>
      </c>
      <c r="H76" t="s">
        <v>432</v>
      </c>
      <c r="I76" t="s">
        <v>32</v>
      </c>
      <c r="J76" t="s">
        <v>329</v>
      </c>
      <c r="K76">
        <f t="shared" si="36"/>
        <v>1</v>
      </c>
      <c r="L76">
        <f t="shared" si="37"/>
        <v>0</v>
      </c>
      <c r="M76">
        <f t="shared" si="38"/>
        <v>1</v>
      </c>
      <c r="N76">
        <f t="shared" si="39"/>
        <v>1</v>
      </c>
      <c r="O76">
        <f t="shared" si="31"/>
        <v>3</v>
      </c>
      <c r="P76" t="str">
        <f t="shared" si="40"/>
        <v>Large centralized electrolysis-CO2 emissions</v>
      </c>
      <c r="Q76" t="str">
        <f t="shared" si="41"/>
        <v>Underground storage-CO2 emissions</v>
      </c>
      <c r="R76" t="str">
        <f t="shared" si="42"/>
        <v>Liquid hydrogen truck-CO2 emissions</v>
      </c>
      <c r="S76" t="str">
        <f t="shared" si="43"/>
        <v>Industrial H2 boiler-CO2 emissions</v>
      </c>
      <c r="T76">
        <f ca="1">IF(timePeriod="2020-30",(VLOOKUP($P76,'TA database'!$I$8:$J$79,2,FALSE)/VLOOKUP($D76,'Merit calculation'!$B$48:$I$52,5,FALSE)/VLOOKUP($E76,'Merit calculation'!$B$67:$I$73,5,FALSE)/VLOOKUP($F76,'Merit calculation'!$B$90:$I$103,5,FALSE)/energyContentH2),(VLOOKUP($P76,'TA database'!$I$8:$J$79,2,FALSE)/VLOOKUP($D76,'Merit calculation'!$B$48:$I$52,7,FALSE)/VLOOKUP($E76,'Merit calculation'!$B$67:$I$73,7,FALSE)/VLOOKUP($F76,'Merit calculation'!$B$90:$I$103,7,FALSE)/energyContentH2))</f>
        <v>2.0210007196864402E-2</v>
      </c>
      <c r="U76">
        <v>0</v>
      </c>
      <c r="V76">
        <v>0</v>
      </c>
      <c r="W76">
        <f ca="1">IFERROR(VLOOKUP($S76,'TA database'!$I$146:$J$193,2,FALSE),0)</f>
        <v>0</v>
      </c>
      <c r="X76">
        <f>IFERROR(VLOOKUP($S76,'TA database'!$I$200:$J$271,2,FALSE),0)</f>
        <v>0</v>
      </c>
      <c r="Y76">
        <f t="shared" ca="1" si="44"/>
        <v>7.2756025908711844E-2</v>
      </c>
      <c r="Z76" t="str">
        <f t="shared" si="32"/>
        <v>ELCTRLYZ_LRG_C   →   C_UNDRGRND_STRG   →   LQ_TRUCK   →   H2_IND_BOIL_HEAT</v>
      </c>
      <c r="AA76" t="str">
        <f t="shared" si="33"/>
        <v>Industrial heat</v>
      </c>
      <c r="AB76" t="str">
        <f t="shared" si="34"/>
        <v>CO2 emissions</v>
      </c>
      <c r="AC76">
        <f t="shared" ca="1" si="35"/>
        <v>7.2756025908711844E-2</v>
      </c>
      <c r="AD76">
        <v>17</v>
      </c>
      <c r="AE76" t="str">
        <f>IF(AND(ISNUMBER(SEARCH(O76,4)),ISNUMBER(SEARCH('(4) FCH pathway assessment'!$B$16,AB76)),ISNUMBER(SEARCH('(4) FCH pathway assessment'!$B$10,AA76))),AD76,"")</f>
        <v/>
      </c>
      <c r="AF76" t="str">
        <f t="shared" si="16"/>
        <v/>
      </c>
      <c r="AG76" t="str">
        <f>VLOOKUP(C76,Assumptions!$B$116:$C$162,2,FALSE)</f>
        <v>ELCTRLYZ_LRG_C</v>
      </c>
      <c r="AH76" t="str">
        <f>VLOOKUP(D76,Assumptions!$B$116:$C$162,2,FALSE)</f>
        <v>C_UNDRGRND_STRG</v>
      </c>
      <c r="AI76" t="str">
        <f>VLOOKUP(E76,Assumptions!$B$116:$C$162,2,FALSE)</f>
        <v>LQ_TRUCK</v>
      </c>
      <c r="AJ76" t="str">
        <f>VLOOKUP(F76,Assumptions!$B$116:$C$162,2,FALSE)</f>
        <v>H2_IND_BOIL_HEAT</v>
      </c>
    </row>
    <row r="77" spans="2:36" x14ac:dyDescent="0.25">
      <c r="B77" t="s">
        <v>112</v>
      </c>
      <c r="C77" t="s">
        <v>49</v>
      </c>
      <c r="D77" t="s">
        <v>62</v>
      </c>
      <c r="E77" t="s">
        <v>66</v>
      </c>
      <c r="F77" t="s">
        <v>570</v>
      </c>
      <c r="G77" t="s">
        <v>120</v>
      </c>
      <c r="H77" t="s">
        <v>432</v>
      </c>
      <c r="I77" t="s">
        <v>32</v>
      </c>
      <c r="J77" t="s">
        <v>329</v>
      </c>
      <c r="K77">
        <f t="shared" si="36"/>
        <v>1</v>
      </c>
      <c r="L77">
        <f t="shared" si="37"/>
        <v>0</v>
      </c>
      <c r="M77">
        <f t="shared" si="38"/>
        <v>1</v>
      </c>
      <c r="N77">
        <f t="shared" si="39"/>
        <v>1</v>
      </c>
      <c r="O77">
        <f t="shared" si="31"/>
        <v>3</v>
      </c>
      <c r="P77" t="str">
        <f t="shared" si="40"/>
        <v>Large centralized electrolysis-CO2 emissions</v>
      </c>
      <c r="Q77" t="str">
        <f t="shared" si="41"/>
        <v>Underground storage-CO2 emissions</v>
      </c>
      <c r="R77" t="str">
        <f t="shared" si="42"/>
        <v>Onsite-CO2 emissions</v>
      </c>
      <c r="S77" t="str">
        <f t="shared" si="43"/>
        <v>Industrial H2 boiler-CO2 emissions</v>
      </c>
      <c r="T77">
        <f ca="1">IF(timePeriod="2020-30",(VLOOKUP($P77,'TA database'!$I$8:$J$79,2,FALSE)/VLOOKUP($D77,'Merit calculation'!$B$48:$I$52,5,FALSE)/VLOOKUP($E77,'Merit calculation'!$B$67:$I$73,5,FALSE)/VLOOKUP($F77,'Merit calculation'!$B$90:$I$103,5,FALSE)/energyContentH2),(VLOOKUP($P77,'TA database'!$I$8:$J$79,2,FALSE)/VLOOKUP($D77,'Merit calculation'!$B$48:$I$52,7,FALSE)/VLOOKUP($E77,'Merit calculation'!$B$67:$I$73,7,FALSE)/VLOOKUP($F77,'Merit calculation'!$B$90:$I$103,7,FALSE)/energyContentH2))</f>
        <v>1.7319976167712792E-2</v>
      </c>
      <c r="U77">
        <v>0</v>
      </c>
      <c r="V77">
        <v>0</v>
      </c>
      <c r="W77">
        <f ca="1">IFERROR(VLOOKUP($S77,'TA database'!$I$146:$J$193,2,FALSE),0)</f>
        <v>0</v>
      </c>
      <c r="X77">
        <f>IFERROR(VLOOKUP($S77,'TA database'!$I$200:$J$271,2,FALSE),0)</f>
        <v>0</v>
      </c>
      <c r="Y77">
        <f t="shared" ca="1" si="44"/>
        <v>6.2351914203766054E-2</v>
      </c>
      <c r="Z77" t="str">
        <f t="shared" si="32"/>
        <v>ELCTRLYZ_LRG_C   →   C_UNDRGRND_STRG   →   ONSITE_USE   →   H2_IND_BOIL_HEAT</v>
      </c>
      <c r="AA77" t="str">
        <f t="shared" si="33"/>
        <v>Industrial heat</v>
      </c>
      <c r="AB77" t="str">
        <f t="shared" si="34"/>
        <v>CO2 emissions</v>
      </c>
      <c r="AC77">
        <f t="shared" ca="1" si="35"/>
        <v>6.2351914203766054E-2</v>
      </c>
      <c r="AD77">
        <v>18</v>
      </c>
      <c r="AE77" t="str">
        <f>IF(AND(ISNUMBER(SEARCH(O77,4)),ISNUMBER(SEARCH('(4) FCH pathway assessment'!$B$16,AB77)),ISNUMBER(SEARCH('(4) FCH pathway assessment'!$B$10,AA77))),AD77,"")</f>
        <v/>
      </c>
      <c r="AF77" t="str">
        <f t="shared" si="16"/>
        <v/>
      </c>
      <c r="AG77" t="str">
        <f>VLOOKUP(C77,Assumptions!$B$116:$C$162,2,FALSE)</f>
        <v>ELCTRLYZ_LRG_C</v>
      </c>
      <c r="AH77" t="str">
        <f>VLOOKUP(D77,Assumptions!$B$116:$C$162,2,FALSE)</f>
        <v>C_UNDRGRND_STRG</v>
      </c>
      <c r="AI77" t="str">
        <f>VLOOKUP(E77,Assumptions!$B$116:$C$162,2,FALSE)</f>
        <v>ONSITE_USE</v>
      </c>
      <c r="AJ77" t="str">
        <f>VLOOKUP(F77,Assumptions!$B$116:$C$162,2,FALSE)</f>
        <v>H2_IND_BOIL_HEAT</v>
      </c>
    </row>
    <row r="78" spans="2:36" x14ac:dyDescent="0.25">
      <c r="B78" t="s">
        <v>112</v>
      </c>
      <c r="C78" t="s">
        <v>49</v>
      </c>
      <c r="D78" t="s">
        <v>155</v>
      </c>
      <c r="E78" t="s">
        <v>157</v>
      </c>
      <c r="F78" t="s">
        <v>570</v>
      </c>
      <c r="G78" t="s">
        <v>120</v>
      </c>
      <c r="H78" t="s">
        <v>432</v>
      </c>
      <c r="I78" t="s">
        <v>32</v>
      </c>
      <c r="J78" t="s">
        <v>329</v>
      </c>
      <c r="K78">
        <f t="shared" si="36"/>
        <v>1</v>
      </c>
      <c r="L78">
        <f t="shared" si="37"/>
        <v>1</v>
      </c>
      <c r="M78">
        <f t="shared" si="38"/>
        <v>0</v>
      </c>
      <c r="N78">
        <f t="shared" si="39"/>
        <v>1</v>
      </c>
      <c r="O78">
        <f t="shared" si="31"/>
        <v>3</v>
      </c>
      <c r="P78" t="str">
        <f t="shared" si="40"/>
        <v>Large centralized electrolysis-CO2 emissions</v>
      </c>
      <c r="Q78" t="str">
        <f t="shared" si="41"/>
        <v>Central gas storage-CO2 emissions</v>
      </c>
      <c r="R78" t="str">
        <f t="shared" si="42"/>
        <v>Blending in natural gas pipeline-CO2 emissions</v>
      </c>
      <c r="S78" t="str">
        <f t="shared" si="43"/>
        <v>Industrial H2 boiler-CO2 emissions</v>
      </c>
      <c r="T78">
        <f ca="1">IF(timePeriod="2020-30",(VLOOKUP($P78,'TA database'!$I$8:$J$79,2,FALSE)/VLOOKUP($D78,'Merit calculation'!$B$48:$I$52,5,FALSE)/VLOOKUP($E78,'Merit calculation'!$B$67:$I$73,5,FALSE)/VLOOKUP($F78,'Merit calculation'!$B$90:$I$103,5,FALSE)/energyContentH2),(VLOOKUP($P78,'TA database'!$I$8:$J$79,2,FALSE)/VLOOKUP($D78,'Merit calculation'!$B$48:$I$52,7,FALSE)/VLOOKUP($E78,'Merit calculation'!$B$67:$I$73,7,FALSE)/VLOOKUP($F78,'Merit calculation'!$B$90:$I$103,7,FALSE)/energyContentH2))</f>
        <v>1.7673445069094688E-2</v>
      </c>
      <c r="U78">
        <v>0</v>
      </c>
      <c r="V78">
        <v>0</v>
      </c>
      <c r="W78">
        <f ca="1">IFERROR(VLOOKUP($S78,'TA database'!$I$146:$J$193,2,FALSE),0)</f>
        <v>0</v>
      </c>
      <c r="X78">
        <f>IFERROR(VLOOKUP($S78,'TA database'!$I$200:$J$271,2,FALSE),0)</f>
        <v>0</v>
      </c>
      <c r="Y78">
        <f t="shared" ca="1" si="44"/>
        <v>6.3624402248740872E-2</v>
      </c>
      <c r="Z78" t="str">
        <f t="shared" si="32"/>
        <v>ELCTRLYZ_LRG_C   →   C_GAS_STRG   →   H2_BLND_NG_P   →   H2_IND_BOIL_HEAT</v>
      </c>
      <c r="AA78" t="str">
        <f t="shared" si="33"/>
        <v>Industrial heat</v>
      </c>
      <c r="AB78" t="str">
        <f t="shared" si="34"/>
        <v>CO2 emissions</v>
      </c>
      <c r="AC78">
        <f t="shared" ca="1" si="35"/>
        <v>6.3624402248740872E-2</v>
      </c>
      <c r="AD78">
        <v>19</v>
      </c>
      <c r="AE78" t="str">
        <f>IF(AND(ISNUMBER(SEARCH(O78,4)),ISNUMBER(SEARCH('(4) FCH pathway assessment'!$B$16,AB78)),ISNUMBER(SEARCH('(4) FCH pathway assessment'!$B$10,AA78))),AD78,"")</f>
        <v/>
      </c>
      <c r="AF78" t="str">
        <f t="shared" si="16"/>
        <v/>
      </c>
      <c r="AG78" t="str">
        <f>VLOOKUP(C78,Assumptions!$B$116:$C$162,2,FALSE)</f>
        <v>ELCTRLYZ_LRG_C</v>
      </c>
      <c r="AH78" t="str">
        <f>VLOOKUP(D78,Assumptions!$B$116:$C$162,2,FALSE)</f>
        <v>C_GAS_STRG</v>
      </c>
      <c r="AI78" t="str">
        <f>VLOOKUP(E78,Assumptions!$B$116:$C$162,2,FALSE)</f>
        <v>H2_BLND_NG_P</v>
      </c>
      <c r="AJ78" t="str">
        <f>VLOOKUP(F78,Assumptions!$B$116:$C$162,2,FALSE)</f>
        <v>H2_IND_BOIL_HEAT</v>
      </c>
    </row>
    <row r="79" spans="2:36" x14ac:dyDescent="0.25">
      <c r="B79" t="s">
        <v>112</v>
      </c>
      <c r="C79" t="s">
        <v>49</v>
      </c>
      <c r="D79" t="s">
        <v>155</v>
      </c>
      <c r="E79" t="s">
        <v>122</v>
      </c>
      <c r="F79" t="s">
        <v>570</v>
      </c>
      <c r="G79" t="s">
        <v>120</v>
      </c>
      <c r="H79" t="s">
        <v>432</v>
      </c>
      <c r="I79" t="s">
        <v>32</v>
      </c>
      <c r="J79" t="s">
        <v>329</v>
      </c>
      <c r="K79">
        <f t="shared" si="36"/>
        <v>1</v>
      </c>
      <c r="L79">
        <f t="shared" si="37"/>
        <v>1</v>
      </c>
      <c r="M79">
        <f t="shared" si="38"/>
        <v>1</v>
      </c>
      <c r="N79">
        <f t="shared" si="39"/>
        <v>1</v>
      </c>
      <c r="O79">
        <f t="shared" si="31"/>
        <v>4</v>
      </c>
      <c r="P79" t="str">
        <f t="shared" si="40"/>
        <v>Large centralized electrolysis-CO2 emissions</v>
      </c>
      <c r="Q79" t="str">
        <f t="shared" si="41"/>
        <v>Central gas storage-CO2 emissions</v>
      </c>
      <c r="R79" t="str">
        <f t="shared" si="42"/>
        <v>Hydrogen transmission &amp; distribution pipeline-CO2 emissions</v>
      </c>
      <c r="S79" t="str">
        <f t="shared" si="43"/>
        <v>Industrial H2 boiler-CO2 emissions</v>
      </c>
      <c r="T79">
        <f ca="1">IF(timePeriod="2020-30",(VLOOKUP($P79,'TA database'!$I$8:$J$79,2,FALSE)/VLOOKUP($D79,'Merit calculation'!$B$48:$I$52,5,FALSE)/VLOOKUP($E79,'Merit calculation'!$B$67:$I$73,5,FALSE)/VLOOKUP($F79,'Merit calculation'!$B$90:$I$103,5,FALSE)/energyContentH2),(VLOOKUP($P79,'TA database'!$I$8:$J$79,2,FALSE)/VLOOKUP($D79,'Merit calculation'!$B$48:$I$52,7,FALSE)/VLOOKUP($E79,'Merit calculation'!$B$67:$I$73,7,FALSE)/VLOOKUP($F79,'Merit calculation'!$B$90:$I$103,7,FALSE)/energyContentH2))</f>
        <v>1.7673445069094688E-2</v>
      </c>
      <c r="U79">
        <v>0</v>
      </c>
      <c r="V79">
        <v>0</v>
      </c>
      <c r="W79">
        <f ca="1">IFERROR(VLOOKUP($S79,'TA database'!$I$146:$J$193,2,FALSE),0)</f>
        <v>0</v>
      </c>
      <c r="X79">
        <f>IFERROR(VLOOKUP($S79,'TA database'!$I$200:$J$271,2,FALSE),0)</f>
        <v>0</v>
      </c>
      <c r="Y79">
        <f t="shared" ca="1" si="44"/>
        <v>6.3624402248740872E-2</v>
      </c>
      <c r="Z79" t="str">
        <f t="shared" si="32"/>
        <v>ELCTRLYZ_LRG_C   →   C_GAS_STRG   →   H2_T&amp;D_P   →   H2_IND_BOIL_HEAT</v>
      </c>
      <c r="AA79" t="str">
        <f t="shared" si="33"/>
        <v>Industrial heat</v>
      </c>
      <c r="AB79" t="str">
        <f t="shared" si="34"/>
        <v>CO2 emissions</v>
      </c>
      <c r="AC79">
        <f t="shared" ca="1" si="35"/>
        <v>6.3624402248740872E-2</v>
      </c>
      <c r="AD79">
        <v>20</v>
      </c>
      <c r="AE79" t="str">
        <f>IF(AND(ISNUMBER(SEARCH(O79,4)),ISNUMBER(SEARCH('(4) FCH pathway assessment'!$B$16,AB79)),ISNUMBER(SEARCH('(4) FCH pathway assessment'!$B$10,AA79))),AD79,"")</f>
        <v/>
      </c>
      <c r="AF79" t="str">
        <f t="shared" si="16"/>
        <v/>
      </c>
      <c r="AG79" t="str">
        <f>VLOOKUP(C79,Assumptions!$B$116:$C$162,2,FALSE)</f>
        <v>ELCTRLYZ_LRG_C</v>
      </c>
      <c r="AH79" t="str">
        <f>VLOOKUP(D79,Assumptions!$B$116:$C$162,2,FALSE)</f>
        <v>C_GAS_STRG</v>
      </c>
      <c r="AI79" t="str">
        <f>VLOOKUP(E79,Assumptions!$B$116:$C$162,2,FALSE)</f>
        <v>H2_T&amp;D_P</v>
      </c>
      <c r="AJ79" t="str">
        <f>VLOOKUP(F79,Assumptions!$B$116:$C$162,2,FALSE)</f>
        <v>H2_IND_BOIL_HEAT</v>
      </c>
    </row>
    <row r="80" spans="2:36" x14ac:dyDescent="0.25">
      <c r="B80" t="s">
        <v>112</v>
      </c>
      <c r="C80" t="s">
        <v>49</v>
      </c>
      <c r="D80" t="s">
        <v>155</v>
      </c>
      <c r="E80" t="s">
        <v>116</v>
      </c>
      <c r="F80" t="s">
        <v>570</v>
      </c>
      <c r="G80" t="s">
        <v>120</v>
      </c>
      <c r="H80" t="s">
        <v>432</v>
      </c>
      <c r="I80" t="s">
        <v>32</v>
      </c>
      <c r="J80" t="s">
        <v>329</v>
      </c>
      <c r="K80">
        <f t="shared" si="36"/>
        <v>1</v>
      </c>
      <c r="L80">
        <f t="shared" si="37"/>
        <v>1</v>
      </c>
      <c r="M80">
        <f t="shared" si="38"/>
        <v>1</v>
      </c>
      <c r="N80">
        <f t="shared" si="39"/>
        <v>1</v>
      </c>
      <c r="O80">
        <f t="shared" si="31"/>
        <v>4</v>
      </c>
      <c r="P80" t="str">
        <f t="shared" si="40"/>
        <v>Large centralized electrolysis-CO2 emissions</v>
      </c>
      <c r="Q80" t="str">
        <f t="shared" si="41"/>
        <v>Central gas storage-CO2 emissions</v>
      </c>
      <c r="R80" t="str">
        <f t="shared" si="42"/>
        <v>Liquid hydrogen truck-CO2 emissions</v>
      </c>
      <c r="S80" t="str">
        <f t="shared" si="43"/>
        <v>Industrial H2 boiler-CO2 emissions</v>
      </c>
      <c r="T80">
        <f ca="1">IF(timePeriod="2020-30",(VLOOKUP($P80,'TA database'!$I$8:$J$79,2,FALSE)/VLOOKUP($D80,'Merit calculation'!$B$48:$I$52,5,FALSE)/VLOOKUP($E80,'Merit calculation'!$B$67:$I$73,5,FALSE)/VLOOKUP($F80,'Merit calculation'!$B$90:$I$103,5,FALSE)/energyContentH2),(VLOOKUP($P80,'TA database'!$I$8:$J$79,2,FALSE)/VLOOKUP($D80,'Merit calculation'!$B$48:$I$52,7,FALSE)/VLOOKUP($E80,'Merit calculation'!$B$67:$I$73,7,FALSE)/VLOOKUP($F80,'Merit calculation'!$B$90:$I$103,7,FALSE)/energyContentH2))</f>
        <v>2.0416231760097714E-2</v>
      </c>
      <c r="U80">
        <v>0</v>
      </c>
      <c r="V80">
        <v>0</v>
      </c>
      <c r="W80">
        <f ca="1">IFERROR(VLOOKUP($S80,'TA database'!$I$146:$J$193,2,FALSE),0)</f>
        <v>0</v>
      </c>
      <c r="X80">
        <f>IFERROR(VLOOKUP($S80,'TA database'!$I$200:$J$271,2,FALSE),0)</f>
        <v>0</v>
      </c>
      <c r="Y80">
        <f t="shared" ca="1" si="44"/>
        <v>7.3498434336351767E-2</v>
      </c>
      <c r="Z80" t="str">
        <f t="shared" si="32"/>
        <v>ELCTRLYZ_LRG_C   →   C_GAS_STRG   →   LQ_TRUCK   →   H2_IND_BOIL_HEAT</v>
      </c>
      <c r="AA80" t="str">
        <f t="shared" si="33"/>
        <v>Industrial heat</v>
      </c>
      <c r="AB80" t="str">
        <f t="shared" si="34"/>
        <v>CO2 emissions</v>
      </c>
      <c r="AC80">
        <f t="shared" ca="1" si="35"/>
        <v>7.3498434336351767E-2</v>
      </c>
      <c r="AD80">
        <v>21</v>
      </c>
      <c r="AE80" t="str">
        <f>IF(AND(ISNUMBER(SEARCH(O80,4)),ISNUMBER(SEARCH('(4) FCH pathway assessment'!$B$16,AB80)),ISNUMBER(SEARCH('(4) FCH pathway assessment'!$B$10,AA80))),AD80,"")</f>
        <v/>
      </c>
      <c r="AF80" t="str">
        <f t="shared" si="16"/>
        <v/>
      </c>
      <c r="AG80" t="str">
        <f>VLOOKUP(C80,Assumptions!$B$116:$C$162,2,FALSE)</f>
        <v>ELCTRLYZ_LRG_C</v>
      </c>
      <c r="AH80" t="str">
        <f>VLOOKUP(D80,Assumptions!$B$116:$C$162,2,FALSE)</f>
        <v>C_GAS_STRG</v>
      </c>
      <c r="AI80" t="str">
        <f>VLOOKUP(E80,Assumptions!$B$116:$C$162,2,FALSE)</f>
        <v>LQ_TRUCK</v>
      </c>
      <c r="AJ80" t="str">
        <f>VLOOKUP(F80,Assumptions!$B$116:$C$162,2,FALSE)</f>
        <v>H2_IND_BOIL_HEAT</v>
      </c>
    </row>
    <row r="81" spans="2:36" x14ac:dyDescent="0.25">
      <c r="B81" t="s">
        <v>112</v>
      </c>
      <c r="C81" t="s">
        <v>49</v>
      </c>
      <c r="D81" t="s">
        <v>155</v>
      </c>
      <c r="E81" t="s">
        <v>66</v>
      </c>
      <c r="F81" t="s">
        <v>570</v>
      </c>
      <c r="G81" t="s">
        <v>120</v>
      </c>
      <c r="H81" t="s">
        <v>432</v>
      </c>
      <c r="I81" t="s">
        <v>32</v>
      </c>
      <c r="J81" t="s">
        <v>329</v>
      </c>
      <c r="K81">
        <f t="shared" si="36"/>
        <v>1</v>
      </c>
      <c r="L81">
        <f t="shared" si="37"/>
        <v>1</v>
      </c>
      <c r="M81">
        <f t="shared" si="38"/>
        <v>1</v>
      </c>
      <c r="N81">
        <f t="shared" si="39"/>
        <v>1</v>
      </c>
      <c r="O81">
        <f t="shared" si="31"/>
        <v>4</v>
      </c>
      <c r="P81" t="str">
        <f t="shared" si="40"/>
        <v>Large centralized electrolysis-CO2 emissions</v>
      </c>
      <c r="Q81" t="str">
        <f t="shared" si="41"/>
        <v>Central gas storage-CO2 emissions</v>
      </c>
      <c r="R81" t="str">
        <f t="shared" si="42"/>
        <v>Onsite-CO2 emissions</v>
      </c>
      <c r="S81" t="str">
        <f t="shared" si="43"/>
        <v>Industrial H2 boiler-CO2 emissions</v>
      </c>
      <c r="T81">
        <f ca="1">IF(timePeriod="2020-30",(VLOOKUP($P81,'TA database'!$I$8:$J$79,2,FALSE)/VLOOKUP($D81,'Merit calculation'!$B$48:$I$52,5,FALSE)/VLOOKUP($E81,'Merit calculation'!$B$67:$I$73,5,FALSE)/VLOOKUP($F81,'Merit calculation'!$B$90:$I$103,5,FALSE)/energyContentH2),(VLOOKUP($P81,'TA database'!$I$8:$J$79,2,FALSE)/VLOOKUP($D81,'Merit calculation'!$B$48:$I$52,7,FALSE)/VLOOKUP($E81,'Merit calculation'!$B$67:$I$73,7,FALSE)/VLOOKUP($F81,'Merit calculation'!$B$90:$I$103,7,FALSE)/energyContentH2))</f>
        <v>1.749671061840374E-2</v>
      </c>
      <c r="U81">
        <v>0</v>
      </c>
      <c r="V81">
        <v>0</v>
      </c>
      <c r="W81">
        <f ca="1">IFERROR(VLOOKUP($S81,'TA database'!$I$146:$J$193,2,FALSE),0)</f>
        <v>0</v>
      </c>
      <c r="X81">
        <f>IFERROR(VLOOKUP($S81,'TA database'!$I$200:$J$271,2,FALSE),0)</f>
        <v>0</v>
      </c>
      <c r="Y81">
        <f t="shared" ca="1" si="44"/>
        <v>6.2988158226253463E-2</v>
      </c>
      <c r="Z81" t="str">
        <f t="shared" si="32"/>
        <v>ELCTRLYZ_LRG_C   →   C_GAS_STRG   →   ONSITE_USE   →   H2_IND_BOIL_HEAT</v>
      </c>
      <c r="AA81" t="str">
        <f t="shared" si="33"/>
        <v>Industrial heat</v>
      </c>
      <c r="AB81" t="str">
        <f t="shared" si="34"/>
        <v>CO2 emissions</v>
      </c>
      <c r="AC81">
        <f t="shared" ca="1" si="35"/>
        <v>6.2988158226253463E-2</v>
      </c>
      <c r="AD81">
        <v>22</v>
      </c>
      <c r="AE81" t="str">
        <f>IF(AND(ISNUMBER(SEARCH(O81,4)),ISNUMBER(SEARCH('(4) FCH pathway assessment'!$B$16,AB81)),ISNUMBER(SEARCH('(4) FCH pathway assessment'!$B$10,AA81))),AD81,"")</f>
        <v/>
      </c>
      <c r="AF81" t="str">
        <f t="shared" si="16"/>
        <v/>
      </c>
      <c r="AG81" t="str">
        <f>VLOOKUP(C81,Assumptions!$B$116:$C$162,2,FALSE)</f>
        <v>ELCTRLYZ_LRG_C</v>
      </c>
      <c r="AH81" t="str">
        <f>VLOOKUP(D81,Assumptions!$B$116:$C$162,2,FALSE)</f>
        <v>C_GAS_STRG</v>
      </c>
      <c r="AI81" t="str">
        <f>VLOOKUP(E81,Assumptions!$B$116:$C$162,2,FALSE)</f>
        <v>ONSITE_USE</v>
      </c>
      <c r="AJ81" t="str">
        <f>VLOOKUP(F81,Assumptions!$B$116:$C$162,2,FALSE)</f>
        <v>H2_IND_BOIL_HEAT</v>
      </c>
    </row>
    <row r="82" spans="2:36" x14ac:dyDescent="0.25">
      <c r="B82" t="s">
        <v>112</v>
      </c>
      <c r="C82" t="s">
        <v>51</v>
      </c>
      <c r="D82" t="s">
        <v>155</v>
      </c>
      <c r="E82" t="s">
        <v>157</v>
      </c>
      <c r="F82" t="s">
        <v>570</v>
      </c>
      <c r="G82" t="s">
        <v>120</v>
      </c>
      <c r="H82" t="s">
        <v>432</v>
      </c>
      <c r="I82" t="s">
        <v>32</v>
      </c>
      <c r="J82" t="s">
        <v>329</v>
      </c>
      <c r="K82">
        <f t="shared" si="36"/>
        <v>1</v>
      </c>
      <c r="L82">
        <f t="shared" si="37"/>
        <v>1</v>
      </c>
      <c r="M82">
        <f t="shared" si="38"/>
        <v>0</v>
      </c>
      <c r="N82">
        <f t="shared" si="39"/>
        <v>1</v>
      </c>
      <c r="O82">
        <f t="shared" si="31"/>
        <v>3</v>
      </c>
      <c r="P82" t="str">
        <f t="shared" si="40"/>
        <v>Medium centralized electrolysis-CO2 emissions</v>
      </c>
      <c r="Q82" t="str">
        <f t="shared" si="41"/>
        <v>Central gas storage-CO2 emissions</v>
      </c>
      <c r="R82" t="str">
        <f t="shared" si="42"/>
        <v>Blending in natural gas pipeline-CO2 emissions</v>
      </c>
      <c r="S82" t="str">
        <f t="shared" si="43"/>
        <v>Industrial H2 boiler-CO2 emissions</v>
      </c>
      <c r="T82">
        <f ca="1">IF(timePeriod="2020-30",(VLOOKUP($P82,'TA database'!$I$8:$J$79,2,FALSE)/VLOOKUP($D82,'Merit calculation'!$B$48:$I$52,5,FALSE)/VLOOKUP($E82,'Merit calculation'!$B$67:$I$73,5,FALSE)/VLOOKUP($F82,'Merit calculation'!$B$90:$I$103,5,FALSE)/energyContentH2),(VLOOKUP($P82,'TA database'!$I$8:$J$79,2,FALSE)/VLOOKUP($D82,'Merit calculation'!$B$48:$I$52,7,FALSE)/VLOOKUP($E82,'Merit calculation'!$B$67:$I$73,7,FALSE)/VLOOKUP($F82,'Merit calculation'!$B$90:$I$103,7,FALSE)/energyContentH2))</f>
        <v>1.7673445069094688E-2</v>
      </c>
      <c r="U82">
        <v>0</v>
      </c>
      <c r="V82">
        <v>0</v>
      </c>
      <c r="W82">
        <f ca="1">IFERROR(VLOOKUP($S82,'TA database'!$I$146:$J$193,2,FALSE),0)</f>
        <v>0</v>
      </c>
      <c r="X82">
        <f>IFERROR(VLOOKUP($S82,'TA database'!$I$200:$J$271,2,FALSE),0)</f>
        <v>0</v>
      </c>
      <c r="Y82">
        <f t="shared" ca="1" si="44"/>
        <v>6.3624402248740872E-2</v>
      </c>
      <c r="Z82" t="str">
        <f t="shared" si="32"/>
        <v>ELCTRLYZ_MED_C   →   C_GAS_STRG   →   H2_BLND_NG_P   →   H2_IND_BOIL_HEAT</v>
      </c>
      <c r="AA82" t="str">
        <f t="shared" si="33"/>
        <v>Industrial heat</v>
      </c>
      <c r="AB82" t="str">
        <f t="shared" si="34"/>
        <v>CO2 emissions</v>
      </c>
      <c r="AC82">
        <f t="shared" ca="1" si="35"/>
        <v>6.3624402248740872E-2</v>
      </c>
      <c r="AD82">
        <v>23</v>
      </c>
      <c r="AE82" t="str">
        <f>IF(AND(ISNUMBER(SEARCH(O82,4)),ISNUMBER(SEARCH('(4) FCH pathway assessment'!$B$16,AB82)),ISNUMBER(SEARCH('(4) FCH pathway assessment'!$B$10,AA82))),AD82,"")</f>
        <v/>
      </c>
      <c r="AF82" t="str">
        <f t="shared" si="16"/>
        <v/>
      </c>
      <c r="AG82" t="str">
        <f>VLOOKUP(C82,Assumptions!$B$116:$C$162,2,FALSE)</f>
        <v>ELCTRLYZ_MED_C</v>
      </c>
      <c r="AH82" t="str">
        <f>VLOOKUP(D82,Assumptions!$B$116:$C$162,2,FALSE)</f>
        <v>C_GAS_STRG</v>
      </c>
      <c r="AI82" t="str">
        <f>VLOOKUP(E82,Assumptions!$B$116:$C$162,2,FALSE)</f>
        <v>H2_BLND_NG_P</v>
      </c>
      <c r="AJ82" t="str">
        <f>VLOOKUP(F82,Assumptions!$B$116:$C$162,2,FALSE)</f>
        <v>H2_IND_BOIL_HEAT</v>
      </c>
    </row>
    <row r="83" spans="2:36" x14ac:dyDescent="0.25">
      <c r="B83" t="s">
        <v>112</v>
      </c>
      <c r="C83" t="s">
        <v>51</v>
      </c>
      <c r="D83" t="s">
        <v>155</v>
      </c>
      <c r="E83" t="s">
        <v>122</v>
      </c>
      <c r="F83" t="s">
        <v>570</v>
      </c>
      <c r="G83" t="s">
        <v>120</v>
      </c>
      <c r="H83" t="s">
        <v>432</v>
      </c>
      <c r="I83" t="s">
        <v>32</v>
      </c>
      <c r="J83" t="s">
        <v>329</v>
      </c>
      <c r="K83">
        <f t="shared" si="36"/>
        <v>1</v>
      </c>
      <c r="L83">
        <f t="shared" si="37"/>
        <v>1</v>
      </c>
      <c r="M83">
        <f t="shared" si="38"/>
        <v>1</v>
      </c>
      <c r="N83">
        <f t="shared" si="39"/>
        <v>1</v>
      </c>
      <c r="O83">
        <f t="shared" si="31"/>
        <v>4</v>
      </c>
      <c r="P83" t="str">
        <f t="shared" si="40"/>
        <v>Medium centralized electrolysis-CO2 emissions</v>
      </c>
      <c r="Q83" t="str">
        <f t="shared" si="41"/>
        <v>Central gas storage-CO2 emissions</v>
      </c>
      <c r="R83" t="str">
        <f t="shared" si="42"/>
        <v>Hydrogen transmission &amp; distribution pipeline-CO2 emissions</v>
      </c>
      <c r="S83" t="str">
        <f t="shared" si="43"/>
        <v>Industrial H2 boiler-CO2 emissions</v>
      </c>
      <c r="T83">
        <f ca="1">IF(timePeriod="2020-30",(VLOOKUP($P83,'TA database'!$I$8:$J$79,2,FALSE)/VLOOKUP($D83,'Merit calculation'!$B$48:$I$52,5,FALSE)/VLOOKUP($E83,'Merit calculation'!$B$67:$I$73,5,FALSE)/VLOOKUP($F83,'Merit calculation'!$B$90:$I$103,5,FALSE)/energyContentH2),(VLOOKUP($P83,'TA database'!$I$8:$J$79,2,FALSE)/VLOOKUP($D83,'Merit calculation'!$B$48:$I$52,7,FALSE)/VLOOKUP($E83,'Merit calculation'!$B$67:$I$73,7,FALSE)/VLOOKUP($F83,'Merit calculation'!$B$90:$I$103,7,FALSE)/energyContentH2))</f>
        <v>1.7673445069094688E-2</v>
      </c>
      <c r="U83">
        <v>0</v>
      </c>
      <c r="V83">
        <v>0</v>
      </c>
      <c r="W83">
        <f ca="1">IFERROR(VLOOKUP($S83,'TA database'!$I$146:$J$193,2,FALSE),0)</f>
        <v>0</v>
      </c>
      <c r="X83">
        <f>IFERROR(VLOOKUP($S83,'TA database'!$I$200:$J$271,2,FALSE),0)</f>
        <v>0</v>
      </c>
      <c r="Y83">
        <f t="shared" ca="1" si="44"/>
        <v>6.3624402248740872E-2</v>
      </c>
      <c r="Z83" t="str">
        <f t="shared" si="32"/>
        <v>ELCTRLYZ_MED_C   →   C_GAS_STRG   →   H2_T&amp;D_P   →   H2_IND_BOIL_HEAT</v>
      </c>
      <c r="AA83" t="str">
        <f t="shared" si="33"/>
        <v>Industrial heat</v>
      </c>
      <c r="AB83" t="str">
        <f t="shared" si="34"/>
        <v>CO2 emissions</v>
      </c>
      <c r="AC83">
        <f t="shared" ca="1" si="35"/>
        <v>6.3624402248740872E-2</v>
      </c>
      <c r="AD83">
        <v>24</v>
      </c>
      <c r="AE83" t="str">
        <f>IF(AND(ISNUMBER(SEARCH(O83,4)),ISNUMBER(SEARCH('(4) FCH pathway assessment'!$B$16,AB83)),ISNUMBER(SEARCH('(4) FCH pathway assessment'!$B$10,AA83))),AD83,"")</f>
        <v/>
      </c>
      <c r="AF83" t="str">
        <f t="shared" si="16"/>
        <v/>
      </c>
      <c r="AG83" t="str">
        <f>VLOOKUP(C83,Assumptions!$B$116:$C$162,2,FALSE)</f>
        <v>ELCTRLYZ_MED_C</v>
      </c>
      <c r="AH83" t="str">
        <f>VLOOKUP(D83,Assumptions!$B$116:$C$162,2,FALSE)</f>
        <v>C_GAS_STRG</v>
      </c>
      <c r="AI83" t="str">
        <f>VLOOKUP(E83,Assumptions!$B$116:$C$162,2,FALSE)</f>
        <v>H2_T&amp;D_P</v>
      </c>
      <c r="AJ83" t="str">
        <f>VLOOKUP(F83,Assumptions!$B$116:$C$162,2,FALSE)</f>
        <v>H2_IND_BOIL_HEAT</v>
      </c>
    </row>
    <row r="84" spans="2:36" x14ac:dyDescent="0.25">
      <c r="B84" t="s">
        <v>112</v>
      </c>
      <c r="C84" t="s">
        <v>51</v>
      </c>
      <c r="D84" t="s">
        <v>155</v>
      </c>
      <c r="E84" t="s">
        <v>116</v>
      </c>
      <c r="F84" t="s">
        <v>570</v>
      </c>
      <c r="G84" t="s">
        <v>120</v>
      </c>
      <c r="H84" t="s">
        <v>432</v>
      </c>
      <c r="I84" t="s">
        <v>32</v>
      </c>
      <c r="J84" t="s">
        <v>329</v>
      </c>
      <c r="K84">
        <f t="shared" si="36"/>
        <v>1</v>
      </c>
      <c r="L84">
        <f t="shared" si="37"/>
        <v>1</v>
      </c>
      <c r="M84">
        <f t="shared" si="38"/>
        <v>1</v>
      </c>
      <c r="N84">
        <f t="shared" si="39"/>
        <v>1</v>
      </c>
      <c r="O84">
        <f t="shared" si="31"/>
        <v>4</v>
      </c>
      <c r="P84" t="str">
        <f t="shared" si="40"/>
        <v>Medium centralized electrolysis-CO2 emissions</v>
      </c>
      <c r="Q84" t="str">
        <f t="shared" si="41"/>
        <v>Central gas storage-CO2 emissions</v>
      </c>
      <c r="R84" t="str">
        <f t="shared" si="42"/>
        <v>Liquid hydrogen truck-CO2 emissions</v>
      </c>
      <c r="S84" t="str">
        <f t="shared" si="43"/>
        <v>Industrial H2 boiler-CO2 emissions</v>
      </c>
      <c r="T84">
        <f ca="1">IF(timePeriod="2020-30",(VLOOKUP($P84,'TA database'!$I$8:$J$79,2,FALSE)/VLOOKUP($D84,'Merit calculation'!$B$48:$I$52,5,FALSE)/VLOOKUP($E84,'Merit calculation'!$B$67:$I$73,5,FALSE)/VLOOKUP($F84,'Merit calculation'!$B$90:$I$103,5,FALSE)/energyContentH2),(VLOOKUP($P84,'TA database'!$I$8:$J$79,2,FALSE)/VLOOKUP($D84,'Merit calculation'!$B$48:$I$52,7,FALSE)/VLOOKUP($E84,'Merit calculation'!$B$67:$I$73,7,FALSE)/VLOOKUP($F84,'Merit calculation'!$B$90:$I$103,7,FALSE)/energyContentH2))</f>
        <v>2.0416231760097714E-2</v>
      </c>
      <c r="U84">
        <v>0</v>
      </c>
      <c r="V84">
        <v>0</v>
      </c>
      <c r="W84">
        <f ca="1">IFERROR(VLOOKUP($S84,'TA database'!$I$146:$J$193,2,FALSE),0)</f>
        <v>0</v>
      </c>
      <c r="X84">
        <f>IFERROR(VLOOKUP($S84,'TA database'!$I$200:$J$271,2,FALSE),0)</f>
        <v>0</v>
      </c>
      <c r="Y84">
        <f t="shared" ca="1" si="44"/>
        <v>7.3498434336351767E-2</v>
      </c>
      <c r="Z84" t="str">
        <f t="shared" si="32"/>
        <v>ELCTRLYZ_MED_C   →   C_GAS_STRG   →   LQ_TRUCK   →   H2_IND_BOIL_HEAT</v>
      </c>
      <c r="AA84" t="str">
        <f t="shared" si="33"/>
        <v>Industrial heat</v>
      </c>
      <c r="AB84" t="str">
        <f t="shared" si="34"/>
        <v>CO2 emissions</v>
      </c>
      <c r="AC84">
        <f t="shared" ca="1" si="35"/>
        <v>7.3498434336351767E-2</v>
      </c>
      <c r="AD84">
        <v>25</v>
      </c>
      <c r="AE84" t="str">
        <f>IF(AND(ISNUMBER(SEARCH(O84,4)),ISNUMBER(SEARCH('(4) FCH pathway assessment'!$B$16,AB84)),ISNUMBER(SEARCH('(4) FCH pathway assessment'!$B$10,AA84))),AD84,"")</f>
        <v/>
      </c>
      <c r="AF84" t="str">
        <f t="shared" si="16"/>
        <v/>
      </c>
      <c r="AG84" t="str">
        <f>VLOOKUP(C84,Assumptions!$B$116:$C$162,2,FALSE)</f>
        <v>ELCTRLYZ_MED_C</v>
      </c>
      <c r="AH84" t="str">
        <f>VLOOKUP(D84,Assumptions!$B$116:$C$162,2,FALSE)</f>
        <v>C_GAS_STRG</v>
      </c>
      <c r="AI84" t="str">
        <f>VLOOKUP(E84,Assumptions!$B$116:$C$162,2,FALSE)</f>
        <v>LQ_TRUCK</v>
      </c>
      <c r="AJ84" t="str">
        <f>VLOOKUP(F84,Assumptions!$B$116:$C$162,2,FALSE)</f>
        <v>H2_IND_BOIL_HEAT</v>
      </c>
    </row>
    <row r="85" spans="2:36" x14ac:dyDescent="0.25">
      <c r="B85" t="s">
        <v>112</v>
      </c>
      <c r="C85" t="s">
        <v>51</v>
      </c>
      <c r="D85" t="s">
        <v>155</v>
      </c>
      <c r="E85" t="s">
        <v>66</v>
      </c>
      <c r="F85" t="s">
        <v>570</v>
      </c>
      <c r="G85" t="s">
        <v>120</v>
      </c>
      <c r="H85" t="s">
        <v>432</v>
      </c>
      <c r="I85" t="s">
        <v>32</v>
      </c>
      <c r="J85" t="s">
        <v>329</v>
      </c>
      <c r="K85">
        <f t="shared" si="36"/>
        <v>1</v>
      </c>
      <c r="L85">
        <f t="shared" si="37"/>
        <v>1</v>
      </c>
      <c r="M85">
        <f t="shared" si="38"/>
        <v>1</v>
      </c>
      <c r="N85">
        <f t="shared" si="39"/>
        <v>1</v>
      </c>
      <c r="O85">
        <f t="shared" si="31"/>
        <v>4</v>
      </c>
      <c r="P85" t="str">
        <f t="shared" si="40"/>
        <v>Medium centralized electrolysis-CO2 emissions</v>
      </c>
      <c r="Q85" t="str">
        <f t="shared" si="41"/>
        <v>Central gas storage-CO2 emissions</v>
      </c>
      <c r="R85" t="str">
        <f t="shared" si="42"/>
        <v>Onsite-CO2 emissions</v>
      </c>
      <c r="S85" t="str">
        <f t="shared" si="43"/>
        <v>Industrial H2 boiler-CO2 emissions</v>
      </c>
      <c r="T85">
        <f ca="1">IF(timePeriod="2020-30",(VLOOKUP($P85,'TA database'!$I$8:$J$79,2,FALSE)/VLOOKUP($D85,'Merit calculation'!$B$48:$I$52,5,FALSE)/VLOOKUP($E85,'Merit calculation'!$B$67:$I$73,5,FALSE)/VLOOKUP($F85,'Merit calculation'!$B$90:$I$103,5,FALSE)/energyContentH2),(VLOOKUP($P85,'TA database'!$I$8:$J$79,2,FALSE)/VLOOKUP($D85,'Merit calculation'!$B$48:$I$52,7,FALSE)/VLOOKUP($E85,'Merit calculation'!$B$67:$I$73,7,FALSE)/VLOOKUP($F85,'Merit calculation'!$B$90:$I$103,7,FALSE)/energyContentH2))</f>
        <v>1.749671061840374E-2</v>
      </c>
      <c r="U85">
        <v>0</v>
      </c>
      <c r="V85">
        <v>0</v>
      </c>
      <c r="W85">
        <f ca="1">IFERROR(VLOOKUP($S85,'TA database'!$I$146:$J$193,2,FALSE),0)</f>
        <v>0</v>
      </c>
      <c r="X85">
        <f>IFERROR(VLOOKUP($S85,'TA database'!$I$200:$J$271,2,FALSE),0)</f>
        <v>0</v>
      </c>
      <c r="Y85">
        <f t="shared" ca="1" si="44"/>
        <v>6.2988158226253463E-2</v>
      </c>
      <c r="Z85" t="str">
        <f t="shared" si="32"/>
        <v>ELCTRLYZ_MED_C   →   C_GAS_STRG   →   ONSITE_USE   →   H2_IND_BOIL_HEAT</v>
      </c>
      <c r="AA85" t="str">
        <f t="shared" si="33"/>
        <v>Industrial heat</v>
      </c>
      <c r="AB85" t="str">
        <f t="shared" si="34"/>
        <v>CO2 emissions</v>
      </c>
      <c r="AC85">
        <f t="shared" ca="1" si="35"/>
        <v>6.2988158226253463E-2</v>
      </c>
      <c r="AD85">
        <v>26</v>
      </c>
      <c r="AE85" t="str">
        <f>IF(AND(ISNUMBER(SEARCH(O85,4)),ISNUMBER(SEARCH('(4) FCH pathway assessment'!$B$16,AB85)),ISNUMBER(SEARCH('(4) FCH pathway assessment'!$B$10,AA85))),AD85,"")</f>
        <v/>
      </c>
      <c r="AF85" t="str">
        <f t="shared" si="16"/>
        <v/>
      </c>
      <c r="AG85" t="str">
        <f>VLOOKUP(C85,Assumptions!$B$116:$C$162,2,FALSE)</f>
        <v>ELCTRLYZ_MED_C</v>
      </c>
      <c r="AH85" t="str">
        <f>VLOOKUP(D85,Assumptions!$B$116:$C$162,2,FALSE)</f>
        <v>C_GAS_STRG</v>
      </c>
      <c r="AI85" t="str">
        <f>VLOOKUP(E85,Assumptions!$B$116:$C$162,2,FALSE)</f>
        <v>ONSITE_USE</v>
      </c>
      <c r="AJ85" t="str">
        <f>VLOOKUP(F85,Assumptions!$B$116:$C$162,2,FALSE)</f>
        <v>H2_IND_BOIL_HEAT</v>
      </c>
    </row>
    <row r="86" spans="2:36" x14ac:dyDescent="0.25">
      <c r="B86" t="s">
        <v>112</v>
      </c>
      <c r="C86" t="s">
        <v>52</v>
      </c>
      <c r="D86" s="60" t="s">
        <v>130</v>
      </c>
      <c r="E86" t="s">
        <v>66</v>
      </c>
      <c r="F86" t="s">
        <v>570</v>
      </c>
      <c r="G86" t="s">
        <v>120</v>
      </c>
      <c r="H86" t="s">
        <v>432</v>
      </c>
      <c r="I86" t="s">
        <v>32</v>
      </c>
      <c r="J86" t="s">
        <v>329</v>
      </c>
      <c r="K86">
        <f t="shared" ref="K86:K90" si="45">SUMPRODUCT(($C$7:$C$18=$C86)*($D$6:$H$6=$D86)*($D$7:$H$18))</f>
        <v>1</v>
      </c>
      <c r="L86">
        <f t="shared" ref="L86:L90" si="46">SUMPRODUCT(($C$19:$C$23=$D86)*($I$6:$O$6=$E86)*($I$19:$O$23))</f>
        <v>1</v>
      </c>
      <c r="M86">
        <f t="shared" ref="M86:M90" si="47">SUMPRODUCT(($C$24:$C$30=$E86)*($P$6:$AI$6=$F86)*($P$24:$AI$30))</f>
        <v>1</v>
      </c>
      <c r="N86">
        <f t="shared" ref="N86:N90" si="48">SUMPRODUCT(($C$31:$C$50=$F86)*($AJ$6:$AM$6=$G86)*($AJ$31:$AM$50))</f>
        <v>1</v>
      </c>
      <c r="O86">
        <f t="shared" ref="O86:O90" si="49">K86+L86+M86+N86</f>
        <v>4</v>
      </c>
      <c r="P86" t="str">
        <f t="shared" ref="P86:P90" si="50">CONCATENATE(C86,"-",J86)</f>
        <v>Small decentralized electrolysis-CO2 emissions</v>
      </c>
      <c r="Q86" t="str">
        <f t="shared" ref="Q86:Q90" si="51">CONCATENATE(D86,"-",J86)</f>
        <v>Distributed gas storage-CO2 emissions</v>
      </c>
      <c r="R86" t="str">
        <f t="shared" ref="R86:R90" si="52">CONCATENATE(E86,"-",J86)</f>
        <v>Onsite-CO2 emissions</v>
      </c>
      <c r="S86" t="str">
        <f t="shared" ref="S86:S90" si="53">CONCATENATE(F86,"-",J86)</f>
        <v>Industrial H2 boiler-CO2 emissions</v>
      </c>
      <c r="T86">
        <f ca="1">IF(timePeriod="2020-30",(VLOOKUP($P86,'TA database'!$I$8:$J$79,2,FALSE)/VLOOKUP($D86,'Merit calculation'!$B$48:$I$52,5,FALSE)/VLOOKUP($E86,'Merit calculation'!$B$67:$I$73,5,FALSE)/VLOOKUP($F86,'Merit calculation'!$B$90:$I$103,5,FALSE)/energyContentH2),(VLOOKUP($P86,'TA database'!$I$8:$J$79,2,FALSE)/VLOOKUP($D86,'Merit calculation'!$B$48:$I$52,7,FALSE)/VLOOKUP($E86,'Merit calculation'!$B$67:$I$73,7,FALSE)/VLOOKUP($F86,'Merit calculation'!$B$90:$I$103,7,FALSE)/energyContentH2))</f>
        <v>1.749671061840374E-2</v>
      </c>
      <c r="U86">
        <v>0</v>
      </c>
      <c r="V86">
        <v>0</v>
      </c>
      <c r="W86">
        <f ca="1">IFERROR(VLOOKUP($S86,'TA database'!$I$146:$J$193,2,FALSE),0)</f>
        <v>0</v>
      </c>
      <c r="X86">
        <f>IFERROR(VLOOKUP($S86,'TA database'!$I$200:$J$271,2,FALSE),0)</f>
        <v>0</v>
      </c>
      <c r="Y86">
        <f t="shared" ref="Y86:Y90" ca="1" si="54">IF($W86=0,T86*3.6+X86,T86+W86)</f>
        <v>6.2988158226253463E-2</v>
      </c>
      <c r="Z86" t="str">
        <f t="shared" ref="Z86:Z90" si="55">CONCATENATE(AG86,"   →   ",AH86,"   →   ",AI86,"   →   ",AJ86)</f>
        <v>ELCTRLYZ_SML_D   →   D_GAS_STRG   →   ONSITE_USE   →   H2_IND_BOIL_HEAT</v>
      </c>
      <c r="AA86" t="str">
        <f t="shared" ref="AA86:AA90" si="56">G86</f>
        <v>Industrial heat</v>
      </c>
      <c r="AB86" t="str">
        <f t="shared" ref="AB86:AB90" si="57">J86</f>
        <v>CO2 emissions</v>
      </c>
      <c r="AC86">
        <f t="shared" ref="AC86:AC90" ca="1" si="58">Y86</f>
        <v>6.2988158226253463E-2</v>
      </c>
      <c r="AD86">
        <v>27</v>
      </c>
      <c r="AE86" t="str">
        <f>IF(AND(ISNUMBER(SEARCH(O86,4)),ISNUMBER(SEARCH('(4) FCH pathway assessment'!$B$16,AB86)),ISNUMBER(SEARCH('(4) FCH pathway assessment'!$B$10,AA86))),AD86,"")</f>
        <v/>
      </c>
      <c r="AF86" t="str">
        <f t="shared" si="16"/>
        <v/>
      </c>
      <c r="AG86" t="str">
        <f>VLOOKUP(C86,Assumptions!$B$116:$C$162,2,FALSE)</f>
        <v>ELCTRLYZ_SML_D</v>
      </c>
      <c r="AH86" t="str">
        <f>VLOOKUP(D86,Assumptions!$B$116:$C$162,2,FALSE)</f>
        <v>D_GAS_STRG</v>
      </c>
      <c r="AI86" t="str">
        <f>VLOOKUP(E86,Assumptions!$B$116:$C$162,2,FALSE)</f>
        <v>ONSITE_USE</v>
      </c>
      <c r="AJ86" t="str">
        <f>VLOOKUP(F86,Assumptions!$B$116:$C$162,2,FALSE)</f>
        <v>H2_IND_BOIL_HEAT</v>
      </c>
    </row>
    <row r="87" spans="2:36" x14ac:dyDescent="0.25">
      <c r="B87" t="s">
        <v>127</v>
      </c>
      <c r="C87" t="s">
        <v>57</v>
      </c>
      <c r="D87" t="s">
        <v>62</v>
      </c>
      <c r="E87" t="s">
        <v>157</v>
      </c>
      <c r="F87" t="s">
        <v>570</v>
      </c>
      <c r="G87" t="s">
        <v>120</v>
      </c>
      <c r="H87" t="s">
        <v>432</v>
      </c>
      <c r="I87" t="s">
        <v>32</v>
      </c>
      <c r="J87" t="s">
        <v>329</v>
      </c>
      <c r="K87">
        <f t="shared" si="45"/>
        <v>1</v>
      </c>
      <c r="L87">
        <f t="shared" si="46"/>
        <v>0</v>
      </c>
      <c r="M87">
        <f t="shared" si="47"/>
        <v>0</v>
      </c>
      <c r="N87">
        <f t="shared" si="48"/>
        <v>1</v>
      </c>
      <c r="O87">
        <f t="shared" si="49"/>
        <v>2</v>
      </c>
      <c r="P87" t="str">
        <f t="shared" si="50"/>
        <v>Large centralized natural gas steam reforming-CO2 emissions</v>
      </c>
      <c r="Q87" t="str">
        <f t="shared" si="51"/>
        <v>Underground storage-CO2 emissions</v>
      </c>
      <c r="R87" t="str">
        <f t="shared" si="52"/>
        <v>Blending in natural gas pipeline-CO2 emissions</v>
      </c>
      <c r="S87" t="str">
        <f t="shared" si="53"/>
        <v>Industrial H2 boiler-CO2 emissions</v>
      </c>
      <c r="T87">
        <f ca="1">IF(timePeriod="2020-30",(VLOOKUP($P87,'TA database'!$I$8:$J$79,2,FALSE)/VLOOKUP($D87,'Merit calculation'!$B$48:$I$52,5,FALSE)/VLOOKUP($E87,'Merit calculation'!$B$67:$I$73,5,FALSE)/VLOOKUP($F87,'Merit calculation'!$B$90:$I$103,5,FALSE)/energyContentH2),(VLOOKUP($P87,'TA database'!$I$8:$J$79,2,FALSE)/VLOOKUP($D87,'Merit calculation'!$B$48:$I$52,7,FALSE)/VLOOKUP($E87,'Merit calculation'!$B$67:$I$73,7,FALSE)/VLOOKUP($F87,'Merit calculation'!$B$90:$I$103,7,FALSE)/energyContentH2))</f>
        <v>7.0665502764268195E-2</v>
      </c>
      <c r="U87">
        <v>0</v>
      </c>
      <c r="V87">
        <v>0</v>
      </c>
      <c r="W87">
        <f ca="1">IFERROR(VLOOKUP($S87,'TA database'!$I$146:$J$193,2,FALSE),0)</f>
        <v>0</v>
      </c>
      <c r="X87">
        <f>IFERROR(VLOOKUP($S87,'TA database'!$I$200:$J$271,2,FALSE),0)</f>
        <v>0</v>
      </c>
      <c r="Y87">
        <f t="shared" ca="1" si="54"/>
        <v>0.25439580995136551</v>
      </c>
      <c r="Z87" t="str">
        <f t="shared" si="55"/>
        <v>NG_SR_LRG_C   →   C_UNDRGRND_STRG   →   H2_BLND_NG_P   →   H2_IND_BOIL_HEAT</v>
      </c>
      <c r="AA87" t="str">
        <f t="shared" si="56"/>
        <v>Industrial heat</v>
      </c>
      <c r="AB87" t="str">
        <f t="shared" si="57"/>
        <v>CO2 emissions</v>
      </c>
      <c r="AC87">
        <f t="shared" ca="1" si="58"/>
        <v>0.25439580995136551</v>
      </c>
      <c r="AD87">
        <v>28</v>
      </c>
      <c r="AE87" t="str">
        <f>IF(AND(ISNUMBER(SEARCH(O87,4)),ISNUMBER(SEARCH('(4) FCH pathway assessment'!$B$16,AB87)),ISNUMBER(SEARCH('(4) FCH pathway assessment'!$B$10,AA87))),AD87,"")</f>
        <v/>
      </c>
      <c r="AF87" t="str">
        <f t="shared" si="16"/>
        <v/>
      </c>
      <c r="AG87" t="str">
        <f>VLOOKUP(C87,Assumptions!$B$116:$C$162,2,FALSE)</f>
        <v>NG_SR_LRG_C</v>
      </c>
      <c r="AH87" t="str">
        <f>VLOOKUP(D87,Assumptions!$B$116:$C$162,2,FALSE)</f>
        <v>C_UNDRGRND_STRG</v>
      </c>
      <c r="AI87" t="str">
        <f>VLOOKUP(E87,Assumptions!$B$116:$C$162,2,FALSE)</f>
        <v>H2_BLND_NG_P</v>
      </c>
      <c r="AJ87" t="str">
        <f>VLOOKUP(F87,Assumptions!$B$116:$C$162,2,FALSE)</f>
        <v>H2_IND_BOIL_HEAT</v>
      </c>
    </row>
    <row r="88" spans="2:36" x14ac:dyDescent="0.25">
      <c r="B88" t="s">
        <v>127</v>
      </c>
      <c r="C88" t="s">
        <v>57</v>
      </c>
      <c r="D88" t="s">
        <v>62</v>
      </c>
      <c r="E88" t="s">
        <v>122</v>
      </c>
      <c r="F88" t="s">
        <v>570</v>
      </c>
      <c r="G88" t="s">
        <v>120</v>
      </c>
      <c r="H88" t="s">
        <v>432</v>
      </c>
      <c r="I88" t="s">
        <v>32</v>
      </c>
      <c r="J88" t="s">
        <v>329</v>
      </c>
      <c r="K88">
        <f t="shared" si="45"/>
        <v>1</v>
      </c>
      <c r="L88">
        <f t="shared" si="46"/>
        <v>0</v>
      </c>
      <c r="M88">
        <f t="shared" si="47"/>
        <v>1</v>
      </c>
      <c r="N88">
        <f t="shared" si="48"/>
        <v>1</v>
      </c>
      <c r="O88">
        <f t="shared" si="49"/>
        <v>3</v>
      </c>
      <c r="P88" t="str">
        <f t="shared" si="50"/>
        <v>Large centralized natural gas steam reforming-CO2 emissions</v>
      </c>
      <c r="Q88" t="str">
        <f t="shared" si="51"/>
        <v>Underground storage-CO2 emissions</v>
      </c>
      <c r="R88" t="str">
        <f t="shared" si="52"/>
        <v>Hydrogen transmission &amp; distribution pipeline-CO2 emissions</v>
      </c>
      <c r="S88" t="str">
        <f t="shared" si="53"/>
        <v>Industrial H2 boiler-CO2 emissions</v>
      </c>
      <c r="T88">
        <f ca="1">IF(timePeriod="2020-30",(VLOOKUP($P88,'TA database'!$I$8:$J$79,2,FALSE)/VLOOKUP($D88,'Merit calculation'!$B$48:$I$52,5,FALSE)/VLOOKUP($E88,'Merit calculation'!$B$67:$I$73,5,FALSE)/VLOOKUP($F88,'Merit calculation'!$B$90:$I$103,5,FALSE)/energyContentH2),(VLOOKUP($P88,'TA database'!$I$8:$J$79,2,FALSE)/VLOOKUP($D88,'Merit calculation'!$B$48:$I$52,7,FALSE)/VLOOKUP($E88,'Merit calculation'!$B$67:$I$73,7,FALSE)/VLOOKUP($F88,'Merit calculation'!$B$90:$I$103,7,FALSE)/energyContentH2))</f>
        <v>7.0665502764268195E-2</v>
      </c>
      <c r="U88">
        <v>0</v>
      </c>
      <c r="V88">
        <v>0</v>
      </c>
      <c r="W88">
        <f ca="1">IFERROR(VLOOKUP($S88,'TA database'!$I$146:$J$193,2,FALSE),0)</f>
        <v>0</v>
      </c>
      <c r="X88">
        <f>IFERROR(VLOOKUP($S88,'TA database'!$I$200:$J$271,2,FALSE),0)</f>
        <v>0</v>
      </c>
      <c r="Y88">
        <f t="shared" ca="1" si="54"/>
        <v>0.25439580995136551</v>
      </c>
      <c r="Z88" t="str">
        <f t="shared" si="55"/>
        <v>NG_SR_LRG_C   →   C_UNDRGRND_STRG   →   H2_T&amp;D_P   →   H2_IND_BOIL_HEAT</v>
      </c>
      <c r="AA88" t="str">
        <f t="shared" si="56"/>
        <v>Industrial heat</v>
      </c>
      <c r="AB88" t="str">
        <f t="shared" si="57"/>
        <v>CO2 emissions</v>
      </c>
      <c r="AC88">
        <f t="shared" ca="1" si="58"/>
        <v>0.25439580995136551</v>
      </c>
      <c r="AD88">
        <v>29</v>
      </c>
      <c r="AE88" t="str">
        <f>IF(AND(ISNUMBER(SEARCH(O88,4)),ISNUMBER(SEARCH('(4) FCH pathway assessment'!$B$16,AB88)),ISNUMBER(SEARCH('(4) FCH pathway assessment'!$B$10,AA88))),AD88,"")</f>
        <v/>
      </c>
      <c r="AF88" t="str">
        <f t="shared" si="16"/>
        <v/>
      </c>
      <c r="AG88" t="str">
        <f>VLOOKUP(C88,Assumptions!$B$116:$C$162,2,FALSE)</f>
        <v>NG_SR_LRG_C</v>
      </c>
      <c r="AH88" t="str">
        <f>VLOOKUP(D88,Assumptions!$B$116:$C$162,2,FALSE)</f>
        <v>C_UNDRGRND_STRG</v>
      </c>
      <c r="AI88" t="str">
        <f>VLOOKUP(E88,Assumptions!$B$116:$C$162,2,FALSE)</f>
        <v>H2_T&amp;D_P</v>
      </c>
      <c r="AJ88" t="str">
        <f>VLOOKUP(F88,Assumptions!$B$116:$C$162,2,FALSE)</f>
        <v>H2_IND_BOIL_HEAT</v>
      </c>
    </row>
    <row r="89" spans="2:36" x14ac:dyDescent="0.25">
      <c r="B89" t="s">
        <v>127</v>
      </c>
      <c r="C89" t="s">
        <v>57</v>
      </c>
      <c r="D89" t="s">
        <v>62</v>
      </c>
      <c r="E89" t="s">
        <v>116</v>
      </c>
      <c r="F89" t="s">
        <v>570</v>
      </c>
      <c r="G89" t="s">
        <v>120</v>
      </c>
      <c r="H89" t="s">
        <v>432</v>
      </c>
      <c r="I89" t="s">
        <v>32</v>
      </c>
      <c r="J89" t="s">
        <v>329</v>
      </c>
      <c r="K89">
        <f t="shared" si="45"/>
        <v>1</v>
      </c>
      <c r="L89">
        <f t="shared" si="46"/>
        <v>0</v>
      </c>
      <c r="M89">
        <f t="shared" si="47"/>
        <v>1</v>
      </c>
      <c r="N89">
        <f t="shared" si="48"/>
        <v>1</v>
      </c>
      <c r="O89">
        <f t="shared" si="49"/>
        <v>3</v>
      </c>
      <c r="P89" t="str">
        <f t="shared" si="50"/>
        <v>Large centralized natural gas steam reforming-CO2 emissions</v>
      </c>
      <c r="Q89" t="str">
        <f t="shared" si="51"/>
        <v>Underground storage-CO2 emissions</v>
      </c>
      <c r="R89" t="str">
        <f t="shared" si="52"/>
        <v>Liquid hydrogen truck-CO2 emissions</v>
      </c>
      <c r="S89" t="str">
        <f t="shared" si="53"/>
        <v>Industrial H2 boiler-CO2 emissions</v>
      </c>
      <c r="T89">
        <f ca="1">IF(timePeriod="2020-30",(VLOOKUP($P89,'TA database'!$I$8:$J$79,2,FALSE)/VLOOKUP($D89,'Merit calculation'!$B$48:$I$52,5,FALSE)/VLOOKUP($E89,'Merit calculation'!$B$67:$I$73,5,FALSE)/VLOOKUP($F89,'Merit calculation'!$B$90:$I$103,5,FALSE)/energyContentH2),(VLOOKUP($P89,'TA database'!$I$8:$J$79,2,FALSE)/VLOOKUP($D89,'Merit calculation'!$B$48:$I$52,7,FALSE)/VLOOKUP($E89,'Merit calculation'!$B$67:$I$73,7,FALSE)/VLOOKUP($F89,'Merit calculation'!$B$90:$I$103,7,FALSE)/energyContentH2))</f>
        <v>8.1632261069574691E-2</v>
      </c>
      <c r="U89">
        <v>0</v>
      </c>
      <c r="V89">
        <v>0</v>
      </c>
      <c r="W89">
        <f ca="1">IFERROR(VLOOKUP($S89,'TA database'!$I$146:$J$193,2,FALSE),0)</f>
        <v>0</v>
      </c>
      <c r="X89">
        <f>IFERROR(VLOOKUP($S89,'TA database'!$I$200:$J$271,2,FALSE),0)</f>
        <v>0</v>
      </c>
      <c r="Y89">
        <f t="shared" ca="1" si="54"/>
        <v>0.2938761398504689</v>
      </c>
      <c r="Z89" t="str">
        <f t="shared" si="55"/>
        <v>NG_SR_LRG_C   →   C_UNDRGRND_STRG   →   LQ_TRUCK   →   H2_IND_BOIL_HEAT</v>
      </c>
      <c r="AA89" t="str">
        <f t="shared" si="56"/>
        <v>Industrial heat</v>
      </c>
      <c r="AB89" t="str">
        <f t="shared" si="57"/>
        <v>CO2 emissions</v>
      </c>
      <c r="AC89">
        <f t="shared" ca="1" si="58"/>
        <v>0.2938761398504689</v>
      </c>
      <c r="AD89">
        <v>30</v>
      </c>
      <c r="AE89" t="str">
        <f>IF(AND(ISNUMBER(SEARCH(O89,4)),ISNUMBER(SEARCH('(4) FCH pathway assessment'!$B$16,AB89)),ISNUMBER(SEARCH('(4) FCH pathway assessment'!$B$10,AA89))),AD89,"")</f>
        <v/>
      </c>
      <c r="AF89" t="str">
        <f t="shared" si="16"/>
        <v/>
      </c>
      <c r="AG89" t="str">
        <f>VLOOKUP(C89,Assumptions!$B$116:$C$162,2,FALSE)</f>
        <v>NG_SR_LRG_C</v>
      </c>
      <c r="AH89" t="str">
        <f>VLOOKUP(D89,Assumptions!$B$116:$C$162,2,FALSE)</f>
        <v>C_UNDRGRND_STRG</v>
      </c>
      <c r="AI89" t="str">
        <f>VLOOKUP(E89,Assumptions!$B$116:$C$162,2,FALSE)</f>
        <v>LQ_TRUCK</v>
      </c>
      <c r="AJ89" t="str">
        <f>VLOOKUP(F89,Assumptions!$B$116:$C$162,2,FALSE)</f>
        <v>H2_IND_BOIL_HEAT</v>
      </c>
    </row>
    <row r="90" spans="2:36" x14ac:dyDescent="0.25">
      <c r="B90" t="s">
        <v>127</v>
      </c>
      <c r="C90" t="s">
        <v>57</v>
      </c>
      <c r="D90" t="s">
        <v>62</v>
      </c>
      <c r="E90" t="s">
        <v>66</v>
      </c>
      <c r="F90" t="s">
        <v>570</v>
      </c>
      <c r="G90" t="s">
        <v>120</v>
      </c>
      <c r="H90" t="s">
        <v>432</v>
      </c>
      <c r="I90" t="s">
        <v>32</v>
      </c>
      <c r="J90" t="s">
        <v>329</v>
      </c>
      <c r="K90">
        <f t="shared" si="45"/>
        <v>1</v>
      </c>
      <c r="L90">
        <f t="shared" si="46"/>
        <v>0</v>
      </c>
      <c r="M90">
        <f t="shared" si="47"/>
        <v>1</v>
      </c>
      <c r="N90">
        <f t="shared" si="48"/>
        <v>1</v>
      </c>
      <c r="O90">
        <f t="shared" si="49"/>
        <v>3</v>
      </c>
      <c r="P90" t="str">
        <f t="shared" si="50"/>
        <v>Large centralized natural gas steam reforming-CO2 emissions</v>
      </c>
      <c r="Q90" t="str">
        <f t="shared" si="51"/>
        <v>Underground storage-CO2 emissions</v>
      </c>
      <c r="R90" t="str">
        <f t="shared" si="52"/>
        <v>Onsite-CO2 emissions</v>
      </c>
      <c r="S90" t="str">
        <f t="shared" si="53"/>
        <v>Industrial H2 boiler-CO2 emissions</v>
      </c>
      <c r="T90">
        <f ca="1">IF(timePeriod="2020-30",(VLOOKUP($P90,'TA database'!$I$8:$J$79,2,FALSE)/VLOOKUP($D90,'Merit calculation'!$B$48:$I$52,5,FALSE)/VLOOKUP($E90,'Merit calculation'!$B$67:$I$73,5,FALSE)/VLOOKUP($F90,'Merit calculation'!$B$90:$I$103,5,FALSE)/energyContentH2),(VLOOKUP($P90,'TA database'!$I$8:$J$79,2,FALSE)/VLOOKUP($D90,'Merit calculation'!$B$48:$I$52,7,FALSE)/VLOOKUP($E90,'Merit calculation'!$B$67:$I$73,7,FALSE)/VLOOKUP($F90,'Merit calculation'!$B$90:$I$103,7,FALSE)/energyContentH2))</f>
        <v>6.9958847736625515E-2</v>
      </c>
      <c r="U90">
        <v>0</v>
      </c>
      <c r="V90">
        <v>0</v>
      </c>
      <c r="W90">
        <f ca="1">IFERROR(VLOOKUP($S90,'TA database'!$I$146:$J$193,2,FALSE),0)</f>
        <v>0</v>
      </c>
      <c r="X90">
        <f>IFERROR(VLOOKUP($S90,'TA database'!$I$200:$J$271,2,FALSE),0)</f>
        <v>0</v>
      </c>
      <c r="Y90">
        <f t="shared" ca="1" si="54"/>
        <v>0.25185185185185188</v>
      </c>
      <c r="Z90" t="str">
        <f t="shared" si="55"/>
        <v>NG_SR_LRG_C   →   C_UNDRGRND_STRG   →   ONSITE_USE   →   H2_IND_BOIL_HEAT</v>
      </c>
      <c r="AA90" t="str">
        <f t="shared" si="56"/>
        <v>Industrial heat</v>
      </c>
      <c r="AB90" t="str">
        <f t="shared" si="57"/>
        <v>CO2 emissions</v>
      </c>
      <c r="AC90">
        <f t="shared" ca="1" si="58"/>
        <v>0.25185185185185188</v>
      </c>
      <c r="AD90">
        <v>31</v>
      </c>
      <c r="AE90" t="str">
        <f>IF(AND(ISNUMBER(SEARCH(O90,4)),ISNUMBER(SEARCH('(4) FCH pathway assessment'!$B$16,AB90)),ISNUMBER(SEARCH('(4) FCH pathway assessment'!$B$10,AA90))),AD90,"")</f>
        <v/>
      </c>
      <c r="AF90" t="str">
        <f t="shared" si="16"/>
        <v/>
      </c>
      <c r="AG90" t="str">
        <f>VLOOKUP(C90,Assumptions!$B$116:$C$162,2,FALSE)</f>
        <v>NG_SR_LRG_C</v>
      </c>
      <c r="AH90" t="str">
        <f>VLOOKUP(D90,Assumptions!$B$116:$C$162,2,FALSE)</f>
        <v>C_UNDRGRND_STRG</v>
      </c>
      <c r="AI90" t="str">
        <f>VLOOKUP(E90,Assumptions!$B$116:$C$162,2,FALSE)</f>
        <v>ONSITE_USE</v>
      </c>
      <c r="AJ90" t="str">
        <f>VLOOKUP(F90,Assumptions!$B$116:$C$162,2,FALSE)</f>
        <v>H2_IND_BOIL_HEAT</v>
      </c>
    </row>
    <row r="91" spans="2:36" x14ac:dyDescent="0.25">
      <c r="B91" t="s">
        <v>127</v>
      </c>
      <c r="C91" t="s">
        <v>57</v>
      </c>
      <c r="D91" s="61" t="s">
        <v>63</v>
      </c>
      <c r="E91" t="s">
        <v>122</v>
      </c>
      <c r="F91" t="s">
        <v>570</v>
      </c>
      <c r="G91" t="s">
        <v>120</v>
      </c>
      <c r="H91" t="s">
        <v>432</v>
      </c>
      <c r="I91" t="s">
        <v>32</v>
      </c>
      <c r="J91" t="s">
        <v>329</v>
      </c>
      <c r="K91">
        <f t="shared" ref="K91:K95" si="59">SUMPRODUCT(($C$7:$C$18=$C91)*($D$6:$H$6=$D91)*($D$7:$H$18))</f>
        <v>1</v>
      </c>
      <c r="L91">
        <f t="shared" ref="L91:L95" si="60">SUMPRODUCT(($C$19:$C$23=$D91)*($I$6:$O$6=$E91)*($I$19:$O$23))</f>
        <v>1</v>
      </c>
      <c r="M91">
        <f t="shared" ref="M91:M95" si="61">SUMPRODUCT(($C$24:$C$30=$E91)*($P$6:$AI$6=$F91)*($P$24:$AI$30))</f>
        <v>1</v>
      </c>
      <c r="N91">
        <f t="shared" ref="N91:N95" si="62">SUMPRODUCT(($C$31:$C$50=$F91)*($AJ$6:$AM$6=$G91)*($AJ$31:$AM$50))</f>
        <v>1</v>
      </c>
      <c r="O91">
        <f t="shared" ref="O91:O95" si="63">K91+L91+M91+N91</f>
        <v>4</v>
      </c>
      <c r="P91" t="str">
        <f t="shared" ref="P91:P95" si="64">CONCATENATE(C91,"-",J91)</f>
        <v>Large centralized natural gas steam reforming-CO2 emissions</v>
      </c>
      <c r="Q91" t="str">
        <f t="shared" ref="Q91:Q95" si="65">CONCATENATE(D91,"-",J91)</f>
        <v>No storage-CO2 emissions</v>
      </c>
      <c r="R91" t="str">
        <f t="shared" ref="R91:R95" si="66">CONCATENATE(E91,"-",J91)</f>
        <v>Hydrogen transmission &amp; distribution pipeline-CO2 emissions</v>
      </c>
      <c r="S91" t="str">
        <f t="shared" ref="S91:S95" si="67">CONCATENATE(F91,"-",J91)</f>
        <v>Industrial H2 boiler-CO2 emissions</v>
      </c>
      <c r="T91">
        <f ca="1">IF(timePeriod="2020-30",(VLOOKUP($P91,'TA database'!$I$8:$J$79,2,FALSE)/VLOOKUP($D91,'Merit calculation'!$B$48:$I$52,5,FALSE)/VLOOKUP($E91,'Merit calculation'!$B$67:$I$73,5,FALSE)/VLOOKUP($F91,'Merit calculation'!$B$90:$I$103,5,FALSE)/energyContentH2),(VLOOKUP($P91,'TA database'!$I$8:$J$79,2,FALSE)/VLOOKUP($D91,'Merit calculation'!$B$48:$I$52,7,FALSE)/VLOOKUP($E91,'Merit calculation'!$B$67:$I$73,7,FALSE)/VLOOKUP($F91,'Merit calculation'!$B$90:$I$103,7,FALSE)/energyContentH2))</f>
        <v>6.9958847736625515E-2</v>
      </c>
      <c r="U91">
        <v>0</v>
      </c>
      <c r="V91">
        <v>0</v>
      </c>
      <c r="W91">
        <f ca="1">IFERROR(VLOOKUP($S91,'TA database'!$I$146:$J$193,2,FALSE),0)</f>
        <v>0</v>
      </c>
      <c r="X91">
        <f>IFERROR(VLOOKUP($S91,'TA database'!$I$200:$J$271,2,FALSE),0)</f>
        <v>0</v>
      </c>
      <c r="Y91">
        <f t="shared" ref="Y91:Y95" ca="1" si="68">IF($W91=0,T91*3.6+X91,T91+W91)</f>
        <v>0.25185185185185188</v>
      </c>
      <c r="Z91" t="str">
        <f t="shared" ref="Z91:Z95" si="69">CONCATENATE(AG91,"   →   ",AH91,"   →   ",AI91,"   →   ",AJ91)</f>
        <v>NG_SR_LRG_C   →   NO_STRG   →   H2_T&amp;D_P   →   H2_IND_BOIL_HEAT</v>
      </c>
      <c r="AA91" t="str">
        <f t="shared" ref="AA91:AA95" si="70">G91</f>
        <v>Industrial heat</v>
      </c>
      <c r="AB91" t="str">
        <f t="shared" ref="AB91:AB95" si="71">J91</f>
        <v>CO2 emissions</v>
      </c>
      <c r="AC91">
        <f t="shared" ref="AC91:AC95" ca="1" si="72">Y91</f>
        <v>0.25185185185185188</v>
      </c>
      <c r="AD91">
        <v>32</v>
      </c>
      <c r="AE91" t="str">
        <f>IF(AND(ISNUMBER(SEARCH(O91,4)),ISNUMBER(SEARCH('(4) FCH pathway assessment'!$B$16,AB91)),ISNUMBER(SEARCH('(4) FCH pathway assessment'!$B$10,AA91))),AD91,"")</f>
        <v/>
      </c>
      <c r="AF91" t="str">
        <f t="shared" si="16"/>
        <v/>
      </c>
      <c r="AG91" t="str">
        <f>VLOOKUP(C91,Assumptions!$B$116:$C$162,2,FALSE)</f>
        <v>NG_SR_LRG_C</v>
      </c>
      <c r="AH91" t="str">
        <f>VLOOKUP(D91,Assumptions!$B$116:$C$162,2,FALSE)</f>
        <v>NO_STRG</v>
      </c>
      <c r="AI91" t="str">
        <f>VLOOKUP(E91,Assumptions!$B$116:$C$162,2,FALSE)</f>
        <v>H2_T&amp;D_P</v>
      </c>
      <c r="AJ91" t="str">
        <f>VLOOKUP(F91,Assumptions!$B$116:$C$162,2,FALSE)</f>
        <v>H2_IND_BOIL_HEAT</v>
      </c>
    </row>
    <row r="92" spans="2:36" x14ac:dyDescent="0.25">
      <c r="B92" t="s">
        <v>127</v>
      </c>
      <c r="C92" t="s">
        <v>58</v>
      </c>
      <c r="D92" t="s">
        <v>155</v>
      </c>
      <c r="E92" t="s">
        <v>157</v>
      </c>
      <c r="F92" t="s">
        <v>570</v>
      </c>
      <c r="G92" t="s">
        <v>120</v>
      </c>
      <c r="H92" t="s">
        <v>432</v>
      </c>
      <c r="I92" t="s">
        <v>32</v>
      </c>
      <c r="J92" t="s">
        <v>329</v>
      </c>
      <c r="K92">
        <f t="shared" si="59"/>
        <v>1</v>
      </c>
      <c r="L92">
        <f t="shared" si="60"/>
        <v>1</v>
      </c>
      <c r="M92">
        <f t="shared" si="61"/>
        <v>0</v>
      </c>
      <c r="N92">
        <f t="shared" si="62"/>
        <v>1</v>
      </c>
      <c r="O92">
        <f t="shared" si="63"/>
        <v>3</v>
      </c>
      <c r="P92" t="str">
        <f t="shared" si="64"/>
        <v>Small centralized natural gas steam reforming-CO2 emissions</v>
      </c>
      <c r="Q92" t="str">
        <f t="shared" si="65"/>
        <v>Central gas storage-CO2 emissions</v>
      </c>
      <c r="R92" t="str">
        <f t="shared" si="66"/>
        <v>Blending in natural gas pipeline-CO2 emissions</v>
      </c>
      <c r="S92" t="str">
        <f t="shared" si="67"/>
        <v>Industrial H2 boiler-CO2 emissions</v>
      </c>
      <c r="T92">
        <f ca="1">IF(timePeriod="2020-30",(VLOOKUP($P92,'TA database'!$I$8:$J$79,2,FALSE)/VLOOKUP($D92,'Merit calculation'!$B$48:$I$52,5,FALSE)/VLOOKUP($E92,'Merit calculation'!$B$67:$I$73,5,FALSE)/VLOOKUP($F92,'Merit calculation'!$B$90:$I$103,5,FALSE)/energyContentH2),(VLOOKUP($P92,'TA database'!$I$8:$J$79,2,FALSE)/VLOOKUP($D92,'Merit calculation'!$B$48:$I$52,7,FALSE)/VLOOKUP($E92,'Merit calculation'!$B$67:$I$73,7,FALSE)/VLOOKUP($F92,'Merit calculation'!$B$90:$I$103,7,FALSE)/energyContentH2))</f>
        <v>7.1386579323087257E-2</v>
      </c>
      <c r="U92">
        <v>0</v>
      </c>
      <c r="V92">
        <v>0</v>
      </c>
      <c r="W92">
        <f ca="1">IFERROR(VLOOKUP($S92,'TA database'!$I$146:$J$193,2,FALSE),0)</f>
        <v>0</v>
      </c>
      <c r="X92">
        <f>IFERROR(VLOOKUP($S92,'TA database'!$I$200:$J$271,2,FALSE),0)</f>
        <v>0</v>
      </c>
      <c r="Y92">
        <f t="shared" ca="1" si="68"/>
        <v>0.25699168556311414</v>
      </c>
      <c r="Z92" t="str">
        <f t="shared" si="69"/>
        <v>NG_SR_SML_C   →   C_GAS_STRG   →   H2_BLND_NG_P   →   H2_IND_BOIL_HEAT</v>
      </c>
      <c r="AA92" t="str">
        <f t="shared" si="70"/>
        <v>Industrial heat</v>
      </c>
      <c r="AB92" t="str">
        <f t="shared" si="71"/>
        <v>CO2 emissions</v>
      </c>
      <c r="AC92">
        <f t="shared" ca="1" si="72"/>
        <v>0.25699168556311414</v>
      </c>
      <c r="AD92">
        <v>33</v>
      </c>
      <c r="AE92" t="str">
        <f>IF(AND(ISNUMBER(SEARCH(O92,4)),ISNUMBER(SEARCH('(4) FCH pathway assessment'!$B$16,AB92)),ISNUMBER(SEARCH('(4) FCH pathway assessment'!$B$10,AA92))),AD92,"")</f>
        <v/>
      </c>
      <c r="AF92" t="str">
        <f t="shared" si="16"/>
        <v/>
      </c>
      <c r="AG92" t="str">
        <f>VLOOKUP(C92,Assumptions!$B$116:$C$162,2,FALSE)</f>
        <v>NG_SR_SML_C</v>
      </c>
      <c r="AH92" t="str">
        <f>VLOOKUP(D92,Assumptions!$B$116:$C$162,2,FALSE)</f>
        <v>C_GAS_STRG</v>
      </c>
      <c r="AI92" t="str">
        <f>VLOOKUP(E92,Assumptions!$B$116:$C$162,2,FALSE)</f>
        <v>H2_BLND_NG_P</v>
      </c>
      <c r="AJ92" t="str">
        <f>VLOOKUP(F92,Assumptions!$B$116:$C$162,2,FALSE)</f>
        <v>H2_IND_BOIL_HEAT</v>
      </c>
    </row>
    <row r="93" spans="2:36" x14ac:dyDescent="0.25">
      <c r="B93" t="s">
        <v>127</v>
      </c>
      <c r="C93" t="s">
        <v>58</v>
      </c>
      <c r="D93" t="s">
        <v>155</v>
      </c>
      <c r="E93" t="s">
        <v>122</v>
      </c>
      <c r="F93" t="s">
        <v>570</v>
      </c>
      <c r="G93" t="s">
        <v>120</v>
      </c>
      <c r="H93" t="s">
        <v>432</v>
      </c>
      <c r="I93" t="s">
        <v>32</v>
      </c>
      <c r="J93" t="s">
        <v>329</v>
      </c>
      <c r="K93">
        <f t="shared" si="59"/>
        <v>1</v>
      </c>
      <c r="L93">
        <f t="shared" si="60"/>
        <v>1</v>
      </c>
      <c r="M93">
        <f t="shared" si="61"/>
        <v>1</v>
      </c>
      <c r="N93">
        <f t="shared" si="62"/>
        <v>1</v>
      </c>
      <c r="O93">
        <f t="shared" si="63"/>
        <v>4</v>
      </c>
      <c r="P93" t="str">
        <f t="shared" si="64"/>
        <v>Small centralized natural gas steam reforming-CO2 emissions</v>
      </c>
      <c r="Q93" t="str">
        <f t="shared" si="65"/>
        <v>Central gas storage-CO2 emissions</v>
      </c>
      <c r="R93" t="str">
        <f t="shared" si="66"/>
        <v>Hydrogen transmission &amp; distribution pipeline-CO2 emissions</v>
      </c>
      <c r="S93" t="str">
        <f t="shared" si="67"/>
        <v>Industrial H2 boiler-CO2 emissions</v>
      </c>
      <c r="T93">
        <f ca="1">IF(timePeriod="2020-30",(VLOOKUP($P93,'TA database'!$I$8:$J$79,2,FALSE)/VLOOKUP($D93,'Merit calculation'!$B$48:$I$52,5,FALSE)/VLOOKUP($E93,'Merit calculation'!$B$67:$I$73,5,FALSE)/VLOOKUP($F93,'Merit calculation'!$B$90:$I$103,5,FALSE)/energyContentH2),(VLOOKUP($P93,'TA database'!$I$8:$J$79,2,FALSE)/VLOOKUP($D93,'Merit calculation'!$B$48:$I$52,7,FALSE)/VLOOKUP($E93,'Merit calculation'!$B$67:$I$73,7,FALSE)/VLOOKUP($F93,'Merit calculation'!$B$90:$I$103,7,FALSE)/energyContentH2))</f>
        <v>7.1386579323087257E-2</v>
      </c>
      <c r="U93">
        <v>0</v>
      </c>
      <c r="V93">
        <v>0</v>
      </c>
      <c r="W93">
        <f ca="1">IFERROR(VLOOKUP($S93,'TA database'!$I$146:$J$193,2,FALSE),0)</f>
        <v>0</v>
      </c>
      <c r="X93">
        <f>IFERROR(VLOOKUP($S93,'TA database'!$I$200:$J$271,2,FALSE),0)</f>
        <v>0</v>
      </c>
      <c r="Y93">
        <f t="shared" ca="1" si="68"/>
        <v>0.25699168556311414</v>
      </c>
      <c r="Z93" t="str">
        <f t="shared" si="69"/>
        <v>NG_SR_SML_C   →   C_GAS_STRG   →   H2_T&amp;D_P   →   H2_IND_BOIL_HEAT</v>
      </c>
      <c r="AA93" t="str">
        <f t="shared" si="70"/>
        <v>Industrial heat</v>
      </c>
      <c r="AB93" t="str">
        <f t="shared" si="71"/>
        <v>CO2 emissions</v>
      </c>
      <c r="AC93">
        <f t="shared" ca="1" si="72"/>
        <v>0.25699168556311414</v>
      </c>
      <c r="AD93">
        <v>34</v>
      </c>
      <c r="AE93" t="str">
        <f>IF(AND(ISNUMBER(SEARCH(O93,4)),ISNUMBER(SEARCH('(4) FCH pathway assessment'!$B$16,AB93)),ISNUMBER(SEARCH('(4) FCH pathway assessment'!$B$10,AA93))),AD93,"")</f>
        <v/>
      </c>
      <c r="AF93" t="str">
        <f t="shared" si="16"/>
        <v/>
      </c>
      <c r="AG93" t="str">
        <f>VLOOKUP(C93,Assumptions!$B$116:$C$162,2,FALSE)</f>
        <v>NG_SR_SML_C</v>
      </c>
      <c r="AH93" t="str">
        <f>VLOOKUP(D93,Assumptions!$B$116:$C$162,2,FALSE)</f>
        <v>C_GAS_STRG</v>
      </c>
      <c r="AI93" t="str">
        <f>VLOOKUP(E93,Assumptions!$B$116:$C$162,2,FALSE)</f>
        <v>H2_T&amp;D_P</v>
      </c>
      <c r="AJ93" t="str">
        <f>VLOOKUP(F93,Assumptions!$B$116:$C$162,2,FALSE)</f>
        <v>H2_IND_BOIL_HEAT</v>
      </c>
    </row>
    <row r="94" spans="2:36" x14ac:dyDescent="0.25">
      <c r="B94" t="s">
        <v>127</v>
      </c>
      <c r="C94" t="s">
        <v>58</v>
      </c>
      <c r="D94" t="s">
        <v>155</v>
      </c>
      <c r="E94" t="s">
        <v>116</v>
      </c>
      <c r="F94" t="s">
        <v>570</v>
      </c>
      <c r="G94" t="s">
        <v>120</v>
      </c>
      <c r="H94" t="s">
        <v>432</v>
      </c>
      <c r="I94" t="s">
        <v>32</v>
      </c>
      <c r="J94" t="s">
        <v>329</v>
      </c>
      <c r="K94">
        <f t="shared" si="59"/>
        <v>1</v>
      </c>
      <c r="L94">
        <f t="shared" si="60"/>
        <v>1</v>
      </c>
      <c r="M94">
        <f t="shared" si="61"/>
        <v>1</v>
      </c>
      <c r="N94">
        <f t="shared" si="62"/>
        <v>1</v>
      </c>
      <c r="O94">
        <f t="shared" si="63"/>
        <v>4</v>
      </c>
      <c r="P94" t="str">
        <f t="shared" si="64"/>
        <v>Small centralized natural gas steam reforming-CO2 emissions</v>
      </c>
      <c r="Q94" t="str">
        <f t="shared" si="65"/>
        <v>Central gas storage-CO2 emissions</v>
      </c>
      <c r="R94" t="str">
        <f t="shared" si="66"/>
        <v>Liquid hydrogen truck-CO2 emissions</v>
      </c>
      <c r="S94" t="str">
        <f t="shared" si="67"/>
        <v>Industrial H2 boiler-CO2 emissions</v>
      </c>
      <c r="T94">
        <f ca="1">IF(timePeriod="2020-30",(VLOOKUP($P94,'TA database'!$I$8:$J$79,2,FALSE)/VLOOKUP($D94,'Merit calculation'!$B$48:$I$52,5,FALSE)/VLOOKUP($E94,'Merit calculation'!$B$67:$I$73,5,FALSE)/VLOOKUP($F94,'Merit calculation'!$B$90:$I$103,5,FALSE)/energyContentH2),(VLOOKUP($P94,'TA database'!$I$8:$J$79,2,FALSE)/VLOOKUP($D94,'Merit calculation'!$B$48:$I$52,7,FALSE)/VLOOKUP($E94,'Merit calculation'!$B$67:$I$73,7,FALSE)/VLOOKUP($F94,'Merit calculation'!$B$90:$I$103,7,FALSE)/energyContentH2))</f>
        <v>8.2465243325386683E-2</v>
      </c>
      <c r="U94">
        <v>0</v>
      </c>
      <c r="V94">
        <v>0</v>
      </c>
      <c r="W94">
        <f ca="1">IFERROR(VLOOKUP($S94,'TA database'!$I$146:$J$193,2,FALSE),0)</f>
        <v>0</v>
      </c>
      <c r="X94">
        <f>IFERROR(VLOOKUP($S94,'TA database'!$I$200:$J$271,2,FALSE),0)</f>
        <v>0</v>
      </c>
      <c r="Y94">
        <f t="shared" ca="1" si="68"/>
        <v>0.29687487597139206</v>
      </c>
      <c r="Z94" t="str">
        <f t="shared" si="69"/>
        <v>NG_SR_SML_C   →   C_GAS_STRG   →   LQ_TRUCK   →   H2_IND_BOIL_HEAT</v>
      </c>
      <c r="AA94" t="str">
        <f t="shared" si="70"/>
        <v>Industrial heat</v>
      </c>
      <c r="AB94" t="str">
        <f t="shared" si="71"/>
        <v>CO2 emissions</v>
      </c>
      <c r="AC94">
        <f t="shared" ca="1" si="72"/>
        <v>0.29687487597139206</v>
      </c>
      <c r="AD94">
        <v>35</v>
      </c>
      <c r="AE94" t="str">
        <f>IF(AND(ISNUMBER(SEARCH(O94,4)),ISNUMBER(SEARCH('(4) FCH pathway assessment'!$B$16,AB94)),ISNUMBER(SEARCH('(4) FCH pathway assessment'!$B$10,AA94))),AD94,"")</f>
        <v/>
      </c>
      <c r="AF94" t="str">
        <f t="shared" si="16"/>
        <v/>
      </c>
      <c r="AG94" t="str">
        <f>VLOOKUP(C94,Assumptions!$B$116:$C$162,2,FALSE)</f>
        <v>NG_SR_SML_C</v>
      </c>
      <c r="AH94" t="str">
        <f>VLOOKUP(D94,Assumptions!$B$116:$C$162,2,FALSE)</f>
        <v>C_GAS_STRG</v>
      </c>
      <c r="AI94" t="str">
        <f>VLOOKUP(E94,Assumptions!$B$116:$C$162,2,FALSE)</f>
        <v>LQ_TRUCK</v>
      </c>
      <c r="AJ94" t="str">
        <f>VLOOKUP(F94,Assumptions!$B$116:$C$162,2,FALSE)</f>
        <v>H2_IND_BOIL_HEAT</v>
      </c>
    </row>
    <row r="95" spans="2:36" x14ac:dyDescent="0.25">
      <c r="B95" t="s">
        <v>127</v>
      </c>
      <c r="C95" t="s">
        <v>58</v>
      </c>
      <c r="D95" t="s">
        <v>155</v>
      </c>
      <c r="E95" t="s">
        <v>66</v>
      </c>
      <c r="F95" t="s">
        <v>570</v>
      </c>
      <c r="G95" t="s">
        <v>120</v>
      </c>
      <c r="H95" t="s">
        <v>432</v>
      </c>
      <c r="I95" t="s">
        <v>32</v>
      </c>
      <c r="J95" t="s">
        <v>329</v>
      </c>
      <c r="K95">
        <f t="shared" si="59"/>
        <v>1</v>
      </c>
      <c r="L95">
        <f t="shared" si="60"/>
        <v>1</v>
      </c>
      <c r="M95">
        <f t="shared" si="61"/>
        <v>1</v>
      </c>
      <c r="N95">
        <f t="shared" si="62"/>
        <v>1</v>
      </c>
      <c r="O95">
        <f t="shared" si="63"/>
        <v>4</v>
      </c>
      <c r="P95" t="str">
        <f t="shared" si="64"/>
        <v>Small centralized natural gas steam reforming-CO2 emissions</v>
      </c>
      <c r="Q95" t="str">
        <f t="shared" si="65"/>
        <v>Central gas storage-CO2 emissions</v>
      </c>
      <c r="R95" t="str">
        <f t="shared" si="66"/>
        <v>Onsite-CO2 emissions</v>
      </c>
      <c r="S95" t="str">
        <f t="shared" si="67"/>
        <v>Industrial H2 boiler-CO2 emissions</v>
      </c>
      <c r="T95">
        <f ca="1">IF(timePeriod="2020-30",(VLOOKUP($P95,'TA database'!$I$8:$J$79,2,FALSE)/VLOOKUP($D95,'Merit calculation'!$B$48:$I$52,5,FALSE)/VLOOKUP($E95,'Merit calculation'!$B$67:$I$73,5,FALSE)/VLOOKUP($F95,'Merit calculation'!$B$90:$I$103,5,FALSE)/energyContentH2),(VLOOKUP($P95,'TA database'!$I$8:$J$79,2,FALSE)/VLOOKUP($D95,'Merit calculation'!$B$48:$I$52,7,FALSE)/VLOOKUP($E95,'Merit calculation'!$B$67:$I$73,7,FALSE)/VLOOKUP($F95,'Merit calculation'!$B$90:$I$103,7,FALSE)/energyContentH2))</f>
        <v>7.0672713529856379E-2</v>
      </c>
      <c r="U95">
        <v>0</v>
      </c>
      <c r="V95">
        <v>0</v>
      </c>
      <c r="W95">
        <f ca="1">IFERROR(VLOOKUP($S95,'TA database'!$I$146:$J$193,2,FALSE),0)</f>
        <v>0</v>
      </c>
      <c r="X95">
        <f>IFERROR(VLOOKUP($S95,'TA database'!$I$200:$J$271,2,FALSE),0)</f>
        <v>0</v>
      </c>
      <c r="Y95">
        <f t="shared" ca="1" si="68"/>
        <v>0.25442176870748295</v>
      </c>
      <c r="Z95" t="str">
        <f t="shared" si="69"/>
        <v>NG_SR_SML_C   →   C_GAS_STRG   →   ONSITE_USE   →   H2_IND_BOIL_HEAT</v>
      </c>
      <c r="AA95" t="str">
        <f t="shared" si="70"/>
        <v>Industrial heat</v>
      </c>
      <c r="AB95" t="str">
        <f t="shared" si="71"/>
        <v>CO2 emissions</v>
      </c>
      <c r="AC95">
        <f t="shared" ca="1" si="72"/>
        <v>0.25442176870748295</v>
      </c>
      <c r="AD95">
        <v>36</v>
      </c>
      <c r="AE95" t="str">
        <f>IF(AND(ISNUMBER(SEARCH(O95,4)),ISNUMBER(SEARCH('(4) FCH pathway assessment'!$B$16,AB95)),ISNUMBER(SEARCH('(4) FCH pathway assessment'!$B$10,AA95))),AD95,"")</f>
        <v/>
      </c>
      <c r="AF95" t="str">
        <f t="shared" si="16"/>
        <v/>
      </c>
      <c r="AG95" t="str">
        <f>VLOOKUP(C95,Assumptions!$B$116:$C$162,2,FALSE)</f>
        <v>NG_SR_SML_C</v>
      </c>
      <c r="AH95" t="str">
        <f>VLOOKUP(D95,Assumptions!$B$116:$C$162,2,FALSE)</f>
        <v>C_GAS_STRG</v>
      </c>
      <c r="AI95" t="str">
        <f>VLOOKUP(E95,Assumptions!$B$116:$C$162,2,FALSE)</f>
        <v>ONSITE_USE</v>
      </c>
      <c r="AJ95" t="str">
        <f>VLOOKUP(F95,Assumptions!$B$116:$C$162,2,FALSE)</f>
        <v>H2_IND_BOIL_HEAT</v>
      </c>
    </row>
    <row r="96" spans="2:36" x14ac:dyDescent="0.25">
      <c r="B96" t="s">
        <v>127</v>
      </c>
      <c r="C96" t="s">
        <v>59</v>
      </c>
      <c r="D96" s="60" t="s">
        <v>130</v>
      </c>
      <c r="E96" t="s">
        <v>66</v>
      </c>
      <c r="F96" t="s">
        <v>570</v>
      </c>
      <c r="G96" t="s">
        <v>120</v>
      </c>
      <c r="H96" t="s">
        <v>432</v>
      </c>
      <c r="I96" t="s">
        <v>32</v>
      </c>
      <c r="J96" t="s">
        <v>329</v>
      </c>
      <c r="K96">
        <f t="shared" ref="K96:K97" si="73">SUMPRODUCT(($C$7:$C$18=$C96)*($D$6:$H$6=$D96)*($D$7:$H$18))</f>
        <v>1</v>
      </c>
      <c r="L96">
        <f t="shared" ref="L96:L97" si="74">SUMPRODUCT(($C$19:$C$23=$D96)*($I$6:$O$6=$E96)*($I$19:$O$23))</f>
        <v>1</v>
      </c>
      <c r="M96">
        <f t="shared" ref="M96:M97" si="75">SUMPRODUCT(($C$24:$C$30=$E96)*($P$6:$AI$6=$F96)*($P$24:$AI$30))</f>
        <v>1</v>
      </c>
      <c r="N96">
        <f t="shared" ref="N96:N97" si="76">SUMPRODUCT(($C$31:$C$50=$F96)*($AJ$6:$AM$6=$G96)*($AJ$31:$AM$50))</f>
        <v>1</v>
      </c>
      <c r="O96">
        <f t="shared" ref="O96:O97" si="77">K96+L96+M96+N96</f>
        <v>4</v>
      </c>
      <c r="P96" t="str">
        <f t="shared" ref="P96:P97" si="78">CONCATENATE(C96,"-",J96)</f>
        <v>Medium decentralized natural gas steam reforming-CO2 emissions</v>
      </c>
      <c r="Q96" t="str">
        <f t="shared" ref="Q96:Q97" si="79">CONCATENATE(D96,"-",J96)</f>
        <v>Distributed gas storage-CO2 emissions</v>
      </c>
      <c r="R96" t="str">
        <f t="shared" ref="R96:R97" si="80">CONCATENATE(E96,"-",J96)</f>
        <v>Onsite-CO2 emissions</v>
      </c>
      <c r="S96" t="str">
        <f t="shared" ref="S96:S97" si="81">CONCATENATE(F96,"-",J96)</f>
        <v>Industrial H2 boiler-CO2 emissions</v>
      </c>
      <c r="T96">
        <f ca="1">IF(timePeriod="2020-30",(VLOOKUP($P96,'TA database'!$I$8:$J$79,2,FALSE)/VLOOKUP($D96,'Merit calculation'!$B$48:$I$52,5,FALSE)/VLOOKUP($E96,'Merit calculation'!$B$67:$I$73,5,FALSE)/VLOOKUP($F96,'Merit calculation'!$B$90:$I$103,5,FALSE)/energyContentH2),(VLOOKUP($P96,'TA database'!$I$8:$J$79,2,FALSE)/VLOOKUP($D96,'Merit calculation'!$B$48:$I$52,7,FALSE)/VLOOKUP($E96,'Merit calculation'!$B$67:$I$73,7,FALSE)/VLOOKUP($F96,'Merit calculation'!$B$90:$I$103,7,FALSE)/energyContentH2))</f>
        <v>7.3959816484733418E-2</v>
      </c>
      <c r="U96">
        <v>0</v>
      </c>
      <c r="V96">
        <v>0</v>
      </c>
      <c r="W96">
        <f ca="1">IFERROR(VLOOKUP($S96,'TA database'!$I$146:$J$193,2,FALSE),0)</f>
        <v>0</v>
      </c>
      <c r="X96">
        <f>IFERROR(VLOOKUP($S96,'TA database'!$I$200:$J$271,2,FALSE),0)</f>
        <v>0</v>
      </c>
      <c r="Y96">
        <f t="shared" ref="Y96:Y97" ca="1" si="82">IF($W96=0,T96*3.6+X96,T96+W96)</f>
        <v>0.26625533934504031</v>
      </c>
      <c r="Z96" t="str">
        <f t="shared" ref="Z96:Z97" si="83">CONCATENATE(AG96,"   →   ",AH96,"   →   ",AI96,"   →   ",AJ96)</f>
        <v>NG_SR_MED_D   →   D_GAS_STRG   →   ONSITE_USE   →   H2_IND_BOIL_HEAT</v>
      </c>
      <c r="AA96" t="str">
        <f t="shared" ref="AA96:AA97" si="84">G96</f>
        <v>Industrial heat</v>
      </c>
      <c r="AB96" t="str">
        <f t="shared" ref="AB96:AB97" si="85">J96</f>
        <v>CO2 emissions</v>
      </c>
      <c r="AC96">
        <f t="shared" ref="AC96:AC97" ca="1" si="86">Y96</f>
        <v>0.26625533934504031</v>
      </c>
      <c r="AD96">
        <v>37</v>
      </c>
      <c r="AE96" t="str">
        <f>IF(AND(ISNUMBER(SEARCH(O96,4)),ISNUMBER(SEARCH('(4) FCH pathway assessment'!$B$16,AB96)),ISNUMBER(SEARCH('(4) FCH pathway assessment'!$B$10,AA96))),AD96,"")</f>
        <v/>
      </c>
      <c r="AF96" t="str">
        <f t="shared" si="16"/>
        <v/>
      </c>
      <c r="AG96" t="str">
        <f>VLOOKUP(C96,Assumptions!$B$116:$C$162,2,FALSE)</f>
        <v>NG_SR_MED_D</v>
      </c>
      <c r="AH96" t="str">
        <f>VLOOKUP(D96,Assumptions!$B$116:$C$162,2,FALSE)</f>
        <v>D_GAS_STRG</v>
      </c>
      <c r="AI96" t="str">
        <f>VLOOKUP(E96,Assumptions!$B$116:$C$162,2,FALSE)</f>
        <v>ONSITE_USE</v>
      </c>
      <c r="AJ96" t="str">
        <f>VLOOKUP(F96,Assumptions!$B$116:$C$162,2,FALSE)</f>
        <v>H2_IND_BOIL_HEAT</v>
      </c>
    </row>
    <row r="97" spans="2:36" x14ac:dyDescent="0.25">
      <c r="B97" t="s">
        <v>127</v>
      </c>
      <c r="C97" t="s">
        <v>60</v>
      </c>
      <c r="D97" s="60" t="s">
        <v>130</v>
      </c>
      <c r="E97" t="s">
        <v>66</v>
      </c>
      <c r="F97" t="s">
        <v>570</v>
      </c>
      <c r="G97" t="s">
        <v>120</v>
      </c>
      <c r="H97" t="s">
        <v>432</v>
      </c>
      <c r="I97" t="s">
        <v>32</v>
      </c>
      <c r="J97" t="s">
        <v>329</v>
      </c>
      <c r="K97">
        <f t="shared" si="73"/>
        <v>1</v>
      </c>
      <c r="L97">
        <f t="shared" si="74"/>
        <v>1</v>
      </c>
      <c r="M97">
        <f t="shared" si="75"/>
        <v>1</v>
      </c>
      <c r="N97">
        <f t="shared" si="76"/>
        <v>1</v>
      </c>
      <c r="O97">
        <f t="shared" si="77"/>
        <v>4</v>
      </c>
      <c r="P97" t="str">
        <f t="shared" si="78"/>
        <v>Small decentralized natural gas steam reforming-CO2 emissions</v>
      </c>
      <c r="Q97" t="str">
        <f t="shared" si="79"/>
        <v>Distributed gas storage-CO2 emissions</v>
      </c>
      <c r="R97" t="str">
        <f t="shared" si="80"/>
        <v>Onsite-CO2 emissions</v>
      </c>
      <c r="S97" t="str">
        <f t="shared" si="81"/>
        <v>Industrial H2 boiler-CO2 emissions</v>
      </c>
      <c r="T97">
        <f ca="1">IF(timePeriod="2020-30",(VLOOKUP($P97,'TA database'!$I$8:$J$79,2,FALSE)/VLOOKUP($D97,'Merit calculation'!$B$48:$I$52,5,FALSE)/VLOOKUP($E97,'Merit calculation'!$B$67:$I$73,5,FALSE)/VLOOKUP($F97,'Merit calculation'!$B$90:$I$103,5,FALSE)/energyContentH2),(VLOOKUP($P97,'TA database'!$I$8:$J$79,2,FALSE)/VLOOKUP($D97,'Merit calculation'!$B$48:$I$52,7,FALSE)/VLOOKUP($E97,'Merit calculation'!$B$67:$I$73,7,FALSE)/VLOOKUP($F97,'Merit calculation'!$B$90:$I$103,7,FALSE)/energyContentH2))</f>
        <v>7.0672713529856379E-2</v>
      </c>
      <c r="U97">
        <v>0</v>
      </c>
      <c r="V97">
        <v>0</v>
      </c>
      <c r="W97">
        <f ca="1">IFERROR(VLOOKUP($S97,'TA database'!$I$146:$J$193,2,FALSE),0)</f>
        <v>0</v>
      </c>
      <c r="X97">
        <f>IFERROR(VLOOKUP($S97,'TA database'!$I$200:$J$271,2,FALSE),0)</f>
        <v>0</v>
      </c>
      <c r="Y97">
        <f t="shared" ca="1" si="82"/>
        <v>0.25442176870748295</v>
      </c>
      <c r="Z97" t="str">
        <f t="shared" si="83"/>
        <v>NG_SR_SML_D   →   D_GAS_STRG   →   ONSITE_USE   →   H2_IND_BOIL_HEAT</v>
      </c>
      <c r="AA97" t="str">
        <f t="shared" si="84"/>
        <v>Industrial heat</v>
      </c>
      <c r="AB97" t="str">
        <f t="shared" si="85"/>
        <v>CO2 emissions</v>
      </c>
      <c r="AC97">
        <f t="shared" ca="1" si="86"/>
        <v>0.25442176870748295</v>
      </c>
      <c r="AD97">
        <v>38</v>
      </c>
      <c r="AE97" t="str">
        <f>IF(AND(ISNUMBER(SEARCH(O97,4)),ISNUMBER(SEARCH('(4) FCH pathway assessment'!$B$16,AB97)),ISNUMBER(SEARCH('(4) FCH pathway assessment'!$B$10,AA97))),AD97,"")</f>
        <v/>
      </c>
      <c r="AF97" t="str">
        <f t="shared" si="16"/>
        <v/>
      </c>
      <c r="AG97" t="str">
        <f>VLOOKUP(C97,Assumptions!$B$116:$C$162,2,FALSE)</f>
        <v>NG_SR_SML_D</v>
      </c>
      <c r="AH97" t="str">
        <f>VLOOKUP(D97,Assumptions!$B$116:$C$162,2,FALSE)</f>
        <v>D_GAS_STRG</v>
      </c>
      <c r="AI97" t="str">
        <f>VLOOKUP(E97,Assumptions!$B$116:$C$162,2,FALSE)</f>
        <v>ONSITE_USE</v>
      </c>
      <c r="AJ97" t="str">
        <f>VLOOKUP(F97,Assumptions!$B$116:$C$162,2,FALSE)</f>
        <v>H2_IND_BOIL_HEAT</v>
      </c>
    </row>
    <row r="98" spans="2:36" x14ac:dyDescent="0.25">
      <c r="B98" t="s">
        <v>117</v>
      </c>
      <c r="C98" t="s">
        <v>53</v>
      </c>
      <c r="D98" t="s">
        <v>155</v>
      </c>
      <c r="E98" t="s">
        <v>157</v>
      </c>
      <c r="F98" t="s">
        <v>549</v>
      </c>
      <c r="G98" t="s">
        <v>114</v>
      </c>
      <c r="H98" t="s">
        <v>433</v>
      </c>
      <c r="I98" t="s">
        <v>32</v>
      </c>
      <c r="J98" t="s">
        <v>329</v>
      </c>
      <c r="K98">
        <f t="shared" ref="K98:K101" si="87">SUMPRODUCT(($C$7:$C$18=$C98)*($D$6:$H$6=$D98)*($D$7:$H$18))</f>
        <v>0</v>
      </c>
      <c r="L98">
        <f t="shared" ref="L98:L101" si="88">SUMPRODUCT(($C$19:$C$23=$D98)*($I$6:$O$6=$E98)*($I$19:$O$23))</f>
        <v>1</v>
      </c>
      <c r="M98">
        <f t="shared" ref="M98:M101" si="89">SUMPRODUCT(($C$24:$C$30=$E98)*($P$6:$AI$6=$F98)*($P$24:$AI$30))</f>
        <v>0</v>
      </c>
      <c r="N98">
        <f t="shared" ref="N98:N101" si="90">SUMPRODUCT(($C$31:$C$50=$F98)*($AJ$6:$AM$6=$G98)*($AJ$31:$AM$50))</f>
        <v>0</v>
      </c>
      <c r="O98">
        <f t="shared" ref="O98:O101" si="91">K98+L98+M98+N98</f>
        <v>1</v>
      </c>
      <c r="P98" t="str">
        <f t="shared" ref="P98:P101" si="92">CONCATENATE(C98,"-",J98)</f>
        <v>Medium centralized biomass gasification-CO2 emissions</v>
      </c>
      <c r="Q98" t="str">
        <f t="shared" ref="Q98:Q101" si="93">CONCATENATE(D98,"-",J98)</f>
        <v>Central gas storage-CO2 emissions</v>
      </c>
      <c r="R98" t="str">
        <f t="shared" ref="R98:R101" si="94">CONCATENATE(E98,"-",J98)</f>
        <v>Blending in natural gas pipeline-CO2 emissions</v>
      </c>
      <c r="S98" t="str">
        <f t="shared" ref="S98:S101" si="95">CONCATENATE(F98,"-",J98)</f>
        <v>District-CHP with H2 fuel cell (power)-CO2 emissions</v>
      </c>
      <c r="T98">
        <f ca="1">IF(timePeriod="2020-30",(VLOOKUP($P98,'TA database'!$I$8:$J$79,2,FALSE)/VLOOKUP($D98,'Merit calculation'!$B$48:$I$52,5,FALSE)/VLOOKUP($E98,'Merit calculation'!$B$67:$I$73,5,FALSE)/VLOOKUP($F98,'Merit calculation'!$B$90:$I$103,5,FALSE)/energyContentH2),(VLOOKUP($P98,'TA database'!$I$8:$J$79,2,FALSE)/VLOOKUP($D98,'Merit calculation'!$B$48:$I$52,7,FALSE)/VLOOKUP($E98,'Merit calculation'!$B$67:$I$73,7,FALSE)/VLOOKUP($F98,'Merit calculation'!$B$90:$I$103,7,FALSE)/energyContentH2))</f>
        <v>0</v>
      </c>
      <c r="U98">
        <v>0</v>
      </c>
      <c r="V98">
        <v>0</v>
      </c>
      <c r="W98">
        <f>IFERROR(VLOOKUP($S98,'TA database'!$I$146:$J$193,2,FALSE),0)</f>
        <v>0</v>
      </c>
      <c r="X98">
        <f ca="1">IFERROR(VLOOKUP($S98,'TA database'!$I$200:$J$271,2,FALSE),0)</f>
        <v>0</v>
      </c>
      <c r="Y98">
        <f t="shared" ref="Y98:Y101" ca="1" si="96">IF($W98=0,T98*3.6+X98,T98+W98)</f>
        <v>0</v>
      </c>
      <c r="Z98" t="str">
        <f t="shared" ref="Z98:Z101" si="97">CONCATENATE(AG98,"   →   ",AH98,"   →   ",AI98,"   →   ",AJ98)</f>
        <v>BIO_GSF_MED_C   →   C_GAS_STRG   →   H2_BLND_NG_P   →   H2_FC_DCHP_PWR</v>
      </c>
      <c r="AA98" t="str">
        <f t="shared" ref="AA98:AA101" si="98">G98</f>
        <v>Grid electricity</v>
      </c>
      <c r="AB98" t="str">
        <f t="shared" ref="AB98:AB101" si="99">J98</f>
        <v>CO2 emissions</v>
      </c>
      <c r="AC98">
        <f t="shared" ref="AC98:AC101" ca="1" si="100">Y98</f>
        <v>0</v>
      </c>
      <c r="AD98">
        <v>39</v>
      </c>
      <c r="AE98" t="str">
        <f>IF(AND(ISNUMBER(SEARCH(O98,4)),ISNUMBER(SEARCH('(4) FCH pathway assessment'!$B$16,AB98)),ISNUMBER(SEARCH('(4) FCH pathway assessment'!$B$10,AA98))),AD98,"")</f>
        <v/>
      </c>
      <c r="AF98" t="str">
        <f t="shared" si="16"/>
        <v/>
      </c>
      <c r="AG98" t="str">
        <f>VLOOKUP(C98,Assumptions!$B$116:$C$162,2,FALSE)</f>
        <v>BIO_GSF_MED_C</v>
      </c>
      <c r="AH98" t="str">
        <f>VLOOKUP(D98,Assumptions!$B$116:$C$162,2,FALSE)</f>
        <v>C_GAS_STRG</v>
      </c>
      <c r="AI98" t="str">
        <f>VLOOKUP(E98,Assumptions!$B$116:$C$162,2,FALSE)</f>
        <v>H2_BLND_NG_P</v>
      </c>
      <c r="AJ98" t="str">
        <f>VLOOKUP(F98,Assumptions!$B$116:$C$162,2,FALSE)</f>
        <v>H2_FC_DCHP_PWR</v>
      </c>
    </row>
    <row r="99" spans="2:36" x14ac:dyDescent="0.25">
      <c r="B99" t="s">
        <v>117</v>
      </c>
      <c r="C99" t="s">
        <v>53</v>
      </c>
      <c r="D99" t="s">
        <v>155</v>
      </c>
      <c r="E99" t="s">
        <v>122</v>
      </c>
      <c r="F99" t="s">
        <v>549</v>
      </c>
      <c r="G99" t="s">
        <v>114</v>
      </c>
      <c r="H99" t="s">
        <v>433</v>
      </c>
      <c r="I99" t="s">
        <v>32</v>
      </c>
      <c r="J99" t="s">
        <v>329</v>
      </c>
      <c r="K99">
        <f t="shared" si="87"/>
        <v>0</v>
      </c>
      <c r="L99">
        <f t="shared" si="88"/>
        <v>1</v>
      </c>
      <c r="M99">
        <f t="shared" si="89"/>
        <v>1</v>
      </c>
      <c r="N99">
        <f t="shared" si="90"/>
        <v>0</v>
      </c>
      <c r="O99">
        <f t="shared" si="91"/>
        <v>2</v>
      </c>
      <c r="P99" t="str">
        <f t="shared" si="92"/>
        <v>Medium centralized biomass gasification-CO2 emissions</v>
      </c>
      <c r="Q99" t="str">
        <f t="shared" si="93"/>
        <v>Central gas storage-CO2 emissions</v>
      </c>
      <c r="R99" t="str">
        <f t="shared" si="94"/>
        <v>Hydrogen transmission &amp; distribution pipeline-CO2 emissions</v>
      </c>
      <c r="S99" t="str">
        <f t="shared" si="95"/>
        <v>District-CHP with H2 fuel cell (power)-CO2 emissions</v>
      </c>
      <c r="T99">
        <f ca="1">IF(timePeriod="2020-30",(VLOOKUP($P99,'TA database'!$I$8:$J$79,2,FALSE)/VLOOKUP($D99,'Merit calculation'!$B$48:$I$52,5,FALSE)/VLOOKUP($E99,'Merit calculation'!$B$67:$I$73,5,FALSE)/VLOOKUP($F99,'Merit calculation'!$B$90:$I$103,5,FALSE)/energyContentH2),(VLOOKUP($P99,'TA database'!$I$8:$J$79,2,FALSE)/VLOOKUP($D99,'Merit calculation'!$B$48:$I$52,7,FALSE)/VLOOKUP($E99,'Merit calculation'!$B$67:$I$73,7,FALSE)/VLOOKUP($F99,'Merit calculation'!$B$90:$I$103,7,FALSE)/energyContentH2))</f>
        <v>0</v>
      </c>
      <c r="U99">
        <v>0</v>
      </c>
      <c r="V99">
        <v>0</v>
      </c>
      <c r="W99">
        <f>IFERROR(VLOOKUP($S99,'TA database'!$I$146:$J$193,2,FALSE),0)</f>
        <v>0</v>
      </c>
      <c r="X99">
        <f ca="1">IFERROR(VLOOKUP($S99,'TA database'!$I$200:$J$271,2,FALSE),0)</f>
        <v>0</v>
      </c>
      <c r="Y99">
        <f t="shared" ca="1" si="96"/>
        <v>0</v>
      </c>
      <c r="Z99" t="str">
        <f t="shared" si="97"/>
        <v>BIO_GSF_MED_C   →   C_GAS_STRG   →   H2_T&amp;D_P   →   H2_FC_DCHP_PWR</v>
      </c>
      <c r="AA99" t="str">
        <f t="shared" si="98"/>
        <v>Grid electricity</v>
      </c>
      <c r="AB99" t="str">
        <f t="shared" si="99"/>
        <v>CO2 emissions</v>
      </c>
      <c r="AC99">
        <f t="shared" ca="1" si="100"/>
        <v>0</v>
      </c>
      <c r="AD99">
        <v>40</v>
      </c>
      <c r="AE99" t="str">
        <f>IF(AND(ISNUMBER(SEARCH(O99,4)),ISNUMBER(SEARCH('(4) FCH pathway assessment'!$B$16,AB99)),ISNUMBER(SEARCH('(4) FCH pathway assessment'!$B$10,AA99))),AD99,"")</f>
        <v/>
      </c>
      <c r="AF99" t="str">
        <f t="shared" si="16"/>
        <v/>
      </c>
      <c r="AG99" t="str">
        <f>VLOOKUP(C99,Assumptions!$B$116:$C$162,2,FALSE)</f>
        <v>BIO_GSF_MED_C</v>
      </c>
      <c r="AH99" t="str">
        <f>VLOOKUP(D99,Assumptions!$B$116:$C$162,2,FALSE)</f>
        <v>C_GAS_STRG</v>
      </c>
      <c r="AI99" t="str">
        <f>VLOOKUP(E99,Assumptions!$B$116:$C$162,2,FALSE)</f>
        <v>H2_T&amp;D_P</v>
      </c>
      <c r="AJ99" t="str">
        <f>VLOOKUP(F99,Assumptions!$B$116:$C$162,2,FALSE)</f>
        <v>H2_FC_DCHP_PWR</v>
      </c>
    </row>
    <row r="100" spans="2:36" x14ac:dyDescent="0.25">
      <c r="B100" t="s">
        <v>117</v>
      </c>
      <c r="C100" t="s">
        <v>53</v>
      </c>
      <c r="D100" t="s">
        <v>155</v>
      </c>
      <c r="E100" t="s">
        <v>116</v>
      </c>
      <c r="F100" t="s">
        <v>549</v>
      </c>
      <c r="G100" t="s">
        <v>114</v>
      </c>
      <c r="H100" t="s">
        <v>433</v>
      </c>
      <c r="I100" t="s">
        <v>32</v>
      </c>
      <c r="J100" t="s">
        <v>329</v>
      </c>
      <c r="K100">
        <f t="shared" si="87"/>
        <v>0</v>
      </c>
      <c r="L100">
        <f t="shared" si="88"/>
        <v>1</v>
      </c>
      <c r="M100">
        <f t="shared" si="89"/>
        <v>1</v>
      </c>
      <c r="N100">
        <f t="shared" si="90"/>
        <v>0</v>
      </c>
      <c r="O100">
        <f t="shared" si="91"/>
        <v>2</v>
      </c>
      <c r="P100" t="str">
        <f t="shared" si="92"/>
        <v>Medium centralized biomass gasification-CO2 emissions</v>
      </c>
      <c r="Q100" t="str">
        <f t="shared" si="93"/>
        <v>Central gas storage-CO2 emissions</v>
      </c>
      <c r="R100" t="str">
        <f t="shared" si="94"/>
        <v>Liquid hydrogen truck-CO2 emissions</v>
      </c>
      <c r="S100" t="str">
        <f t="shared" si="95"/>
        <v>District-CHP with H2 fuel cell (power)-CO2 emissions</v>
      </c>
      <c r="T100">
        <f ca="1">IF(timePeriod="2020-30",(VLOOKUP($P100,'TA database'!$I$8:$J$79,2,FALSE)/VLOOKUP($D100,'Merit calculation'!$B$48:$I$52,5,FALSE)/VLOOKUP($E100,'Merit calculation'!$B$67:$I$73,5,FALSE)/VLOOKUP($F100,'Merit calculation'!$B$90:$I$103,5,FALSE)/energyContentH2),(VLOOKUP($P100,'TA database'!$I$8:$J$79,2,FALSE)/VLOOKUP($D100,'Merit calculation'!$B$48:$I$52,7,FALSE)/VLOOKUP($E100,'Merit calculation'!$B$67:$I$73,7,FALSE)/VLOOKUP($F100,'Merit calculation'!$B$90:$I$103,7,FALSE)/energyContentH2))</f>
        <v>0</v>
      </c>
      <c r="U100">
        <v>0</v>
      </c>
      <c r="V100">
        <v>0</v>
      </c>
      <c r="W100">
        <f>IFERROR(VLOOKUP($S100,'TA database'!$I$146:$J$193,2,FALSE),0)</f>
        <v>0</v>
      </c>
      <c r="X100">
        <f ca="1">IFERROR(VLOOKUP($S100,'TA database'!$I$200:$J$271,2,FALSE),0)</f>
        <v>0</v>
      </c>
      <c r="Y100">
        <f t="shared" ca="1" si="96"/>
        <v>0</v>
      </c>
      <c r="Z100" t="str">
        <f t="shared" si="97"/>
        <v>BIO_GSF_MED_C   →   C_GAS_STRG   →   LQ_TRUCK   →   H2_FC_DCHP_PWR</v>
      </c>
      <c r="AA100" t="str">
        <f t="shared" si="98"/>
        <v>Grid electricity</v>
      </c>
      <c r="AB100" t="str">
        <f t="shared" si="99"/>
        <v>CO2 emissions</v>
      </c>
      <c r="AC100">
        <f t="shared" ca="1" si="100"/>
        <v>0</v>
      </c>
      <c r="AD100">
        <v>41</v>
      </c>
      <c r="AE100" t="str">
        <f>IF(AND(ISNUMBER(SEARCH(O100,4)),ISNUMBER(SEARCH('(4) FCH pathway assessment'!$B$16,AB100)),ISNUMBER(SEARCH('(4) FCH pathway assessment'!$B$10,AA100))),AD100,"")</f>
        <v/>
      </c>
      <c r="AF100" t="str">
        <f t="shared" si="16"/>
        <v/>
      </c>
      <c r="AG100" t="str">
        <f>VLOOKUP(C100,Assumptions!$B$116:$C$162,2,FALSE)</f>
        <v>BIO_GSF_MED_C</v>
      </c>
      <c r="AH100" t="str">
        <f>VLOOKUP(D100,Assumptions!$B$116:$C$162,2,FALSE)</f>
        <v>C_GAS_STRG</v>
      </c>
      <c r="AI100" t="str">
        <f>VLOOKUP(E100,Assumptions!$B$116:$C$162,2,FALSE)</f>
        <v>LQ_TRUCK</v>
      </c>
      <c r="AJ100" t="str">
        <f>VLOOKUP(F100,Assumptions!$B$116:$C$162,2,FALSE)</f>
        <v>H2_FC_DCHP_PWR</v>
      </c>
    </row>
    <row r="101" spans="2:36" x14ac:dyDescent="0.25">
      <c r="B101" t="s">
        <v>117</v>
      </c>
      <c r="C101" t="s">
        <v>53</v>
      </c>
      <c r="D101" t="s">
        <v>155</v>
      </c>
      <c r="E101" t="s">
        <v>66</v>
      </c>
      <c r="F101" t="s">
        <v>549</v>
      </c>
      <c r="G101" t="s">
        <v>114</v>
      </c>
      <c r="H101" t="s">
        <v>433</v>
      </c>
      <c r="I101" t="s">
        <v>32</v>
      </c>
      <c r="J101" t="s">
        <v>329</v>
      </c>
      <c r="K101">
        <f t="shared" si="87"/>
        <v>0</v>
      </c>
      <c r="L101">
        <f t="shared" si="88"/>
        <v>1</v>
      </c>
      <c r="M101">
        <f t="shared" si="89"/>
        <v>1</v>
      </c>
      <c r="N101">
        <f t="shared" si="90"/>
        <v>0</v>
      </c>
      <c r="O101">
        <f t="shared" si="91"/>
        <v>2</v>
      </c>
      <c r="P101" t="str">
        <f t="shared" si="92"/>
        <v>Medium centralized biomass gasification-CO2 emissions</v>
      </c>
      <c r="Q101" t="str">
        <f t="shared" si="93"/>
        <v>Central gas storage-CO2 emissions</v>
      </c>
      <c r="R101" t="str">
        <f t="shared" si="94"/>
        <v>Onsite-CO2 emissions</v>
      </c>
      <c r="S101" t="str">
        <f t="shared" si="95"/>
        <v>District-CHP with H2 fuel cell (power)-CO2 emissions</v>
      </c>
      <c r="T101">
        <f ca="1">IF(timePeriod="2020-30",(VLOOKUP($P101,'TA database'!$I$8:$J$79,2,FALSE)/VLOOKUP($D101,'Merit calculation'!$B$48:$I$52,5,FALSE)/VLOOKUP($E101,'Merit calculation'!$B$67:$I$73,5,FALSE)/VLOOKUP($F101,'Merit calculation'!$B$90:$I$103,5,FALSE)/energyContentH2),(VLOOKUP($P101,'TA database'!$I$8:$J$79,2,FALSE)/VLOOKUP($D101,'Merit calculation'!$B$48:$I$52,7,FALSE)/VLOOKUP($E101,'Merit calculation'!$B$67:$I$73,7,FALSE)/VLOOKUP($F101,'Merit calculation'!$B$90:$I$103,7,FALSE)/energyContentH2))</f>
        <v>0</v>
      </c>
      <c r="U101">
        <v>0</v>
      </c>
      <c r="V101">
        <v>0</v>
      </c>
      <c r="W101">
        <f>IFERROR(VLOOKUP($S101,'TA database'!$I$146:$J$193,2,FALSE),0)</f>
        <v>0</v>
      </c>
      <c r="X101">
        <f ca="1">IFERROR(VLOOKUP($S101,'TA database'!$I$200:$J$271,2,FALSE),0)</f>
        <v>0</v>
      </c>
      <c r="Y101">
        <f t="shared" ca="1" si="96"/>
        <v>0</v>
      </c>
      <c r="Z101" t="str">
        <f t="shared" si="97"/>
        <v>BIO_GSF_MED_C   →   C_GAS_STRG   →   ONSITE_USE   →   H2_FC_DCHP_PWR</v>
      </c>
      <c r="AA101" t="str">
        <f t="shared" si="98"/>
        <v>Grid electricity</v>
      </c>
      <c r="AB101" t="str">
        <f t="shared" si="99"/>
        <v>CO2 emissions</v>
      </c>
      <c r="AC101">
        <f t="shared" ca="1" si="100"/>
        <v>0</v>
      </c>
      <c r="AD101">
        <v>42</v>
      </c>
      <c r="AE101" t="str">
        <f>IF(AND(ISNUMBER(SEARCH(O101,4)),ISNUMBER(SEARCH('(4) FCH pathway assessment'!$B$16,AB101)),ISNUMBER(SEARCH('(4) FCH pathway assessment'!$B$10,AA101))),AD101,"")</f>
        <v/>
      </c>
      <c r="AF101" t="str">
        <f t="shared" si="16"/>
        <v/>
      </c>
      <c r="AG101" t="str">
        <f>VLOOKUP(C101,Assumptions!$B$116:$C$162,2,FALSE)</f>
        <v>BIO_GSF_MED_C</v>
      </c>
      <c r="AH101" t="str">
        <f>VLOOKUP(D101,Assumptions!$B$116:$C$162,2,FALSE)</f>
        <v>C_GAS_STRG</v>
      </c>
      <c r="AI101" t="str">
        <f>VLOOKUP(E101,Assumptions!$B$116:$C$162,2,FALSE)</f>
        <v>ONSITE_USE</v>
      </c>
      <c r="AJ101" t="str">
        <f>VLOOKUP(F101,Assumptions!$B$116:$C$162,2,FALSE)</f>
        <v>H2_FC_DCHP_PWR</v>
      </c>
    </row>
    <row r="102" spans="2:36" x14ac:dyDescent="0.25">
      <c r="B102" t="s">
        <v>117</v>
      </c>
      <c r="C102" t="s">
        <v>54</v>
      </c>
      <c r="D102" t="s">
        <v>155</v>
      </c>
      <c r="E102" t="s">
        <v>157</v>
      </c>
      <c r="F102" t="s">
        <v>549</v>
      </c>
      <c r="G102" t="s">
        <v>114</v>
      </c>
      <c r="H102" t="s">
        <v>433</v>
      </c>
      <c r="I102" t="s">
        <v>32</v>
      </c>
      <c r="J102" t="s">
        <v>329</v>
      </c>
      <c r="K102">
        <f t="shared" ref="K102:K106" si="101">SUMPRODUCT(($C$7:$C$18=$C102)*($D$6:$H$6=$D102)*($D$7:$H$18))</f>
        <v>0</v>
      </c>
      <c r="L102">
        <f t="shared" ref="L102:L106" si="102">SUMPRODUCT(($C$19:$C$23=$D102)*($I$6:$O$6=$E102)*($I$19:$O$23))</f>
        <v>1</v>
      </c>
      <c r="M102">
        <f t="shared" ref="M102:M106" si="103">SUMPRODUCT(($C$24:$C$30=$E102)*($P$6:$AI$6=$F102)*($P$24:$AI$30))</f>
        <v>0</v>
      </c>
      <c r="N102">
        <f t="shared" ref="N102:N106" si="104">SUMPRODUCT(($C$31:$C$50=$F102)*($AJ$6:$AM$6=$G102)*($AJ$31:$AM$50))</f>
        <v>0</v>
      </c>
      <c r="O102">
        <f t="shared" ref="O102:O106" si="105">K102+L102+M102+N102</f>
        <v>1</v>
      </c>
      <c r="P102" t="str">
        <f t="shared" ref="P102:P106" si="106">CONCATENATE(C102,"-",J102)</f>
        <v>Medium centralized biomass gasification w/ CCS-CO2 emissions</v>
      </c>
      <c r="Q102" t="str">
        <f t="shared" ref="Q102:Q106" si="107">CONCATENATE(D102,"-",J102)</f>
        <v>Central gas storage-CO2 emissions</v>
      </c>
      <c r="R102" t="str">
        <f t="shared" ref="R102:R106" si="108">CONCATENATE(E102,"-",J102)</f>
        <v>Blending in natural gas pipeline-CO2 emissions</v>
      </c>
      <c r="S102" t="str">
        <f t="shared" ref="S102:S106" si="109">CONCATENATE(F102,"-",J102)</f>
        <v>District-CHP with H2 fuel cell (power)-CO2 emissions</v>
      </c>
      <c r="T102">
        <f ca="1">IF(timePeriod="2020-30",(VLOOKUP($P102,'TA database'!$I$8:$J$79,2,FALSE)/VLOOKUP($D102,'Merit calculation'!$B$48:$I$52,5,FALSE)/VLOOKUP($E102,'Merit calculation'!$B$67:$I$73,5,FALSE)/VLOOKUP($F102,'Merit calculation'!$B$90:$I$103,5,FALSE)/energyContentH2),(VLOOKUP($P102,'TA database'!$I$8:$J$79,2,FALSE)/VLOOKUP($D102,'Merit calculation'!$B$48:$I$52,7,FALSE)/VLOOKUP($E102,'Merit calculation'!$B$67:$I$73,7,FALSE)/VLOOKUP($F102,'Merit calculation'!$B$90:$I$103,7,FALSE)/energyContentH2))</f>
        <v>-0.151894888736994</v>
      </c>
      <c r="U102">
        <v>0</v>
      </c>
      <c r="V102">
        <v>0</v>
      </c>
      <c r="W102">
        <f>IFERROR(VLOOKUP($S102,'TA database'!$I$146:$J$193,2,FALSE),0)</f>
        <v>0</v>
      </c>
      <c r="X102">
        <f ca="1">IFERROR(VLOOKUP($S102,'TA database'!$I$200:$J$271,2,FALSE),0)</f>
        <v>0</v>
      </c>
      <c r="Y102">
        <f t="shared" ref="Y102:Y106" ca="1" si="110">IF($W102=0,T102*3.6+X102,T102+W102)</f>
        <v>-0.54682159945317843</v>
      </c>
      <c r="Z102" t="str">
        <f t="shared" ref="Z102:Z106" si="111">CONCATENATE(AG102,"   →   ",AH102,"   →   ",AI102,"   →   ",AJ102)</f>
        <v>BIO_GSF_CCS_MED_C   →   C_GAS_STRG   →   H2_BLND_NG_P   →   H2_FC_DCHP_PWR</v>
      </c>
      <c r="AA102" t="str">
        <f t="shared" ref="AA102:AA106" si="112">G102</f>
        <v>Grid electricity</v>
      </c>
      <c r="AB102" t="str">
        <f t="shared" ref="AB102:AB106" si="113">J102</f>
        <v>CO2 emissions</v>
      </c>
      <c r="AC102">
        <f t="shared" ref="AC102:AC106" ca="1" si="114">Y102</f>
        <v>-0.54682159945317843</v>
      </c>
      <c r="AD102">
        <v>43</v>
      </c>
      <c r="AE102" t="str">
        <f>IF(AND(ISNUMBER(SEARCH(O102,4)),ISNUMBER(SEARCH('(4) FCH pathway assessment'!$B$16,AB102)),ISNUMBER(SEARCH('(4) FCH pathway assessment'!$B$10,AA102))),AD102,"")</f>
        <v/>
      </c>
      <c r="AF102" t="str">
        <f t="shared" si="16"/>
        <v/>
      </c>
      <c r="AG102" t="str">
        <f>VLOOKUP(C102,Assumptions!$B$116:$C$162,2,FALSE)</f>
        <v>BIO_GSF_CCS_MED_C</v>
      </c>
      <c r="AH102" t="str">
        <f>VLOOKUP(D102,Assumptions!$B$116:$C$162,2,FALSE)</f>
        <v>C_GAS_STRG</v>
      </c>
      <c r="AI102" t="str">
        <f>VLOOKUP(E102,Assumptions!$B$116:$C$162,2,FALSE)</f>
        <v>H2_BLND_NG_P</v>
      </c>
      <c r="AJ102" t="str">
        <f>VLOOKUP(F102,Assumptions!$B$116:$C$162,2,FALSE)</f>
        <v>H2_FC_DCHP_PWR</v>
      </c>
    </row>
    <row r="103" spans="2:36" x14ac:dyDescent="0.25">
      <c r="B103" t="s">
        <v>117</v>
      </c>
      <c r="C103" t="s">
        <v>54</v>
      </c>
      <c r="D103" t="s">
        <v>155</v>
      </c>
      <c r="E103" t="s">
        <v>122</v>
      </c>
      <c r="F103" t="s">
        <v>549</v>
      </c>
      <c r="G103" t="s">
        <v>114</v>
      </c>
      <c r="H103" t="s">
        <v>433</v>
      </c>
      <c r="I103" t="s">
        <v>32</v>
      </c>
      <c r="J103" t="s">
        <v>329</v>
      </c>
      <c r="K103">
        <f t="shared" si="101"/>
        <v>0</v>
      </c>
      <c r="L103">
        <f t="shared" si="102"/>
        <v>1</v>
      </c>
      <c r="M103">
        <f t="shared" si="103"/>
        <v>1</v>
      </c>
      <c r="N103">
        <f t="shared" si="104"/>
        <v>0</v>
      </c>
      <c r="O103">
        <f t="shared" si="105"/>
        <v>2</v>
      </c>
      <c r="P103" t="str">
        <f t="shared" si="106"/>
        <v>Medium centralized biomass gasification w/ CCS-CO2 emissions</v>
      </c>
      <c r="Q103" t="str">
        <f t="shared" si="107"/>
        <v>Central gas storage-CO2 emissions</v>
      </c>
      <c r="R103" t="str">
        <f t="shared" si="108"/>
        <v>Hydrogen transmission &amp; distribution pipeline-CO2 emissions</v>
      </c>
      <c r="S103" t="str">
        <f t="shared" si="109"/>
        <v>District-CHP with H2 fuel cell (power)-CO2 emissions</v>
      </c>
      <c r="T103">
        <f ca="1">IF(timePeriod="2020-30",(VLOOKUP($P103,'TA database'!$I$8:$J$79,2,FALSE)/VLOOKUP($D103,'Merit calculation'!$B$48:$I$52,5,FALSE)/VLOOKUP($E103,'Merit calculation'!$B$67:$I$73,5,FALSE)/VLOOKUP($F103,'Merit calculation'!$B$90:$I$103,5,FALSE)/energyContentH2),(VLOOKUP($P103,'TA database'!$I$8:$J$79,2,FALSE)/VLOOKUP($D103,'Merit calculation'!$B$48:$I$52,7,FALSE)/VLOOKUP($E103,'Merit calculation'!$B$67:$I$73,7,FALSE)/VLOOKUP($F103,'Merit calculation'!$B$90:$I$103,7,FALSE)/energyContentH2))</f>
        <v>-0.151894888736994</v>
      </c>
      <c r="U103">
        <v>0</v>
      </c>
      <c r="V103">
        <v>0</v>
      </c>
      <c r="W103">
        <f>IFERROR(VLOOKUP($S103,'TA database'!$I$146:$J$193,2,FALSE),0)</f>
        <v>0</v>
      </c>
      <c r="X103">
        <f ca="1">IFERROR(VLOOKUP($S103,'TA database'!$I$200:$J$271,2,FALSE),0)</f>
        <v>0</v>
      </c>
      <c r="Y103">
        <f t="shared" ca="1" si="110"/>
        <v>-0.54682159945317843</v>
      </c>
      <c r="Z103" t="str">
        <f t="shared" si="111"/>
        <v>BIO_GSF_CCS_MED_C   →   C_GAS_STRG   →   H2_T&amp;D_P   →   H2_FC_DCHP_PWR</v>
      </c>
      <c r="AA103" t="str">
        <f t="shared" si="112"/>
        <v>Grid electricity</v>
      </c>
      <c r="AB103" t="str">
        <f t="shared" si="113"/>
        <v>CO2 emissions</v>
      </c>
      <c r="AC103">
        <f t="shared" ca="1" si="114"/>
        <v>-0.54682159945317843</v>
      </c>
      <c r="AD103">
        <v>44</v>
      </c>
      <c r="AE103" t="str">
        <f>IF(AND(ISNUMBER(SEARCH(O103,4)),ISNUMBER(SEARCH('(4) FCH pathway assessment'!$B$16,AB103)),ISNUMBER(SEARCH('(4) FCH pathway assessment'!$B$10,AA103))),AD103,"")</f>
        <v/>
      </c>
      <c r="AF103" t="str">
        <f t="shared" si="16"/>
        <v/>
      </c>
      <c r="AG103" t="str">
        <f>VLOOKUP(C103,Assumptions!$B$116:$C$162,2,FALSE)</f>
        <v>BIO_GSF_CCS_MED_C</v>
      </c>
      <c r="AH103" t="str">
        <f>VLOOKUP(D103,Assumptions!$B$116:$C$162,2,FALSE)</f>
        <v>C_GAS_STRG</v>
      </c>
      <c r="AI103" t="str">
        <f>VLOOKUP(E103,Assumptions!$B$116:$C$162,2,FALSE)</f>
        <v>H2_T&amp;D_P</v>
      </c>
      <c r="AJ103" t="str">
        <f>VLOOKUP(F103,Assumptions!$B$116:$C$162,2,FALSE)</f>
        <v>H2_FC_DCHP_PWR</v>
      </c>
    </row>
    <row r="104" spans="2:36" x14ac:dyDescent="0.25">
      <c r="B104" t="s">
        <v>117</v>
      </c>
      <c r="C104" t="s">
        <v>54</v>
      </c>
      <c r="D104" t="s">
        <v>155</v>
      </c>
      <c r="E104" t="s">
        <v>116</v>
      </c>
      <c r="F104" t="s">
        <v>549</v>
      </c>
      <c r="G104" t="s">
        <v>114</v>
      </c>
      <c r="H104" t="s">
        <v>433</v>
      </c>
      <c r="I104" t="s">
        <v>32</v>
      </c>
      <c r="J104" t="s">
        <v>329</v>
      </c>
      <c r="K104">
        <f t="shared" si="101"/>
        <v>0</v>
      </c>
      <c r="L104">
        <f t="shared" si="102"/>
        <v>1</v>
      </c>
      <c r="M104">
        <f t="shared" si="103"/>
        <v>1</v>
      </c>
      <c r="N104">
        <f t="shared" si="104"/>
        <v>0</v>
      </c>
      <c r="O104">
        <f t="shared" si="105"/>
        <v>2</v>
      </c>
      <c r="P104" t="str">
        <f t="shared" si="106"/>
        <v>Medium centralized biomass gasification w/ CCS-CO2 emissions</v>
      </c>
      <c r="Q104" t="str">
        <f t="shared" si="107"/>
        <v>Central gas storage-CO2 emissions</v>
      </c>
      <c r="R104" t="str">
        <f t="shared" si="108"/>
        <v>Liquid hydrogen truck-CO2 emissions</v>
      </c>
      <c r="S104" t="str">
        <f t="shared" si="109"/>
        <v>District-CHP with H2 fuel cell (power)-CO2 emissions</v>
      </c>
      <c r="T104">
        <f ca="1">IF(timePeriod="2020-30",(VLOOKUP($P104,'TA database'!$I$8:$J$79,2,FALSE)/VLOOKUP($D104,'Merit calculation'!$B$48:$I$52,5,FALSE)/VLOOKUP($E104,'Merit calculation'!$B$67:$I$73,5,FALSE)/VLOOKUP($F104,'Merit calculation'!$B$90:$I$103,5,FALSE)/energyContentH2),(VLOOKUP($P104,'TA database'!$I$8:$J$79,2,FALSE)/VLOOKUP($D104,'Merit calculation'!$B$48:$I$52,7,FALSE)/VLOOKUP($E104,'Merit calculation'!$B$67:$I$73,7,FALSE)/VLOOKUP($F104,'Merit calculation'!$B$90:$I$103,7,FALSE)/energyContentH2))</f>
        <v>-0.17546784113141664</v>
      </c>
      <c r="U104">
        <v>0</v>
      </c>
      <c r="V104">
        <v>0</v>
      </c>
      <c r="W104">
        <f>IFERROR(VLOOKUP($S104,'TA database'!$I$146:$J$193,2,FALSE),0)</f>
        <v>0</v>
      </c>
      <c r="X104">
        <f ca="1">IFERROR(VLOOKUP($S104,'TA database'!$I$200:$J$271,2,FALSE),0)</f>
        <v>0</v>
      </c>
      <c r="Y104">
        <f t="shared" ca="1" si="110"/>
        <v>-0.63168422807309987</v>
      </c>
      <c r="Z104" t="str">
        <f t="shared" si="111"/>
        <v>BIO_GSF_CCS_MED_C   →   C_GAS_STRG   →   LQ_TRUCK   →   H2_FC_DCHP_PWR</v>
      </c>
      <c r="AA104" t="str">
        <f t="shared" si="112"/>
        <v>Grid electricity</v>
      </c>
      <c r="AB104" t="str">
        <f t="shared" si="113"/>
        <v>CO2 emissions</v>
      </c>
      <c r="AC104">
        <f t="shared" ca="1" si="114"/>
        <v>-0.63168422807309987</v>
      </c>
      <c r="AD104">
        <v>45</v>
      </c>
      <c r="AE104" t="str">
        <f>IF(AND(ISNUMBER(SEARCH(O104,4)),ISNUMBER(SEARCH('(4) FCH pathway assessment'!$B$16,AB104)),ISNUMBER(SEARCH('(4) FCH pathway assessment'!$B$10,AA104))),AD104,"")</f>
        <v/>
      </c>
      <c r="AF104" t="str">
        <f t="shared" si="16"/>
        <v/>
      </c>
      <c r="AG104" t="str">
        <f>VLOOKUP(C104,Assumptions!$B$116:$C$162,2,FALSE)</f>
        <v>BIO_GSF_CCS_MED_C</v>
      </c>
      <c r="AH104" t="str">
        <f>VLOOKUP(D104,Assumptions!$B$116:$C$162,2,FALSE)</f>
        <v>C_GAS_STRG</v>
      </c>
      <c r="AI104" t="str">
        <f>VLOOKUP(E104,Assumptions!$B$116:$C$162,2,FALSE)</f>
        <v>LQ_TRUCK</v>
      </c>
      <c r="AJ104" t="str">
        <f>VLOOKUP(F104,Assumptions!$B$116:$C$162,2,FALSE)</f>
        <v>H2_FC_DCHP_PWR</v>
      </c>
    </row>
    <row r="105" spans="2:36" x14ac:dyDescent="0.25">
      <c r="B105" t="s">
        <v>117</v>
      </c>
      <c r="C105" t="s">
        <v>54</v>
      </c>
      <c r="D105" t="s">
        <v>155</v>
      </c>
      <c r="E105" t="s">
        <v>66</v>
      </c>
      <c r="F105" t="s">
        <v>549</v>
      </c>
      <c r="G105" t="s">
        <v>114</v>
      </c>
      <c r="H105" t="s">
        <v>433</v>
      </c>
      <c r="I105" t="s">
        <v>32</v>
      </c>
      <c r="J105" t="s">
        <v>329</v>
      </c>
      <c r="K105">
        <f t="shared" si="101"/>
        <v>0</v>
      </c>
      <c r="L105">
        <f t="shared" si="102"/>
        <v>1</v>
      </c>
      <c r="M105">
        <f t="shared" si="103"/>
        <v>1</v>
      </c>
      <c r="N105">
        <f t="shared" si="104"/>
        <v>0</v>
      </c>
      <c r="O105">
        <f t="shared" si="105"/>
        <v>2</v>
      </c>
      <c r="P105" t="str">
        <f t="shared" si="106"/>
        <v>Medium centralized biomass gasification w/ CCS-CO2 emissions</v>
      </c>
      <c r="Q105" t="str">
        <f t="shared" si="107"/>
        <v>Central gas storage-CO2 emissions</v>
      </c>
      <c r="R105" t="str">
        <f t="shared" si="108"/>
        <v>Onsite-CO2 emissions</v>
      </c>
      <c r="S105" t="str">
        <f t="shared" si="109"/>
        <v>District-CHP with H2 fuel cell (power)-CO2 emissions</v>
      </c>
      <c r="T105">
        <f ca="1">IF(timePeriod="2020-30",(VLOOKUP($P105,'TA database'!$I$8:$J$79,2,FALSE)/VLOOKUP($D105,'Merit calculation'!$B$48:$I$52,5,FALSE)/VLOOKUP($E105,'Merit calculation'!$B$67:$I$73,5,FALSE)/VLOOKUP($F105,'Merit calculation'!$B$90:$I$103,5,FALSE)/energyContentH2),(VLOOKUP($P105,'TA database'!$I$8:$J$79,2,FALSE)/VLOOKUP($D105,'Merit calculation'!$B$48:$I$52,7,FALSE)/VLOOKUP($E105,'Merit calculation'!$B$67:$I$73,7,FALSE)/VLOOKUP($F105,'Merit calculation'!$B$90:$I$103,7,FALSE)/energyContentH2))</f>
        <v>-0.15037593984962402</v>
      </c>
      <c r="U105">
        <v>0</v>
      </c>
      <c r="V105">
        <v>0</v>
      </c>
      <c r="W105">
        <f>IFERROR(VLOOKUP($S105,'TA database'!$I$146:$J$193,2,FALSE),0)</f>
        <v>0</v>
      </c>
      <c r="X105">
        <f ca="1">IFERROR(VLOOKUP($S105,'TA database'!$I$200:$J$271,2,FALSE),0)</f>
        <v>0</v>
      </c>
      <c r="Y105">
        <f t="shared" ca="1" si="110"/>
        <v>-0.54135338345864648</v>
      </c>
      <c r="Z105" t="str">
        <f t="shared" si="111"/>
        <v>BIO_GSF_CCS_MED_C   →   C_GAS_STRG   →   ONSITE_USE   →   H2_FC_DCHP_PWR</v>
      </c>
      <c r="AA105" t="str">
        <f t="shared" si="112"/>
        <v>Grid electricity</v>
      </c>
      <c r="AB105" t="str">
        <f t="shared" si="113"/>
        <v>CO2 emissions</v>
      </c>
      <c r="AC105">
        <f t="shared" ca="1" si="114"/>
        <v>-0.54135338345864648</v>
      </c>
      <c r="AD105">
        <v>46</v>
      </c>
      <c r="AE105" t="str">
        <f>IF(AND(ISNUMBER(SEARCH(O105,4)),ISNUMBER(SEARCH('(4) FCH pathway assessment'!$B$16,AB105)),ISNUMBER(SEARCH('(4) FCH pathway assessment'!$B$10,AA105))),AD105,"")</f>
        <v/>
      </c>
      <c r="AF105" t="str">
        <f t="shared" si="16"/>
        <v/>
      </c>
      <c r="AG105" t="str">
        <f>VLOOKUP(C105,Assumptions!$B$116:$C$162,2,FALSE)</f>
        <v>BIO_GSF_CCS_MED_C</v>
      </c>
      <c r="AH105" t="str">
        <f>VLOOKUP(D105,Assumptions!$B$116:$C$162,2,FALSE)</f>
        <v>C_GAS_STRG</v>
      </c>
      <c r="AI105" t="str">
        <f>VLOOKUP(E105,Assumptions!$B$116:$C$162,2,FALSE)</f>
        <v>ONSITE_USE</v>
      </c>
      <c r="AJ105" t="str">
        <f>VLOOKUP(F105,Assumptions!$B$116:$C$162,2,FALSE)</f>
        <v>H2_FC_DCHP_PWR</v>
      </c>
    </row>
    <row r="106" spans="2:36" x14ac:dyDescent="0.25">
      <c r="B106" t="s">
        <v>117</v>
      </c>
      <c r="C106" t="s">
        <v>55</v>
      </c>
      <c r="D106" s="60" t="s">
        <v>130</v>
      </c>
      <c r="E106" t="s">
        <v>66</v>
      </c>
      <c r="F106" t="s">
        <v>549</v>
      </c>
      <c r="G106" t="s">
        <v>114</v>
      </c>
      <c r="H106" t="s">
        <v>433</v>
      </c>
      <c r="I106" t="s">
        <v>32</v>
      </c>
      <c r="J106" t="s">
        <v>329</v>
      </c>
      <c r="K106">
        <f t="shared" si="101"/>
        <v>0</v>
      </c>
      <c r="L106">
        <f t="shared" si="102"/>
        <v>1</v>
      </c>
      <c r="M106">
        <f t="shared" si="103"/>
        <v>1</v>
      </c>
      <c r="N106">
        <f t="shared" si="104"/>
        <v>0</v>
      </c>
      <c r="O106">
        <f t="shared" si="105"/>
        <v>2</v>
      </c>
      <c r="P106" t="str">
        <f t="shared" si="106"/>
        <v>Small decentralized biomass gasification-CO2 emissions</v>
      </c>
      <c r="Q106" t="str">
        <f t="shared" si="107"/>
        <v>Distributed gas storage-CO2 emissions</v>
      </c>
      <c r="R106" t="str">
        <f t="shared" si="108"/>
        <v>Onsite-CO2 emissions</v>
      </c>
      <c r="S106" t="str">
        <f t="shared" si="109"/>
        <v>District-CHP with H2 fuel cell (power)-CO2 emissions</v>
      </c>
      <c r="T106">
        <f ca="1">IF(timePeriod="2020-30",(VLOOKUP($P106,'TA database'!$I$8:$J$79,2,FALSE)/VLOOKUP($D106,'Merit calculation'!$B$48:$I$52,5,FALSE)/VLOOKUP($E106,'Merit calculation'!$B$67:$I$73,5,FALSE)/VLOOKUP($F106,'Merit calculation'!$B$90:$I$103,5,FALSE)/energyContentH2),(VLOOKUP($P106,'TA database'!$I$8:$J$79,2,FALSE)/VLOOKUP($D106,'Merit calculation'!$B$48:$I$52,7,FALSE)/VLOOKUP($E106,'Merit calculation'!$B$67:$I$73,7,FALSE)/VLOOKUP($F106,'Merit calculation'!$B$90:$I$103,7,FALSE)/energyContentH2))</f>
        <v>0</v>
      </c>
      <c r="U106">
        <v>0</v>
      </c>
      <c r="V106">
        <v>0</v>
      </c>
      <c r="W106">
        <f>IFERROR(VLOOKUP($S106,'TA database'!$I$146:$J$193,2,FALSE),0)</f>
        <v>0</v>
      </c>
      <c r="X106">
        <f ca="1">IFERROR(VLOOKUP($S106,'TA database'!$I$200:$J$271,2,FALSE),0)</f>
        <v>0</v>
      </c>
      <c r="Y106">
        <f t="shared" ca="1" si="110"/>
        <v>0</v>
      </c>
      <c r="Z106" t="str">
        <f t="shared" si="111"/>
        <v>BIO_GSF_SML_D   →   D_GAS_STRG   →   ONSITE_USE   →   H2_FC_DCHP_PWR</v>
      </c>
      <c r="AA106" t="str">
        <f t="shared" si="112"/>
        <v>Grid electricity</v>
      </c>
      <c r="AB106" t="str">
        <f t="shared" si="113"/>
        <v>CO2 emissions</v>
      </c>
      <c r="AC106">
        <f t="shared" ca="1" si="114"/>
        <v>0</v>
      </c>
      <c r="AD106">
        <v>47</v>
      </c>
      <c r="AE106" t="str">
        <f>IF(AND(ISNUMBER(SEARCH(O106,4)),ISNUMBER(SEARCH('(4) FCH pathway assessment'!$B$16,AB106)),ISNUMBER(SEARCH('(4) FCH pathway assessment'!$B$10,AA106))),AD106,"")</f>
        <v/>
      </c>
      <c r="AF106" t="str">
        <f t="shared" si="16"/>
        <v/>
      </c>
      <c r="AG106" t="str">
        <f>VLOOKUP(C106,Assumptions!$B$116:$C$162,2,FALSE)</f>
        <v>BIO_GSF_SML_D</v>
      </c>
      <c r="AH106" t="str">
        <f>VLOOKUP(D106,Assumptions!$B$116:$C$162,2,FALSE)</f>
        <v>D_GAS_STRG</v>
      </c>
      <c r="AI106" t="str">
        <f>VLOOKUP(E106,Assumptions!$B$116:$C$162,2,FALSE)</f>
        <v>ONSITE_USE</v>
      </c>
      <c r="AJ106" t="str">
        <f>VLOOKUP(F106,Assumptions!$B$116:$C$162,2,FALSE)</f>
        <v>H2_FC_DCHP_PWR</v>
      </c>
    </row>
    <row r="107" spans="2:36" x14ac:dyDescent="0.25">
      <c r="B107" t="s">
        <v>117</v>
      </c>
      <c r="C107" t="s">
        <v>56</v>
      </c>
      <c r="D107" t="s">
        <v>62</v>
      </c>
      <c r="E107" t="s">
        <v>157</v>
      </c>
      <c r="F107" t="s">
        <v>549</v>
      </c>
      <c r="G107" t="s">
        <v>114</v>
      </c>
      <c r="H107" t="s">
        <v>433</v>
      </c>
      <c r="I107" t="s">
        <v>32</v>
      </c>
      <c r="J107" t="s">
        <v>329</v>
      </c>
      <c r="K107">
        <f t="shared" ref="K107:K119" si="115">SUMPRODUCT(($C$7:$C$18=$C107)*($D$6:$H$6=$D107)*($D$7:$H$18))</f>
        <v>0</v>
      </c>
      <c r="L107">
        <f t="shared" ref="L107:L119" si="116">SUMPRODUCT(($C$19:$C$23=$D107)*($I$6:$O$6=$E107)*($I$19:$O$23))</f>
        <v>0</v>
      </c>
      <c r="M107">
        <f t="shared" ref="M107:M119" si="117">SUMPRODUCT(($C$24:$C$30=$E107)*($P$6:$AI$6=$F107)*($P$24:$AI$30))</f>
        <v>0</v>
      </c>
      <c r="N107">
        <f t="shared" ref="N107:N119" si="118">SUMPRODUCT(($C$31:$C$50=$F107)*($AJ$6:$AM$6=$G107)*($AJ$31:$AM$50))</f>
        <v>0</v>
      </c>
      <c r="O107">
        <f t="shared" ref="O107:O119" si="119">K107+L107+M107+N107</f>
        <v>0</v>
      </c>
      <c r="P107" t="str">
        <f t="shared" ref="P107:P119" si="120">CONCATENATE(C107,"-",J107)</f>
        <v>Large centralized biomass steam reforming -CO2 emissions</v>
      </c>
      <c r="Q107" t="str">
        <f t="shared" ref="Q107:Q119" si="121">CONCATENATE(D107,"-",J107)</f>
        <v>Underground storage-CO2 emissions</v>
      </c>
      <c r="R107" t="str">
        <f t="shared" ref="R107:R119" si="122">CONCATENATE(E107,"-",J107)</f>
        <v>Blending in natural gas pipeline-CO2 emissions</v>
      </c>
      <c r="S107" t="str">
        <f t="shared" ref="S107:S119" si="123">CONCATENATE(F107,"-",J107)</f>
        <v>District-CHP with H2 fuel cell (power)-CO2 emissions</v>
      </c>
      <c r="T107">
        <f ca="1">IF(timePeriod="2020-30",(VLOOKUP($P107,'TA database'!$I$8:$J$79,2,FALSE)/VLOOKUP($D107,'Merit calculation'!$B$48:$I$52,5,FALSE)/VLOOKUP($E107,'Merit calculation'!$B$67:$I$73,5,FALSE)/VLOOKUP($F107,'Merit calculation'!$B$90:$I$103,5,FALSE)/energyContentH2),(VLOOKUP($P107,'TA database'!$I$8:$J$79,2,FALSE)/VLOOKUP($D107,'Merit calculation'!$B$48:$I$52,7,FALSE)/VLOOKUP($E107,'Merit calculation'!$B$67:$I$73,7,FALSE)/VLOOKUP($F107,'Merit calculation'!$B$90:$I$103,7,FALSE)/energyContentH2))</f>
        <v>0</v>
      </c>
      <c r="U107">
        <v>0</v>
      </c>
      <c r="V107">
        <v>0</v>
      </c>
      <c r="W107">
        <f>IFERROR(VLOOKUP($S107,'TA database'!$I$146:$J$193,2,FALSE),0)</f>
        <v>0</v>
      </c>
      <c r="X107">
        <f ca="1">IFERROR(VLOOKUP($S107,'TA database'!$I$200:$J$271,2,FALSE),0)</f>
        <v>0</v>
      </c>
      <c r="Y107">
        <f t="shared" ref="Y107:Y119" ca="1" si="124">IF($W107=0,T107*3.6+X107,T107+W107)</f>
        <v>0</v>
      </c>
      <c r="Z107" t="str">
        <f t="shared" ref="Z107:Z119" si="125">CONCATENATE(AG107,"   →   ",AH107,"   →   ",AI107,"   →   ",AJ107)</f>
        <v>BIO_SR_LRG_C   →   C_UNDRGRND_STRG   →   H2_BLND_NG_P   →   H2_FC_DCHP_PWR</v>
      </c>
      <c r="AA107" t="str">
        <f t="shared" ref="AA107:AA119" si="126">G107</f>
        <v>Grid electricity</v>
      </c>
      <c r="AB107" t="str">
        <f t="shared" ref="AB107:AB119" si="127">J107</f>
        <v>CO2 emissions</v>
      </c>
      <c r="AC107">
        <f t="shared" ref="AC107:AC119" ca="1" si="128">Y107</f>
        <v>0</v>
      </c>
      <c r="AD107">
        <v>48</v>
      </c>
      <c r="AE107" t="str">
        <f>IF(AND(ISNUMBER(SEARCH(O107,4)),ISNUMBER(SEARCH('(4) FCH pathway assessment'!$B$16,AB107)),ISNUMBER(SEARCH('(4) FCH pathway assessment'!$B$10,AA107))),AD107,"")</f>
        <v/>
      </c>
      <c r="AF107" t="str">
        <f t="shared" si="16"/>
        <v/>
      </c>
      <c r="AG107" t="str">
        <f>VLOOKUP(C107,Assumptions!$B$116:$C$162,2,FALSE)</f>
        <v>BIO_SR_LRG_C</v>
      </c>
      <c r="AH107" t="str">
        <f>VLOOKUP(D107,Assumptions!$B$116:$C$162,2,FALSE)</f>
        <v>C_UNDRGRND_STRG</v>
      </c>
      <c r="AI107" t="str">
        <f>VLOOKUP(E107,Assumptions!$B$116:$C$162,2,FALSE)</f>
        <v>H2_BLND_NG_P</v>
      </c>
      <c r="AJ107" t="str">
        <f>VLOOKUP(F107,Assumptions!$B$116:$C$162,2,FALSE)</f>
        <v>H2_FC_DCHP_PWR</v>
      </c>
    </row>
    <row r="108" spans="2:36" x14ac:dyDescent="0.25">
      <c r="B108" t="s">
        <v>117</v>
      </c>
      <c r="C108" t="s">
        <v>56</v>
      </c>
      <c r="D108" t="s">
        <v>62</v>
      </c>
      <c r="E108" t="s">
        <v>122</v>
      </c>
      <c r="F108" t="s">
        <v>549</v>
      </c>
      <c r="G108" t="s">
        <v>114</v>
      </c>
      <c r="H108" t="s">
        <v>433</v>
      </c>
      <c r="I108" t="s">
        <v>32</v>
      </c>
      <c r="J108" t="s">
        <v>329</v>
      </c>
      <c r="K108">
        <f t="shared" si="115"/>
        <v>0</v>
      </c>
      <c r="L108">
        <f t="shared" si="116"/>
        <v>0</v>
      </c>
      <c r="M108">
        <f t="shared" si="117"/>
        <v>1</v>
      </c>
      <c r="N108">
        <f t="shared" si="118"/>
        <v>0</v>
      </c>
      <c r="O108">
        <f t="shared" si="119"/>
        <v>1</v>
      </c>
      <c r="P108" t="str">
        <f t="shared" si="120"/>
        <v>Large centralized biomass steam reforming -CO2 emissions</v>
      </c>
      <c r="Q108" t="str">
        <f t="shared" si="121"/>
        <v>Underground storage-CO2 emissions</v>
      </c>
      <c r="R108" t="str">
        <f t="shared" si="122"/>
        <v>Hydrogen transmission &amp; distribution pipeline-CO2 emissions</v>
      </c>
      <c r="S108" t="str">
        <f t="shared" si="123"/>
        <v>District-CHP with H2 fuel cell (power)-CO2 emissions</v>
      </c>
      <c r="T108">
        <f ca="1">IF(timePeriod="2020-30",(VLOOKUP($P108,'TA database'!$I$8:$J$79,2,FALSE)/VLOOKUP($D108,'Merit calculation'!$B$48:$I$52,5,FALSE)/VLOOKUP($E108,'Merit calculation'!$B$67:$I$73,5,FALSE)/VLOOKUP($F108,'Merit calculation'!$B$90:$I$103,5,FALSE)/energyContentH2),(VLOOKUP($P108,'TA database'!$I$8:$J$79,2,FALSE)/VLOOKUP($D108,'Merit calculation'!$B$48:$I$52,7,FALSE)/VLOOKUP($E108,'Merit calculation'!$B$67:$I$73,7,FALSE)/VLOOKUP($F108,'Merit calculation'!$B$90:$I$103,7,FALSE)/energyContentH2))</f>
        <v>0</v>
      </c>
      <c r="U108">
        <v>0</v>
      </c>
      <c r="V108">
        <v>0</v>
      </c>
      <c r="W108">
        <f>IFERROR(VLOOKUP($S108,'TA database'!$I$146:$J$193,2,FALSE),0)</f>
        <v>0</v>
      </c>
      <c r="X108">
        <f ca="1">IFERROR(VLOOKUP($S108,'TA database'!$I$200:$J$271,2,FALSE),0)</f>
        <v>0</v>
      </c>
      <c r="Y108">
        <f t="shared" ca="1" si="124"/>
        <v>0</v>
      </c>
      <c r="Z108" t="str">
        <f t="shared" si="125"/>
        <v>BIO_SR_LRG_C   →   C_UNDRGRND_STRG   →   H2_T&amp;D_P   →   H2_FC_DCHP_PWR</v>
      </c>
      <c r="AA108" t="str">
        <f t="shared" si="126"/>
        <v>Grid electricity</v>
      </c>
      <c r="AB108" t="str">
        <f t="shared" si="127"/>
        <v>CO2 emissions</v>
      </c>
      <c r="AC108">
        <f t="shared" ca="1" si="128"/>
        <v>0</v>
      </c>
      <c r="AD108">
        <v>49</v>
      </c>
      <c r="AE108" t="str">
        <f>IF(AND(ISNUMBER(SEARCH(O108,4)),ISNUMBER(SEARCH('(4) FCH pathway assessment'!$B$16,AB108)),ISNUMBER(SEARCH('(4) FCH pathway assessment'!$B$10,AA108))),AD108,"")</f>
        <v/>
      </c>
      <c r="AF108" t="str">
        <f t="shared" si="16"/>
        <v/>
      </c>
      <c r="AG108" t="str">
        <f>VLOOKUP(C108,Assumptions!$B$116:$C$162,2,FALSE)</f>
        <v>BIO_SR_LRG_C</v>
      </c>
      <c r="AH108" t="str">
        <f>VLOOKUP(D108,Assumptions!$B$116:$C$162,2,FALSE)</f>
        <v>C_UNDRGRND_STRG</v>
      </c>
      <c r="AI108" t="str">
        <f>VLOOKUP(E108,Assumptions!$B$116:$C$162,2,FALSE)</f>
        <v>H2_T&amp;D_P</v>
      </c>
      <c r="AJ108" t="str">
        <f>VLOOKUP(F108,Assumptions!$B$116:$C$162,2,FALSE)</f>
        <v>H2_FC_DCHP_PWR</v>
      </c>
    </row>
    <row r="109" spans="2:36" x14ac:dyDescent="0.25">
      <c r="B109" t="s">
        <v>117</v>
      </c>
      <c r="C109" t="s">
        <v>56</v>
      </c>
      <c r="D109" t="s">
        <v>62</v>
      </c>
      <c r="E109" t="s">
        <v>116</v>
      </c>
      <c r="F109" t="s">
        <v>549</v>
      </c>
      <c r="G109" t="s">
        <v>114</v>
      </c>
      <c r="H109" t="s">
        <v>433</v>
      </c>
      <c r="I109" t="s">
        <v>32</v>
      </c>
      <c r="J109" t="s">
        <v>329</v>
      </c>
      <c r="K109">
        <f t="shared" si="115"/>
        <v>0</v>
      </c>
      <c r="L109">
        <f t="shared" si="116"/>
        <v>0</v>
      </c>
      <c r="M109">
        <f t="shared" si="117"/>
        <v>1</v>
      </c>
      <c r="N109">
        <f t="shared" si="118"/>
        <v>0</v>
      </c>
      <c r="O109">
        <f t="shared" si="119"/>
        <v>1</v>
      </c>
      <c r="P109" t="str">
        <f t="shared" si="120"/>
        <v>Large centralized biomass steam reforming -CO2 emissions</v>
      </c>
      <c r="Q109" t="str">
        <f t="shared" si="121"/>
        <v>Underground storage-CO2 emissions</v>
      </c>
      <c r="R109" t="str">
        <f t="shared" si="122"/>
        <v>Liquid hydrogen truck-CO2 emissions</v>
      </c>
      <c r="S109" t="str">
        <f t="shared" si="123"/>
        <v>District-CHP with H2 fuel cell (power)-CO2 emissions</v>
      </c>
      <c r="T109">
        <f ca="1">IF(timePeriod="2020-30",(VLOOKUP($P109,'TA database'!$I$8:$J$79,2,FALSE)/VLOOKUP($D109,'Merit calculation'!$B$48:$I$52,5,FALSE)/VLOOKUP($E109,'Merit calculation'!$B$67:$I$73,5,FALSE)/VLOOKUP($F109,'Merit calculation'!$B$90:$I$103,5,FALSE)/energyContentH2),(VLOOKUP($P109,'TA database'!$I$8:$J$79,2,FALSE)/VLOOKUP($D109,'Merit calculation'!$B$48:$I$52,7,FALSE)/VLOOKUP($E109,'Merit calculation'!$B$67:$I$73,7,FALSE)/VLOOKUP($F109,'Merit calculation'!$B$90:$I$103,7,FALSE)/energyContentH2))</f>
        <v>0</v>
      </c>
      <c r="U109">
        <v>0</v>
      </c>
      <c r="V109">
        <v>0</v>
      </c>
      <c r="W109">
        <f>IFERROR(VLOOKUP($S109,'TA database'!$I$146:$J$193,2,FALSE),0)</f>
        <v>0</v>
      </c>
      <c r="X109">
        <f ca="1">IFERROR(VLOOKUP($S109,'TA database'!$I$200:$J$271,2,FALSE),0)</f>
        <v>0</v>
      </c>
      <c r="Y109">
        <f t="shared" ca="1" si="124"/>
        <v>0</v>
      </c>
      <c r="Z109" t="str">
        <f t="shared" si="125"/>
        <v>BIO_SR_LRG_C   →   C_UNDRGRND_STRG   →   LQ_TRUCK   →   H2_FC_DCHP_PWR</v>
      </c>
      <c r="AA109" t="str">
        <f t="shared" si="126"/>
        <v>Grid electricity</v>
      </c>
      <c r="AB109" t="str">
        <f t="shared" si="127"/>
        <v>CO2 emissions</v>
      </c>
      <c r="AC109">
        <f t="shared" ca="1" si="128"/>
        <v>0</v>
      </c>
      <c r="AD109">
        <v>50</v>
      </c>
      <c r="AE109" t="str">
        <f>IF(AND(ISNUMBER(SEARCH(O109,4)),ISNUMBER(SEARCH('(4) FCH pathway assessment'!$B$16,AB109)),ISNUMBER(SEARCH('(4) FCH pathway assessment'!$B$10,AA109))),AD109,"")</f>
        <v/>
      </c>
      <c r="AF109" t="str">
        <f t="shared" si="16"/>
        <v/>
      </c>
      <c r="AG109" t="str">
        <f>VLOOKUP(C109,Assumptions!$B$116:$C$162,2,FALSE)</f>
        <v>BIO_SR_LRG_C</v>
      </c>
      <c r="AH109" t="str">
        <f>VLOOKUP(D109,Assumptions!$B$116:$C$162,2,FALSE)</f>
        <v>C_UNDRGRND_STRG</v>
      </c>
      <c r="AI109" t="str">
        <f>VLOOKUP(E109,Assumptions!$B$116:$C$162,2,FALSE)</f>
        <v>LQ_TRUCK</v>
      </c>
      <c r="AJ109" t="str">
        <f>VLOOKUP(F109,Assumptions!$B$116:$C$162,2,FALSE)</f>
        <v>H2_FC_DCHP_PWR</v>
      </c>
    </row>
    <row r="110" spans="2:36" x14ac:dyDescent="0.25">
      <c r="B110" t="s">
        <v>117</v>
      </c>
      <c r="C110" t="s">
        <v>56</v>
      </c>
      <c r="D110" t="s">
        <v>62</v>
      </c>
      <c r="E110" t="s">
        <v>66</v>
      </c>
      <c r="F110" t="s">
        <v>549</v>
      </c>
      <c r="G110" t="s">
        <v>114</v>
      </c>
      <c r="H110" t="s">
        <v>433</v>
      </c>
      <c r="I110" t="s">
        <v>32</v>
      </c>
      <c r="J110" t="s">
        <v>329</v>
      </c>
      <c r="K110">
        <f t="shared" si="115"/>
        <v>0</v>
      </c>
      <c r="L110">
        <f t="shared" si="116"/>
        <v>0</v>
      </c>
      <c r="M110">
        <f t="shared" si="117"/>
        <v>1</v>
      </c>
      <c r="N110">
        <f t="shared" si="118"/>
        <v>0</v>
      </c>
      <c r="O110">
        <f t="shared" si="119"/>
        <v>1</v>
      </c>
      <c r="P110" t="str">
        <f t="shared" si="120"/>
        <v>Large centralized biomass steam reforming -CO2 emissions</v>
      </c>
      <c r="Q110" t="str">
        <f t="shared" si="121"/>
        <v>Underground storage-CO2 emissions</v>
      </c>
      <c r="R110" t="str">
        <f t="shared" si="122"/>
        <v>Onsite-CO2 emissions</v>
      </c>
      <c r="S110" t="str">
        <f t="shared" si="123"/>
        <v>District-CHP with H2 fuel cell (power)-CO2 emissions</v>
      </c>
      <c r="T110">
        <f ca="1">IF(timePeriod="2020-30",(VLOOKUP($P110,'TA database'!$I$8:$J$79,2,FALSE)/VLOOKUP($D110,'Merit calculation'!$B$48:$I$52,5,FALSE)/VLOOKUP($E110,'Merit calculation'!$B$67:$I$73,5,FALSE)/VLOOKUP($F110,'Merit calculation'!$B$90:$I$103,5,FALSE)/energyContentH2),(VLOOKUP($P110,'TA database'!$I$8:$J$79,2,FALSE)/VLOOKUP($D110,'Merit calculation'!$B$48:$I$52,7,FALSE)/VLOOKUP($E110,'Merit calculation'!$B$67:$I$73,7,FALSE)/VLOOKUP($F110,'Merit calculation'!$B$90:$I$103,7,FALSE)/energyContentH2))</f>
        <v>0</v>
      </c>
      <c r="U110">
        <v>0</v>
      </c>
      <c r="V110">
        <v>0</v>
      </c>
      <c r="W110">
        <f>IFERROR(VLOOKUP($S110,'TA database'!$I$146:$J$193,2,FALSE),0)</f>
        <v>0</v>
      </c>
      <c r="X110">
        <f ca="1">IFERROR(VLOOKUP($S110,'TA database'!$I$200:$J$271,2,FALSE),0)</f>
        <v>0</v>
      </c>
      <c r="Y110">
        <f t="shared" ca="1" si="124"/>
        <v>0</v>
      </c>
      <c r="Z110" t="str">
        <f t="shared" si="125"/>
        <v>BIO_SR_LRG_C   →   C_UNDRGRND_STRG   →   ONSITE_USE   →   H2_FC_DCHP_PWR</v>
      </c>
      <c r="AA110" t="str">
        <f t="shared" si="126"/>
        <v>Grid electricity</v>
      </c>
      <c r="AB110" t="str">
        <f t="shared" si="127"/>
        <v>CO2 emissions</v>
      </c>
      <c r="AC110">
        <f t="shared" ca="1" si="128"/>
        <v>0</v>
      </c>
      <c r="AD110">
        <v>51</v>
      </c>
      <c r="AE110" t="str">
        <f>IF(AND(ISNUMBER(SEARCH(O110,4)),ISNUMBER(SEARCH('(4) FCH pathway assessment'!$B$16,AB110)),ISNUMBER(SEARCH('(4) FCH pathway assessment'!$B$10,AA110))),AD110,"")</f>
        <v/>
      </c>
      <c r="AF110" t="str">
        <f t="shared" si="16"/>
        <v/>
      </c>
      <c r="AG110" t="str">
        <f>VLOOKUP(C110,Assumptions!$B$116:$C$162,2,FALSE)</f>
        <v>BIO_SR_LRG_C</v>
      </c>
      <c r="AH110" t="str">
        <f>VLOOKUP(D110,Assumptions!$B$116:$C$162,2,FALSE)</f>
        <v>C_UNDRGRND_STRG</v>
      </c>
      <c r="AI110" t="str">
        <f>VLOOKUP(E110,Assumptions!$B$116:$C$162,2,FALSE)</f>
        <v>ONSITE_USE</v>
      </c>
      <c r="AJ110" t="str">
        <f>VLOOKUP(F110,Assumptions!$B$116:$C$162,2,FALSE)</f>
        <v>H2_FC_DCHP_PWR</v>
      </c>
    </row>
    <row r="111" spans="2:36" x14ac:dyDescent="0.25">
      <c r="B111" t="s">
        <v>117</v>
      </c>
      <c r="C111" t="s">
        <v>56</v>
      </c>
      <c r="D111" s="61" t="s">
        <v>63</v>
      </c>
      <c r="E111" t="s">
        <v>122</v>
      </c>
      <c r="F111" t="s">
        <v>549</v>
      </c>
      <c r="G111" t="s">
        <v>114</v>
      </c>
      <c r="H111" t="s">
        <v>433</v>
      </c>
      <c r="I111" t="s">
        <v>32</v>
      </c>
      <c r="J111" t="s">
        <v>329</v>
      </c>
      <c r="K111">
        <f t="shared" si="115"/>
        <v>0</v>
      </c>
      <c r="L111">
        <f t="shared" si="116"/>
        <v>1</v>
      </c>
      <c r="M111">
        <f t="shared" si="117"/>
        <v>1</v>
      </c>
      <c r="N111">
        <f t="shared" si="118"/>
        <v>0</v>
      </c>
      <c r="O111">
        <f t="shared" si="119"/>
        <v>2</v>
      </c>
      <c r="P111" t="str">
        <f t="shared" si="120"/>
        <v>Large centralized biomass steam reforming -CO2 emissions</v>
      </c>
      <c r="Q111" t="str">
        <f t="shared" si="121"/>
        <v>No storage-CO2 emissions</v>
      </c>
      <c r="R111" t="str">
        <f t="shared" si="122"/>
        <v>Hydrogen transmission &amp; distribution pipeline-CO2 emissions</v>
      </c>
      <c r="S111" t="str">
        <f t="shared" si="123"/>
        <v>District-CHP with H2 fuel cell (power)-CO2 emissions</v>
      </c>
      <c r="T111">
        <f ca="1">IF(timePeriod="2020-30",(VLOOKUP($P111,'TA database'!$I$8:$J$79,2,FALSE)/VLOOKUP($D111,'Merit calculation'!$B$48:$I$52,5,FALSE)/VLOOKUP($E111,'Merit calculation'!$B$67:$I$73,5,FALSE)/VLOOKUP($F111,'Merit calculation'!$B$90:$I$103,5,FALSE)/energyContentH2),(VLOOKUP($P111,'TA database'!$I$8:$J$79,2,FALSE)/VLOOKUP($D111,'Merit calculation'!$B$48:$I$52,7,FALSE)/VLOOKUP($E111,'Merit calculation'!$B$67:$I$73,7,FALSE)/VLOOKUP($F111,'Merit calculation'!$B$90:$I$103,7,FALSE)/energyContentH2))</f>
        <v>0</v>
      </c>
      <c r="U111">
        <v>0</v>
      </c>
      <c r="V111">
        <v>0</v>
      </c>
      <c r="W111">
        <f>IFERROR(VLOOKUP($S111,'TA database'!$I$146:$J$193,2,FALSE),0)</f>
        <v>0</v>
      </c>
      <c r="X111">
        <f ca="1">IFERROR(VLOOKUP($S111,'TA database'!$I$200:$J$271,2,FALSE),0)</f>
        <v>0</v>
      </c>
      <c r="Y111">
        <f t="shared" ca="1" si="124"/>
        <v>0</v>
      </c>
      <c r="Z111" t="str">
        <f t="shared" si="125"/>
        <v>BIO_SR_LRG_C   →   NO_STRG   →   H2_T&amp;D_P   →   H2_FC_DCHP_PWR</v>
      </c>
      <c r="AA111" t="str">
        <f t="shared" si="126"/>
        <v>Grid electricity</v>
      </c>
      <c r="AB111" t="str">
        <f t="shared" si="127"/>
        <v>CO2 emissions</v>
      </c>
      <c r="AC111">
        <f t="shared" ca="1" si="128"/>
        <v>0</v>
      </c>
      <c r="AD111">
        <v>52</v>
      </c>
      <c r="AE111" t="str">
        <f>IF(AND(ISNUMBER(SEARCH(O111,4)),ISNUMBER(SEARCH('(4) FCH pathway assessment'!$B$16,AB111)),ISNUMBER(SEARCH('(4) FCH pathway assessment'!$B$10,AA111))),AD111,"")</f>
        <v/>
      </c>
      <c r="AF111" t="str">
        <f t="shared" si="16"/>
        <v/>
      </c>
      <c r="AG111" t="str">
        <f>VLOOKUP(C111,Assumptions!$B$116:$C$162,2,FALSE)</f>
        <v>BIO_SR_LRG_C</v>
      </c>
      <c r="AH111" t="str">
        <f>VLOOKUP(D111,Assumptions!$B$116:$C$162,2,FALSE)</f>
        <v>NO_STRG</v>
      </c>
      <c r="AI111" t="str">
        <f>VLOOKUP(E111,Assumptions!$B$116:$C$162,2,FALSE)</f>
        <v>H2_T&amp;D_P</v>
      </c>
      <c r="AJ111" t="str">
        <f>VLOOKUP(F111,Assumptions!$B$116:$C$162,2,FALSE)</f>
        <v>H2_FC_DCHP_PWR</v>
      </c>
    </row>
    <row r="112" spans="2:36" x14ac:dyDescent="0.25">
      <c r="B112" t="s">
        <v>112</v>
      </c>
      <c r="C112" t="s">
        <v>49</v>
      </c>
      <c r="D112" t="s">
        <v>62</v>
      </c>
      <c r="E112" t="s">
        <v>157</v>
      </c>
      <c r="F112" t="s">
        <v>549</v>
      </c>
      <c r="G112" t="s">
        <v>114</v>
      </c>
      <c r="H112" t="s">
        <v>433</v>
      </c>
      <c r="I112" t="s">
        <v>32</v>
      </c>
      <c r="J112" t="s">
        <v>329</v>
      </c>
      <c r="K112">
        <f t="shared" si="115"/>
        <v>1</v>
      </c>
      <c r="L112">
        <f t="shared" si="116"/>
        <v>0</v>
      </c>
      <c r="M112">
        <f t="shared" si="117"/>
        <v>0</v>
      </c>
      <c r="N112">
        <f t="shared" si="118"/>
        <v>0</v>
      </c>
      <c r="O112">
        <f t="shared" si="119"/>
        <v>1</v>
      </c>
      <c r="P112" t="str">
        <f t="shared" si="120"/>
        <v>Large centralized electrolysis-CO2 emissions</v>
      </c>
      <c r="Q112" t="str">
        <f t="shared" si="121"/>
        <v>Underground storage-CO2 emissions</v>
      </c>
      <c r="R112" t="str">
        <f t="shared" si="122"/>
        <v>Blending in natural gas pipeline-CO2 emissions</v>
      </c>
      <c r="S112" t="str">
        <f t="shared" si="123"/>
        <v>District-CHP with H2 fuel cell (power)-CO2 emissions</v>
      </c>
      <c r="T112">
        <f ca="1">IF(timePeriod="2020-30",(VLOOKUP($P112,'TA database'!$I$8:$J$79,2,FALSE)/VLOOKUP($D112,'Merit calculation'!$B$48:$I$52,5,FALSE)/VLOOKUP($E112,'Merit calculation'!$B$67:$I$73,5,FALSE)/VLOOKUP($F112,'Merit calculation'!$B$90:$I$103,5,FALSE)/energyContentH2),(VLOOKUP($P112,'TA database'!$I$8:$J$79,2,FALSE)/VLOOKUP($D112,'Merit calculation'!$B$48:$I$52,7,FALSE)/VLOOKUP($E112,'Merit calculation'!$B$67:$I$73,7,FALSE)/VLOOKUP($F112,'Merit calculation'!$B$90:$I$103,7,FALSE)/energyContentH2))</f>
        <v>2.0717674841761714E-2</v>
      </c>
      <c r="U112">
        <v>0</v>
      </c>
      <c r="V112">
        <v>0</v>
      </c>
      <c r="W112">
        <f>IFERROR(VLOOKUP($S112,'TA database'!$I$146:$J$193,2,FALSE),0)</f>
        <v>0</v>
      </c>
      <c r="X112">
        <f ca="1">IFERROR(VLOOKUP($S112,'TA database'!$I$200:$J$271,2,FALSE),0)</f>
        <v>0</v>
      </c>
      <c r="Y112">
        <f t="shared" ca="1" si="124"/>
        <v>7.4583629430342177E-2</v>
      </c>
      <c r="Z112" t="str">
        <f t="shared" si="125"/>
        <v>ELCTRLYZ_LRG_C   →   C_UNDRGRND_STRG   →   H2_BLND_NG_P   →   H2_FC_DCHP_PWR</v>
      </c>
      <c r="AA112" t="str">
        <f t="shared" si="126"/>
        <v>Grid electricity</v>
      </c>
      <c r="AB112" t="str">
        <f t="shared" si="127"/>
        <v>CO2 emissions</v>
      </c>
      <c r="AC112">
        <f t="shared" ca="1" si="128"/>
        <v>7.4583629430342177E-2</v>
      </c>
      <c r="AD112">
        <v>53</v>
      </c>
      <c r="AE112" t="str">
        <f>IF(AND(ISNUMBER(SEARCH(O112,4)),ISNUMBER(SEARCH('(4) FCH pathway assessment'!$B$16,AB112)),ISNUMBER(SEARCH('(4) FCH pathway assessment'!$B$10,AA112))),AD112,"")</f>
        <v/>
      </c>
      <c r="AF112" t="str">
        <f t="shared" si="16"/>
        <v/>
      </c>
      <c r="AG112" t="str">
        <f>VLOOKUP(C112,Assumptions!$B$116:$C$162,2,FALSE)</f>
        <v>ELCTRLYZ_LRG_C</v>
      </c>
      <c r="AH112" t="str">
        <f>VLOOKUP(D112,Assumptions!$B$116:$C$162,2,FALSE)</f>
        <v>C_UNDRGRND_STRG</v>
      </c>
      <c r="AI112" t="str">
        <f>VLOOKUP(E112,Assumptions!$B$116:$C$162,2,FALSE)</f>
        <v>H2_BLND_NG_P</v>
      </c>
      <c r="AJ112" t="str">
        <f>VLOOKUP(F112,Assumptions!$B$116:$C$162,2,FALSE)</f>
        <v>H2_FC_DCHP_PWR</v>
      </c>
    </row>
    <row r="113" spans="2:36" x14ac:dyDescent="0.25">
      <c r="B113" t="s">
        <v>112</v>
      </c>
      <c r="C113" t="s">
        <v>49</v>
      </c>
      <c r="D113" t="s">
        <v>62</v>
      </c>
      <c r="E113" t="s">
        <v>122</v>
      </c>
      <c r="F113" t="s">
        <v>549</v>
      </c>
      <c r="G113" t="s">
        <v>114</v>
      </c>
      <c r="H113" t="s">
        <v>433</v>
      </c>
      <c r="I113" t="s">
        <v>32</v>
      </c>
      <c r="J113" t="s">
        <v>329</v>
      </c>
      <c r="K113">
        <f t="shared" si="115"/>
        <v>1</v>
      </c>
      <c r="L113">
        <f t="shared" si="116"/>
        <v>0</v>
      </c>
      <c r="M113">
        <f t="shared" si="117"/>
        <v>1</v>
      </c>
      <c r="N113">
        <f t="shared" si="118"/>
        <v>0</v>
      </c>
      <c r="O113">
        <f t="shared" si="119"/>
        <v>2</v>
      </c>
      <c r="P113" t="str">
        <f t="shared" si="120"/>
        <v>Large centralized electrolysis-CO2 emissions</v>
      </c>
      <c r="Q113" t="str">
        <f t="shared" si="121"/>
        <v>Underground storage-CO2 emissions</v>
      </c>
      <c r="R113" t="str">
        <f t="shared" si="122"/>
        <v>Hydrogen transmission &amp; distribution pipeline-CO2 emissions</v>
      </c>
      <c r="S113" t="str">
        <f t="shared" si="123"/>
        <v>District-CHP with H2 fuel cell (power)-CO2 emissions</v>
      </c>
      <c r="T113">
        <f ca="1">IF(timePeriod="2020-30",(VLOOKUP($P113,'TA database'!$I$8:$J$79,2,FALSE)/VLOOKUP($D113,'Merit calculation'!$B$48:$I$52,5,FALSE)/VLOOKUP($E113,'Merit calculation'!$B$67:$I$73,5,FALSE)/VLOOKUP($F113,'Merit calculation'!$B$90:$I$103,5,FALSE)/energyContentH2),(VLOOKUP($P113,'TA database'!$I$8:$J$79,2,FALSE)/VLOOKUP($D113,'Merit calculation'!$B$48:$I$52,7,FALSE)/VLOOKUP($E113,'Merit calculation'!$B$67:$I$73,7,FALSE)/VLOOKUP($F113,'Merit calculation'!$B$90:$I$103,7,FALSE)/energyContentH2))</f>
        <v>2.0717674841761714E-2</v>
      </c>
      <c r="U113">
        <v>0</v>
      </c>
      <c r="V113">
        <v>0</v>
      </c>
      <c r="W113">
        <f>IFERROR(VLOOKUP($S113,'TA database'!$I$146:$J$193,2,FALSE),0)</f>
        <v>0</v>
      </c>
      <c r="X113">
        <f ca="1">IFERROR(VLOOKUP($S113,'TA database'!$I$200:$J$271,2,FALSE),0)</f>
        <v>0</v>
      </c>
      <c r="Y113">
        <f t="shared" ca="1" si="124"/>
        <v>7.4583629430342177E-2</v>
      </c>
      <c r="Z113" t="str">
        <f t="shared" si="125"/>
        <v>ELCTRLYZ_LRG_C   →   C_UNDRGRND_STRG   →   H2_T&amp;D_P   →   H2_FC_DCHP_PWR</v>
      </c>
      <c r="AA113" t="str">
        <f t="shared" si="126"/>
        <v>Grid electricity</v>
      </c>
      <c r="AB113" t="str">
        <f t="shared" si="127"/>
        <v>CO2 emissions</v>
      </c>
      <c r="AC113">
        <f t="shared" ca="1" si="128"/>
        <v>7.4583629430342177E-2</v>
      </c>
      <c r="AD113">
        <v>54</v>
      </c>
      <c r="AE113" t="str">
        <f>IF(AND(ISNUMBER(SEARCH(O113,4)),ISNUMBER(SEARCH('(4) FCH pathway assessment'!$B$16,AB113)),ISNUMBER(SEARCH('(4) FCH pathway assessment'!$B$10,AA113))),AD113,"")</f>
        <v/>
      </c>
      <c r="AF113" t="str">
        <f t="shared" si="16"/>
        <v/>
      </c>
      <c r="AG113" t="str">
        <f>VLOOKUP(C113,Assumptions!$B$116:$C$162,2,FALSE)</f>
        <v>ELCTRLYZ_LRG_C</v>
      </c>
      <c r="AH113" t="str">
        <f>VLOOKUP(D113,Assumptions!$B$116:$C$162,2,FALSE)</f>
        <v>C_UNDRGRND_STRG</v>
      </c>
      <c r="AI113" t="str">
        <f>VLOOKUP(E113,Assumptions!$B$116:$C$162,2,FALSE)</f>
        <v>H2_T&amp;D_P</v>
      </c>
      <c r="AJ113" t="str">
        <f>VLOOKUP(F113,Assumptions!$B$116:$C$162,2,FALSE)</f>
        <v>H2_FC_DCHP_PWR</v>
      </c>
    </row>
    <row r="114" spans="2:36" x14ac:dyDescent="0.25">
      <c r="B114" t="s">
        <v>112</v>
      </c>
      <c r="C114" t="s">
        <v>49</v>
      </c>
      <c r="D114" t="s">
        <v>62</v>
      </c>
      <c r="E114" t="s">
        <v>116</v>
      </c>
      <c r="F114" t="s">
        <v>549</v>
      </c>
      <c r="G114" t="s">
        <v>114</v>
      </c>
      <c r="H114" t="s">
        <v>433</v>
      </c>
      <c r="I114" t="s">
        <v>32</v>
      </c>
      <c r="J114" t="s">
        <v>329</v>
      </c>
      <c r="K114">
        <f t="shared" si="115"/>
        <v>1</v>
      </c>
      <c r="L114">
        <f t="shared" si="116"/>
        <v>0</v>
      </c>
      <c r="M114">
        <f t="shared" si="117"/>
        <v>1</v>
      </c>
      <c r="N114">
        <f t="shared" si="118"/>
        <v>0</v>
      </c>
      <c r="O114">
        <f t="shared" si="119"/>
        <v>2</v>
      </c>
      <c r="P114" t="str">
        <f t="shared" si="120"/>
        <v>Large centralized electrolysis-CO2 emissions</v>
      </c>
      <c r="Q114" t="str">
        <f t="shared" si="121"/>
        <v>Underground storage-CO2 emissions</v>
      </c>
      <c r="R114" t="str">
        <f t="shared" si="122"/>
        <v>Liquid hydrogen truck-CO2 emissions</v>
      </c>
      <c r="S114" t="str">
        <f t="shared" si="123"/>
        <v>District-CHP with H2 fuel cell (power)-CO2 emissions</v>
      </c>
      <c r="T114">
        <f ca="1">IF(timePeriod="2020-30",(VLOOKUP($P114,'TA database'!$I$8:$J$79,2,FALSE)/VLOOKUP($D114,'Merit calculation'!$B$48:$I$52,5,FALSE)/VLOOKUP($E114,'Merit calculation'!$B$67:$I$73,5,FALSE)/VLOOKUP($F114,'Merit calculation'!$B$90:$I$103,5,FALSE)/energyContentH2),(VLOOKUP($P114,'TA database'!$I$8:$J$79,2,FALSE)/VLOOKUP($D114,'Merit calculation'!$B$48:$I$52,7,FALSE)/VLOOKUP($E114,'Merit calculation'!$B$67:$I$73,7,FALSE)/VLOOKUP($F114,'Merit calculation'!$B$90:$I$103,7,FALSE)/energyContentH2))</f>
        <v>2.393290325944469E-2</v>
      </c>
      <c r="U114">
        <v>0</v>
      </c>
      <c r="V114">
        <v>0</v>
      </c>
      <c r="W114">
        <f>IFERROR(VLOOKUP($S114,'TA database'!$I$146:$J$193,2,FALSE),0)</f>
        <v>0</v>
      </c>
      <c r="X114">
        <f ca="1">IFERROR(VLOOKUP($S114,'TA database'!$I$200:$J$271,2,FALSE),0)</f>
        <v>0</v>
      </c>
      <c r="Y114">
        <f t="shared" ca="1" si="124"/>
        <v>8.6158451734000885E-2</v>
      </c>
      <c r="Z114" t="str">
        <f t="shared" si="125"/>
        <v>ELCTRLYZ_LRG_C   →   C_UNDRGRND_STRG   →   LQ_TRUCK   →   H2_FC_DCHP_PWR</v>
      </c>
      <c r="AA114" t="str">
        <f t="shared" si="126"/>
        <v>Grid electricity</v>
      </c>
      <c r="AB114" t="str">
        <f t="shared" si="127"/>
        <v>CO2 emissions</v>
      </c>
      <c r="AC114">
        <f t="shared" ca="1" si="128"/>
        <v>8.6158451734000885E-2</v>
      </c>
      <c r="AD114">
        <v>55</v>
      </c>
      <c r="AE114" t="str">
        <f>IF(AND(ISNUMBER(SEARCH(O114,4)),ISNUMBER(SEARCH('(4) FCH pathway assessment'!$B$16,AB114)),ISNUMBER(SEARCH('(4) FCH pathway assessment'!$B$10,AA114))),AD114,"")</f>
        <v/>
      </c>
      <c r="AF114" t="str">
        <f t="shared" si="16"/>
        <v/>
      </c>
      <c r="AG114" t="str">
        <f>VLOOKUP(C114,Assumptions!$B$116:$C$162,2,FALSE)</f>
        <v>ELCTRLYZ_LRG_C</v>
      </c>
      <c r="AH114" t="str">
        <f>VLOOKUP(D114,Assumptions!$B$116:$C$162,2,FALSE)</f>
        <v>C_UNDRGRND_STRG</v>
      </c>
      <c r="AI114" t="str">
        <f>VLOOKUP(E114,Assumptions!$B$116:$C$162,2,FALSE)</f>
        <v>LQ_TRUCK</v>
      </c>
      <c r="AJ114" t="str">
        <f>VLOOKUP(F114,Assumptions!$B$116:$C$162,2,FALSE)</f>
        <v>H2_FC_DCHP_PWR</v>
      </c>
    </row>
    <row r="115" spans="2:36" x14ac:dyDescent="0.25">
      <c r="B115" t="s">
        <v>112</v>
      </c>
      <c r="C115" t="s">
        <v>49</v>
      </c>
      <c r="D115" t="s">
        <v>62</v>
      </c>
      <c r="E115" t="s">
        <v>66</v>
      </c>
      <c r="F115" t="s">
        <v>549</v>
      </c>
      <c r="G115" t="s">
        <v>114</v>
      </c>
      <c r="H115" t="s">
        <v>433</v>
      </c>
      <c r="I115" t="s">
        <v>32</v>
      </c>
      <c r="J115" t="s">
        <v>329</v>
      </c>
      <c r="K115">
        <f t="shared" si="115"/>
        <v>1</v>
      </c>
      <c r="L115">
        <f t="shared" si="116"/>
        <v>0</v>
      </c>
      <c r="M115">
        <f t="shared" si="117"/>
        <v>1</v>
      </c>
      <c r="N115">
        <f t="shared" si="118"/>
        <v>0</v>
      </c>
      <c r="O115">
        <f t="shared" si="119"/>
        <v>2</v>
      </c>
      <c r="P115" t="str">
        <f t="shared" si="120"/>
        <v>Large centralized electrolysis-CO2 emissions</v>
      </c>
      <c r="Q115" t="str">
        <f t="shared" si="121"/>
        <v>Underground storage-CO2 emissions</v>
      </c>
      <c r="R115" t="str">
        <f t="shared" si="122"/>
        <v>Onsite-CO2 emissions</v>
      </c>
      <c r="S115" t="str">
        <f t="shared" si="123"/>
        <v>District-CHP with H2 fuel cell (power)-CO2 emissions</v>
      </c>
      <c r="T115">
        <f ca="1">IF(timePeriod="2020-30",(VLOOKUP($P115,'TA database'!$I$8:$J$79,2,FALSE)/VLOOKUP($D115,'Merit calculation'!$B$48:$I$52,5,FALSE)/VLOOKUP($E115,'Merit calculation'!$B$67:$I$73,5,FALSE)/VLOOKUP($F115,'Merit calculation'!$B$90:$I$103,5,FALSE)/energyContentH2),(VLOOKUP($P115,'TA database'!$I$8:$J$79,2,FALSE)/VLOOKUP($D115,'Merit calculation'!$B$48:$I$52,7,FALSE)/VLOOKUP($E115,'Merit calculation'!$B$67:$I$73,7,FALSE)/VLOOKUP($F115,'Merit calculation'!$B$90:$I$103,7,FALSE)/energyContentH2))</f>
        <v>2.0510498093344095E-2</v>
      </c>
      <c r="U115">
        <v>0</v>
      </c>
      <c r="V115">
        <v>0</v>
      </c>
      <c r="W115">
        <f>IFERROR(VLOOKUP($S115,'TA database'!$I$146:$J$193,2,FALSE),0)</f>
        <v>0</v>
      </c>
      <c r="X115">
        <f ca="1">IFERROR(VLOOKUP($S115,'TA database'!$I$200:$J$271,2,FALSE),0)</f>
        <v>0</v>
      </c>
      <c r="Y115">
        <f t="shared" ca="1" si="124"/>
        <v>7.3837793136038748E-2</v>
      </c>
      <c r="Z115" t="str">
        <f t="shared" si="125"/>
        <v>ELCTRLYZ_LRG_C   →   C_UNDRGRND_STRG   →   ONSITE_USE   →   H2_FC_DCHP_PWR</v>
      </c>
      <c r="AA115" t="str">
        <f t="shared" si="126"/>
        <v>Grid electricity</v>
      </c>
      <c r="AB115" t="str">
        <f t="shared" si="127"/>
        <v>CO2 emissions</v>
      </c>
      <c r="AC115">
        <f t="shared" ca="1" si="128"/>
        <v>7.3837793136038748E-2</v>
      </c>
      <c r="AD115">
        <v>56</v>
      </c>
      <c r="AE115" t="str">
        <f>IF(AND(ISNUMBER(SEARCH(O115,4)),ISNUMBER(SEARCH('(4) FCH pathway assessment'!$B$16,AB115)),ISNUMBER(SEARCH('(4) FCH pathway assessment'!$B$10,AA115))),AD115,"")</f>
        <v/>
      </c>
      <c r="AF115" t="str">
        <f t="shared" si="16"/>
        <v/>
      </c>
      <c r="AG115" t="str">
        <f>VLOOKUP(C115,Assumptions!$B$116:$C$162,2,FALSE)</f>
        <v>ELCTRLYZ_LRG_C</v>
      </c>
      <c r="AH115" t="str">
        <f>VLOOKUP(D115,Assumptions!$B$116:$C$162,2,FALSE)</f>
        <v>C_UNDRGRND_STRG</v>
      </c>
      <c r="AI115" t="str">
        <f>VLOOKUP(E115,Assumptions!$B$116:$C$162,2,FALSE)</f>
        <v>ONSITE_USE</v>
      </c>
      <c r="AJ115" t="str">
        <f>VLOOKUP(F115,Assumptions!$B$116:$C$162,2,FALSE)</f>
        <v>H2_FC_DCHP_PWR</v>
      </c>
    </row>
    <row r="116" spans="2:36" x14ac:dyDescent="0.25">
      <c r="B116" t="s">
        <v>112</v>
      </c>
      <c r="C116" t="s">
        <v>49</v>
      </c>
      <c r="D116" t="s">
        <v>155</v>
      </c>
      <c r="E116" t="s">
        <v>157</v>
      </c>
      <c r="F116" t="s">
        <v>549</v>
      </c>
      <c r="G116" t="s">
        <v>114</v>
      </c>
      <c r="H116" t="s">
        <v>433</v>
      </c>
      <c r="I116" t="s">
        <v>32</v>
      </c>
      <c r="J116" t="s">
        <v>329</v>
      </c>
      <c r="K116">
        <f t="shared" si="115"/>
        <v>1</v>
      </c>
      <c r="L116">
        <f t="shared" si="116"/>
        <v>1</v>
      </c>
      <c r="M116">
        <f t="shared" si="117"/>
        <v>0</v>
      </c>
      <c r="N116">
        <f t="shared" si="118"/>
        <v>0</v>
      </c>
      <c r="O116">
        <f t="shared" si="119"/>
        <v>2</v>
      </c>
      <c r="P116" t="str">
        <f t="shared" si="120"/>
        <v>Large centralized electrolysis-CO2 emissions</v>
      </c>
      <c r="Q116" t="str">
        <f t="shared" si="121"/>
        <v>Central gas storage-CO2 emissions</v>
      </c>
      <c r="R116" t="str">
        <f t="shared" si="122"/>
        <v>Blending in natural gas pipeline-CO2 emissions</v>
      </c>
      <c r="S116" t="str">
        <f t="shared" si="123"/>
        <v>District-CHP with H2 fuel cell (power)-CO2 emissions</v>
      </c>
      <c r="T116">
        <f ca="1">IF(timePeriod="2020-30",(VLOOKUP($P116,'TA database'!$I$8:$J$79,2,FALSE)/VLOOKUP($D116,'Merit calculation'!$B$48:$I$52,5,FALSE)/VLOOKUP($E116,'Merit calculation'!$B$67:$I$73,5,FALSE)/VLOOKUP($F116,'Merit calculation'!$B$90:$I$103,5,FALSE)/energyContentH2),(VLOOKUP($P116,'TA database'!$I$8:$J$79,2,FALSE)/VLOOKUP($D116,'Merit calculation'!$B$48:$I$52,7,FALSE)/VLOOKUP($E116,'Merit calculation'!$B$67:$I$73,7,FALSE)/VLOOKUP($F116,'Merit calculation'!$B$90:$I$103,7,FALSE)/energyContentH2))</f>
        <v>2.0929079687085815E-2</v>
      </c>
      <c r="U116">
        <v>0</v>
      </c>
      <c r="V116">
        <v>0</v>
      </c>
      <c r="W116">
        <f>IFERROR(VLOOKUP($S116,'TA database'!$I$146:$J$193,2,FALSE),0)</f>
        <v>0</v>
      </c>
      <c r="X116">
        <f ca="1">IFERROR(VLOOKUP($S116,'TA database'!$I$200:$J$271,2,FALSE),0)</f>
        <v>0</v>
      </c>
      <c r="Y116">
        <f t="shared" ca="1" si="124"/>
        <v>7.534468687350894E-2</v>
      </c>
      <c r="Z116" t="str">
        <f t="shared" si="125"/>
        <v>ELCTRLYZ_LRG_C   →   C_GAS_STRG   →   H2_BLND_NG_P   →   H2_FC_DCHP_PWR</v>
      </c>
      <c r="AA116" t="str">
        <f t="shared" si="126"/>
        <v>Grid electricity</v>
      </c>
      <c r="AB116" t="str">
        <f t="shared" si="127"/>
        <v>CO2 emissions</v>
      </c>
      <c r="AC116">
        <f t="shared" ca="1" si="128"/>
        <v>7.534468687350894E-2</v>
      </c>
      <c r="AD116">
        <v>57</v>
      </c>
      <c r="AE116" t="str">
        <f>IF(AND(ISNUMBER(SEARCH(O116,4)),ISNUMBER(SEARCH('(4) FCH pathway assessment'!$B$16,AB116)),ISNUMBER(SEARCH('(4) FCH pathway assessment'!$B$10,AA116))),AD116,"")</f>
        <v/>
      </c>
      <c r="AF116" t="str">
        <f t="shared" si="16"/>
        <v/>
      </c>
      <c r="AG116" t="str">
        <f>VLOOKUP(C116,Assumptions!$B$116:$C$162,2,FALSE)</f>
        <v>ELCTRLYZ_LRG_C</v>
      </c>
      <c r="AH116" t="str">
        <f>VLOOKUP(D116,Assumptions!$B$116:$C$162,2,FALSE)</f>
        <v>C_GAS_STRG</v>
      </c>
      <c r="AI116" t="str">
        <f>VLOOKUP(E116,Assumptions!$B$116:$C$162,2,FALSE)</f>
        <v>H2_BLND_NG_P</v>
      </c>
      <c r="AJ116" t="str">
        <f>VLOOKUP(F116,Assumptions!$B$116:$C$162,2,FALSE)</f>
        <v>H2_FC_DCHP_PWR</v>
      </c>
    </row>
    <row r="117" spans="2:36" x14ac:dyDescent="0.25">
      <c r="B117" t="s">
        <v>112</v>
      </c>
      <c r="C117" t="s">
        <v>49</v>
      </c>
      <c r="D117" t="s">
        <v>155</v>
      </c>
      <c r="E117" t="s">
        <v>122</v>
      </c>
      <c r="F117" t="s">
        <v>549</v>
      </c>
      <c r="G117" t="s">
        <v>114</v>
      </c>
      <c r="H117" t="s">
        <v>433</v>
      </c>
      <c r="I117" t="s">
        <v>32</v>
      </c>
      <c r="J117" t="s">
        <v>329</v>
      </c>
      <c r="K117">
        <f t="shared" si="115"/>
        <v>1</v>
      </c>
      <c r="L117">
        <f t="shared" si="116"/>
        <v>1</v>
      </c>
      <c r="M117">
        <f t="shared" si="117"/>
        <v>1</v>
      </c>
      <c r="N117">
        <f t="shared" si="118"/>
        <v>0</v>
      </c>
      <c r="O117">
        <f t="shared" si="119"/>
        <v>3</v>
      </c>
      <c r="P117" t="str">
        <f t="shared" si="120"/>
        <v>Large centralized electrolysis-CO2 emissions</v>
      </c>
      <c r="Q117" t="str">
        <f t="shared" si="121"/>
        <v>Central gas storage-CO2 emissions</v>
      </c>
      <c r="R117" t="str">
        <f t="shared" si="122"/>
        <v>Hydrogen transmission &amp; distribution pipeline-CO2 emissions</v>
      </c>
      <c r="S117" t="str">
        <f t="shared" si="123"/>
        <v>District-CHP with H2 fuel cell (power)-CO2 emissions</v>
      </c>
      <c r="T117">
        <f ca="1">IF(timePeriod="2020-30",(VLOOKUP($P117,'TA database'!$I$8:$J$79,2,FALSE)/VLOOKUP($D117,'Merit calculation'!$B$48:$I$52,5,FALSE)/VLOOKUP($E117,'Merit calculation'!$B$67:$I$73,5,FALSE)/VLOOKUP($F117,'Merit calculation'!$B$90:$I$103,5,FALSE)/energyContentH2),(VLOOKUP($P117,'TA database'!$I$8:$J$79,2,FALSE)/VLOOKUP($D117,'Merit calculation'!$B$48:$I$52,7,FALSE)/VLOOKUP($E117,'Merit calculation'!$B$67:$I$73,7,FALSE)/VLOOKUP($F117,'Merit calculation'!$B$90:$I$103,7,FALSE)/energyContentH2))</f>
        <v>2.0929079687085815E-2</v>
      </c>
      <c r="U117">
        <v>0</v>
      </c>
      <c r="V117">
        <v>0</v>
      </c>
      <c r="W117">
        <f>IFERROR(VLOOKUP($S117,'TA database'!$I$146:$J$193,2,FALSE),0)</f>
        <v>0</v>
      </c>
      <c r="X117">
        <f ca="1">IFERROR(VLOOKUP($S117,'TA database'!$I$200:$J$271,2,FALSE),0)</f>
        <v>0</v>
      </c>
      <c r="Y117">
        <f t="shared" ca="1" si="124"/>
        <v>7.534468687350894E-2</v>
      </c>
      <c r="Z117" t="str">
        <f t="shared" si="125"/>
        <v>ELCTRLYZ_LRG_C   →   C_GAS_STRG   →   H2_T&amp;D_P   →   H2_FC_DCHP_PWR</v>
      </c>
      <c r="AA117" t="str">
        <f t="shared" si="126"/>
        <v>Grid electricity</v>
      </c>
      <c r="AB117" t="str">
        <f t="shared" si="127"/>
        <v>CO2 emissions</v>
      </c>
      <c r="AC117">
        <f t="shared" ca="1" si="128"/>
        <v>7.534468687350894E-2</v>
      </c>
      <c r="AD117">
        <v>58</v>
      </c>
      <c r="AE117" t="str">
        <f>IF(AND(ISNUMBER(SEARCH(O117,4)),ISNUMBER(SEARCH('(4) FCH pathway assessment'!$B$16,AB117)),ISNUMBER(SEARCH('(4) FCH pathway assessment'!$B$10,AA117))),AD117,"")</f>
        <v/>
      </c>
      <c r="AF117" t="str">
        <f t="shared" si="16"/>
        <v/>
      </c>
      <c r="AG117" t="str">
        <f>VLOOKUP(C117,Assumptions!$B$116:$C$162,2,FALSE)</f>
        <v>ELCTRLYZ_LRG_C</v>
      </c>
      <c r="AH117" t="str">
        <f>VLOOKUP(D117,Assumptions!$B$116:$C$162,2,FALSE)</f>
        <v>C_GAS_STRG</v>
      </c>
      <c r="AI117" t="str">
        <f>VLOOKUP(E117,Assumptions!$B$116:$C$162,2,FALSE)</f>
        <v>H2_T&amp;D_P</v>
      </c>
      <c r="AJ117" t="str">
        <f>VLOOKUP(F117,Assumptions!$B$116:$C$162,2,FALSE)</f>
        <v>H2_FC_DCHP_PWR</v>
      </c>
    </row>
    <row r="118" spans="2:36" x14ac:dyDescent="0.25">
      <c r="B118" t="s">
        <v>112</v>
      </c>
      <c r="C118" t="s">
        <v>49</v>
      </c>
      <c r="D118" t="s">
        <v>155</v>
      </c>
      <c r="E118" t="s">
        <v>116</v>
      </c>
      <c r="F118" t="s">
        <v>549</v>
      </c>
      <c r="G118" t="s">
        <v>114</v>
      </c>
      <c r="H118" t="s">
        <v>433</v>
      </c>
      <c r="I118" t="s">
        <v>32</v>
      </c>
      <c r="J118" t="s">
        <v>329</v>
      </c>
      <c r="K118">
        <f t="shared" si="115"/>
        <v>1</v>
      </c>
      <c r="L118">
        <f t="shared" si="116"/>
        <v>1</v>
      </c>
      <c r="M118">
        <f t="shared" si="117"/>
        <v>1</v>
      </c>
      <c r="N118">
        <f t="shared" si="118"/>
        <v>0</v>
      </c>
      <c r="O118">
        <f t="shared" si="119"/>
        <v>3</v>
      </c>
      <c r="P118" t="str">
        <f t="shared" si="120"/>
        <v>Large centralized electrolysis-CO2 emissions</v>
      </c>
      <c r="Q118" t="str">
        <f t="shared" si="121"/>
        <v>Central gas storage-CO2 emissions</v>
      </c>
      <c r="R118" t="str">
        <f t="shared" si="122"/>
        <v>Liquid hydrogen truck-CO2 emissions</v>
      </c>
      <c r="S118" t="str">
        <f t="shared" si="123"/>
        <v>District-CHP with H2 fuel cell (power)-CO2 emissions</v>
      </c>
      <c r="T118">
        <f ca="1">IF(timePeriod="2020-30",(VLOOKUP($P118,'TA database'!$I$8:$J$79,2,FALSE)/VLOOKUP($D118,'Merit calculation'!$B$48:$I$52,5,FALSE)/VLOOKUP($E118,'Merit calculation'!$B$67:$I$73,5,FALSE)/VLOOKUP($F118,'Merit calculation'!$B$90:$I$103,5,FALSE)/energyContentH2),(VLOOKUP($P118,'TA database'!$I$8:$J$79,2,FALSE)/VLOOKUP($D118,'Merit calculation'!$B$48:$I$52,7,FALSE)/VLOOKUP($E118,'Merit calculation'!$B$67:$I$73,7,FALSE)/VLOOKUP($F118,'Merit calculation'!$B$90:$I$103,7,FALSE)/energyContentH2))</f>
        <v>2.4177116558010452E-2</v>
      </c>
      <c r="U118">
        <v>0</v>
      </c>
      <c r="V118">
        <v>0</v>
      </c>
      <c r="W118">
        <f>IFERROR(VLOOKUP($S118,'TA database'!$I$146:$J$193,2,FALSE),0)</f>
        <v>0</v>
      </c>
      <c r="X118">
        <f ca="1">IFERROR(VLOOKUP($S118,'TA database'!$I$200:$J$271,2,FALSE),0)</f>
        <v>0</v>
      </c>
      <c r="Y118">
        <f t="shared" ca="1" si="124"/>
        <v>8.703761960883763E-2</v>
      </c>
      <c r="Z118" t="str">
        <f t="shared" si="125"/>
        <v>ELCTRLYZ_LRG_C   →   C_GAS_STRG   →   LQ_TRUCK   →   H2_FC_DCHP_PWR</v>
      </c>
      <c r="AA118" t="str">
        <f t="shared" si="126"/>
        <v>Grid electricity</v>
      </c>
      <c r="AB118" t="str">
        <f t="shared" si="127"/>
        <v>CO2 emissions</v>
      </c>
      <c r="AC118">
        <f t="shared" ca="1" si="128"/>
        <v>8.703761960883763E-2</v>
      </c>
      <c r="AD118">
        <v>59</v>
      </c>
      <c r="AE118" t="str">
        <f>IF(AND(ISNUMBER(SEARCH(O118,4)),ISNUMBER(SEARCH('(4) FCH pathway assessment'!$B$16,AB118)),ISNUMBER(SEARCH('(4) FCH pathway assessment'!$B$10,AA118))),AD118,"")</f>
        <v/>
      </c>
      <c r="AF118" t="str">
        <f t="shared" si="16"/>
        <v/>
      </c>
      <c r="AG118" t="str">
        <f>VLOOKUP(C118,Assumptions!$B$116:$C$162,2,FALSE)</f>
        <v>ELCTRLYZ_LRG_C</v>
      </c>
      <c r="AH118" t="str">
        <f>VLOOKUP(D118,Assumptions!$B$116:$C$162,2,FALSE)</f>
        <v>C_GAS_STRG</v>
      </c>
      <c r="AI118" t="str">
        <f>VLOOKUP(E118,Assumptions!$B$116:$C$162,2,FALSE)</f>
        <v>LQ_TRUCK</v>
      </c>
      <c r="AJ118" t="str">
        <f>VLOOKUP(F118,Assumptions!$B$116:$C$162,2,FALSE)</f>
        <v>H2_FC_DCHP_PWR</v>
      </c>
    </row>
    <row r="119" spans="2:36" x14ac:dyDescent="0.25">
      <c r="B119" t="s">
        <v>112</v>
      </c>
      <c r="C119" t="s">
        <v>49</v>
      </c>
      <c r="D119" t="s">
        <v>155</v>
      </c>
      <c r="E119" t="s">
        <v>66</v>
      </c>
      <c r="F119" t="s">
        <v>549</v>
      </c>
      <c r="G119" t="s">
        <v>114</v>
      </c>
      <c r="H119" t="s">
        <v>433</v>
      </c>
      <c r="I119" t="s">
        <v>32</v>
      </c>
      <c r="J119" t="s">
        <v>329</v>
      </c>
      <c r="K119">
        <f t="shared" si="115"/>
        <v>1</v>
      </c>
      <c r="L119">
        <f t="shared" si="116"/>
        <v>1</v>
      </c>
      <c r="M119">
        <f t="shared" si="117"/>
        <v>1</v>
      </c>
      <c r="N119">
        <f t="shared" si="118"/>
        <v>0</v>
      </c>
      <c r="O119">
        <f t="shared" si="119"/>
        <v>3</v>
      </c>
      <c r="P119" t="str">
        <f t="shared" si="120"/>
        <v>Large centralized electrolysis-CO2 emissions</v>
      </c>
      <c r="Q119" t="str">
        <f t="shared" si="121"/>
        <v>Central gas storage-CO2 emissions</v>
      </c>
      <c r="R119" t="str">
        <f t="shared" si="122"/>
        <v>Onsite-CO2 emissions</v>
      </c>
      <c r="S119" t="str">
        <f t="shared" si="123"/>
        <v>District-CHP with H2 fuel cell (power)-CO2 emissions</v>
      </c>
      <c r="T119">
        <f ca="1">IF(timePeriod="2020-30",(VLOOKUP($P119,'TA database'!$I$8:$J$79,2,FALSE)/VLOOKUP($D119,'Merit calculation'!$B$48:$I$52,5,FALSE)/VLOOKUP($E119,'Merit calculation'!$B$67:$I$73,5,FALSE)/VLOOKUP($F119,'Merit calculation'!$B$90:$I$103,5,FALSE)/energyContentH2),(VLOOKUP($P119,'TA database'!$I$8:$J$79,2,FALSE)/VLOOKUP($D119,'Merit calculation'!$B$48:$I$52,7,FALSE)/VLOOKUP($E119,'Merit calculation'!$B$67:$I$73,7,FALSE)/VLOOKUP($F119,'Merit calculation'!$B$90:$I$103,7,FALSE)/energyContentH2))</f>
        <v>2.0719788890214957E-2</v>
      </c>
      <c r="U119">
        <v>0</v>
      </c>
      <c r="V119">
        <v>0</v>
      </c>
      <c r="W119">
        <f>IFERROR(VLOOKUP($S119,'TA database'!$I$146:$J$193,2,FALSE),0)</f>
        <v>0</v>
      </c>
      <c r="X119">
        <f ca="1">IFERROR(VLOOKUP($S119,'TA database'!$I$200:$J$271,2,FALSE),0)</f>
        <v>0</v>
      </c>
      <c r="Y119">
        <f t="shared" ca="1" si="124"/>
        <v>7.4591240004773851E-2</v>
      </c>
      <c r="Z119" t="str">
        <f t="shared" si="125"/>
        <v>ELCTRLYZ_LRG_C   →   C_GAS_STRG   →   ONSITE_USE   →   H2_FC_DCHP_PWR</v>
      </c>
      <c r="AA119" t="str">
        <f t="shared" si="126"/>
        <v>Grid electricity</v>
      </c>
      <c r="AB119" t="str">
        <f t="shared" si="127"/>
        <v>CO2 emissions</v>
      </c>
      <c r="AC119">
        <f t="shared" ca="1" si="128"/>
        <v>7.4591240004773851E-2</v>
      </c>
      <c r="AD119">
        <v>60</v>
      </c>
      <c r="AE119" t="str">
        <f>IF(AND(ISNUMBER(SEARCH(O119,4)),ISNUMBER(SEARCH('(4) FCH pathway assessment'!$B$16,AB119)),ISNUMBER(SEARCH('(4) FCH pathway assessment'!$B$10,AA119))),AD119,"")</f>
        <v/>
      </c>
      <c r="AF119" t="str">
        <f t="shared" si="16"/>
        <v/>
      </c>
      <c r="AG119" t="str">
        <f>VLOOKUP(C119,Assumptions!$B$116:$C$162,2,FALSE)</f>
        <v>ELCTRLYZ_LRG_C</v>
      </c>
      <c r="AH119" t="str">
        <f>VLOOKUP(D119,Assumptions!$B$116:$C$162,2,FALSE)</f>
        <v>C_GAS_STRG</v>
      </c>
      <c r="AI119" t="str">
        <f>VLOOKUP(E119,Assumptions!$B$116:$C$162,2,FALSE)</f>
        <v>ONSITE_USE</v>
      </c>
      <c r="AJ119" t="str">
        <f>VLOOKUP(F119,Assumptions!$B$116:$C$162,2,FALSE)</f>
        <v>H2_FC_DCHP_PWR</v>
      </c>
    </row>
    <row r="120" spans="2:36" x14ac:dyDescent="0.25">
      <c r="B120" t="s">
        <v>112</v>
      </c>
      <c r="C120" t="s">
        <v>51</v>
      </c>
      <c r="D120" t="s">
        <v>155</v>
      </c>
      <c r="E120" t="s">
        <v>157</v>
      </c>
      <c r="F120" t="s">
        <v>549</v>
      </c>
      <c r="G120" t="s">
        <v>114</v>
      </c>
      <c r="H120" t="s">
        <v>433</v>
      </c>
      <c r="I120" t="s">
        <v>32</v>
      </c>
      <c r="J120" t="s">
        <v>329</v>
      </c>
      <c r="K120">
        <f t="shared" ref="K120:K123" si="129">SUMPRODUCT(($C$7:$C$18=$C120)*($D$6:$H$6=$D120)*($D$7:$H$18))</f>
        <v>1</v>
      </c>
      <c r="L120">
        <f t="shared" ref="L120:L123" si="130">SUMPRODUCT(($C$19:$C$23=$D120)*($I$6:$O$6=$E120)*($I$19:$O$23))</f>
        <v>1</v>
      </c>
      <c r="M120">
        <f t="shared" ref="M120:M123" si="131">SUMPRODUCT(($C$24:$C$30=$E120)*($P$6:$AI$6=$F120)*($P$24:$AI$30))</f>
        <v>0</v>
      </c>
      <c r="N120">
        <f t="shared" ref="N120:N123" si="132">SUMPRODUCT(($C$31:$C$50=$F120)*($AJ$6:$AM$6=$G120)*($AJ$31:$AM$50))</f>
        <v>0</v>
      </c>
      <c r="O120">
        <f t="shared" ref="O120:O123" si="133">K120+L120+M120+N120</f>
        <v>2</v>
      </c>
      <c r="P120" t="str">
        <f t="shared" ref="P120:P123" si="134">CONCATENATE(C120,"-",J120)</f>
        <v>Medium centralized electrolysis-CO2 emissions</v>
      </c>
      <c r="Q120" t="str">
        <f t="shared" ref="Q120:Q123" si="135">CONCATENATE(D120,"-",J120)</f>
        <v>Central gas storage-CO2 emissions</v>
      </c>
      <c r="R120" t="str">
        <f t="shared" ref="R120:R123" si="136">CONCATENATE(E120,"-",J120)</f>
        <v>Blending in natural gas pipeline-CO2 emissions</v>
      </c>
      <c r="S120" t="str">
        <f t="shared" ref="S120:S123" si="137">CONCATENATE(F120,"-",J120)</f>
        <v>District-CHP with H2 fuel cell (power)-CO2 emissions</v>
      </c>
      <c r="T120">
        <f ca="1">IF(timePeriod="2020-30",(VLOOKUP($P120,'TA database'!$I$8:$J$79,2,FALSE)/VLOOKUP($D120,'Merit calculation'!$B$48:$I$52,5,FALSE)/VLOOKUP($E120,'Merit calculation'!$B$67:$I$73,5,FALSE)/VLOOKUP($F120,'Merit calculation'!$B$90:$I$103,5,FALSE)/energyContentH2),(VLOOKUP($P120,'TA database'!$I$8:$J$79,2,FALSE)/VLOOKUP($D120,'Merit calculation'!$B$48:$I$52,7,FALSE)/VLOOKUP($E120,'Merit calculation'!$B$67:$I$73,7,FALSE)/VLOOKUP($F120,'Merit calculation'!$B$90:$I$103,7,FALSE)/energyContentH2))</f>
        <v>2.0929079687085815E-2</v>
      </c>
      <c r="U120">
        <v>0</v>
      </c>
      <c r="V120">
        <v>0</v>
      </c>
      <c r="W120">
        <f>IFERROR(VLOOKUP($S120,'TA database'!$I$146:$J$193,2,FALSE),0)</f>
        <v>0</v>
      </c>
      <c r="X120">
        <f ca="1">IFERROR(VLOOKUP($S120,'TA database'!$I$200:$J$271,2,FALSE),0)</f>
        <v>0</v>
      </c>
      <c r="Y120">
        <f t="shared" ref="Y120:Y123" ca="1" si="138">IF($W120=0,T120*3.6+X120,T120+W120)</f>
        <v>7.534468687350894E-2</v>
      </c>
      <c r="Z120" t="str">
        <f t="shared" ref="Z120:Z123" si="139">CONCATENATE(AG120,"   →   ",AH120,"   →   ",AI120,"   →   ",AJ120)</f>
        <v>ELCTRLYZ_MED_C   →   C_GAS_STRG   →   H2_BLND_NG_P   →   H2_FC_DCHP_PWR</v>
      </c>
      <c r="AA120" t="str">
        <f t="shared" ref="AA120:AA123" si="140">G120</f>
        <v>Grid electricity</v>
      </c>
      <c r="AB120" t="str">
        <f t="shared" ref="AB120:AB123" si="141">J120</f>
        <v>CO2 emissions</v>
      </c>
      <c r="AC120">
        <f t="shared" ref="AC120:AC123" ca="1" si="142">Y120</f>
        <v>7.534468687350894E-2</v>
      </c>
      <c r="AD120">
        <v>61</v>
      </c>
      <c r="AE120" t="str">
        <f>IF(AND(ISNUMBER(SEARCH(O120,4)),ISNUMBER(SEARCH('(4) FCH pathway assessment'!$B$16,AB120)),ISNUMBER(SEARCH('(4) FCH pathway assessment'!$B$10,AA120))),AD120,"")</f>
        <v/>
      </c>
      <c r="AF120" t="str">
        <f t="shared" si="16"/>
        <v/>
      </c>
      <c r="AG120" t="str">
        <f>VLOOKUP(C120,Assumptions!$B$116:$C$162,2,FALSE)</f>
        <v>ELCTRLYZ_MED_C</v>
      </c>
      <c r="AH120" t="str">
        <f>VLOOKUP(D120,Assumptions!$B$116:$C$162,2,FALSE)</f>
        <v>C_GAS_STRG</v>
      </c>
      <c r="AI120" t="str">
        <f>VLOOKUP(E120,Assumptions!$B$116:$C$162,2,FALSE)</f>
        <v>H2_BLND_NG_P</v>
      </c>
      <c r="AJ120" t="str">
        <f>VLOOKUP(F120,Assumptions!$B$116:$C$162,2,FALSE)</f>
        <v>H2_FC_DCHP_PWR</v>
      </c>
    </row>
    <row r="121" spans="2:36" x14ac:dyDescent="0.25">
      <c r="B121" t="s">
        <v>112</v>
      </c>
      <c r="C121" t="s">
        <v>51</v>
      </c>
      <c r="D121" t="s">
        <v>155</v>
      </c>
      <c r="E121" t="s">
        <v>122</v>
      </c>
      <c r="F121" t="s">
        <v>549</v>
      </c>
      <c r="G121" t="s">
        <v>114</v>
      </c>
      <c r="H121" t="s">
        <v>433</v>
      </c>
      <c r="I121" t="s">
        <v>32</v>
      </c>
      <c r="J121" t="s">
        <v>329</v>
      </c>
      <c r="K121">
        <f t="shared" si="129"/>
        <v>1</v>
      </c>
      <c r="L121">
        <f t="shared" si="130"/>
        <v>1</v>
      </c>
      <c r="M121">
        <f t="shared" si="131"/>
        <v>1</v>
      </c>
      <c r="N121">
        <f t="shared" si="132"/>
        <v>0</v>
      </c>
      <c r="O121">
        <f t="shared" si="133"/>
        <v>3</v>
      </c>
      <c r="P121" t="str">
        <f t="shared" si="134"/>
        <v>Medium centralized electrolysis-CO2 emissions</v>
      </c>
      <c r="Q121" t="str">
        <f t="shared" si="135"/>
        <v>Central gas storage-CO2 emissions</v>
      </c>
      <c r="R121" t="str">
        <f t="shared" si="136"/>
        <v>Hydrogen transmission &amp; distribution pipeline-CO2 emissions</v>
      </c>
      <c r="S121" t="str">
        <f t="shared" si="137"/>
        <v>District-CHP with H2 fuel cell (power)-CO2 emissions</v>
      </c>
      <c r="T121">
        <f ca="1">IF(timePeriod="2020-30",(VLOOKUP($P121,'TA database'!$I$8:$J$79,2,FALSE)/VLOOKUP($D121,'Merit calculation'!$B$48:$I$52,5,FALSE)/VLOOKUP($E121,'Merit calculation'!$B$67:$I$73,5,FALSE)/VLOOKUP($F121,'Merit calculation'!$B$90:$I$103,5,FALSE)/energyContentH2),(VLOOKUP($P121,'TA database'!$I$8:$J$79,2,FALSE)/VLOOKUP($D121,'Merit calculation'!$B$48:$I$52,7,FALSE)/VLOOKUP($E121,'Merit calculation'!$B$67:$I$73,7,FALSE)/VLOOKUP($F121,'Merit calculation'!$B$90:$I$103,7,FALSE)/energyContentH2))</f>
        <v>2.0929079687085815E-2</v>
      </c>
      <c r="U121">
        <v>0</v>
      </c>
      <c r="V121">
        <v>0</v>
      </c>
      <c r="W121">
        <f>IFERROR(VLOOKUP($S121,'TA database'!$I$146:$J$193,2,FALSE),0)</f>
        <v>0</v>
      </c>
      <c r="X121">
        <f ca="1">IFERROR(VLOOKUP($S121,'TA database'!$I$200:$J$271,2,FALSE),0)</f>
        <v>0</v>
      </c>
      <c r="Y121">
        <f t="shared" ca="1" si="138"/>
        <v>7.534468687350894E-2</v>
      </c>
      <c r="Z121" t="str">
        <f t="shared" si="139"/>
        <v>ELCTRLYZ_MED_C   →   C_GAS_STRG   →   H2_T&amp;D_P   →   H2_FC_DCHP_PWR</v>
      </c>
      <c r="AA121" t="str">
        <f t="shared" si="140"/>
        <v>Grid electricity</v>
      </c>
      <c r="AB121" t="str">
        <f t="shared" si="141"/>
        <v>CO2 emissions</v>
      </c>
      <c r="AC121">
        <f t="shared" ca="1" si="142"/>
        <v>7.534468687350894E-2</v>
      </c>
      <c r="AD121">
        <v>62</v>
      </c>
      <c r="AE121" t="str">
        <f>IF(AND(ISNUMBER(SEARCH(O121,4)),ISNUMBER(SEARCH('(4) FCH pathway assessment'!$B$16,AB121)),ISNUMBER(SEARCH('(4) FCH pathway assessment'!$B$10,AA121))),AD121,"")</f>
        <v/>
      </c>
      <c r="AF121" t="str">
        <f t="shared" si="16"/>
        <v/>
      </c>
      <c r="AG121" t="str">
        <f>VLOOKUP(C121,Assumptions!$B$116:$C$162,2,FALSE)</f>
        <v>ELCTRLYZ_MED_C</v>
      </c>
      <c r="AH121" t="str">
        <f>VLOOKUP(D121,Assumptions!$B$116:$C$162,2,FALSE)</f>
        <v>C_GAS_STRG</v>
      </c>
      <c r="AI121" t="str">
        <f>VLOOKUP(E121,Assumptions!$B$116:$C$162,2,FALSE)</f>
        <v>H2_T&amp;D_P</v>
      </c>
      <c r="AJ121" t="str">
        <f>VLOOKUP(F121,Assumptions!$B$116:$C$162,2,FALSE)</f>
        <v>H2_FC_DCHP_PWR</v>
      </c>
    </row>
    <row r="122" spans="2:36" x14ac:dyDescent="0.25">
      <c r="B122" t="s">
        <v>112</v>
      </c>
      <c r="C122" t="s">
        <v>51</v>
      </c>
      <c r="D122" t="s">
        <v>155</v>
      </c>
      <c r="E122" t="s">
        <v>116</v>
      </c>
      <c r="F122" t="s">
        <v>549</v>
      </c>
      <c r="G122" t="s">
        <v>114</v>
      </c>
      <c r="H122" t="s">
        <v>433</v>
      </c>
      <c r="I122" t="s">
        <v>32</v>
      </c>
      <c r="J122" t="s">
        <v>329</v>
      </c>
      <c r="K122">
        <f t="shared" si="129"/>
        <v>1</v>
      </c>
      <c r="L122">
        <f t="shared" si="130"/>
        <v>1</v>
      </c>
      <c r="M122">
        <f t="shared" si="131"/>
        <v>1</v>
      </c>
      <c r="N122">
        <f t="shared" si="132"/>
        <v>0</v>
      </c>
      <c r="O122">
        <f t="shared" si="133"/>
        <v>3</v>
      </c>
      <c r="P122" t="str">
        <f t="shared" si="134"/>
        <v>Medium centralized electrolysis-CO2 emissions</v>
      </c>
      <c r="Q122" t="str">
        <f t="shared" si="135"/>
        <v>Central gas storage-CO2 emissions</v>
      </c>
      <c r="R122" t="str">
        <f t="shared" si="136"/>
        <v>Liquid hydrogen truck-CO2 emissions</v>
      </c>
      <c r="S122" t="str">
        <f t="shared" si="137"/>
        <v>District-CHP with H2 fuel cell (power)-CO2 emissions</v>
      </c>
      <c r="T122">
        <f ca="1">IF(timePeriod="2020-30",(VLOOKUP($P122,'TA database'!$I$8:$J$79,2,FALSE)/VLOOKUP($D122,'Merit calculation'!$B$48:$I$52,5,FALSE)/VLOOKUP($E122,'Merit calculation'!$B$67:$I$73,5,FALSE)/VLOOKUP($F122,'Merit calculation'!$B$90:$I$103,5,FALSE)/energyContentH2),(VLOOKUP($P122,'TA database'!$I$8:$J$79,2,FALSE)/VLOOKUP($D122,'Merit calculation'!$B$48:$I$52,7,FALSE)/VLOOKUP($E122,'Merit calculation'!$B$67:$I$73,7,FALSE)/VLOOKUP($F122,'Merit calculation'!$B$90:$I$103,7,FALSE)/energyContentH2))</f>
        <v>2.4177116558010452E-2</v>
      </c>
      <c r="U122">
        <v>0</v>
      </c>
      <c r="V122">
        <v>0</v>
      </c>
      <c r="W122">
        <f>IFERROR(VLOOKUP($S122,'TA database'!$I$146:$J$193,2,FALSE),0)</f>
        <v>0</v>
      </c>
      <c r="X122">
        <f ca="1">IFERROR(VLOOKUP($S122,'TA database'!$I$200:$J$271,2,FALSE),0)</f>
        <v>0</v>
      </c>
      <c r="Y122">
        <f t="shared" ca="1" si="138"/>
        <v>8.703761960883763E-2</v>
      </c>
      <c r="Z122" t="str">
        <f t="shared" si="139"/>
        <v>ELCTRLYZ_MED_C   →   C_GAS_STRG   →   LQ_TRUCK   →   H2_FC_DCHP_PWR</v>
      </c>
      <c r="AA122" t="str">
        <f t="shared" si="140"/>
        <v>Grid electricity</v>
      </c>
      <c r="AB122" t="str">
        <f t="shared" si="141"/>
        <v>CO2 emissions</v>
      </c>
      <c r="AC122">
        <f t="shared" ca="1" si="142"/>
        <v>8.703761960883763E-2</v>
      </c>
      <c r="AD122">
        <v>63</v>
      </c>
      <c r="AE122" t="str">
        <f>IF(AND(ISNUMBER(SEARCH(O122,4)),ISNUMBER(SEARCH('(4) FCH pathway assessment'!$B$16,AB122)),ISNUMBER(SEARCH('(4) FCH pathway assessment'!$B$10,AA122))),AD122,"")</f>
        <v/>
      </c>
      <c r="AF122" t="str">
        <f t="shared" si="16"/>
        <v/>
      </c>
      <c r="AG122" t="str">
        <f>VLOOKUP(C122,Assumptions!$B$116:$C$162,2,FALSE)</f>
        <v>ELCTRLYZ_MED_C</v>
      </c>
      <c r="AH122" t="str">
        <f>VLOOKUP(D122,Assumptions!$B$116:$C$162,2,FALSE)</f>
        <v>C_GAS_STRG</v>
      </c>
      <c r="AI122" t="str">
        <f>VLOOKUP(E122,Assumptions!$B$116:$C$162,2,FALSE)</f>
        <v>LQ_TRUCK</v>
      </c>
      <c r="AJ122" t="str">
        <f>VLOOKUP(F122,Assumptions!$B$116:$C$162,2,FALSE)</f>
        <v>H2_FC_DCHP_PWR</v>
      </c>
    </row>
    <row r="123" spans="2:36" x14ac:dyDescent="0.25">
      <c r="B123" t="s">
        <v>112</v>
      </c>
      <c r="C123" t="s">
        <v>51</v>
      </c>
      <c r="D123" t="s">
        <v>155</v>
      </c>
      <c r="E123" t="s">
        <v>66</v>
      </c>
      <c r="F123" t="s">
        <v>549</v>
      </c>
      <c r="G123" t="s">
        <v>114</v>
      </c>
      <c r="H123" t="s">
        <v>433</v>
      </c>
      <c r="I123" t="s">
        <v>32</v>
      </c>
      <c r="J123" t="s">
        <v>329</v>
      </c>
      <c r="K123">
        <f t="shared" si="129"/>
        <v>1</v>
      </c>
      <c r="L123">
        <f t="shared" si="130"/>
        <v>1</v>
      </c>
      <c r="M123">
        <f t="shared" si="131"/>
        <v>1</v>
      </c>
      <c r="N123">
        <f t="shared" si="132"/>
        <v>0</v>
      </c>
      <c r="O123">
        <f t="shared" si="133"/>
        <v>3</v>
      </c>
      <c r="P123" t="str">
        <f t="shared" si="134"/>
        <v>Medium centralized electrolysis-CO2 emissions</v>
      </c>
      <c r="Q123" t="str">
        <f t="shared" si="135"/>
        <v>Central gas storage-CO2 emissions</v>
      </c>
      <c r="R123" t="str">
        <f t="shared" si="136"/>
        <v>Onsite-CO2 emissions</v>
      </c>
      <c r="S123" t="str">
        <f t="shared" si="137"/>
        <v>District-CHP with H2 fuel cell (power)-CO2 emissions</v>
      </c>
      <c r="T123">
        <f ca="1">IF(timePeriod="2020-30",(VLOOKUP($P123,'TA database'!$I$8:$J$79,2,FALSE)/VLOOKUP($D123,'Merit calculation'!$B$48:$I$52,5,FALSE)/VLOOKUP($E123,'Merit calculation'!$B$67:$I$73,5,FALSE)/VLOOKUP($F123,'Merit calculation'!$B$90:$I$103,5,FALSE)/energyContentH2),(VLOOKUP($P123,'TA database'!$I$8:$J$79,2,FALSE)/VLOOKUP($D123,'Merit calculation'!$B$48:$I$52,7,FALSE)/VLOOKUP($E123,'Merit calculation'!$B$67:$I$73,7,FALSE)/VLOOKUP($F123,'Merit calculation'!$B$90:$I$103,7,FALSE)/energyContentH2))</f>
        <v>2.0719788890214957E-2</v>
      </c>
      <c r="U123">
        <v>0</v>
      </c>
      <c r="V123">
        <v>0</v>
      </c>
      <c r="W123">
        <f>IFERROR(VLOOKUP($S123,'TA database'!$I$146:$J$193,2,FALSE),0)</f>
        <v>0</v>
      </c>
      <c r="X123">
        <f ca="1">IFERROR(VLOOKUP($S123,'TA database'!$I$200:$J$271,2,FALSE),0)</f>
        <v>0</v>
      </c>
      <c r="Y123">
        <f t="shared" ca="1" si="138"/>
        <v>7.4591240004773851E-2</v>
      </c>
      <c r="Z123" t="str">
        <f t="shared" si="139"/>
        <v>ELCTRLYZ_MED_C   →   C_GAS_STRG   →   ONSITE_USE   →   H2_FC_DCHP_PWR</v>
      </c>
      <c r="AA123" t="str">
        <f t="shared" si="140"/>
        <v>Grid electricity</v>
      </c>
      <c r="AB123" t="str">
        <f t="shared" si="141"/>
        <v>CO2 emissions</v>
      </c>
      <c r="AC123">
        <f t="shared" ca="1" si="142"/>
        <v>7.4591240004773851E-2</v>
      </c>
      <c r="AD123">
        <v>64</v>
      </c>
      <c r="AE123" t="str">
        <f>IF(AND(ISNUMBER(SEARCH(O123,4)),ISNUMBER(SEARCH('(4) FCH pathway assessment'!$B$16,AB123)),ISNUMBER(SEARCH('(4) FCH pathway assessment'!$B$10,AA123))),AD123,"")</f>
        <v/>
      </c>
      <c r="AF123" t="str">
        <f t="shared" si="16"/>
        <v/>
      </c>
      <c r="AG123" t="str">
        <f>VLOOKUP(C123,Assumptions!$B$116:$C$162,2,FALSE)</f>
        <v>ELCTRLYZ_MED_C</v>
      </c>
      <c r="AH123" t="str">
        <f>VLOOKUP(D123,Assumptions!$B$116:$C$162,2,FALSE)</f>
        <v>C_GAS_STRG</v>
      </c>
      <c r="AI123" t="str">
        <f>VLOOKUP(E123,Assumptions!$B$116:$C$162,2,FALSE)</f>
        <v>ONSITE_USE</v>
      </c>
      <c r="AJ123" t="str">
        <f>VLOOKUP(F123,Assumptions!$B$116:$C$162,2,FALSE)</f>
        <v>H2_FC_DCHP_PWR</v>
      </c>
    </row>
    <row r="124" spans="2:36" x14ac:dyDescent="0.25">
      <c r="B124" t="s">
        <v>112</v>
      </c>
      <c r="C124" t="s">
        <v>52</v>
      </c>
      <c r="D124" s="60" t="s">
        <v>130</v>
      </c>
      <c r="E124" t="s">
        <v>66</v>
      </c>
      <c r="F124" t="s">
        <v>549</v>
      </c>
      <c r="G124" t="s">
        <v>114</v>
      </c>
      <c r="H124" t="s">
        <v>433</v>
      </c>
      <c r="I124" t="s">
        <v>32</v>
      </c>
      <c r="J124" t="s">
        <v>329</v>
      </c>
      <c r="K124">
        <f t="shared" ref="K124:K129" si="143">SUMPRODUCT(($C$7:$C$18=$C124)*($D$6:$H$6=$D124)*($D$7:$H$18))</f>
        <v>1</v>
      </c>
      <c r="L124">
        <f t="shared" ref="L124:L129" si="144">SUMPRODUCT(($C$19:$C$23=$D124)*($I$6:$O$6=$E124)*($I$19:$O$23))</f>
        <v>1</v>
      </c>
      <c r="M124">
        <f t="shared" ref="M124:M129" si="145">SUMPRODUCT(($C$24:$C$30=$E124)*($P$6:$AI$6=$F124)*($P$24:$AI$30))</f>
        <v>1</v>
      </c>
      <c r="N124">
        <f t="shared" ref="N124:N129" si="146">SUMPRODUCT(($C$31:$C$50=$F124)*($AJ$6:$AM$6=$G124)*($AJ$31:$AM$50))</f>
        <v>0</v>
      </c>
      <c r="O124">
        <f t="shared" ref="O124:O129" si="147">K124+L124+M124+N124</f>
        <v>3</v>
      </c>
      <c r="P124" t="str">
        <f t="shared" ref="P124:P129" si="148">CONCATENATE(C124,"-",J124)</f>
        <v>Small decentralized electrolysis-CO2 emissions</v>
      </c>
      <c r="Q124" t="str">
        <f t="shared" ref="Q124:Q129" si="149">CONCATENATE(D124,"-",J124)</f>
        <v>Distributed gas storage-CO2 emissions</v>
      </c>
      <c r="R124" t="str">
        <f t="shared" ref="R124:R129" si="150">CONCATENATE(E124,"-",J124)</f>
        <v>Onsite-CO2 emissions</v>
      </c>
      <c r="S124" t="str">
        <f t="shared" ref="S124:S129" si="151">CONCATENATE(F124,"-",J124)</f>
        <v>District-CHP with H2 fuel cell (power)-CO2 emissions</v>
      </c>
      <c r="T124">
        <f ca="1">IF(timePeriod="2020-30",(VLOOKUP($P124,'TA database'!$I$8:$J$79,2,FALSE)/VLOOKUP($D124,'Merit calculation'!$B$48:$I$52,5,FALSE)/VLOOKUP($E124,'Merit calculation'!$B$67:$I$73,5,FALSE)/VLOOKUP($F124,'Merit calculation'!$B$90:$I$103,5,FALSE)/energyContentH2),(VLOOKUP($P124,'TA database'!$I$8:$J$79,2,FALSE)/VLOOKUP($D124,'Merit calculation'!$B$48:$I$52,7,FALSE)/VLOOKUP($E124,'Merit calculation'!$B$67:$I$73,7,FALSE)/VLOOKUP($F124,'Merit calculation'!$B$90:$I$103,7,FALSE)/energyContentH2))</f>
        <v>2.0719788890214957E-2</v>
      </c>
      <c r="U124">
        <v>0</v>
      </c>
      <c r="V124">
        <v>0</v>
      </c>
      <c r="W124">
        <f>IFERROR(VLOOKUP($S124,'TA database'!$I$146:$J$193,2,FALSE),0)</f>
        <v>0</v>
      </c>
      <c r="X124">
        <f ca="1">IFERROR(VLOOKUP($S124,'TA database'!$I$200:$J$271,2,FALSE),0)</f>
        <v>0</v>
      </c>
      <c r="Y124">
        <f t="shared" ref="Y124:Y129" ca="1" si="152">IF($W124=0,T124*3.6+X124,T124+W124)</f>
        <v>7.4591240004773851E-2</v>
      </c>
      <c r="Z124" t="str">
        <f t="shared" ref="Z124:Z129" si="153">CONCATENATE(AG124,"   →   ",AH124,"   →   ",AI124,"   →   ",AJ124)</f>
        <v>ELCTRLYZ_SML_D   →   D_GAS_STRG   →   ONSITE_USE   →   H2_FC_DCHP_PWR</v>
      </c>
      <c r="AA124" t="str">
        <f t="shared" ref="AA124:AA129" si="154">G124</f>
        <v>Grid electricity</v>
      </c>
      <c r="AB124" t="str">
        <f t="shared" ref="AB124:AB129" si="155">J124</f>
        <v>CO2 emissions</v>
      </c>
      <c r="AC124">
        <f t="shared" ref="AC124:AC129" ca="1" si="156">Y124</f>
        <v>7.4591240004773851E-2</v>
      </c>
      <c r="AD124">
        <v>65</v>
      </c>
      <c r="AE124" t="str">
        <f>IF(AND(ISNUMBER(SEARCH(O124,4)),ISNUMBER(SEARCH('(4) FCH pathway assessment'!$B$16,AB124)),ISNUMBER(SEARCH('(4) FCH pathway assessment'!$B$10,AA124))),AD124,"")</f>
        <v/>
      </c>
      <c r="AF124" t="str">
        <f t="shared" ref="AF124:AF187" si="157">IFERROR(SMALL($AE$60:$AE$1991,AD124),"")</f>
        <v/>
      </c>
      <c r="AG124" t="str">
        <f>VLOOKUP(C124,Assumptions!$B$116:$C$162,2,FALSE)</f>
        <v>ELCTRLYZ_SML_D</v>
      </c>
      <c r="AH124" t="str">
        <f>VLOOKUP(D124,Assumptions!$B$116:$C$162,2,FALSE)</f>
        <v>D_GAS_STRG</v>
      </c>
      <c r="AI124" t="str">
        <f>VLOOKUP(E124,Assumptions!$B$116:$C$162,2,FALSE)</f>
        <v>ONSITE_USE</v>
      </c>
      <c r="AJ124" t="str">
        <f>VLOOKUP(F124,Assumptions!$B$116:$C$162,2,FALSE)</f>
        <v>H2_FC_DCHP_PWR</v>
      </c>
    </row>
    <row r="125" spans="2:36" x14ac:dyDescent="0.25">
      <c r="B125" t="s">
        <v>127</v>
      </c>
      <c r="C125" t="s">
        <v>57</v>
      </c>
      <c r="D125" t="s">
        <v>62</v>
      </c>
      <c r="E125" t="s">
        <v>157</v>
      </c>
      <c r="F125" t="s">
        <v>549</v>
      </c>
      <c r="G125" t="s">
        <v>114</v>
      </c>
      <c r="H125" t="s">
        <v>433</v>
      </c>
      <c r="I125" t="s">
        <v>32</v>
      </c>
      <c r="J125" t="s">
        <v>329</v>
      </c>
      <c r="K125">
        <f t="shared" si="143"/>
        <v>1</v>
      </c>
      <c r="L125">
        <f t="shared" si="144"/>
        <v>0</v>
      </c>
      <c r="M125">
        <f t="shared" si="145"/>
        <v>0</v>
      </c>
      <c r="N125">
        <f t="shared" si="146"/>
        <v>0</v>
      </c>
      <c r="O125">
        <f t="shared" si="147"/>
        <v>1</v>
      </c>
      <c r="P125" t="str">
        <f t="shared" si="148"/>
        <v>Large centralized natural gas steam reforming-CO2 emissions</v>
      </c>
      <c r="Q125" t="str">
        <f t="shared" si="149"/>
        <v>Underground storage-CO2 emissions</v>
      </c>
      <c r="R125" t="str">
        <f t="shared" si="150"/>
        <v>Blending in natural gas pipeline-CO2 emissions</v>
      </c>
      <c r="S125" t="str">
        <f t="shared" si="151"/>
        <v>District-CHP with H2 fuel cell (power)-CO2 emissions</v>
      </c>
      <c r="T125">
        <f ca="1">IF(timePeriod="2020-30",(VLOOKUP($P125,'TA database'!$I$8:$J$79,2,FALSE)/VLOOKUP($D125,'Merit calculation'!$B$48:$I$52,5,FALSE)/VLOOKUP($E125,'Merit calculation'!$B$67:$I$73,5,FALSE)/VLOOKUP($F125,'Merit calculation'!$B$90:$I$103,5,FALSE)/energyContentH2),(VLOOKUP($P125,'TA database'!$I$8:$J$79,2,FALSE)/VLOOKUP($D125,'Merit calculation'!$B$48:$I$52,7,FALSE)/VLOOKUP($E125,'Merit calculation'!$B$67:$I$73,7,FALSE)/VLOOKUP($F125,'Merit calculation'!$B$90:$I$103,7,FALSE)/energyContentH2))</f>
        <v>8.3682832220843911E-2</v>
      </c>
      <c r="U125">
        <v>0</v>
      </c>
      <c r="V125">
        <v>0</v>
      </c>
      <c r="W125">
        <f>IFERROR(VLOOKUP($S125,'TA database'!$I$146:$J$193,2,FALSE),0)</f>
        <v>0</v>
      </c>
      <c r="X125">
        <f ca="1">IFERROR(VLOOKUP($S125,'TA database'!$I$200:$J$271,2,FALSE),0)</f>
        <v>0</v>
      </c>
      <c r="Y125">
        <f t="shared" ca="1" si="152"/>
        <v>0.30125819599503811</v>
      </c>
      <c r="Z125" t="str">
        <f t="shared" si="153"/>
        <v>NG_SR_LRG_C   →   C_UNDRGRND_STRG   →   H2_BLND_NG_P   →   H2_FC_DCHP_PWR</v>
      </c>
      <c r="AA125" t="str">
        <f t="shared" si="154"/>
        <v>Grid electricity</v>
      </c>
      <c r="AB125" t="str">
        <f t="shared" si="155"/>
        <v>CO2 emissions</v>
      </c>
      <c r="AC125">
        <f t="shared" ca="1" si="156"/>
        <v>0.30125819599503811</v>
      </c>
      <c r="AD125">
        <v>66</v>
      </c>
      <c r="AE125" t="str">
        <f>IF(AND(ISNUMBER(SEARCH(O125,4)),ISNUMBER(SEARCH('(4) FCH pathway assessment'!$B$16,AB125)),ISNUMBER(SEARCH('(4) FCH pathway assessment'!$B$10,AA125))),AD125,"")</f>
        <v/>
      </c>
      <c r="AF125" t="str">
        <f t="shared" si="157"/>
        <v/>
      </c>
      <c r="AG125" t="str">
        <f>VLOOKUP(C125,Assumptions!$B$116:$C$162,2,FALSE)</f>
        <v>NG_SR_LRG_C</v>
      </c>
      <c r="AH125" t="str">
        <f>VLOOKUP(D125,Assumptions!$B$116:$C$162,2,FALSE)</f>
        <v>C_UNDRGRND_STRG</v>
      </c>
      <c r="AI125" t="str">
        <f>VLOOKUP(E125,Assumptions!$B$116:$C$162,2,FALSE)</f>
        <v>H2_BLND_NG_P</v>
      </c>
      <c r="AJ125" t="str">
        <f>VLOOKUP(F125,Assumptions!$B$116:$C$162,2,FALSE)</f>
        <v>H2_FC_DCHP_PWR</v>
      </c>
    </row>
    <row r="126" spans="2:36" x14ac:dyDescent="0.25">
      <c r="B126" t="s">
        <v>127</v>
      </c>
      <c r="C126" t="s">
        <v>57</v>
      </c>
      <c r="D126" t="s">
        <v>62</v>
      </c>
      <c r="E126" t="s">
        <v>122</v>
      </c>
      <c r="F126" t="s">
        <v>549</v>
      </c>
      <c r="G126" t="s">
        <v>114</v>
      </c>
      <c r="H126" t="s">
        <v>433</v>
      </c>
      <c r="I126" t="s">
        <v>32</v>
      </c>
      <c r="J126" t="s">
        <v>329</v>
      </c>
      <c r="K126">
        <f t="shared" si="143"/>
        <v>1</v>
      </c>
      <c r="L126">
        <f t="shared" si="144"/>
        <v>0</v>
      </c>
      <c r="M126">
        <f t="shared" si="145"/>
        <v>1</v>
      </c>
      <c r="N126">
        <f t="shared" si="146"/>
        <v>0</v>
      </c>
      <c r="O126">
        <f t="shared" si="147"/>
        <v>2</v>
      </c>
      <c r="P126" t="str">
        <f t="shared" si="148"/>
        <v>Large centralized natural gas steam reforming-CO2 emissions</v>
      </c>
      <c r="Q126" t="str">
        <f t="shared" si="149"/>
        <v>Underground storage-CO2 emissions</v>
      </c>
      <c r="R126" t="str">
        <f t="shared" si="150"/>
        <v>Hydrogen transmission &amp; distribution pipeline-CO2 emissions</v>
      </c>
      <c r="S126" t="str">
        <f t="shared" si="151"/>
        <v>District-CHP with H2 fuel cell (power)-CO2 emissions</v>
      </c>
      <c r="T126">
        <f ca="1">IF(timePeriod="2020-30",(VLOOKUP($P126,'TA database'!$I$8:$J$79,2,FALSE)/VLOOKUP($D126,'Merit calculation'!$B$48:$I$52,5,FALSE)/VLOOKUP($E126,'Merit calculation'!$B$67:$I$73,5,FALSE)/VLOOKUP($F126,'Merit calculation'!$B$90:$I$103,5,FALSE)/energyContentH2),(VLOOKUP($P126,'TA database'!$I$8:$J$79,2,FALSE)/VLOOKUP($D126,'Merit calculation'!$B$48:$I$52,7,FALSE)/VLOOKUP($E126,'Merit calculation'!$B$67:$I$73,7,FALSE)/VLOOKUP($F126,'Merit calculation'!$B$90:$I$103,7,FALSE)/energyContentH2))</f>
        <v>8.3682832220843911E-2</v>
      </c>
      <c r="U126">
        <v>0</v>
      </c>
      <c r="V126">
        <v>0</v>
      </c>
      <c r="W126">
        <f>IFERROR(VLOOKUP($S126,'TA database'!$I$146:$J$193,2,FALSE),0)</f>
        <v>0</v>
      </c>
      <c r="X126">
        <f ca="1">IFERROR(VLOOKUP($S126,'TA database'!$I$200:$J$271,2,FALSE),0)</f>
        <v>0</v>
      </c>
      <c r="Y126">
        <f t="shared" ca="1" si="152"/>
        <v>0.30125819599503811</v>
      </c>
      <c r="Z126" t="str">
        <f t="shared" si="153"/>
        <v>NG_SR_LRG_C   →   C_UNDRGRND_STRG   →   H2_T&amp;D_P   →   H2_FC_DCHP_PWR</v>
      </c>
      <c r="AA126" t="str">
        <f t="shared" si="154"/>
        <v>Grid electricity</v>
      </c>
      <c r="AB126" t="str">
        <f t="shared" si="155"/>
        <v>CO2 emissions</v>
      </c>
      <c r="AC126">
        <f t="shared" ca="1" si="156"/>
        <v>0.30125819599503811</v>
      </c>
      <c r="AD126">
        <v>67</v>
      </c>
      <c r="AE126" t="str">
        <f>IF(AND(ISNUMBER(SEARCH(O126,4)),ISNUMBER(SEARCH('(4) FCH pathway assessment'!$B$16,AB126)),ISNUMBER(SEARCH('(4) FCH pathway assessment'!$B$10,AA126))),AD126,"")</f>
        <v/>
      </c>
      <c r="AF126" t="str">
        <f t="shared" si="157"/>
        <v/>
      </c>
      <c r="AG126" t="str">
        <f>VLOOKUP(C126,Assumptions!$B$116:$C$162,2,FALSE)</f>
        <v>NG_SR_LRG_C</v>
      </c>
      <c r="AH126" t="str">
        <f>VLOOKUP(D126,Assumptions!$B$116:$C$162,2,FALSE)</f>
        <v>C_UNDRGRND_STRG</v>
      </c>
      <c r="AI126" t="str">
        <f>VLOOKUP(E126,Assumptions!$B$116:$C$162,2,FALSE)</f>
        <v>H2_T&amp;D_P</v>
      </c>
      <c r="AJ126" t="str">
        <f>VLOOKUP(F126,Assumptions!$B$116:$C$162,2,FALSE)</f>
        <v>H2_FC_DCHP_PWR</v>
      </c>
    </row>
    <row r="127" spans="2:36" x14ac:dyDescent="0.25">
      <c r="B127" t="s">
        <v>127</v>
      </c>
      <c r="C127" t="s">
        <v>57</v>
      </c>
      <c r="D127" t="s">
        <v>62</v>
      </c>
      <c r="E127" t="s">
        <v>116</v>
      </c>
      <c r="F127" t="s">
        <v>549</v>
      </c>
      <c r="G127" t="s">
        <v>114</v>
      </c>
      <c r="H127" t="s">
        <v>433</v>
      </c>
      <c r="I127" t="s">
        <v>32</v>
      </c>
      <c r="J127" t="s">
        <v>329</v>
      </c>
      <c r="K127">
        <f t="shared" si="143"/>
        <v>1</v>
      </c>
      <c r="L127">
        <f t="shared" si="144"/>
        <v>0</v>
      </c>
      <c r="M127">
        <f t="shared" si="145"/>
        <v>1</v>
      </c>
      <c r="N127">
        <f t="shared" si="146"/>
        <v>0</v>
      </c>
      <c r="O127">
        <f t="shared" si="147"/>
        <v>2</v>
      </c>
      <c r="P127" t="str">
        <f t="shared" si="148"/>
        <v>Large centralized natural gas steam reforming-CO2 emissions</v>
      </c>
      <c r="Q127" t="str">
        <f t="shared" si="149"/>
        <v>Underground storage-CO2 emissions</v>
      </c>
      <c r="R127" t="str">
        <f t="shared" si="150"/>
        <v>Liquid hydrogen truck-CO2 emissions</v>
      </c>
      <c r="S127" t="str">
        <f t="shared" si="151"/>
        <v>District-CHP with H2 fuel cell (power)-CO2 emissions</v>
      </c>
      <c r="T127">
        <f ca="1">IF(timePeriod="2020-30",(VLOOKUP($P127,'TA database'!$I$8:$J$79,2,FALSE)/VLOOKUP($D127,'Merit calculation'!$B$48:$I$52,5,FALSE)/VLOOKUP($E127,'Merit calculation'!$B$67:$I$73,5,FALSE)/VLOOKUP($F127,'Merit calculation'!$B$90:$I$103,5,FALSE)/energyContentH2),(VLOOKUP($P127,'TA database'!$I$8:$J$79,2,FALSE)/VLOOKUP($D127,'Merit calculation'!$B$48:$I$52,7,FALSE)/VLOOKUP($E127,'Merit calculation'!$B$67:$I$73,7,FALSE)/VLOOKUP($F127,'Merit calculation'!$B$90:$I$103,7,FALSE)/energyContentH2))</f>
        <v>9.6669782845548974E-2</v>
      </c>
      <c r="U127">
        <v>0</v>
      </c>
      <c r="V127">
        <v>0</v>
      </c>
      <c r="W127">
        <f>IFERROR(VLOOKUP($S127,'TA database'!$I$146:$J$193,2,FALSE),0)</f>
        <v>0</v>
      </c>
      <c r="X127">
        <f ca="1">IFERROR(VLOOKUP($S127,'TA database'!$I$200:$J$271,2,FALSE),0)</f>
        <v>0</v>
      </c>
      <c r="Y127">
        <f t="shared" ca="1" si="152"/>
        <v>0.34801121824397629</v>
      </c>
      <c r="Z127" t="str">
        <f t="shared" si="153"/>
        <v>NG_SR_LRG_C   →   C_UNDRGRND_STRG   →   LQ_TRUCK   →   H2_FC_DCHP_PWR</v>
      </c>
      <c r="AA127" t="str">
        <f t="shared" si="154"/>
        <v>Grid electricity</v>
      </c>
      <c r="AB127" t="str">
        <f t="shared" si="155"/>
        <v>CO2 emissions</v>
      </c>
      <c r="AC127">
        <f t="shared" ca="1" si="156"/>
        <v>0.34801121824397629</v>
      </c>
      <c r="AD127">
        <v>68</v>
      </c>
      <c r="AE127" t="str">
        <f>IF(AND(ISNUMBER(SEARCH(O127,4)),ISNUMBER(SEARCH('(4) FCH pathway assessment'!$B$16,AB127)),ISNUMBER(SEARCH('(4) FCH pathway assessment'!$B$10,AA127))),AD127,"")</f>
        <v/>
      </c>
      <c r="AF127" t="str">
        <f t="shared" si="157"/>
        <v/>
      </c>
      <c r="AG127" t="str">
        <f>VLOOKUP(C127,Assumptions!$B$116:$C$162,2,FALSE)</f>
        <v>NG_SR_LRG_C</v>
      </c>
      <c r="AH127" t="str">
        <f>VLOOKUP(D127,Assumptions!$B$116:$C$162,2,FALSE)</f>
        <v>C_UNDRGRND_STRG</v>
      </c>
      <c r="AI127" t="str">
        <f>VLOOKUP(E127,Assumptions!$B$116:$C$162,2,FALSE)</f>
        <v>LQ_TRUCK</v>
      </c>
      <c r="AJ127" t="str">
        <f>VLOOKUP(F127,Assumptions!$B$116:$C$162,2,FALSE)</f>
        <v>H2_FC_DCHP_PWR</v>
      </c>
    </row>
    <row r="128" spans="2:36" x14ac:dyDescent="0.25">
      <c r="B128" t="s">
        <v>127</v>
      </c>
      <c r="C128" t="s">
        <v>57</v>
      </c>
      <c r="D128" t="s">
        <v>62</v>
      </c>
      <c r="E128" t="s">
        <v>66</v>
      </c>
      <c r="F128" t="s">
        <v>549</v>
      </c>
      <c r="G128" t="s">
        <v>114</v>
      </c>
      <c r="H128" t="s">
        <v>433</v>
      </c>
      <c r="I128" t="s">
        <v>32</v>
      </c>
      <c r="J128" t="s">
        <v>329</v>
      </c>
      <c r="K128">
        <f t="shared" si="143"/>
        <v>1</v>
      </c>
      <c r="L128">
        <f t="shared" si="144"/>
        <v>0</v>
      </c>
      <c r="M128">
        <f t="shared" si="145"/>
        <v>1</v>
      </c>
      <c r="N128">
        <f t="shared" si="146"/>
        <v>0</v>
      </c>
      <c r="O128">
        <f t="shared" si="147"/>
        <v>2</v>
      </c>
      <c r="P128" t="str">
        <f t="shared" si="148"/>
        <v>Large centralized natural gas steam reforming-CO2 emissions</v>
      </c>
      <c r="Q128" t="str">
        <f t="shared" si="149"/>
        <v>Underground storage-CO2 emissions</v>
      </c>
      <c r="R128" t="str">
        <f t="shared" si="150"/>
        <v>Onsite-CO2 emissions</v>
      </c>
      <c r="S128" t="str">
        <f t="shared" si="151"/>
        <v>District-CHP with H2 fuel cell (power)-CO2 emissions</v>
      </c>
      <c r="T128">
        <f ca="1">IF(timePeriod="2020-30",(VLOOKUP($P128,'TA database'!$I$8:$J$79,2,FALSE)/VLOOKUP($D128,'Merit calculation'!$B$48:$I$52,5,FALSE)/VLOOKUP($E128,'Merit calculation'!$B$67:$I$73,5,FALSE)/VLOOKUP($F128,'Merit calculation'!$B$90:$I$103,5,FALSE)/energyContentH2),(VLOOKUP($P128,'TA database'!$I$8:$J$79,2,FALSE)/VLOOKUP($D128,'Merit calculation'!$B$48:$I$52,7,FALSE)/VLOOKUP($E128,'Merit calculation'!$B$67:$I$73,7,FALSE)/VLOOKUP($F128,'Merit calculation'!$B$90:$I$103,7,FALSE)/energyContentH2))</f>
        <v>8.2846003898635473E-2</v>
      </c>
      <c r="U128">
        <v>0</v>
      </c>
      <c r="V128">
        <v>0</v>
      </c>
      <c r="W128">
        <f>IFERROR(VLOOKUP($S128,'TA database'!$I$146:$J$193,2,FALSE),0)</f>
        <v>0</v>
      </c>
      <c r="X128">
        <f ca="1">IFERROR(VLOOKUP($S128,'TA database'!$I$200:$J$271,2,FALSE),0)</f>
        <v>0</v>
      </c>
      <c r="Y128">
        <f t="shared" ca="1" si="152"/>
        <v>0.2982456140350877</v>
      </c>
      <c r="Z128" t="str">
        <f t="shared" si="153"/>
        <v>NG_SR_LRG_C   →   C_UNDRGRND_STRG   →   ONSITE_USE   →   H2_FC_DCHP_PWR</v>
      </c>
      <c r="AA128" t="str">
        <f t="shared" si="154"/>
        <v>Grid electricity</v>
      </c>
      <c r="AB128" t="str">
        <f t="shared" si="155"/>
        <v>CO2 emissions</v>
      </c>
      <c r="AC128">
        <f t="shared" ca="1" si="156"/>
        <v>0.2982456140350877</v>
      </c>
      <c r="AD128">
        <v>69</v>
      </c>
      <c r="AE128" t="str">
        <f>IF(AND(ISNUMBER(SEARCH(O128,4)),ISNUMBER(SEARCH('(4) FCH pathway assessment'!$B$16,AB128)),ISNUMBER(SEARCH('(4) FCH pathway assessment'!$B$10,AA128))),AD128,"")</f>
        <v/>
      </c>
      <c r="AF128" t="str">
        <f t="shared" si="157"/>
        <v/>
      </c>
      <c r="AG128" t="str">
        <f>VLOOKUP(C128,Assumptions!$B$116:$C$162,2,FALSE)</f>
        <v>NG_SR_LRG_C</v>
      </c>
      <c r="AH128" t="str">
        <f>VLOOKUP(D128,Assumptions!$B$116:$C$162,2,FALSE)</f>
        <v>C_UNDRGRND_STRG</v>
      </c>
      <c r="AI128" t="str">
        <f>VLOOKUP(E128,Assumptions!$B$116:$C$162,2,FALSE)</f>
        <v>ONSITE_USE</v>
      </c>
      <c r="AJ128" t="str">
        <f>VLOOKUP(F128,Assumptions!$B$116:$C$162,2,FALSE)</f>
        <v>H2_FC_DCHP_PWR</v>
      </c>
    </row>
    <row r="129" spans="2:36" x14ac:dyDescent="0.25">
      <c r="B129" t="s">
        <v>127</v>
      </c>
      <c r="C129" t="s">
        <v>57</v>
      </c>
      <c r="D129" s="61" t="s">
        <v>63</v>
      </c>
      <c r="E129" t="s">
        <v>122</v>
      </c>
      <c r="F129" t="s">
        <v>549</v>
      </c>
      <c r="G129" t="s">
        <v>114</v>
      </c>
      <c r="H129" t="s">
        <v>433</v>
      </c>
      <c r="I129" t="s">
        <v>32</v>
      </c>
      <c r="J129" t="s">
        <v>329</v>
      </c>
      <c r="K129">
        <f t="shared" si="143"/>
        <v>1</v>
      </c>
      <c r="L129">
        <f t="shared" si="144"/>
        <v>1</v>
      </c>
      <c r="M129">
        <f t="shared" si="145"/>
        <v>1</v>
      </c>
      <c r="N129">
        <f t="shared" si="146"/>
        <v>0</v>
      </c>
      <c r="O129">
        <f t="shared" si="147"/>
        <v>3</v>
      </c>
      <c r="P129" t="str">
        <f t="shared" si="148"/>
        <v>Large centralized natural gas steam reforming-CO2 emissions</v>
      </c>
      <c r="Q129" t="str">
        <f t="shared" si="149"/>
        <v>No storage-CO2 emissions</v>
      </c>
      <c r="R129" t="str">
        <f t="shared" si="150"/>
        <v>Hydrogen transmission &amp; distribution pipeline-CO2 emissions</v>
      </c>
      <c r="S129" t="str">
        <f t="shared" si="151"/>
        <v>District-CHP with H2 fuel cell (power)-CO2 emissions</v>
      </c>
      <c r="T129">
        <f ca="1">IF(timePeriod="2020-30",(VLOOKUP($P129,'TA database'!$I$8:$J$79,2,FALSE)/VLOOKUP($D129,'Merit calculation'!$B$48:$I$52,5,FALSE)/VLOOKUP($E129,'Merit calculation'!$B$67:$I$73,5,FALSE)/VLOOKUP($F129,'Merit calculation'!$B$90:$I$103,5,FALSE)/energyContentH2),(VLOOKUP($P129,'TA database'!$I$8:$J$79,2,FALSE)/VLOOKUP($D129,'Merit calculation'!$B$48:$I$52,7,FALSE)/VLOOKUP($E129,'Merit calculation'!$B$67:$I$73,7,FALSE)/VLOOKUP($F129,'Merit calculation'!$B$90:$I$103,7,FALSE)/energyContentH2))</f>
        <v>8.2846003898635473E-2</v>
      </c>
      <c r="U129">
        <v>0</v>
      </c>
      <c r="V129">
        <v>0</v>
      </c>
      <c r="W129">
        <f>IFERROR(VLOOKUP($S129,'TA database'!$I$146:$J$193,2,FALSE),0)</f>
        <v>0</v>
      </c>
      <c r="X129">
        <f ca="1">IFERROR(VLOOKUP($S129,'TA database'!$I$200:$J$271,2,FALSE),0)</f>
        <v>0</v>
      </c>
      <c r="Y129">
        <f t="shared" ca="1" si="152"/>
        <v>0.2982456140350877</v>
      </c>
      <c r="Z129" t="str">
        <f t="shared" si="153"/>
        <v>NG_SR_LRG_C   →   NO_STRG   →   H2_T&amp;D_P   →   H2_FC_DCHP_PWR</v>
      </c>
      <c r="AA129" t="str">
        <f t="shared" si="154"/>
        <v>Grid electricity</v>
      </c>
      <c r="AB129" t="str">
        <f t="shared" si="155"/>
        <v>CO2 emissions</v>
      </c>
      <c r="AC129">
        <f t="shared" ca="1" si="156"/>
        <v>0.2982456140350877</v>
      </c>
      <c r="AD129">
        <v>70</v>
      </c>
      <c r="AE129" t="str">
        <f>IF(AND(ISNUMBER(SEARCH(O129,4)),ISNUMBER(SEARCH('(4) FCH pathway assessment'!$B$16,AB129)),ISNUMBER(SEARCH('(4) FCH pathway assessment'!$B$10,AA129))),AD129,"")</f>
        <v/>
      </c>
      <c r="AF129" t="str">
        <f t="shared" si="157"/>
        <v/>
      </c>
      <c r="AG129" t="str">
        <f>VLOOKUP(C129,Assumptions!$B$116:$C$162,2,FALSE)</f>
        <v>NG_SR_LRG_C</v>
      </c>
      <c r="AH129" t="str">
        <f>VLOOKUP(D129,Assumptions!$B$116:$C$162,2,FALSE)</f>
        <v>NO_STRG</v>
      </c>
      <c r="AI129" t="str">
        <f>VLOOKUP(E129,Assumptions!$B$116:$C$162,2,FALSE)</f>
        <v>H2_T&amp;D_P</v>
      </c>
      <c r="AJ129" t="str">
        <f>VLOOKUP(F129,Assumptions!$B$116:$C$162,2,FALSE)</f>
        <v>H2_FC_DCHP_PWR</v>
      </c>
    </row>
    <row r="130" spans="2:36" x14ac:dyDescent="0.25">
      <c r="B130" t="s">
        <v>127</v>
      </c>
      <c r="C130" t="s">
        <v>58</v>
      </c>
      <c r="D130" t="s">
        <v>155</v>
      </c>
      <c r="E130" t="s">
        <v>157</v>
      </c>
      <c r="F130" t="s">
        <v>549</v>
      </c>
      <c r="G130" t="s">
        <v>114</v>
      </c>
      <c r="H130" t="s">
        <v>433</v>
      </c>
      <c r="I130" t="s">
        <v>32</v>
      </c>
      <c r="J130" t="s">
        <v>329</v>
      </c>
      <c r="K130">
        <f t="shared" ref="K130:K134" si="158">SUMPRODUCT(($C$7:$C$18=$C130)*($D$6:$H$6=$D130)*($D$7:$H$18))</f>
        <v>1</v>
      </c>
      <c r="L130">
        <f t="shared" ref="L130:L134" si="159">SUMPRODUCT(($C$19:$C$23=$D130)*($I$6:$O$6=$E130)*($I$19:$O$23))</f>
        <v>1</v>
      </c>
      <c r="M130">
        <f t="shared" ref="M130:M134" si="160">SUMPRODUCT(($C$24:$C$30=$E130)*($P$6:$AI$6=$F130)*($P$24:$AI$30))</f>
        <v>0</v>
      </c>
      <c r="N130">
        <f t="shared" ref="N130:N134" si="161">SUMPRODUCT(($C$31:$C$50=$F130)*($AJ$6:$AM$6=$G130)*($AJ$31:$AM$50))</f>
        <v>0</v>
      </c>
      <c r="O130">
        <f t="shared" ref="O130:O134" si="162">K130+L130+M130+N130</f>
        <v>2</v>
      </c>
      <c r="P130" t="str">
        <f t="shared" ref="P130:P134" si="163">CONCATENATE(C130,"-",J130)</f>
        <v>Small centralized natural gas steam reforming-CO2 emissions</v>
      </c>
      <c r="Q130" t="str">
        <f t="shared" ref="Q130:Q134" si="164">CONCATENATE(D130,"-",J130)</f>
        <v>Central gas storage-CO2 emissions</v>
      </c>
      <c r="R130" t="str">
        <f t="shared" ref="R130:R134" si="165">CONCATENATE(E130,"-",J130)</f>
        <v>Blending in natural gas pipeline-CO2 emissions</v>
      </c>
      <c r="S130" t="str">
        <f t="shared" ref="S130:S134" si="166">CONCATENATE(F130,"-",J130)</f>
        <v>District-CHP with H2 fuel cell (power)-CO2 emissions</v>
      </c>
      <c r="T130">
        <f ca="1">IF(timePeriod="2020-30",(VLOOKUP($P130,'TA database'!$I$8:$J$79,2,FALSE)/VLOOKUP($D130,'Merit calculation'!$B$48:$I$52,5,FALSE)/VLOOKUP($E130,'Merit calculation'!$B$67:$I$73,5,FALSE)/VLOOKUP($F130,'Merit calculation'!$B$90:$I$103,5,FALSE)/energyContentH2),(VLOOKUP($P130,'TA database'!$I$8:$J$79,2,FALSE)/VLOOKUP($D130,'Merit calculation'!$B$48:$I$52,7,FALSE)/VLOOKUP($E130,'Merit calculation'!$B$67:$I$73,7,FALSE)/VLOOKUP($F130,'Merit calculation'!$B$90:$I$103,7,FALSE)/energyContentH2))</f>
        <v>8.4536738672077019E-2</v>
      </c>
      <c r="U130">
        <v>0</v>
      </c>
      <c r="V130">
        <v>0</v>
      </c>
      <c r="W130">
        <f>IFERROR(VLOOKUP($S130,'TA database'!$I$146:$J$193,2,FALSE),0)</f>
        <v>0</v>
      </c>
      <c r="X130">
        <f ca="1">IFERROR(VLOOKUP($S130,'TA database'!$I$200:$J$271,2,FALSE),0)</f>
        <v>0</v>
      </c>
      <c r="Y130">
        <f t="shared" ref="Y130:Y134" ca="1" si="167">IF($W130=0,T130*3.6+X130,T130+W130)</f>
        <v>0.30433225921947726</v>
      </c>
      <c r="Z130" t="str">
        <f t="shared" ref="Z130:Z134" si="168">CONCATENATE(AG130,"   →   ",AH130,"   →   ",AI130,"   →   ",AJ130)</f>
        <v>NG_SR_SML_C   →   C_GAS_STRG   →   H2_BLND_NG_P   →   H2_FC_DCHP_PWR</v>
      </c>
      <c r="AA130" t="str">
        <f t="shared" ref="AA130:AA134" si="169">G130</f>
        <v>Grid electricity</v>
      </c>
      <c r="AB130" t="str">
        <f t="shared" ref="AB130:AB134" si="170">J130</f>
        <v>CO2 emissions</v>
      </c>
      <c r="AC130">
        <f t="shared" ref="AC130:AC134" ca="1" si="171">Y130</f>
        <v>0.30433225921947726</v>
      </c>
      <c r="AD130">
        <v>71</v>
      </c>
      <c r="AE130" t="str">
        <f>IF(AND(ISNUMBER(SEARCH(O130,4)),ISNUMBER(SEARCH('(4) FCH pathway assessment'!$B$16,AB130)),ISNUMBER(SEARCH('(4) FCH pathway assessment'!$B$10,AA130))),AD130,"")</f>
        <v/>
      </c>
      <c r="AF130" t="str">
        <f t="shared" si="157"/>
        <v/>
      </c>
      <c r="AG130" t="str">
        <f>VLOOKUP(C130,Assumptions!$B$116:$C$162,2,FALSE)</f>
        <v>NG_SR_SML_C</v>
      </c>
      <c r="AH130" t="str">
        <f>VLOOKUP(D130,Assumptions!$B$116:$C$162,2,FALSE)</f>
        <v>C_GAS_STRG</v>
      </c>
      <c r="AI130" t="str">
        <f>VLOOKUP(E130,Assumptions!$B$116:$C$162,2,FALSE)</f>
        <v>H2_BLND_NG_P</v>
      </c>
      <c r="AJ130" t="str">
        <f>VLOOKUP(F130,Assumptions!$B$116:$C$162,2,FALSE)</f>
        <v>H2_FC_DCHP_PWR</v>
      </c>
    </row>
    <row r="131" spans="2:36" x14ac:dyDescent="0.25">
      <c r="B131" t="s">
        <v>127</v>
      </c>
      <c r="C131" t="s">
        <v>58</v>
      </c>
      <c r="D131" t="s">
        <v>155</v>
      </c>
      <c r="E131" t="s">
        <v>122</v>
      </c>
      <c r="F131" t="s">
        <v>549</v>
      </c>
      <c r="G131" t="s">
        <v>114</v>
      </c>
      <c r="H131" t="s">
        <v>433</v>
      </c>
      <c r="I131" t="s">
        <v>32</v>
      </c>
      <c r="J131" t="s">
        <v>329</v>
      </c>
      <c r="K131">
        <f t="shared" si="158"/>
        <v>1</v>
      </c>
      <c r="L131">
        <f t="shared" si="159"/>
        <v>1</v>
      </c>
      <c r="M131">
        <f t="shared" si="160"/>
        <v>1</v>
      </c>
      <c r="N131">
        <f t="shared" si="161"/>
        <v>0</v>
      </c>
      <c r="O131">
        <f t="shared" si="162"/>
        <v>3</v>
      </c>
      <c r="P131" t="str">
        <f t="shared" si="163"/>
        <v>Small centralized natural gas steam reforming-CO2 emissions</v>
      </c>
      <c r="Q131" t="str">
        <f t="shared" si="164"/>
        <v>Central gas storage-CO2 emissions</v>
      </c>
      <c r="R131" t="str">
        <f t="shared" si="165"/>
        <v>Hydrogen transmission &amp; distribution pipeline-CO2 emissions</v>
      </c>
      <c r="S131" t="str">
        <f t="shared" si="166"/>
        <v>District-CHP with H2 fuel cell (power)-CO2 emissions</v>
      </c>
      <c r="T131">
        <f ca="1">IF(timePeriod="2020-30",(VLOOKUP($P131,'TA database'!$I$8:$J$79,2,FALSE)/VLOOKUP($D131,'Merit calculation'!$B$48:$I$52,5,FALSE)/VLOOKUP($E131,'Merit calculation'!$B$67:$I$73,5,FALSE)/VLOOKUP($F131,'Merit calculation'!$B$90:$I$103,5,FALSE)/energyContentH2),(VLOOKUP($P131,'TA database'!$I$8:$J$79,2,FALSE)/VLOOKUP($D131,'Merit calculation'!$B$48:$I$52,7,FALSE)/VLOOKUP($E131,'Merit calculation'!$B$67:$I$73,7,FALSE)/VLOOKUP($F131,'Merit calculation'!$B$90:$I$103,7,FALSE)/energyContentH2))</f>
        <v>8.4536738672077019E-2</v>
      </c>
      <c r="U131">
        <v>0</v>
      </c>
      <c r="V131">
        <v>0</v>
      </c>
      <c r="W131">
        <f>IFERROR(VLOOKUP($S131,'TA database'!$I$146:$J$193,2,FALSE),0)</f>
        <v>0</v>
      </c>
      <c r="X131">
        <f ca="1">IFERROR(VLOOKUP($S131,'TA database'!$I$200:$J$271,2,FALSE),0)</f>
        <v>0</v>
      </c>
      <c r="Y131">
        <f t="shared" ca="1" si="167"/>
        <v>0.30433225921947726</v>
      </c>
      <c r="Z131" t="str">
        <f t="shared" si="168"/>
        <v>NG_SR_SML_C   →   C_GAS_STRG   →   H2_T&amp;D_P   →   H2_FC_DCHP_PWR</v>
      </c>
      <c r="AA131" t="str">
        <f t="shared" si="169"/>
        <v>Grid electricity</v>
      </c>
      <c r="AB131" t="str">
        <f t="shared" si="170"/>
        <v>CO2 emissions</v>
      </c>
      <c r="AC131">
        <f t="shared" ca="1" si="171"/>
        <v>0.30433225921947726</v>
      </c>
      <c r="AD131">
        <v>72</v>
      </c>
      <c r="AE131" t="str">
        <f>IF(AND(ISNUMBER(SEARCH(O131,4)),ISNUMBER(SEARCH('(4) FCH pathway assessment'!$B$16,AB131)),ISNUMBER(SEARCH('(4) FCH pathway assessment'!$B$10,AA131))),AD131,"")</f>
        <v/>
      </c>
      <c r="AF131" t="str">
        <f t="shared" si="157"/>
        <v/>
      </c>
      <c r="AG131" t="str">
        <f>VLOOKUP(C131,Assumptions!$B$116:$C$162,2,FALSE)</f>
        <v>NG_SR_SML_C</v>
      </c>
      <c r="AH131" t="str">
        <f>VLOOKUP(D131,Assumptions!$B$116:$C$162,2,FALSE)</f>
        <v>C_GAS_STRG</v>
      </c>
      <c r="AI131" t="str">
        <f>VLOOKUP(E131,Assumptions!$B$116:$C$162,2,FALSE)</f>
        <v>H2_T&amp;D_P</v>
      </c>
      <c r="AJ131" t="str">
        <f>VLOOKUP(F131,Assumptions!$B$116:$C$162,2,FALSE)</f>
        <v>H2_FC_DCHP_PWR</v>
      </c>
    </row>
    <row r="132" spans="2:36" x14ac:dyDescent="0.25">
      <c r="B132" t="s">
        <v>127</v>
      </c>
      <c r="C132" t="s">
        <v>58</v>
      </c>
      <c r="D132" t="s">
        <v>155</v>
      </c>
      <c r="E132" t="s">
        <v>116</v>
      </c>
      <c r="F132" t="s">
        <v>549</v>
      </c>
      <c r="G132" t="s">
        <v>114</v>
      </c>
      <c r="H132" t="s">
        <v>433</v>
      </c>
      <c r="I132" t="s">
        <v>32</v>
      </c>
      <c r="J132" t="s">
        <v>329</v>
      </c>
      <c r="K132">
        <f t="shared" si="158"/>
        <v>1</v>
      </c>
      <c r="L132">
        <f t="shared" si="159"/>
        <v>1</v>
      </c>
      <c r="M132">
        <f t="shared" si="160"/>
        <v>1</v>
      </c>
      <c r="N132">
        <f t="shared" si="161"/>
        <v>0</v>
      </c>
      <c r="O132">
        <f t="shared" si="162"/>
        <v>3</v>
      </c>
      <c r="P132" t="str">
        <f t="shared" si="163"/>
        <v>Small centralized natural gas steam reforming-CO2 emissions</v>
      </c>
      <c r="Q132" t="str">
        <f t="shared" si="164"/>
        <v>Central gas storage-CO2 emissions</v>
      </c>
      <c r="R132" t="str">
        <f t="shared" si="165"/>
        <v>Liquid hydrogen truck-CO2 emissions</v>
      </c>
      <c r="S132" t="str">
        <f t="shared" si="166"/>
        <v>District-CHP with H2 fuel cell (power)-CO2 emissions</v>
      </c>
      <c r="T132">
        <f ca="1">IF(timePeriod="2020-30",(VLOOKUP($P132,'TA database'!$I$8:$J$79,2,FALSE)/VLOOKUP($D132,'Merit calculation'!$B$48:$I$52,5,FALSE)/VLOOKUP($E132,'Merit calculation'!$B$67:$I$73,5,FALSE)/VLOOKUP($F132,'Merit calculation'!$B$90:$I$103,5,FALSE)/energyContentH2),(VLOOKUP($P132,'TA database'!$I$8:$J$79,2,FALSE)/VLOOKUP($D132,'Merit calculation'!$B$48:$I$52,7,FALSE)/VLOOKUP($E132,'Merit calculation'!$B$67:$I$73,7,FALSE)/VLOOKUP($F132,'Merit calculation'!$B$90:$I$103,7,FALSE)/energyContentH2))</f>
        <v>9.7656209201115798E-2</v>
      </c>
      <c r="U132">
        <v>0</v>
      </c>
      <c r="V132">
        <v>0</v>
      </c>
      <c r="W132">
        <f>IFERROR(VLOOKUP($S132,'TA database'!$I$146:$J$193,2,FALSE),0)</f>
        <v>0</v>
      </c>
      <c r="X132">
        <f ca="1">IFERROR(VLOOKUP($S132,'TA database'!$I$200:$J$271,2,FALSE),0)</f>
        <v>0</v>
      </c>
      <c r="Y132">
        <f t="shared" ca="1" si="167"/>
        <v>0.3515623531240169</v>
      </c>
      <c r="Z132" t="str">
        <f t="shared" si="168"/>
        <v>NG_SR_SML_C   →   C_GAS_STRG   →   LQ_TRUCK   →   H2_FC_DCHP_PWR</v>
      </c>
      <c r="AA132" t="str">
        <f t="shared" si="169"/>
        <v>Grid electricity</v>
      </c>
      <c r="AB132" t="str">
        <f t="shared" si="170"/>
        <v>CO2 emissions</v>
      </c>
      <c r="AC132">
        <f t="shared" ca="1" si="171"/>
        <v>0.3515623531240169</v>
      </c>
      <c r="AD132">
        <v>73</v>
      </c>
      <c r="AE132" t="str">
        <f>IF(AND(ISNUMBER(SEARCH(O132,4)),ISNUMBER(SEARCH('(4) FCH pathway assessment'!$B$16,AB132)),ISNUMBER(SEARCH('(4) FCH pathway assessment'!$B$10,AA132))),AD132,"")</f>
        <v/>
      </c>
      <c r="AF132" t="str">
        <f t="shared" si="157"/>
        <v/>
      </c>
      <c r="AG132" t="str">
        <f>VLOOKUP(C132,Assumptions!$B$116:$C$162,2,FALSE)</f>
        <v>NG_SR_SML_C</v>
      </c>
      <c r="AH132" t="str">
        <f>VLOOKUP(D132,Assumptions!$B$116:$C$162,2,FALSE)</f>
        <v>C_GAS_STRG</v>
      </c>
      <c r="AI132" t="str">
        <f>VLOOKUP(E132,Assumptions!$B$116:$C$162,2,FALSE)</f>
        <v>LQ_TRUCK</v>
      </c>
      <c r="AJ132" t="str">
        <f>VLOOKUP(F132,Assumptions!$B$116:$C$162,2,FALSE)</f>
        <v>H2_FC_DCHP_PWR</v>
      </c>
    </row>
    <row r="133" spans="2:36" x14ac:dyDescent="0.25">
      <c r="B133" t="s">
        <v>127</v>
      </c>
      <c r="C133" t="s">
        <v>58</v>
      </c>
      <c r="D133" t="s">
        <v>155</v>
      </c>
      <c r="E133" t="s">
        <v>66</v>
      </c>
      <c r="F133" t="s">
        <v>549</v>
      </c>
      <c r="G133" t="s">
        <v>114</v>
      </c>
      <c r="H133" t="s">
        <v>433</v>
      </c>
      <c r="I133" t="s">
        <v>32</v>
      </c>
      <c r="J133" t="s">
        <v>329</v>
      </c>
      <c r="K133">
        <f t="shared" si="158"/>
        <v>1</v>
      </c>
      <c r="L133">
        <f t="shared" si="159"/>
        <v>1</v>
      </c>
      <c r="M133">
        <f t="shared" si="160"/>
        <v>1</v>
      </c>
      <c r="N133">
        <f t="shared" si="161"/>
        <v>0</v>
      </c>
      <c r="O133">
        <f t="shared" si="162"/>
        <v>3</v>
      </c>
      <c r="P133" t="str">
        <f t="shared" si="163"/>
        <v>Small centralized natural gas steam reforming-CO2 emissions</v>
      </c>
      <c r="Q133" t="str">
        <f t="shared" si="164"/>
        <v>Central gas storage-CO2 emissions</v>
      </c>
      <c r="R133" t="str">
        <f t="shared" si="165"/>
        <v>Onsite-CO2 emissions</v>
      </c>
      <c r="S133" t="str">
        <f t="shared" si="166"/>
        <v>District-CHP with H2 fuel cell (power)-CO2 emissions</v>
      </c>
      <c r="T133">
        <f ca="1">IF(timePeriod="2020-30",(VLOOKUP($P133,'TA database'!$I$8:$J$79,2,FALSE)/VLOOKUP($D133,'Merit calculation'!$B$48:$I$52,5,FALSE)/VLOOKUP($E133,'Merit calculation'!$B$67:$I$73,5,FALSE)/VLOOKUP($F133,'Merit calculation'!$B$90:$I$103,5,FALSE)/energyContentH2),(VLOOKUP($P133,'TA database'!$I$8:$J$79,2,FALSE)/VLOOKUP($D133,'Merit calculation'!$B$48:$I$52,7,FALSE)/VLOOKUP($E133,'Merit calculation'!$B$67:$I$73,7,FALSE)/VLOOKUP($F133,'Merit calculation'!$B$90:$I$103,7,FALSE)/energyContentH2))</f>
        <v>8.3691371285356239E-2</v>
      </c>
      <c r="U133">
        <v>0</v>
      </c>
      <c r="V133">
        <v>0</v>
      </c>
      <c r="W133">
        <f>IFERROR(VLOOKUP($S133,'TA database'!$I$146:$J$193,2,FALSE),0)</f>
        <v>0</v>
      </c>
      <c r="X133">
        <f ca="1">IFERROR(VLOOKUP($S133,'TA database'!$I$200:$J$271,2,FALSE),0)</f>
        <v>0</v>
      </c>
      <c r="Y133">
        <f t="shared" ca="1" si="167"/>
        <v>0.30128893662728246</v>
      </c>
      <c r="Z133" t="str">
        <f t="shared" si="168"/>
        <v>NG_SR_SML_C   →   C_GAS_STRG   →   ONSITE_USE   →   H2_FC_DCHP_PWR</v>
      </c>
      <c r="AA133" t="str">
        <f t="shared" si="169"/>
        <v>Grid electricity</v>
      </c>
      <c r="AB133" t="str">
        <f t="shared" si="170"/>
        <v>CO2 emissions</v>
      </c>
      <c r="AC133">
        <f t="shared" ca="1" si="171"/>
        <v>0.30128893662728246</v>
      </c>
      <c r="AD133">
        <v>74</v>
      </c>
      <c r="AE133" t="str">
        <f>IF(AND(ISNUMBER(SEARCH(O133,4)),ISNUMBER(SEARCH('(4) FCH pathway assessment'!$B$16,AB133)),ISNUMBER(SEARCH('(4) FCH pathway assessment'!$B$10,AA133))),AD133,"")</f>
        <v/>
      </c>
      <c r="AF133" t="str">
        <f t="shared" si="157"/>
        <v/>
      </c>
      <c r="AG133" t="str">
        <f>VLOOKUP(C133,Assumptions!$B$116:$C$162,2,FALSE)</f>
        <v>NG_SR_SML_C</v>
      </c>
      <c r="AH133" t="str">
        <f>VLOOKUP(D133,Assumptions!$B$116:$C$162,2,FALSE)</f>
        <v>C_GAS_STRG</v>
      </c>
      <c r="AI133" t="str">
        <f>VLOOKUP(E133,Assumptions!$B$116:$C$162,2,FALSE)</f>
        <v>ONSITE_USE</v>
      </c>
      <c r="AJ133" t="str">
        <f>VLOOKUP(F133,Assumptions!$B$116:$C$162,2,FALSE)</f>
        <v>H2_FC_DCHP_PWR</v>
      </c>
    </row>
    <row r="134" spans="2:36" x14ac:dyDescent="0.25">
      <c r="B134" t="s">
        <v>127</v>
      </c>
      <c r="C134" t="s">
        <v>59</v>
      </c>
      <c r="D134" s="60" t="s">
        <v>130</v>
      </c>
      <c r="E134" t="s">
        <v>66</v>
      </c>
      <c r="F134" t="s">
        <v>549</v>
      </c>
      <c r="G134" t="s">
        <v>114</v>
      </c>
      <c r="H134" t="s">
        <v>433</v>
      </c>
      <c r="I134" t="s">
        <v>32</v>
      </c>
      <c r="J134" t="s">
        <v>329</v>
      </c>
      <c r="K134">
        <f t="shared" si="158"/>
        <v>1</v>
      </c>
      <c r="L134">
        <f t="shared" si="159"/>
        <v>1</v>
      </c>
      <c r="M134">
        <f t="shared" si="160"/>
        <v>1</v>
      </c>
      <c r="N134">
        <f t="shared" si="161"/>
        <v>0</v>
      </c>
      <c r="O134">
        <f t="shared" si="162"/>
        <v>3</v>
      </c>
      <c r="P134" t="str">
        <f t="shared" si="163"/>
        <v>Medium decentralized natural gas steam reforming-CO2 emissions</v>
      </c>
      <c r="Q134" t="str">
        <f t="shared" si="164"/>
        <v>Distributed gas storage-CO2 emissions</v>
      </c>
      <c r="R134" t="str">
        <f t="shared" si="165"/>
        <v>Onsite-CO2 emissions</v>
      </c>
      <c r="S134" t="str">
        <f t="shared" si="166"/>
        <v>District-CHP with H2 fuel cell (power)-CO2 emissions</v>
      </c>
      <c r="T134">
        <f ca="1">IF(timePeriod="2020-30",(VLOOKUP($P134,'TA database'!$I$8:$J$79,2,FALSE)/VLOOKUP($D134,'Merit calculation'!$B$48:$I$52,5,FALSE)/VLOOKUP($E134,'Merit calculation'!$B$67:$I$73,5,FALSE)/VLOOKUP($F134,'Merit calculation'!$B$90:$I$103,5,FALSE)/energyContentH2),(VLOOKUP($P134,'TA database'!$I$8:$J$79,2,FALSE)/VLOOKUP($D134,'Merit calculation'!$B$48:$I$52,7,FALSE)/VLOOKUP($E134,'Merit calculation'!$B$67:$I$73,7,FALSE)/VLOOKUP($F134,'Merit calculation'!$B$90:$I$103,7,FALSE)/energyContentH2))</f>
        <v>8.7583993205605365E-2</v>
      </c>
      <c r="U134">
        <v>0</v>
      </c>
      <c r="V134">
        <v>0</v>
      </c>
      <c r="W134">
        <f>IFERROR(VLOOKUP($S134,'TA database'!$I$146:$J$193,2,FALSE),0)</f>
        <v>0</v>
      </c>
      <c r="X134">
        <f ca="1">IFERROR(VLOOKUP($S134,'TA database'!$I$200:$J$271,2,FALSE),0)</f>
        <v>0</v>
      </c>
      <c r="Y134">
        <f t="shared" ca="1" si="167"/>
        <v>0.31530237554017931</v>
      </c>
      <c r="Z134" t="str">
        <f t="shared" si="168"/>
        <v>NG_SR_MED_D   →   D_GAS_STRG   →   ONSITE_USE   →   H2_FC_DCHP_PWR</v>
      </c>
      <c r="AA134" t="str">
        <f t="shared" si="169"/>
        <v>Grid electricity</v>
      </c>
      <c r="AB134" t="str">
        <f t="shared" si="170"/>
        <v>CO2 emissions</v>
      </c>
      <c r="AC134">
        <f t="shared" ca="1" si="171"/>
        <v>0.31530237554017931</v>
      </c>
      <c r="AD134">
        <v>75</v>
      </c>
      <c r="AE134" t="str">
        <f>IF(AND(ISNUMBER(SEARCH(O134,4)),ISNUMBER(SEARCH('(4) FCH pathway assessment'!$B$16,AB134)),ISNUMBER(SEARCH('(4) FCH pathway assessment'!$B$10,AA134))),AD134,"")</f>
        <v/>
      </c>
      <c r="AF134" t="str">
        <f t="shared" si="157"/>
        <v/>
      </c>
      <c r="AG134" t="str">
        <f>VLOOKUP(C134,Assumptions!$B$116:$C$162,2,FALSE)</f>
        <v>NG_SR_MED_D</v>
      </c>
      <c r="AH134" t="str">
        <f>VLOOKUP(D134,Assumptions!$B$116:$C$162,2,FALSE)</f>
        <v>D_GAS_STRG</v>
      </c>
      <c r="AI134" t="str">
        <f>VLOOKUP(E134,Assumptions!$B$116:$C$162,2,FALSE)</f>
        <v>ONSITE_USE</v>
      </c>
      <c r="AJ134" t="str">
        <f>VLOOKUP(F134,Assumptions!$B$116:$C$162,2,FALSE)</f>
        <v>H2_FC_DCHP_PWR</v>
      </c>
    </row>
    <row r="135" spans="2:36" x14ac:dyDescent="0.25">
      <c r="B135" t="s">
        <v>127</v>
      </c>
      <c r="C135" t="s">
        <v>60</v>
      </c>
      <c r="D135" s="60" t="s">
        <v>130</v>
      </c>
      <c r="E135" t="s">
        <v>66</v>
      </c>
      <c r="F135" t="s">
        <v>549</v>
      </c>
      <c r="G135" t="s">
        <v>114</v>
      </c>
      <c r="H135" t="s">
        <v>433</v>
      </c>
      <c r="I135" t="s">
        <v>32</v>
      </c>
      <c r="J135" t="s">
        <v>329</v>
      </c>
      <c r="K135">
        <f t="shared" ref="K135" si="172">SUMPRODUCT(($C$7:$C$18=$C135)*($D$6:$H$6=$D135)*($D$7:$H$18))</f>
        <v>1</v>
      </c>
      <c r="L135">
        <f t="shared" ref="L135" si="173">SUMPRODUCT(($C$19:$C$23=$D135)*($I$6:$O$6=$E135)*($I$19:$O$23))</f>
        <v>1</v>
      </c>
      <c r="M135">
        <f t="shared" ref="M135" si="174">SUMPRODUCT(($C$24:$C$30=$E135)*($P$6:$AI$6=$F135)*($P$24:$AI$30))</f>
        <v>1</v>
      </c>
      <c r="N135">
        <f t="shared" ref="N135" si="175">SUMPRODUCT(($C$31:$C$50=$F135)*($AJ$6:$AM$6=$G135)*($AJ$31:$AM$50))</f>
        <v>0</v>
      </c>
      <c r="O135">
        <f t="shared" ref="O135" si="176">K135+L135+M135+N135</f>
        <v>3</v>
      </c>
      <c r="P135" t="str">
        <f t="shared" ref="P135" si="177">CONCATENATE(C135,"-",J135)</f>
        <v>Small decentralized natural gas steam reforming-CO2 emissions</v>
      </c>
      <c r="Q135" t="str">
        <f t="shared" ref="Q135" si="178">CONCATENATE(D135,"-",J135)</f>
        <v>Distributed gas storage-CO2 emissions</v>
      </c>
      <c r="R135" t="str">
        <f t="shared" ref="R135" si="179">CONCATENATE(E135,"-",J135)</f>
        <v>Onsite-CO2 emissions</v>
      </c>
      <c r="S135" t="str">
        <f t="shared" ref="S135" si="180">CONCATENATE(F135,"-",J135)</f>
        <v>District-CHP with H2 fuel cell (power)-CO2 emissions</v>
      </c>
      <c r="T135">
        <f ca="1">IF(timePeriod="2020-30",(VLOOKUP($P135,'TA database'!$I$8:$J$79,2,FALSE)/VLOOKUP($D135,'Merit calculation'!$B$48:$I$52,5,FALSE)/VLOOKUP($E135,'Merit calculation'!$B$67:$I$73,5,FALSE)/VLOOKUP($F135,'Merit calculation'!$B$90:$I$103,5,FALSE)/energyContentH2),(VLOOKUP($P135,'TA database'!$I$8:$J$79,2,FALSE)/VLOOKUP($D135,'Merit calculation'!$B$48:$I$52,7,FALSE)/VLOOKUP($E135,'Merit calculation'!$B$67:$I$73,7,FALSE)/VLOOKUP($F135,'Merit calculation'!$B$90:$I$103,7,FALSE)/energyContentH2))</f>
        <v>8.3691371285356239E-2</v>
      </c>
      <c r="U135">
        <v>0</v>
      </c>
      <c r="V135">
        <v>0</v>
      </c>
      <c r="W135">
        <f>IFERROR(VLOOKUP($S135,'TA database'!$I$146:$J$193,2,FALSE),0)</f>
        <v>0</v>
      </c>
      <c r="X135">
        <f ca="1">IFERROR(VLOOKUP($S135,'TA database'!$I$200:$J$271,2,FALSE),0)</f>
        <v>0</v>
      </c>
      <c r="Y135">
        <f t="shared" ref="Y135" ca="1" si="181">IF($W135=0,T135*3.6+X135,T135+W135)</f>
        <v>0.30128893662728246</v>
      </c>
      <c r="Z135" t="str">
        <f t="shared" ref="Z135" si="182">CONCATENATE(AG135,"   →   ",AH135,"   →   ",AI135,"   →   ",AJ135)</f>
        <v>NG_SR_SML_D   →   D_GAS_STRG   →   ONSITE_USE   →   H2_FC_DCHP_PWR</v>
      </c>
      <c r="AA135" t="str">
        <f t="shared" ref="AA135" si="183">G135</f>
        <v>Grid electricity</v>
      </c>
      <c r="AB135" t="str">
        <f t="shared" ref="AB135" si="184">J135</f>
        <v>CO2 emissions</v>
      </c>
      <c r="AC135">
        <f t="shared" ref="AC135" ca="1" si="185">Y135</f>
        <v>0.30128893662728246</v>
      </c>
      <c r="AD135">
        <v>76</v>
      </c>
      <c r="AE135" t="str">
        <f>IF(AND(ISNUMBER(SEARCH(O135,4)),ISNUMBER(SEARCH('(4) FCH pathway assessment'!$B$16,AB135)),ISNUMBER(SEARCH('(4) FCH pathway assessment'!$B$10,AA135))),AD135,"")</f>
        <v/>
      </c>
      <c r="AF135" t="str">
        <f t="shared" si="157"/>
        <v/>
      </c>
      <c r="AG135" t="str">
        <f>VLOOKUP(C135,Assumptions!$B$116:$C$162,2,FALSE)</f>
        <v>NG_SR_SML_D</v>
      </c>
      <c r="AH135" t="str">
        <f>VLOOKUP(D135,Assumptions!$B$116:$C$162,2,FALSE)</f>
        <v>D_GAS_STRG</v>
      </c>
      <c r="AI135" t="str">
        <f>VLOOKUP(E135,Assumptions!$B$116:$C$162,2,FALSE)</f>
        <v>ONSITE_USE</v>
      </c>
      <c r="AJ135" t="str">
        <f>VLOOKUP(F135,Assumptions!$B$116:$C$162,2,FALSE)</f>
        <v>H2_FC_DCHP_PWR</v>
      </c>
    </row>
    <row r="136" spans="2:36" x14ac:dyDescent="0.25">
      <c r="B136" t="s">
        <v>117</v>
      </c>
      <c r="C136" t="s">
        <v>53</v>
      </c>
      <c r="D136" t="s">
        <v>155</v>
      </c>
      <c r="E136" t="s">
        <v>65</v>
      </c>
      <c r="F136" t="s">
        <v>550</v>
      </c>
      <c r="G136" t="s">
        <v>114</v>
      </c>
      <c r="H136" t="s">
        <v>433</v>
      </c>
      <c r="I136" t="s">
        <v>32</v>
      </c>
      <c r="J136" t="s">
        <v>329</v>
      </c>
      <c r="K136">
        <f t="shared" ref="K136:K137" si="186">SUMPRODUCT(($C$7:$C$18=$C136)*($D$6:$H$6=$D136)*($D$7:$H$18))</f>
        <v>0</v>
      </c>
      <c r="L136">
        <f t="shared" ref="L136:L137" si="187">SUMPRODUCT(($C$19:$C$23=$D136)*($I$6:$O$6=$E136)*($I$19:$O$23))</f>
        <v>1</v>
      </c>
      <c r="M136">
        <f t="shared" ref="M136:M137" si="188">SUMPRODUCT(($C$24:$C$30=$E136)*($P$6:$AI$6=$F136)*($P$24:$AI$30))</f>
        <v>0</v>
      </c>
      <c r="N136">
        <f t="shared" ref="N136:N137" si="189">SUMPRODUCT(($C$31:$C$50=$F136)*($AJ$6:$AM$6=$G136)*($AJ$31:$AM$50))</f>
        <v>1</v>
      </c>
      <c r="O136">
        <f t="shared" ref="O136:O137" si="190">K136+L136+M136+N136</f>
        <v>2</v>
      </c>
      <c r="P136" t="str">
        <f t="shared" ref="P136:P137" si="191">CONCATENATE(C136,"-",J136)</f>
        <v>Medium centralized biomass gasification-CO2 emissions</v>
      </c>
      <c r="Q136" t="str">
        <f t="shared" ref="Q136:Q137" si="192">CONCATENATE(D136,"-",J136)</f>
        <v>Central gas storage-CO2 emissions</v>
      </c>
      <c r="R136" t="str">
        <f t="shared" ref="R136:R137" si="193">CONCATENATE(E136,"-",J136)</f>
        <v>Methanation-CO2 emissions</v>
      </c>
      <c r="S136" t="str">
        <f t="shared" ref="S136:S137" si="194">CONCATENATE(F136,"-",J136)</f>
        <v>District-CHP with natural gas fuel cell (power)-CO2 emissions</v>
      </c>
      <c r="T136">
        <f ca="1">IF(timePeriod="2020-30",(VLOOKUP($P136,'TA database'!$I$8:$J$79,2,FALSE)/VLOOKUP($D136,'Merit calculation'!$B$48:$I$52,5,FALSE)/VLOOKUP($E136,'Merit calculation'!$B$67:$I$73,5,FALSE)/VLOOKUP($F136,'Merit calculation'!$B$90:$I$103,5,FALSE)/energyContentH2),(VLOOKUP($P136,'TA database'!$I$8:$J$79,2,FALSE)/VLOOKUP($D136,'Merit calculation'!$B$48:$I$52,7,FALSE)/VLOOKUP($E136,'Merit calculation'!$B$67:$I$73,7,FALSE)/VLOOKUP($F136,'Merit calculation'!$B$90:$I$103,7,FALSE)/energyContentH2))</f>
        <v>0</v>
      </c>
      <c r="U136">
        <v>0</v>
      </c>
      <c r="V136">
        <v>0</v>
      </c>
      <c r="W136">
        <f>IFERROR(VLOOKUP($S136,'TA database'!$I$146:$J$193,2,FALSE),0)</f>
        <v>0</v>
      </c>
      <c r="X136">
        <f ca="1">IFERROR(VLOOKUP($S136,'TA database'!$I$200:$J$271,2,FALSE),0)</f>
        <v>0.26573684210526316</v>
      </c>
      <c r="Y136">
        <f t="shared" ref="Y136:Y137" ca="1" si="195">IF($W136=0,T136*3.6+X136,T136+W136)</f>
        <v>0.26573684210526316</v>
      </c>
      <c r="Z136" t="str">
        <f t="shared" ref="Z136:Z137" si="196">CONCATENATE(AG136,"   →   ",AH136,"   →   ",AI136,"   →   ",AJ136)</f>
        <v>BIO_GSF_MED_C   →   C_GAS_STRG   →   METHANATION   →   NG_FC_DCHP_PWR</v>
      </c>
      <c r="AA136" t="str">
        <f t="shared" ref="AA136:AA137" si="197">G136</f>
        <v>Grid electricity</v>
      </c>
      <c r="AB136" t="str">
        <f t="shared" ref="AB136:AB137" si="198">J136</f>
        <v>CO2 emissions</v>
      </c>
      <c r="AC136">
        <f t="shared" ref="AC136:AC137" ca="1" si="199">Y136</f>
        <v>0.26573684210526316</v>
      </c>
      <c r="AD136">
        <v>77</v>
      </c>
      <c r="AE136" t="str">
        <f>IF(AND(ISNUMBER(SEARCH(O136,4)),ISNUMBER(SEARCH('(4) FCH pathway assessment'!$B$16,AB136)),ISNUMBER(SEARCH('(4) FCH pathway assessment'!$B$10,AA136))),AD136,"")</f>
        <v/>
      </c>
      <c r="AF136" t="str">
        <f t="shared" si="157"/>
        <v/>
      </c>
      <c r="AG136" t="str">
        <f>VLOOKUP(C136,Assumptions!$B$116:$C$162,2,FALSE)</f>
        <v>BIO_GSF_MED_C</v>
      </c>
      <c r="AH136" t="str">
        <f>VLOOKUP(D136,Assumptions!$B$116:$C$162,2,FALSE)</f>
        <v>C_GAS_STRG</v>
      </c>
      <c r="AI136" t="str">
        <f>VLOOKUP(E136,Assumptions!$B$116:$C$162,2,FALSE)</f>
        <v>METHANATION</v>
      </c>
      <c r="AJ136" t="str">
        <f>VLOOKUP(F136,Assumptions!$B$116:$C$162,2,FALSE)</f>
        <v>NG_FC_DCHP_PWR</v>
      </c>
    </row>
    <row r="137" spans="2:36" x14ac:dyDescent="0.25">
      <c r="B137" t="s">
        <v>117</v>
      </c>
      <c r="C137" t="s">
        <v>54</v>
      </c>
      <c r="D137" t="s">
        <v>155</v>
      </c>
      <c r="E137" t="s">
        <v>65</v>
      </c>
      <c r="F137" t="s">
        <v>550</v>
      </c>
      <c r="G137" t="s">
        <v>114</v>
      </c>
      <c r="H137" t="s">
        <v>433</v>
      </c>
      <c r="I137" t="s">
        <v>32</v>
      </c>
      <c r="J137" t="s">
        <v>329</v>
      </c>
      <c r="K137">
        <f t="shared" si="186"/>
        <v>0</v>
      </c>
      <c r="L137">
        <f t="shared" si="187"/>
        <v>1</v>
      </c>
      <c r="M137">
        <f t="shared" si="188"/>
        <v>0</v>
      </c>
      <c r="N137">
        <f t="shared" si="189"/>
        <v>1</v>
      </c>
      <c r="O137">
        <f t="shared" si="190"/>
        <v>2</v>
      </c>
      <c r="P137" t="str">
        <f t="shared" si="191"/>
        <v>Medium centralized biomass gasification w/ CCS-CO2 emissions</v>
      </c>
      <c r="Q137" t="str">
        <f t="shared" si="192"/>
        <v>Central gas storage-CO2 emissions</v>
      </c>
      <c r="R137" t="str">
        <f t="shared" si="193"/>
        <v>Methanation-CO2 emissions</v>
      </c>
      <c r="S137" t="str">
        <f t="shared" si="194"/>
        <v>District-CHP with natural gas fuel cell (power)-CO2 emissions</v>
      </c>
      <c r="T137">
        <f ca="1">IF(timePeriod="2020-30",(VLOOKUP($P137,'TA database'!$I$8:$J$79,2,FALSE)/VLOOKUP($D137,'Merit calculation'!$B$48:$I$52,5,FALSE)/VLOOKUP($E137,'Merit calculation'!$B$67:$I$73,5,FALSE)/VLOOKUP($F137,'Merit calculation'!$B$90:$I$103,5,FALSE)/energyContentH2),(VLOOKUP($P137,'TA database'!$I$8:$J$79,2,FALSE)/VLOOKUP($D137,'Merit calculation'!$B$48:$I$52,7,FALSE)/VLOOKUP($E137,'Merit calculation'!$B$67:$I$73,7,FALSE)/VLOOKUP($F137,'Merit calculation'!$B$90:$I$103,7,FALSE)/energyContentH2))</f>
        <v>-0.18796992481203006</v>
      </c>
      <c r="U137">
        <v>0</v>
      </c>
      <c r="V137">
        <v>0</v>
      </c>
      <c r="W137">
        <f>IFERROR(VLOOKUP($S137,'TA database'!$I$146:$J$193,2,FALSE),0)</f>
        <v>0</v>
      </c>
      <c r="X137">
        <f ca="1">IFERROR(VLOOKUP($S137,'TA database'!$I$200:$J$271,2,FALSE),0)</f>
        <v>0.26573684210526316</v>
      </c>
      <c r="Y137">
        <f t="shared" ca="1" si="195"/>
        <v>-0.41095488721804507</v>
      </c>
      <c r="Z137" t="str">
        <f t="shared" si="196"/>
        <v>BIO_GSF_CCS_MED_C   →   C_GAS_STRG   →   METHANATION   →   NG_FC_DCHP_PWR</v>
      </c>
      <c r="AA137" t="str">
        <f t="shared" si="197"/>
        <v>Grid electricity</v>
      </c>
      <c r="AB137" t="str">
        <f t="shared" si="198"/>
        <v>CO2 emissions</v>
      </c>
      <c r="AC137">
        <f t="shared" ca="1" si="199"/>
        <v>-0.41095488721804507</v>
      </c>
      <c r="AD137">
        <v>78</v>
      </c>
      <c r="AE137" t="str">
        <f>IF(AND(ISNUMBER(SEARCH(O137,4)),ISNUMBER(SEARCH('(4) FCH pathway assessment'!$B$16,AB137)),ISNUMBER(SEARCH('(4) FCH pathway assessment'!$B$10,AA137))),AD137,"")</f>
        <v/>
      </c>
      <c r="AF137" t="str">
        <f t="shared" si="157"/>
        <v/>
      </c>
      <c r="AG137" t="str">
        <f>VLOOKUP(C137,Assumptions!$B$116:$C$162,2,FALSE)</f>
        <v>BIO_GSF_CCS_MED_C</v>
      </c>
      <c r="AH137" t="str">
        <f>VLOOKUP(D137,Assumptions!$B$116:$C$162,2,FALSE)</f>
        <v>C_GAS_STRG</v>
      </c>
      <c r="AI137" t="str">
        <f>VLOOKUP(E137,Assumptions!$B$116:$C$162,2,FALSE)</f>
        <v>METHANATION</v>
      </c>
      <c r="AJ137" t="str">
        <f>VLOOKUP(F137,Assumptions!$B$116:$C$162,2,FALSE)</f>
        <v>NG_FC_DCHP_PWR</v>
      </c>
    </row>
    <row r="138" spans="2:36" x14ac:dyDescent="0.25">
      <c r="B138" t="s">
        <v>117</v>
      </c>
      <c r="C138" t="s">
        <v>56</v>
      </c>
      <c r="D138" t="s">
        <v>62</v>
      </c>
      <c r="E138" t="s">
        <v>65</v>
      </c>
      <c r="F138" t="s">
        <v>550</v>
      </c>
      <c r="G138" t="s">
        <v>114</v>
      </c>
      <c r="H138" t="s">
        <v>433</v>
      </c>
      <c r="I138" t="s">
        <v>32</v>
      </c>
      <c r="J138" t="s">
        <v>329</v>
      </c>
      <c r="K138">
        <f t="shared" ref="K138" si="200">SUMPRODUCT(($C$7:$C$18=$C138)*($D$6:$H$6=$D138)*($D$7:$H$18))</f>
        <v>0</v>
      </c>
      <c r="L138">
        <f t="shared" ref="L138" si="201">SUMPRODUCT(($C$19:$C$23=$D138)*($I$6:$O$6=$E138)*($I$19:$O$23))</f>
        <v>0</v>
      </c>
      <c r="M138">
        <f t="shared" ref="M138" si="202">SUMPRODUCT(($C$24:$C$30=$E138)*($P$6:$AI$6=$F138)*($P$24:$AI$30))</f>
        <v>0</v>
      </c>
      <c r="N138">
        <f t="shared" ref="N138" si="203">SUMPRODUCT(($C$31:$C$50=$F138)*($AJ$6:$AM$6=$G138)*($AJ$31:$AM$50))</f>
        <v>1</v>
      </c>
      <c r="O138">
        <f t="shared" ref="O138" si="204">K138+L138+M138+N138</f>
        <v>1</v>
      </c>
      <c r="P138" t="str">
        <f t="shared" ref="P138" si="205">CONCATENATE(C138,"-",J138)</f>
        <v>Large centralized biomass steam reforming -CO2 emissions</v>
      </c>
      <c r="Q138" t="str">
        <f t="shared" ref="Q138" si="206">CONCATENATE(D138,"-",J138)</f>
        <v>Underground storage-CO2 emissions</v>
      </c>
      <c r="R138" t="str">
        <f t="shared" ref="R138" si="207">CONCATENATE(E138,"-",J138)</f>
        <v>Methanation-CO2 emissions</v>
      </c>
      <c r="S138" t="str">
        <f t="shared" ref="S138" si="208">CONCATENATE(F138,"-",J138)</f>
        <v>District-CHP with natural gas fuel cell (power)-CO2 emissions</v>
      </c>
      <c r="T138">
        <f ca="1">IF(timePeriod="2020-30",(VLOOKUP($P138,'TA database'!$I$8:$J$79,2,FALSE)/VLOOKUP($D138,'Merit calculation'!$B$48:$I$52,5,FALSE)/VLOOKUP($E138,'Merit calculation'!$B$67:$I$73,5,FALSE)/VLOOKUP($F138,'Merit calculation'!$B$90:$I$103,5,FALSE)/energyContentH2),(VLOOKUP($P138,'TA database'!$I$8:$J$79,2,FALSE)/VLOOKUP($D138,'Merit calculation'!$B$48:$I$52,7,FALSE)/VLOOKUP($E138,'Merit calculation'!$B$67:$I$73,7,FALSE)/VLOOKUP($F138,'Merit calculation'!$B$90:$I$103,7,FALSE)/energyContentH2))</f>
        <v>0</v>
      </c>
      <c r="U138">
        <v>0</v>
      </c>
      <c r="V138">
        <v>0</v>
      </c>
      <c r="W138">
        <f>IFERROR(VLOOKUP($S138,'TA database'!$I$146:$J$193,2,FALSE),0)</f>
        <v>0</v>
      </c>
      <c r="X138">
        <f ca="1">IFERROR(VLOOKUP($S138,'TA database'!$I$200:$J$271,2,FALSE),0)</f>
        <v>0.26573684210526316</v>
      </c>
      <c r="Y138">
        <f t="shared" ref="Y138" ca="1" si="209">IF($W138=0,T138*3.6+X138,T138+W138)</f>
        <v>0.26573684210526316</v>
      </c>
      <c r="Z138" t="str">
        <f t="shared" ref="Z138" si="210">CONCATENATE(AG138,"   →   ",AH138,"   →   ",AI138,"   →   ",AJ138)</f>
        <v>BIO_SR_LRG_C   →   C_UNDRGRND_STRG   →   METHANATION   →   NG_FC_DCHP_PWR</v>
      </c>
      <c r="AA138" t="str">
        <f t="shared" ref="AA138" si="211">G138</f>
        <v>Grid electricity</v>
      </c>
      <c r="AB138" t="str">
        <f t="shared" ref="AB138" si="212">J138</f>
        <v>CO2 emissions</v>
      </c>
      <c r="AC138">
        <f t="shared" ref="AC138" ca="1" si="213">Y138</f>
        <v>0.26573684210526316</v>
      </c>
      <c r="AD138">
        <v>79</v>
      </c>
      <c r="AE138" t="str">
        <f>IF(AND(ISNUMBER(SEARCH(O138,4)),ISNUMBER(SEARCH('(4) FCH pathway assessment'!$B$16,AB138)),ISNUMBER(SEARCH('(4) FCH pathway assessment'!$B$10,AA138))),AD138,"")</f>
        <v/>
      </c>
      <c r="AF138" t="str">
        <f t="shared" si="157"/>
        <v/>
      </c>
      <c r="AG138" t="str">
        <f>VLOOKUP(C138,Assumptions!$B$116:$C$162,2,FALSE)</f>
        <v>BIO_SR_LRG_C</v>
      </c>
      <c r="AH138" t="str">
        <f>VLOOKUP(D138,Assumptions!$B$116:$C$162,2,FALSE)</f>
        <v>C_UNDRGRND_STRG</v>
      </c>
      <c r="AI138" t="str">
        <f>VLOOKUP(E138,Assumptions!$B$116:$C$162,2,FALSE)</f>
        <v>METHANATION</v>
      </c>
      <c r="AJ138" t="str">
        <f>VLOOKUP(F138,Assumptions!$B$116:$C$162,2,FALSE)</f>
        <v>NG_FC_DCHP_PWR</v>
      </c>
    </row>
    <row r="139" spans="2:36" x14ac:dyDescent="0.25">
      <c r="B139" t="s">
        <v>112</v>
      </c>
      <c r="C139" t="s">
        <v>49</v>
      </c>
      <c r="D139" t="s">
        <v>62</v>
      </c>
      <c r="E139" t="s">
        <v>65</v>
      </c>
      <c r="F139" t="s">
        <v>550</v>
      </c>
      <c r="G139" t="s">
        <v>114</v>
      </c>
      <c r="H139" t="s">
        <v>433</v>
      </c>
      <c r="I139" t="s">
        <v>32</v>
      </c>
      <c r="J139" t="s">
        <v>329</v>
      </c>
      <c r="K139">
        <f t="shared" ref="K139:K140" si="214">SUMPRODUCT(($C$7:$C$18=$C139)*($D$6:$H$6=$D139)*($D$7:$H$18))</f>
        <v>1</v>
      </c>
      <c r="L139">
        <f t="shared" ref="L139:L140" si="215">SUMPRODUCT(($C$19:$C$23=$D139)*($I$6:$O$6=$E139)*($I$19:$O$23))</f>
        <v>0</v>
      </c>
      <c r="M139">
        <f t="shared" ref="M139:M140" si="216">SUMPRODUCT(($C$24:$C$30=$E139)*($P$6:$AI$6=$F139)*($P$24:$AI$30))</f>
        <v>0</v>
      </c>
      <c r="N139">
        <f t="shared" ref="N139:N140" si="217">SUMPRODUCT(($C$31:$C$50=$F139)*($AJ$6:$AM$6=$G139)*($AJ$31:$AM$50))</f>
        <v>1</v>
      </c>
      <c r="O139">
        <f t="shared" ref="O139:O140" si="218">K139+L139+M139+N139</f>
        <v>2</v>
      </c>
      <c r="P139" t="str">
        <f t="shared" ref="P139:P140" si="219">CONCATENATE(C139,"-",J139)</f>
        <v>Large centralized electrolysis-CO2 emissions</v>
      </c>
      <c r="Q139" t="str">
        <f t="shared" ref="Q139:Q140" si="220">CONCATENATE(D139,"-",J139)</f>
        <v>Underground storage-CO2 emissions</v>
      </c>
      <c r="R139" t="str">
        <f t="shared" ref="R139:R140" si="221">CONCATENATE(E139,"-",J139)</f>
        <v>Methanation-CO2 emissions</v>
      </c>
      <c r="S139" t="str">
        <f t="shared" ref="S139:S140" si="222">CONCATENATE(F139,"-",J139)</f>
        <v>District-CHP with natural gas fuel cell (power)-CO2 emissions</v>
      </c>
      <c r="T139">
        <f ca="1">IF(timePeriod="2020-30",(VLOOKUP($P139,'TA database'!$I$8:$J$79,2,FALSE)/VLOOKUP($D139,'Merit calculation'!$B$48:$I$52,5,FALSE)/VLOOKUP($E139,'Merit calculation'!$B$67:$I$73,5,FALSE)/VLOOKUP($F139,'Merit calculation'!$B$90:$I$103,5,FALSE)/energyContentH2),(VLOOKUP($P139,'TA database'!$I$8:$J$79,2,FALSE)/VLOOKUP($D139,'Merit calculation'!$B$48:$I$52,7,FALSE)/VLOOKUP($E139,'Merit calculation'!$B$67:$I$73,7,FALSE)/VLOOKUP($F139,'Merit calculation'!$B$90:$I$103,7,FALSE)/energyContentH2))</f>
        <v>2.5638122616680119E-2</v>
      </c>
      <c r="U139">
        <v>0</v>
      </c>
      <c r="V139">
        <v>0</v>
      </c>
      <c r="W139">
        <f>IFERROR(VLOOKUP($S139,'TA database'!$I$146:$J$193,2,FALSE),0)</f>
        <v>0</v>
      </c>
      <c r="X139">
        <f ca="1">IFERROR(VLOOKUP($S139,'TA database'!$I$200:$J$271,2,FALSE),0)</f>
        <v>0.26573684210526316</v>
      </c>
      <c r="Y139">
        <f t="shared" ref="Y139:Y140" ca="1" si="223">IF($W139=0,T139*3.6+X139,T139+W139)</f>
        <v>0.35803408352531157</v>
      </c>
      <c r="Z139" t="str">
        <f t="shared" ref="Z139:Z140" si="224">CONCATENATE(AG139,"   →   ",AH139,"   →   ",AI139,"   →   ",AJ139)</f>
        <v>ELCTRLYZ_LRG_C   →   C_UNDRGRND_STRG   →   METHANATION   →   NG_FC_DCHP_PWR</v>
      </c>
      <c r="AA139" t="str">
        <f t="shared" ref="AA139:AA140" si="225">G139</f>
        <v>Grid electricity</v>
      </c>
      <c r="AB139" t="str">
        <f t="shared" ref="AB139:AB140" si="226">J139</f>
        <v>CO2 emissions</v>
      </c>
      <c r="AC139">
        <f t="shared" ref="AC139:AC140" ca="1" si="227">Y139</f>
        <v>0.35803408352531157</v>
      </c>
      <c r="AD139">
        <v>80</v>
      </c>
      <c r="AE139" t="str">
        <f>IF(AND(ISNUMBER(SEARCH(O139,4)),ISNUMBER(SEARCH('(4) FCH pathway assessment'!$B$16,AB139)),ISNUMBER(SEARCH('(4) FCH pathway assessment'!$B$10,AA139))),AD139,"")</f>
        <v/>
      </c>
      <c r="AF139" t="str">
        <f t="shared" si="157"/>
        <v/>
      </c>
      <c r="AG139" t="str">
        <f>VLOOKUP(C139,Assumptions!$B$116:$C$162,2,FALSE)</f>
        <v>ELCTRLYZ_LRG_C</v>
      </c>
      <c r="AH139" t="str">
        <f>VLOOKUP(D139,Assumptions!$B$116:$C$162,2,FALSE)</f>
        <v>C_UNDRGRND_STRG</v>
      </c>
      <c r="AI139" t="str">
        <f>VLOOKUP(E139,Assumptions!$B$116:$C$162,2,FALSE)</f>
        <v>METHANATION</v>
      </c>
      <c r="AJ139" t="str">
        <f>VLOOKUP(F139,Assumptions!$B$116:$C$162,2,FALSE)</f>
        <v>NG_FC_DCHP_PWR</v>
      </c>
    </row>
    <row r="140" spans="2:36" x14ac:dyDescent="0.25">
      <c r="B140" t="s">
        <v>112</v>
      </c>
      <c r="C140" t="s">
        <v>49</v>
      </c>
      <c r="D140" t="s">
        <v>155</v>
      </c>
      <c r="E140" t="s">
        <v>65</v>
      </c>
      <c r="F140" t="s">
        <v>550</v>
      </c>
      <c r="G140" t="s">
        <v>114</v>
      </c>
      <c r="H140" t="s">
        <v>433</v>
      </c>
      <c r="I140" t="s">
        <v>32</v>
      </c>
      <c r="J140" t="s">
        <v>329</v>
      </c>
      <c r="K140">
        <f t="shared" si="214"/>
        <v>1</v>
      </c>
      <c r="L140">
        <f t="shared" si="215"/>
        <v>1</v>
      </c>
      <c r="M140">
        <f t="shared" si="216"/>
        <v>0</v>
      </c>
      <c r="N140">
        <f t="shared" si="217"/>
        <v>1</v>
      </c>
      <c r="O140">
        <f t="shared" si="218"/>
        <v>3</v>
      </c>
      <c r="P140" t="str">
        <f t="shared" si="219"/>
        <v>Large centralized electrolysis-CO2 emissions</v>
      </c>
      <c r="Q140" t="str">
        <f t="shared" si="220"/>
        <v>Central gas storage-CO2 emissions</v>
      </c>
      <c r="R140" t="str">
        <f t="shared" si="221"/>
        <v>Methanation-CO2 emissions</v>
      </c>
      <c r="S140" t="str">
        <f t="shared" si="222"/>
        <v>District-CHP with natural gas fuel cell (power)-CO2 emissions</v>
      </c>
      <c r="T140">
        <f ca="1">IF(timePeriod="2020-30",(VLOOKUP($P140,'TA database'!$I$8:$J$79,2,FALSE)/VLOOKUP($D140,'Merit calculation'!$B$48:$I$52,5,FALSE)/VLOOKUP($E140,'Merit calculation'!$B$67:$I$73,5,FALSE)/VLOOKUP($F140,'Merit calculation'!$B$90:$I$103,5,FALSE)/energyContentH2),(VLOOKUP($P140,'TA database'!$I$8:$J$79,2,FALSE)/VLOOKUP($D140,'Merit calculation'!$B$48:$I$52,7,FALSE)/VLOOKUP($E140,'Merit calculation'!$B$67:$I$73,7,FALSE)/VLOOKUP($F140,'Merit calculation'!$B$90:$I$103,7,FALSE)/energyContentH2))</f>
        <v>2.5899736112768693E-2</v>
      </c>
      <c r="U140">
        <v>0</v>
      </c>
      <c r="V140">
        <v>0</v>
      </c>
      <c r="W140">
        <f>IFERROR(VLOOKUP($S140,'TA database'!$I$146:$J$193,2,FALSE),0)</f>
        <v>0</v>
      </c>
      <c r="X140">
        <f ca="1">IFERROR(VLOOKUP($S140,'TA database'!$I$200:$J$271,2,FALSE),0)</f>
        <v>0.26573684210526316</v>
      </c>
      <c r="Y140">
        <f t="shared" ca="1" si="223"/>
        <v>0.35897589211123049</v>
      </c>
      <c r="Z140" t="str">
        <f t="shared" si="224"/>
        <v>ELCTRLYZ_LRG_C   →   C_GAS_STRG   →   METHANATION   →   NG_FC_DCHP_PWR</v>
      </c>
      <c r="AA140" t="str">
        <f t="shared" si="225"/>
        <v>Grid electricity</v>
      </c>
      <c r="AB140" t="str">
        <f t="shared" si="226"/>
        <v>CO2 emissions</v>
      </c>
      <c r="AC140">
        <f t="shared" ca="1" si="227"/>
        <v>0.35897589211123049</v>
      </c>
      <c r="AD140">
        <v>81</v>
      </c>
      <c r="AE140" t="str">
        <f>IF(AND(ISNUMBER(SEARCH(O140,4)),ISNUMBER(SEARCH('(4) FCH pathway assessment'!$B$16,AB140)),ISNUMBER(SEARCH('(4) FCH pathway assessment'!$B$10,AA140))),AD140,"")</f>
        <v/>
      </c>
      <c r="AF140" t="str">
        <f t="shared" si="157"/>
        <v/>
      </c>
      <c r="AG140" t="str">
        <f>VLOOKUP(C140,Assumptions!$B$116:$C$162,2,FALSE)</f>
        <v>ELCTRLYZ_LRG_C</v>
      </c>
      <c r="AH140" t="str">
        <f>VLOOKUP(D140,Assumptions!$B$116:$C$162,2,FALSE)</f>
        <v>C_GAS_STRG</v>
      </c>
      <c r="AI140" t="str">
        <f>VLOOKUP(E140,Assumptions!$B$116:$C$162,2,FALSE)</f>
        <v>METHANATION</v>
      </c>
      <c r="AJ140" t="str">
        <f>VLOOKUP(F140,Assumptions!$B$116:$C$162,2,FALSE)</f>
        <v>NG_FC_DCHP_PWR</v>
      </c>
    </row>
    <row r="141" spans="2:36" x14ac:dyDescent="0.25">
      <c r="B141" t="s">
        <v>112</v>
      </c>
      <c r="C141" t="s">
        <v>51</v>
      </c>
      <c r="D141" t="s">
        <v>155</v>
      </c>
      <c r="E141" t="s">
        <v>65</v>
      </c>
      <c r="F141" t="s">
        <v>550</v>
      </c>
      <c r="G141" t="s">
        <v>114</v>
      </c>
      <c r="H141" t="s">
        <v>433</v>
      </c>
      <c r="I141" t="s">
        <v>32</v>
      </c>
      <c r="J141" t="s">
        <v>329</v>
      </c>
      <c r="K141">
        <f t="shared" ref="K141" si="228">SUMPRODUCT(($C$7:$C$18=$C141)*($D$6:$H$6=$D141)*($D$7:$H$18))</f>
        <v>1</v>
      </c>
      <c r="L141">
        <f t="shared" ref="L141" si="229">SUMPRODUCT(($C$19:$C$23=$D141)*($I$6:$O$6=$E141)*($I$19:$O$23))</f>
        <v>1</v>
      </c>
      <c r="M141">
        <f t="shared" ref="M141" si="230">SUMPRODUCT(($C$24:$C$30=$E141)*($P$6:$AI$6=$F141)*($P$24:$AI$30))</f>
        <v>0</v>
      </c>
      <c r="N141">
        <f t="shared" ref="N141" si="231">SUMPRODUCT(($C$31:$C$50=$F141)*($AJ$6:$AM$6=$G141)*($AJ$31:$AM$50))</f>
        <v>1</v>
      </c>
      <c r="O141">
        <f t="shared" ref="O141" si="232">K141+L141+M141+N141</f>
        <v>3</v>
      </c>
      <c r="P141" t="str">
        <f t="shared" ref="P141" si="233">CONCATENATE(C141,"-",J141)</f>
        <v>Medium centralized electrolysis-CO2 emissions</v>
      </c>
      <c r="Q141" t="str">
        <f t="shared" ref="Q141" si="234">CONCATENATE(D141,"-",J141)</f>
        <v>Central gas storage-CO2 emissions</v>
      </c>
      <c r="R141" t="str">
        <f t="shared" ref="R141" si="235">CONCATENATE(E141,"-",J141)</f>
        <v>Methanation-CO2 emissions</v>
      </c>
      <c r="S141" t="str">
        <f t="shared" ref="S141" si="236">CONCATENATE(F141,"-",J141)</f>
        <v>District-CHP with natural gas fuel cell (power)-CO2 emissions</v>
      </c>
      <c r="T141">
        <f ca="1">IF(timePeriod="2020-30",(VLOOKUP($P141,'TA database'!$I$8:$J$79,2,FALSE)/VLOOKUP($D141,'Merit calculation'!$B$48:$I$52,5,FALSE)/VLOOKUP($E141,'Merit calculation'!$B$67:$I$73,5,FALSE)/VLOOKUP($F141,'Merit calculation'!$B$90:$I$103,5,FALSE)/energyContentH2),(VLOOKUP($P141,'TA database'!$I$8:$J$79,2,FALSE)/VLOOKUP($D141,'Merit calculation'!$B$48:$I$52,7,FALSE)/VLOOKUP($E141,'Merit calculation'!$B$67:$I$73,7,FALSE)/VLOOKUP($F141,'Merit calculation'!$B$90:$I$103,7,FALSE)/energyContentH2))</f>
        <v>2.5899736112768693E-2</v>
      </c>
      <c r="U141">
        <v>0</v>
      </c>
      <c r="V141">
        <v>0</v>
      </c>
      <c r="W141">
        <f>IFERROR(VLOOKUP($S141,'TA database'!$I$146:$J$193,2,FALSE),0)</f>
        <v>0</v>
      </c>
      <c r="X141">
        <f ca="1">IFERROR(VLOOKUP($S141,'TA database'!$I$200:$J$271,2,FALSE),0)</f>
        <v>0.26573684210526316</v>
      </c>
      <c r="Y141">
        <f t="shared" ref="Y141" ca="1" si="237">IF($W141=0,T141*3.6+X141,T141+W141)</f>
        <v>0.35897589211123049</v>
      </c>
      <c r="Z141" t="str">
        <f t="shared" ref="Z141" si="238">CONCATENATE(AG141,"   →   ",AH141,"   →   ",AI141,"   →   ",AJ141)</f>
        <v>ELCTRLYZ_MED_C   →   C_GAS_STRG   →   METHANATION   →   NG_FC_DCHP_PWR</v>
      </c>
      <c r="AA141" t="str">
        <f t="shared" ref="AA141" si="239">G141</f>
        <v>Grid electricity</v>
      </c>
      <c r="AB141" t="str">
        <f t="shared" ref="AB141" si="240">J141</f>
        <v>CO2 emissions</v>
      </c>
      <c r="AC141">
        <f t="shared" ref="AC141" ca="1" si="241">Y141</f>
        <v>0.35897589211123049</v>
      </c>
      <c r="AD141">
        <v>82</v>
      </c>
      <c r="AE141" t="str">
        <f>IF(AND(ISNUMBER(SEARCH(O141,4)),ISNUMBER(SEARCH('(4) FCH pathway assessment'!$B$16,AB141)),ISNUMBER(SEARCH('(4) FCH pathway assessment'!$B$10,AA141))),AD141,"")</f>
        <v/>
      </c>
      <c r="AF141" t="str">
        <f t="shared" si="157"/>
        <v/>
      </c>
      <c r="AG141" t="str">
        <f>VLOOKUP(C141,Assumptions!$B$116:$C$162,2,FALSE)</f>
        <v>ELCTRLYZ_MED_C</v>
      </c>
      <c r="AH141" t="str">
        <f>VLOOKUP(D141,Assumptions!$B$116:$C$162,2,FALSE)</f>
        <v>C_GAS_STRG</v>
      </c>
      <c r="AI141" t="str">
        <f>VLOOKUP(E141,Assumptions!$B$116:$C$162,2,FALSE)</f>
        <v>METHANATION</v>
      </c>
      <c r="AJ141" t="str">
        <f>VLOOKUP(F141,Assumptions!$B$116:$C$162,2,FALSE)</f>
        <v>NG_FC_DCHP_PWR</v>
      </c>
    </row>
    <row r="142" spans="2:36" x14ac:dyDescent="0.25">
      <c r="B142" t="s">
        <v>127</v>
      </c>
      <c r="C142" t="s">
        <v>57</v>
      </c>
      <c r="D142" t="s">
        <v>62</v>
      </c>
      <c r="E142" t="s">
        <v>65</v>
      </c>
      <c r="F142" t="s">
        <v>550</v>
      </c>
      <c r="G142" t="s">
        <v>114</v>
      </c>
      <c r="H142" t="s">
        <v>433</v>
      </c>
      <c r="I142" t="s">
        <v>32</v>
      </c>
      <c r="J142" t="s">
        <v>329</v>
      </c>
      <c r="K142">
        <f t="shared" ref="K142:K143" si="242">SUMPRODUCT(($C$7:$C$18=$C142)*($D$6:$H$6=$D142)*($D$7:$H$18))</f>
        <v>1</v>
      </c>
      <c r="L142">
        <f t="shared" ref="L142:L143" si="243">SUMPRODUCT(($C$19:$C$23=$D142)*($I$6:$O$6=$E142)*($I$19:$O$23))</f>
        <v>0</v>
      </c>
      <c r="M142">
        <f t="shared" ref="M142:M143" si="244">SUMPRODUCT(($C$24:$C$30=$E142)*($P$6:$AI$6=$F142)*($P$24:$AI$30))</f>
        <v>0</v>
      </c>
      <c r="N142">
        <f t="shared" ref="N142:N143" si="245">SUMPRODUCT(($C$31:$C$50=$F142)*($AJ$6:$AM$6=$G142)*($AJ$31:$AM$50))</f>
        <v>1</v>
      </c>
      <c r="O142">
        <f t="shared" ref="O142:O143" si="246">K142+L142+M142+N142</f>
        <v>2</v>
      </c>
      <c r="P142" t="str">
        <f t="shared" ref="P142:P143" si="247">CONCATENATE(C142,"-",J142)</f>
        <v>Large centralized natural gas steam reforming-CO2 emissions</v>
      </c>
      <c r="Q142" t="str">
        <f t="shared" ref="Q142:Q143" si="248">CONCATENATE(D142,"-",J142)</f>
        <v>Underground storage-CO2 emissions</v>
      </c>
      <c r="R142" t="str">
        <f t="shared" ref="R142:R143" si="249">CONCATENATE(E142,"-",J142)</f>
        <v>Methanation-CO2 emissions</v>
      </c>
      <c r="S142" t="str">
        <f t="shared" ref="S142:S143" si="250">CONCATENATE(F142,"-",J142)</f>
        <v>District-CHP with natural gas fuel cell (power)-CO2 emissions</v>
      </c>
      <c r="T142">
        <f ca="1">IF(timePeriod="2020-30",(VLOOKUP($P142,'TA database'!$I$8:$J$79,2,FALSE)/VLOOKUP($D142,'Merit calculation'!$B$48:$I$52,5,FALSE)/VLOOKUP($E142,'Merit calculation'!$B$67:$I$73,5,FALSE)/VLOOKUP($F142,'Merit calculation'!$B$90:$I$103,5,FALSE)/energyContentH2),(VLOOKUP($P142,'TA database'!$I$8:$J$79,2,FALSE)/VLOOKUP($D142,'Merit calculation'!$B$48:$I$52,7,FALSE)/VLOOKUP($E142,'Merit calculation'!$B$67:$I$73,7,FALSE)/VLOOKUP($F142,'Merit calculation'!$B$90:$I$103,7,FALSE)/energyContentH2))</f>
        <v>0.10355750487329433</v>
      </c>
      <c r="U142">
        <v>0</v>
      </c>
      <c r="V142">
        <v>0</v>
      </c>
      <c r="W142">
        <f>IFERROR(VLOOKUP($S142,'TA database'!$I$146:$J$193,2,FALSE),0)</f>
        <v>0</v>
      </c>
      <c r="X142">
        <f ca="1">IFERROR(VLOOKUP($S142,'TA database'!$I$200:$J$271,2,FALSE),0)</f>
        <v>0.26573684210526316</v>
      </c>
      <c r="Y142">
        <f t="shared" ref="Y142:Y143" ca="1" si="251">IF($W142=0,T142*3.6+X142,T142+W142)</f>
        <v>0.63854385964912275</v>
      </c>
      <c r="Z142" t="str">
        <f t="shared" ref="Z142:Z143" si="252">CONCATENATE(AG142,"   →   ",AH142,"   →   ",AI142,"   →   ",AJ142)</f>
        <v>NG_SR_LRG_C   →   C_UNDRGRND_STRG   →   METHANATION   →   NG_FC_DCHP_PWR</v>
      </c>
      <c r="AA142" t="str">
        <f t="shared" ref="AA142:AA143" si="253">G142</f>
        <v>Grid electricity</v>
      </c>
      <c r="AB142" t="str">
        <f t="shared" ref="AB142:AB143" si="254">J142</f>
        <v>CO2 emissions</v>
      </c>
      <c r="AC142">
        <f t="shared" ref="AC142:AC143" ca="1" si="255">Y142</f>
        <v>0.63854385964912275</v>
      </c>
      <c r="AD142">
        <v>83</v>
      </c>
      <c r="AE142" t="str">
        <f>IF(AND(ISNUMBER(SEARCH(O142,4)),ISNUMBER(SEARCH('(4) FCH pathway assessment'!$B$16,AB142)),ISNUMBER(SEARCH('(4) FCH pathway assessment'!$B$10,AA142))),AD142,"")</f>
        <v/>
      </c>
      <c r="AF142" t="str">
        <f t="shared" si="157"/>
        <v/>
      </c>
      <c r="AG142" t="str">
        <f>VLOOKUP(C142,Assumptions!$B$116:$C$162,2,FALSE)</f>
        <v>NG_SR_LRG_C</v>
      </c>
      <c r="AH142" t="str">
        <f>VLOOKUP(D142,Assumptions!$B$116:$C$162,2,FALSE)</f>
        <v>C_UNDRGRND_STRG</v>
      </c>
      <c r="AI142" t="str">
        <f>VLOOKUP(E142,Assumptions!$B$116:$C$162,2,FALSE)</f>
        <v>METHANATION</v>
      </c>
      <c r="AJ142" t="str">
        <f>VLOOKUP(F142,Assumptions!$B$116:$C$162,2,FALSE)</f>
        <v>NG_FC_DCHP_PWR</v>
      </c>
    </row>
    <row r="143" spans="2:36" x14ac:dyDescent="0.25">
      <c r="B143" t="s">
        <v>127</v>
      </c>
      <c r="C143" t="s">
        <v>58</v>
      </c>
      <c r="D143" t="s">
        <v>155</v>
      </c>
      <c r="E143" t="s">
        <v>65</v>
      </c>
      <c r="F143" t="s">
        <v>550</v>
      </c>
      <c r="G143" t="s">
        <v>114</v>
      </c>
      <c r="H143" t="s">
        <v>433</v>
      </c>
      <c r="I143" t="s">
        <v>32</v>
      </c>
      <c r="J143" t="s">
        <v>329</v>
      </c>
      <c r="K143">
        <f t="shared" si="242"/>
        <v>1</v>
      </c>
      <c r="L143">
        <f t="shared" si="243"/>
        <v>1</v>
      </c>
      <c r="M143">
        <f t="shared" si="244"/>
        <v>0</v>
      </c>
      <c r="N143">
        <f t="shared" si="245"/>
        <v>1</v>
      </c>
      <c r="O143">
        <f t="shared" si="246"/>
        <v>3</v>
      </c>
      <c r="P143" t="str">
        <f t="shared" si="247"/>
        <v>Small centralized natural gas steam reforming-CO2 emissions</v>
      </c>
      <c r="Q143" t="str">
        <f t="shared" si="248"/>
        <v>Central gas storage-CO2 emissions</v>
      </c>
      <c r="R143" t="str">
        <f t="shared" si="249"/>
        <v>Methanation-CO2 emissions</v>
      </c>
      <c r="S143" t="str">
        <f t="shared" si="250"/>
        <v>District-CHP with natural gas fuel cell (power)-CO2 emissions</v>
      </c>
      <c r="T143">
        <f ca="1">IF(timePeriod="2020-30",(VLOOKUP($P143,'TA database'!$I$8:$J$79,2,FALSE)/VLOOKUP($D143,'Merit calculation'!$B$48:$I$52,5,FALSE)/VLOOKUP($E143,'Merit calculation'!$B$67:$I$73,5,FALSE)/VLOOKUP($F143,'Merit calculation'!$B$90:$I$103,5,FALSE)/energyContentH2),(VLOOKUP($P143,'TA database'!$I$8:$J$79,2,FALSE)/VLOOKUP($D143,'Merit calculation'!$B$48:$I$52,7,FALSE)/VLOOKUP($E143,'Merit calculation'!$B$67:$I$73,7,FALSE)/VLOOKUP($F143,'Merit calculation'!$B$90:$I$103,7,FALSE)/energyContentH2))</f>
        <v>0.1046142141066953</v>
      </c>
      <c r="U143">
        <v>0</v>
      </c>
      <c r="V143">
        <v>0</v>
      </c>
      <c r="W143">
        <f>IFERROR(VLOOKUP($S143,'TA database'!$I$146:$J$193,2,FALSE),0)</f>
        <v>0</v>
      </c>
      <c r="X143">
        <f ca="1">IFERROR(VLOOKUP($S143,'TA database'!$I$200:$J$271,2,FALSE),0)</f>
        <v>0.26573684210526316</v>
      </c>
      <c r="Y143">
        <f t="shared" ca="1" si="251"/>
        <v>0.64234801288936627</v>
      </c>
      <c r="Z143" t="str">
        <f t="shared" si="252"/>
        <v>NG_SR_SML_C   →   C_GAS_STRG   →   METHANATION   →   NG_FC_DCHP_PWR</v>
      </c>
      <c r="AA143" t="str">
        <f t="shared" si="253"/>
        <v>Grid electricity</v>
      </c>
      <c r="AB143" t="str">
        <f t="shared" si="254"/>
        <v>CO2 emissions</v>
      </c>
      <c r="AC143">
        <f t="shared" ca="1" si="255"/>
        <v>0.64234801288936627</v>
      </c>
      <c r="AD143">
        <v>84</v>
      </c>
      <c r="AE143" t="str">
        <f>IF(AND(ISNUMBER(SEARCH(O143,4)),ISNUMBER(SEARCH('(4) FCH pathway assessment'!$B$16,AB143)),ISNUMBER(SEARCH('(4) FCH pathway assessment'!$B$10,AA143))),AD143,"")</f>
        <v/>
      </c>
      <c r="AF143" t="str">
        <f t="shared" si="157"/>
        <v/>
      </c>
      <c r="AG143" t="str">
        <f>VLOOKUP(C143,Assumptions!$B$116:$C$162,2,FALSE)</f>
        <v>NG_SR_SML_C</v>
      </c>
      <c r="AH143" t="str">
        <f>VLOOKUP(D143,Assumptions!$B$116:$C$162,2,FALSE)</f>
        <v>C_GAS_STRG</v>
      </c>
      <c r="AI143" t="str">
        <f>VLOOKUP(E143,Assumptions!$B$116:$C$162,2,FALSE)</f>
        <v>METHANATION</v>
      </c>
      <c r="AJ143" t="str">
        <f>VLOOKUP(F143,Assumptions!$B$116:$C$162,2,FALSE)</f>
        <v>NG_FC_DCHP_PWR</v>
      </c>
    </row>
    <row r="144" spans="2:36" x14ac:dyDescent="0.25">
      <c r="B144" t="s">
        <v>127</v>
      </c>
      <c r="C144" t="s">
        <v>174</v>
      </c>
      <c r="D144" s="61" t="s">
        <v>177</v>
      </c>
      <c r="E144" t="s">
        <v>180</v>
      </c>
      <c r="F144" t="s">
        <v>550</v>
      </c>
      <c r="G144" t="s">
        <v>114</v>
      </c>
      <c r="H144" t="s">
        <v>433</v>
      </c>
      <c r="I144" t="s">
        <v>32</v>
      </c>
      <c r="J144" t="s">
        <v>329</v>
      </c>
      <c r="K144">
        <f t="shared" ref="K144:K148" si="256">SUMPRODUCT(($C$7:$C$18=$C144)*($D$6:$H$6=$D144)*($D$7:$H$18))</f>
        <v>1</v>
      </c>
      <c r="L144">
        <f t="shared" ref="L144:L148" si="257">SUMPRODUCT(($C$19:$C$23=$D144)*($I$6:$O$6=$E144)*($I$19:$O$23))</f>
        <v>1</v>
      </c>
      <c r="M144">
        <f t="shared" ref="M144:M148" si="258">SUMPRODUCT(($C$24:$C$30=$E144)*($P$6:$AI$6=$F144)*($P$24:$AI$30))</f>
        <v>1</v>
      </c>
      <c r="N144">
        <f t="shared" ref="N144:N148" si="259">SUMPRODUCT(($C$31:$C$50=$F144)*($AJ$6:$AM$6=$G144)*($AJ$31:$AM$50))</f>
        <v>1</v>
      </c>
      <c r="O144">
        <f t="shared" ref="O144:O148" si="260">K144+L144+M144+N144</f>
        <v>4</v>
      </c>
      <c r="P144" t="str">
        <f t="shared" ref="P144:P148" si="261">CONCATENATE(C144,"-",J144)</f>
        <v>Natural gas production-CO2 emissions</v>
      </c>
      <c r="Q144" t="str">
        <f t="shared" ref="Q144:Q148" si="262">CONCATENATE(D144,"-",J144)</f>
        <v>Natural gas storage-CO2 emissions</v>
      </c>
      <c r="R144" t="str">
        <f t="shared" ref="R144:R148" si="263">CONCATENATE(E144,"-",J144)</f>
        <v>Natural gas transport-CO2 emissions</v>
      </c>
      <c r="S144" t="str">
        <f t="shared" ref="S144:S148" si="264">CONCATENATE(F144,"-",J144)</f>
        <v>District-CHP with natural gas fuel cell (power)-CO2 emissions</v>
      </c>
      <c r="T144">
        <f ca="1">IF(timePeriod="2020-30",(VLOOKUP($P144,'TA database'!$I$8:$J$79,2,FALSE)/VLOOKUP($D144,'Merit calculation'!$B$48:$I$52,5,FALSE)/VLOOKUP($E144,'Merit calculation'!$B$67:$I$73,5,FALSE)/VLOOKUP($F144,'Merit calculation'!$B$90:$I$103,5,FALSE)/energyContentH2),(VLOOKUP($P144,'TA database'!$I$8:$J$79,2,FALSE)/VLOOKUP($D144,'Merit calculation'!$B$48:$I$52,7,FALSE)/VLOOKUP($E144,'Merit calculation'!$B$67:$I$73,7,FALSE)/VLOOKUP($F144,'Merit calculation'!$B$90:$I$103,7,FALSE)/energyContentH2))</f>
        <v>0</v>
      </c>
      <c r="U144">
        <v>0</v>
      </c>
      <c r="V144">
        <v>0</v>
      </c>
      <c r="W144">
        <f>IFERROR(VLOOKUP($S144,'TA database'!$I$146:$J$193,2,FALSE),0)</f>
        <v>0</v>
      </c>
      <c r="X144">
        <f ca="1">IFERROR(VLOOKUP($S144,'TA database'!$I$200:$J$271,2,FALSE),0)</f>
        <v>0.26573684210526316</v>
      </c>
      <c r="Y144">
        <f t="shared" ref="Y144:Y148" ca="1" si="265">IF($W144=0,T144*3.6+X144,T144+W144)</f>
        <v>0.26573684210526316</v>
      </c>
      <c r="Z144" t="str">
        <f t="shared" ref="Z144:Z148" si="266">CONCATENATE(AG144,"   →   ",AH144,"   →   ",AI144,"   →   ",AJ144)</f>
        <v>[NG_PROD]   →   [NG_STRG]   →   [NG_TRNSP]   →   NG_FC_DCHP_PWR</v>
      </c>
      <c r="AA144" t="str">
        <f t="shared" ref="AA144:AA148" si="267">G144</f>
        <v>Grid electricity</v>
      </c>
      <c r="AB144" t="str">
        <f t="shared" ref="AB144:AB148" si="268">J144</f>
        <v>CO2 emissions</v>
      </c>
      <c r="AC144">
        <f t="shared" ref="AC144:AC148" ca="1" si="269">Y144</f>
        <v>0.26573684210526316</v>
      </c>
      <c r="AD144">
        <v>85</v>
      </c>
      <c r="AE144" t="str">
        <f>IF(AND(ISNUMBER(SEARCH(O144,4)),ISNUMBER(SEARCH('(4) FCH pathway assessment'!$B$16,AB144)),ISNUMBER(SEARCH('(4) FCH pathway assessment'!$B$10,AA144))),AD144,"")</f>
        <v/>
      </c>
      <c r="AF144" t="str">
        <f t="shared" si="157"/>
        <v/>
      </c>
      <c r="AG144" t="str">
        <f>VLOOKUP(C144,Assumptions!$B$116:$C$162,2,FALSE)</f>
        <v>[NG_PROD]</v>
      </c>
      <c r="AH144" t="str">
        <f>VLOOKUP(D144,Assumptions!$B$116:$C$162,2,FALSE)</f>
        <v>[NG_STRG]</v>
      </c>
      <c r="AI144" t="str">
        <f>VLOOKUP(E144,Assumptions!$B$116:$C$162,2,FALSE)</f>
        <v>[NG_TRNSP]</v>
      </c>
      <c r="AJ144" t="str">
        <f>VLOOKUP(F144,Assumptions!$B$116:$C$162,2,FALSE)</f>
        <v>NG_FC_DCHP_PWR</v>
      </c>
    </row>
    <row r="145" spans="2:36" x14ac:dyDescent="0.25">
      <c r="B145" t="s">
        <v>117</v>
      </c>
      <c r="C145" t="s">
        <v>53</v>
      </c>
      <c r="D145" t="s">
        <v>155</v>
      </c>
      <c r="E145" t="s">
        <v>157</v>
      </c>
      <c r="F145" t="s">
        <v>163</v>
      </c>
      <c r="G145" t="s">
        <v>114</v>
      </c>
      <c r="H145" t="s">
        <v>433</v>
      </c>
      <c r="I145" t="s">
        <v>32</v>
      </c>
      <c r="J145" t="s">
        <v>329</v>
      </c>
      <c r="K145">
        <f t="shared" si="256"/>
        <v>0</v>
      </c>
      <c r="L145">
        <f t="shared" si="257"/>
        <v>1</v>
      </c>
      <c r="M145">
        <f t="shared" si="258"/>
        <v>0</v>
      </c>
      <c r="N145">
        <f t="shared" si="259"/>
        <v>0</v>
      </c>
      <c r="O145">
        <f t="shared" si="260"/>
        <v>1</v>
      </c>
      <c r="P145" t="str">
        <f t="shared" si="261"/>
        <v>Medium centralized biomass gasification-CO2 emissions</v>
      </c>
      <c r="Q145" t="str">
        <f t="shared" si="262"/>
        <v>Central gas storage-CO2 emissions</v>
      </c>
      <c r="R145" t="str">
        <f t="shared" si="263"/>
        <v>Blending in natural gas pipeline-CO2 emissions</v>
      </c>
      <c r="S145" t="str">
        <f t="shared" si="264"/>
        <v>Hydrogen turbine (CC)-CO2 emissions</v>
      </c>
      <c r="T145">
        <f ca="1">IF(timePeriod="2020-30",(VLOOKUP($P145,'TA database'!$I$8:$J$79,2,FALSE)/VLOOKUP($D145,'Merit calculation'!$B$48:$I$52,5,FALSE)/VLOOKUP($E145,'Merit calculation'!$B$67:$I$73,5,FALSE)/VLOOKUP($F145,'Merit calculation'!$B$90:$I$103,5,FALSE)/energyContentH2),(VLOOKUP($P145,'TA database'!$I$8:$J$79,2,FALSE)/VLOOKUP($D145,'Merit calculation'!$B$48:$I$52,7,FALSE)/VLOOKUP($E145,'Merit calculation'!$B$67:$I$73,7,FALSE)/VLOOKUP($F145,'Merit calculation'!$B$90:$I$103,7,FALSE)/energyContentH2))</f>
        <v>0</v>
      </c>
      <c r="U145">
        <v>0</v>
      </c>
      <c r="V145">
        <v>0</v>
      </c>
      <c r="W145">
        <f>IFERROR(VLOOKUP($S145,'TA database'!$I$146:$J$193,2,FALSE),0)</f>
        <v>0</v>
      </c>
      <c r="X145">
        <f ca="1">IFERROR(VLOOKUP($S145,'TA database'!$I$200:$J$271,2,FALSE),0)</f>
        <v>0</v>
      </c>
      <c r="Y145">
        <f t="shared" ca="1" si="265"/>
        <v>0</v>
      </c>
      <c r="Z145" t="str">
        <f t="shared" si="266"/>
        <v>BIO_GSF_MED_C   →   C_GAS_STRG   →   H2_BLND_NG_P   →   H2_CCGT_PWR</v>
      </c>
      <c r="AA145" t="str">
        <f t="shared" si="267"/>
        <v>Grid electricity</v>
      </c>
      <c r="AB145" t="str">
        <f t="shared" si="268"/>
        <v>CO2 emissions</v>
      </c>
      <c r="AC145">
        <f t="shared" ca="1" si="269"/>
        <v>0</v>
      </c>
      <c r="AD145">
        <v>86</v>
      </c>
      <c r="AE145" t="str">
        <f>IF(AND(ISNUMBER(SEARCH(O145,4)),ISNUMBER(SEARCH('(4) FCH pathway assessment'!$B$16,AB145)),ISNUMBER(SEARCH('(4) FCH pathway assessment'!$B$10,AA145))),AD145,"")</f>
        <v/>
      </c>
      <c r="AF145" t="str">
        <f t="shared" si="157"/>
        <v/>
      </c>
      <c r="AG145" t="str">
        <f>VLOOKUP(C145,Assumptions!$B$116:$C$162,2,FALSE)</f>
        <v>BIO_GSF_MED_C</v>
      </c>
      <c r="AH145" t="str">
        <f>VLOOKUP(D145,Assumptions!$B$116:$C$162,2,FALSE)</f>
        <v>C_GAS_STRG</v>
      </c>
      <c r="AI145" t="str">
        <f>VLOOKUP(E145,Assumptions!$B$116:$C$162,2,FALSE)</f>
        <v>H2_BLND_NG_P</v>
      </c>
      <c r="AJ145" t="str">
        <f>VLOOKUP(F145,Assumptions!$B$116:$C$162,2,FALSE)</f>
        <v>H2_CCGT_PWR</v>
      </c>
    </row>
    <row r="146" spans="2:36" x14ac:dyDescent="0.25">
      <c r="B146" t="s">
        <v>117</v>
      </c>
      <c r="C146" t="s">
        <v>53</v>
      </c>
      <c r="D146" t="s">
        <v>155</v>
      </c>
      <c r="E146" t="s">
        <v>122</v>
      </c>
      <c r="F146" t="s">
        <v>163</v>
      </c>
      <c r="G146" t="s">
        <v>114</v>
      </c>
      <c r="H146" t="s">
        <v>433</v>
      </c>
      <c r="I146" t="s">
        <v>32</v>
      </c>
      <c r="J146" t="s">
        <v>329</v>
      </c>
      <c r="K146">
        <f t="shared" si="256"/>
        <v>0</v>
      </c>
      <c r="L146">
        <f t="shared" si="257"/>
        <v>1</v>
      </c>
      <c r="M146">
        <f t="shared" si="258"/>
        <v>1</v>
      </c>
      <c r="N146">
        <f t="shared" si="259"/>
        <v>0</v>
      </c>
      <c r="O146">
        <f t="shared" si="260"/>
        <v>2</v>
      </c>
      <c r="P146" t="str">
        <f t="shared" si="261"/>
        <v>Medium centralized biomass gasification-CO2 emissions</v>
      </c>
      <c r="Q146" t="str">
        <f t="shared" si="262"/>
        <v>Central gas storage-CO2 emissions</v>
      </c>
      <c r="R146" t="str">
        <f t="shared" si="263"/>
        <v>Hydrogen transmission &amp; distribution pipeline-CO2 emissions</v>
      </c>
      <c r="S146" t="str">
        <f t="shared" si="264"/>
        <v>Hydrogen turbine (CC)-CO2 emissions</v>
      </c>
      <c r="T146">
        <f ca="1">IF(timePeriod="2020-30",(VLOOKUP($P146,'TA database'!$I$8:$J$79,2,FALSE)/VLOOKUP($D146,'Merit calculation'!$B$48:$I$52,5,FALSE)/VLOOKUP($E146,'Merit calculation'!$B$67:$I$73,5,FALSE)/VLOOKUP($F146,'Merit calculation'!$B$90:$I$103,5,FALSE)/energyContentH2),(VLOOKUP($P146,'TA database'!$I$8:$J$79,2,FALSE)/VLOOKUP($D146,'Merit calculation'!$B$48:$I$52,7,FALSE)/VLOOKUP($E146,'Merit calculation'!$B$67:$I$73,7,FALSE)/VLOOKUP($F146,'Merit calculation'!$B$90:$I$103,7,FALSE)/energyContentH2))</f>
        <v>0</v>
      </c>
      <c r="U146">
        <v>0</v>
      </c>
      <c r="V146">
        <v>0</v>
      </c>
      <c r="W146">
        <f>IFERROR(VLOOKUP($S146,'TA database'!$I$146:$J$193,2,FALSE),0)</f>
        <v>0</v>
      </c>
      <c r="X146">
        <f ca="1">IFERROR(VLOOKUP($S146,'TA database'!$I$200:$J$271,2,FALSE),0)</f>
        <v>0</v>
      </c>
      <c r="Y146">
        <f t="shared" ca="1" si="265"/>
        <v>0</v>
      </c>
      <c r="Z146" t="str">
        <f t="shared" si="266"/>
        <v>BIO_GSF_MED_C   →   C_GAS_STRG   →   H2_T&amp;D_P   →   H2_CCGT_PWR</v>
      </c>
      <c r="AA146" t="str">
        <f t="shared" si="267"/>
        <v>Grid electricity</v>
      </c>
      <c r="AB146" t="str">
        <f t="shared" si="268"/>
        <v>CO2 emissions</v>
      </c>
      <c r="AC146">
        <f t="shared" ca="1" si="269"/>
        <v>0</v>
      </c>
      <c r="AD146">
        <v>87</v>
      </c>
      <c r="AE146" t="str">
        <f>IF(AND(ISNUMBER(SEARCH(O146,4)),ISNUMBER(SEARCH('(4) FCH pathway assessment'!$B$16,AB146)),ISNUMBER(SEARCH('(4) FCH pathway assessment'!$B$10,AA146))),AD146,"")</f>
        <v/>
      </c>
      <c r="AF146" t="str">
        <f t="shared" si="157"/>
        <v/>
      </c>
      <c r="AG146" t="str">
        <f>VLOOKUP(C146,Assumptions!$B$116:$C$162,2,FALSE)</f>
        <v>BIO_GSF_MED_C</v>
      </c>
      <c r="AH146" t="str">
        <f>VLOOKUP(D146,Assumptions!$B$116:$C$162,2,FALSE)</f>
        <v>C_GAS_STRG</v>
      </c>
      <c r="AI146" t="str">
        <f>VLOOKUP(E146,Assumptions!$B$116:$C$162,2,FALSE)</f>
        <v>H2_T&amp;D_P</v>
      </c>
      <c r="AJ146" t="str">
        <f>VLOOKUP(F146,Assumptions!$B$116:$C$162,2,FALSE)</f>
        <v>H2_CCGT_PWR</v>
      </c>
    </row>
    <row r="147" spans="2:36" x14ac:dyDescent="0.25">
      <c r="B147" t="s">
        <v>117</v>
      </c>
      <c r="C147" t="s">
        <v>53</v>
      </c>
      <c r="D147" t="s">
        <v>155</v>
      </c>
      <c r="E147" t="s">
        <v>116</v>
      </c>
      <c r="F147" t="s">
        <v>163</v>
      </c>
      <c r="G147" t="s">
        <v>114</v>
      </c>
      <c r="H147" t="s">
        <v>433</v>
      </c>
      <c r="I147" t="s">
        <v>32</v>
      </c>
      <c r="J147" t="s">
        <v>329</v>
      </c>
      <c r="K147">
        <f t="shared" si="256"/>
        <v>0</v>
      </c>
      <c r="L147">
        <f t="shared" si="257"/>
        <v>1</v>
      </c>
      <c r="M147">
        <f t="shared" si="258"/>
        <v>1</v>
      </c>
      <c r="N147">
        <f t="shared" si="259"/>
        <v>0</v>
      </c>
      <c r="O147">
        <f t="shared" si="260"/>
        <v>2</v>
      </c>
      <c r="P147" t="str">
        <f t="shared" si="261"/>
        <v>Medium centralized biomass gasification-CO2 emissions</v>
      </c>
      <c r="Q147" t="str">
        <f t="shared" si="262"/>
        <v>Central gas storage-CO2 emissions</v>
      </c>
      <c r="R147" t="str">
        <f t="shared" si="263"/>
        <v>Liquid hydrogen truck-CO2 emissions</v>
      </c>
      <c r="S147" t="str">
        <f t="shared" si="264"/>
        <v>Hydrogen turbine (CC)-CO2 emissions</v>
      </c>
      <c r="T147">
        <f ca="1">IF(timePeriod="2020-30",(VLOOKUP($P147,'TA database'!$I$8:$J$79,2,FALSE)/VLOOKUP($D147,'Merit calculation'!$B$48:$I$52,5,FALSE)/VLOOKUP($E147,'Merit calculation'!$B$67:$I$73,5,FALSE)/VLOOKUP($F147,'Merit calculation'!$B$90:$I$103,5,FALSE)/energyContentH2),(VLOOKUP($P147,'TA database'!$I$8:$J$79,2,FALSE)/VLOOKUP($D147,'Merit calculation'!$B$48:$I$52,7,FALSE)/VLOOKUP($E147,'Merit calculation'!$B$67:$I$73,7,FALSE)/VLOOKUP($F147,'Merit calculation'!$B$90:$I$103,7,FALSE)/energyContentH2))</f>
        <v>0</v>
      </c>
      <c r="U147">
        <v>0</v>
      </c>
      <c r="V147">
        <v>0</v>
      </c>
      <c r="W147">
        <f>IFERROR(VLOOKUP($S147,'TA database'!$I$146:$J$193,2,FALSE),0)</f>
        <v>0</v>
      </c>
      <c r="X147">
        <f ca="1">IFERROR(VLOOKUP($S147,'TA database'!$I$200:$J$271,2,FALSE),0)</f>
        <v>0</v>
      </c>
      <c r="Y147">
        <f t="shared" ca="1" si="265"/>
        <v>0</v>
      </c>
      <c r="Z147" t="str">
        <f t="shared" si="266"/>
        <v>BIO_GSF_MED_C   →   C_GAS_STRG   →   LQ_TRUCK   →   H2_CCGT_PWR</v>
      </c>
      <c r="AA147" t="str">
        <f t="shared" si="267"/>
        <v>Grid electricity</v>
      </c>
      <c r="AB147" t="str">
        <f t="shared" si="268"/>
        <v>CO2 emissions</v>
      </c>
      <c r="AC147">
        <f t="shared" ca="1" si="269"/>
        <v>0</v>
      </c>
      <c r="AD147">
        <v>88</v>
      </c>
      <c r="AE147" t="str">
        <f>IF(AND(ISNUMBER(SEARCH(O147,4)),ISNUMBER(SEARCH('(4) FCH pathway assessment'!$B$16,AB147)),ISNUMBER(SEARCH('(4) FCH pathway assessment'!$B$10,AA147))),AD147,"")</f>
        <v/>
      </c>
      <c r="AF147" t="str">
        <f t="shared" si="157"/>
        <v/>
      </c>
      <c r="AG147" t="str">
        <f>VLOOKUP(C147,Assumptions!$B$116:$C$162,2,FALSE)</f>
        <v>BIO_GSF_MED_C</v>
      </c>
      <c r="AH147" t="str">
        <f>VLOOKUP(D147,Assumptions!$B$116:$C$162,2,FALSE)</f>
        <v>C_GAS_STRG</v>
      </c>
      <c r="AI147" t="str">
        <f>VLOOKUP(E147,Assumptions!$B$116:$C$162,2,FALSE)</f>
        <v>LQ_TRUCK</v>
      </c>
      <c r="AJ147" t="str">
        <f>VLOOKUP(F147,Assumptions!$B$116:$C$162,2,FALSE)</f>
        <v>H2_CCGT_PWR</v>
      </c>
    </row>
    <row r="148" spans="2:36" x14ac:dyDescent="0.25">
      <c r="B148" t="s">
        <v>117</v>
      </c>
      <c r="C148" t="s">
        <v>53</v>
      </c>
      <c r="D148" t="s">
        <v>155</v>
      </c>
      <c r="E148" t="s">
        <v>66</v>
      </c>
      <c r="F148" t="s">
        <v>163</v>
      </c>
      <c r="G148" t="s">
        <v>114</v>
      </c>
      <c r="H148" t="s">
        <v>433</v>
      </c>
      <c r="I148" t="s">
        <v>32</v>
      </c>
      <c r="J148" t="s">
        <v>329</v>
      </c>
      <c r="K148">
        <f t="shared" si="256"/>
        <v>0</v>
      </c>
      <c r="L148">
        <f t="shared" si="257"/>
        <v>1</v>
      </c>
      <c r="M148">
        <f t="shared" si="258"/>
        <v>1</v>
      </c>
      <c r="N148">
        <f t="shared" si="259"/>
        <v>0</v>
      </c>
      <c r="O148">
        <f t="shared" si="260"/>
        <v>2</v>
      </c>
      <c r="P148" t="str">
        <f t="shared" si="261"/>
        <v>Medium centralized biomass gasification-CO2 emissions</v>
      </c>
      <c r="Q148" t="str">
        <f t="shared" si="262"/>
        <v>Central gas storage-CO2 emissions</v>
      </c>
      <c r="R148" t="str">
        <f t="shared" si="263"/>
        <v>Onsite-CO2 emissions</v>
      </c>
      <c r="S148" t="str">
        <f t="shared" si="264"/>
        <v>Hydrogen turbine (CC)-CO2 emissions</v>
      </c>
      <c r="T148">
        <f ca="1">IF(timePeriod="2020-30",(VLOOKUP($P148,'TA database'!$I$8:$J$79,2,FALSE)/VLOOKUP($D148,'Merit calculation'!$B$48:$I$52,5,FALSE)/VLOOKUP($E148,'Merit calculation'!$B$67:$I$73,5,FALSE)/VLOOKUP($F148,'Merit calculation'!$B$90:$I$103,5,FALSE)/energyContentH2),(VLOOKUP($P148,'TA database'!$I$8:$J$79,2,FALSE)/VLOOKUP($D148,'Merit calculation'!$B$48:$I$52,7,FALSE)/VLOOKUP($E148,'Merit calculation'!$B$67:$I$73,7,FALSE)/VLOOKUP($F148,'Merit calculation'!$B$90:$I$103,7,FALSE)/energyContentH2))</f>
        <v>0</v>
      </c>
      <c r="U148">
        <v>0</v>
      </c>
      <c r="V148">
        <v>0</v>
      </c>
      <c r="W148">
        <f>IFERROR(VLOOKUP($S148,'TA database'!$I$146:$J$193,2,FALSE),0)</f>
        <v>0</v>
      </c>
      <c r="X148">
        <f ca="1">IFERROR(VLOOKUP($S148,'TA database'!$I$200:$J$271,2,FALSE),0)</f>
        <v>0</v>
      </c>
      <c r="Y148">
        <f t="shared" ca="1" si="265"/>
        <v>0</v>
      </c>
      <c r="Z148" t="str">
        <f t="shared" si="266"/>
        <v>BIO_GSF_MED_C   →   C_GAS_STRG   →   ONSITE_USE   →   H2_CCGT_PWR</v>
      </c>
      <c r="AA148" t="str">
        <f t="shared" si="267"/>
        <v>Grid electricity</v>
      </c>
      <c r="AB148" t="str">
        <f t="shared" si="268"/>
        <v>CO2 emissions</v>
      </c>
      <c r="AC148">
        <f t="shared" ca="1" si="269"/>
        <v>0</v>
      </c>
      <c r="AD148">
        <v>89</v>
      </c>
      <c r="AE148" t="str">
        <f>IF(AND(ISNUMBER(SEARCH(O148,4)),ISNUMBER(SEARCH('(4) FCH pathway assessment'!$B$16,AB148)),ISNUMBER(SEARCH('(4) FCH pathway assessment'!$B$10,AA148))),AD148,"")</f>
        <v/>
      </c>
      <c r="AF148" t="str">
        <f t="shared" si="157"/>
        <v/>
      </c>
      <c r="AG148" t="str">
        <f>VLOOKUP(C148,Assumptions!$B$116:$C$162,2,FALSE)</f>
        <v>BIO_GSF_MED_C</v>
      </c>
      <c r="AH148" t="str">
        <f>VLOOKUP(D148,Assumptions!$B$116:$C$162,2,FALSE)</f>
        <v>C_GAS_STRG</v>
      </c>
      <c r="AI148" t="str">
        <f>VLOOKUP(E148,Assumptions!$B$116:$C$162,2,FALSE)</f>
        <v>ONSITE_USE</v>
      </c>
      <c r="AJ148" t="str">
        <f>VLOOKUP(F148,Assumptions!$B$116:$C$162,2,FALSE)</f>
        <v>H2_CCGT_PWR</v>
      </c>
    </row>
    <row r="149" spans="2:36" x14ac:dyDescent="0.25">
      <c r="B149" t="s">
        <v>117</v>
      </c>
      <c r="C149" t="s">
        <v>54</v>
      </c>
      <c r="D149" t="s">
        <v>155</v>
      </c>
      <c r="E149" t="s">
        <v>157</v>
      </c>
      <c r="F149" t="s">
        <v>163</v>
      </c>
      <c r="G149" t="s">
        <v>114</v>
      </c>
      <c r="H149" t="s">
        <v>433</v>
      </c>
      <c r="I149" t="s">
        <v>32</v>
      </c>
      <c r="J149" t="s">
        <v>329</v>
      </c>
      <c r="K149">
        <f t="shared" ref="K149:K152" si="270">SUMPRODUCT(($C$7:$C$18=$C149)*($D$6:$H$6=$D149)*($D$7:$H$18))</f>
        <v>0</v>
      </c>
      <c r="L149">
        <f t="shared" ref="L149:L152" si="271">SUMPRODUCT(($C$19:$C$23=$D149)*($I$6:$O$6=$E149)*($I$19:$O$23))</f>
        <v>1</v>
      </c>
      <c r="M149">
        <f t="shared" ref="M149:M152" si="272">SUMPRODUCT(($C$24:$C$30=$E149)*($P$6:$AI$6=$F149)*($P$24:$AI$30))</f>
        <v>0</v>
      </c>
      <c r="N149">
        <f t="shared" ref="N149:N152" si="273">SUMPRODUCT(($C$31:$C$50=$F149)*($AJ$6:$AM$6=$G149)*($AJ$31:$AM$50))</f>
        <v>0</v>
      </c>
      <c r="O149">
        <f t="shared" ref="O149:O152" si="274">K149+L149+M149+N149</f>
        <v>1</v>
      </c>
      <c r="P149" t="str">
        <f t="shared" ref="P149:P152" si="275">CONCATENATE(C149,"-",J149)</f>
        <v>Medium centralized biomass gasification w/ CCS-CO2 emissions</v>
      </c>
      <c r="Q149" t="str">
        <f t="shared" ref="Q149:Q152" si="276">CONCATENATE(D149,"-",J149)</f>
        <v>Central gas storage-CO2 emissions</v>
      </c>
      <c r="R149" t="str">
        <f t="shared" ref="R149:R152" si="277">CONCATENATE(E149,"-",J149)</f>
        <v>Blending in natural gas pipeline-CO2 emissions</v>
      </c>
      <c r="S149" t="str">
        <f t="shared" ref="S149:S152" si="278">CONCATENATE(F149,"-",J149)</f>
        <v>Hydrogen turbine (CC)-CO2 emissions</v>
      </c>
      <c r="T149">
        <f ca="1">IF(timePeriod="2020-30",(VLOOKUP($P149,'TA database'!$I$8:$J$79,2,FALSE)/VLOOKUP($D149,'Merit calculation'!$B$48:$I$52,5,FALSE)/VLOOKUP($E149,'Merit calculation'!$B$67:$I$73,5,FALSE)/VLOOKUP($F149,'Merit calculation'!$B$90:$I$103,5,FALSE)/energyContentH2),(VLOOKUP($P149,'TA database'!$I$8:$J$79,2,FALSE)/VLOOKUP($D149,'Merit calculation'!$B$48:$I$52,7,FALSE)/VLOOKUP($E149,'Merit calculation'!$B$67:$I$73,7,FALSE)/VLOOKUP($F149,'Merit calculation'!$B$90:$I$103,7,FALSE)/energyContentH2))</f>
        <v>-0.36075036075036071</v>
      </c>
      <c r="U149">
        <v>0</v>
      </c>
      <c r="V149">
        <v>0</v>
      </c>
      <c r="W149">
        <f>IFERROR(VLOOKUP($S149,'TA database'!$I$146:$J$193,2,FALSE),0)</f>
        <v>0</v>
      </c>
      <c r="X149">
        <f ca="1">IFERROR(VLOOKUP($S149,'TA database'!$I$200:$J$271,2,FALSE),0)</f>
        <v>0</v>
      </c>
      <c r="Y149">
        <f t="shared" ref="Y149:Y152" ca="1" si="279">IF($W149=0,T149*3.6+X149,T149+W149)</f>
        <v>-1.2987012987012987</v>
      </c>
      <c r="Z149" t="str">
        <f t="shared" ref="Z149:Z152" si="280">CONCATENATE(AG149,"   →   ",AH149,"   →   ",AI149,"   →   ",AJ149)</f>
        <v>BIO_GSF_CCS_MED_C   →   C_GAS_STRG   →   H2_BLND_NG_P   →   H2_CCGT_PWR</v>
      </c>
      <c r="AA149" t="str">
        <f t="shared" ref="AA149:AA152" si="281">G149</f>
        <v>Grid electricity</v>
      </c>
      <c r="AB149" t="str">
        <f t="shared" ref="AB149:AB152" si="282">J149</f>
        <v>CO2 emissions</v>
      </c>
      <c r="AC149">
        <f t="shared" ref="AC149:AC152" ca="1" si="283">Y149</f>
        <v>-1.2987012987012987</v>
      </c>
      <c r="AD149">
        <v>90</v>
      </c>
      <c r="AE149" t="str">
        <f>IF(AND(ISNUMBER(SEARCH(O149,4)),ISNUMBER(SEARCH('(4) FCH pathway assessment'!$B$16,AB149)),ISNUMBER(SEARCH('(4) FCH pathway assessment'!$B$10,AA149))),AD149,"")</f>
        <v/>
      </c>
      <c r="AF149" t="str">
        <f t="shared" si="157"/>
        <v/>
      </c>
      <c r="AG149" t="str">
        <f>VLOOKUP(C149,Assumptions!$B$116:$C$162,2,FALSE)</f>
        <v>BIO_GSF_CCS_MED_C</v>
      </c>
      <c r="AH149" t="str">
        <f>VLOOKUP(D149,Assumptions!$B$116:$C$162,2,FALSE)</f>
        <v>C_GAS_STRG</v>
      </c>
      <c r="AI149" t="str">
        <f>VLOOKUP(E149,Assumptions!$B$116:$C$162,2,FALSE)</f>
        <v>H2_BLND_NG_P</v>
      </c>
      <c r="AJ149" t="str">
        <f>VLOOKUP(F149,Assumptions!$B$116:$C$162,2,FALSE)</f>
        <v>H2_CCGT_PWR</v>
      </c>
    </row>
    <row r="150" spans="2:36" x14ac:dyDescent="0.25">
      <c r="B150" t="s">
        <v>117</v>
      </c>
      <c r="C150" t="s">
        <v>54</v>
      </c>
      <c r="D150" t="s">
        <v>155</v>
      </c>
      <c r="E150" t="s">
        <v>122</v>
      </c>
      <c r="F150" t="s">
        <v>163</v>
      </c>
      <c r="G150" t="s">
        <v>114</v>
      </c>
      <c r="H150" t="s">
        <v>433</v>
      </c>
      <c r="I150" t="s">
        <v>32</v>
      </c>
      <c r="J150" t="s">
        <v>329</v>
      </c>
      <c r="K150">
        <f t="shared" si="270"/>
        <v>0</v>
      </c>
      <c r="L150">
        <f t="shared" si="271"/>
        <v>1</v>
      </c>
      <c r="M150">
        <f t="shared" si="272"/>
        <v>1</v>
      </c>
      <c r="N150">
        <f t="shared" si="273"/>
        <v>0</v>
      </c>
      <c r="O150">
        <f t="shared" si="274"/>
        <v>2</v>
      </c>
      <c r="P150" t="str">
        <f t="shared" si="275"/>
        <v>Medium centralized biomass gasification w/ CCS-CO2 emissions</v>
      </c>
      <c r="Q150" t="str">
        <f t="shared" si="276"/>
        <v>Central gas storage-CO2 emissions</v>
      </c>
      <c r="R150" t="str">
        <f t="shared" si="277"/>
        <v>Hydrogen transmission &amp; distribution pipeline-CO2 emissions</v>
      </c>
      <c r="S150" t="str">
        <f t="shared" si="278"/>
        <v>Hydrogen turbine (CC)-CO2 emissions</v>
      </c>
      <c r="T150">
        <f ca="1">IF(timePeriod="2020-30",(VLOOKUP($P150,'TA database'!$I$8:$J$79,2,FALSE)/VLOOKUP($D150,'Merit calculation'!$B$48:$I$52,5,FALSE)/VLOOKUP($E150,'Merit calculation'!$B$67:$I$73,5,FALSE)/VLOOKUP($F150,'Merit calculation'!$B$90:$I$103,5,FALSE)/energyContentH2),(VLOOKUP($P150,'TA database'!$I$8:$J$79,2,FALSE)/VLOOKUP($D150,'Merit calculation'!$B$48:$I$52,7,FALSE)/VLOOKUP($E150,'Merit calculation'!$B$67:$I$73,7,FALSE)/VLOOKUP($F150,'Merit calculation'!$B$90:$I$103,7,FALSE)/energyContentH2))</f>
        <v>-0.36075036075036071</v>
      </c>
      <c r="U150">
        <v>0</v>
      </c>
      <c r="V150">
        <v>0</v>
      </c>
      <c r="W150">
        <f>IFERROR(VLOOKUP($S150,'TA database'!$I$146:$J$193,2,FALSE),0)</f>
        <v>0</v>
      </c>
      <c r="X150">
        <f ca="1">IFERROR(VLOOKUP($S150,'TA database'!$I$200:$J$271,2,FALSE),0)</f>
        <v>0</v>
      </c>
      <c r="Y150">
        <f t="shared" ca="1" si="279"/>
        <v>-1.2987012987012987</v>
      </c>
      <c r="Z150" t="str">
        <f t="shared" si="280"/>
        <v>BIO_GSF_CCS_MED_C   →   C_GAS_STRG   →   H2_T&amp;D_P   →   H2_CCGT_PWR</v>
      </c>
      <c r="AA150" t="str">
        <f t="shared" si="281"/>
        <v>Grid electricity</v>
      </c>
      <c r="AB150" t="str">
        <f t="shared" si="282"/>
        <v>CO2 emissions</v>
      </c>
      <c r="AC150">
        <f t="shared" ca="1" si="283"/>
        <v>-1.2987012987012987</v>
      </c>
      <c r="AD150">
        <v>91</v>
      </c>
      <c r="AE150" t="str">
        <f>IF(AND(ISNUMBER(SEARCH(O150,4)),ISNUMBER(SEARCH('(4) FCH pathway assessment'!$B$16,AB150)),ISNUMBER(SEARCH('(4) FCH pathway assessment'!$B$10,AA150))),AD150,"")</f>
        <v/>
      </c>
      <c r="AF150" t="str">
        <f t="shared" si="157"/>
        <v/>
      </c>
      <c r="AG150" t="str">
        <f>VLOOKUP(C150,Assumptions!$B$116:$C$162,2,FALSE)</f>
        <v>BIO_GSF_CCS_MED_C</v>
      </c>
      <c r="AH150" t="str">
        <f>VLOOKUP(D150,Assumptions!$B$116:$C$162,2,FALSE)</f>
        <v>C_GAS_STRG</v>
      </c>
      <c r="AI150" t="str">
        <f>VLOOKUP(E150,Assumptions!$B$116:$C$162,2,FALSE)</f>
        <v>H2_T&amp;D_P</v>
      </c>
      <c r="AJ150" t="str">
        <f>VLOOKUP(F150,Assumptions!$B$116:$C$162,2,FALSE)</f>
        <v>H2_CCGT_PWR</v>
      </c>
    </row>
    <row r="151" spans="2:36" x14ac:dyDescent="0.25">
      <c r="B151" t="s">
        <v>117</v>
      </c>
      <c r="C151" t="s">
        <v>54</v>
      </c>
      <c r="D151" t="s">
        <v>155</v>
      </c>
      <c r="E151" t="s">
        <v>116</v>
      </c>
      <c r="F151" t="s">
        <v>163</v>
      </c>
      <c r="G151" t="s">
        <v>114</v>
      </c>
      <c r="H151" t="s">
        <v>433</v>
      </c>
      <c r="I151" t="s">
        <v>32</v>
      </c>
      <c r="J151" t="s">
        <v>329</v>
      </c>
      <c r="K151">
        <f t="shared" si="270"/>
        <v>0</v>
      </c>
      <c r="L151">
        <f t="shared" si="271"/>
        <v>1</v>
      </c>
      <c r="M151">
        <f t="shared" si="272"/>
        <v>1</v>
      </c>
      <c r="N151">
        <f t="shared" si="273"/>
        <v>0</v>
      </c>
      <c r="O151">
        <f t="shared" si="274"/>
        <v>2</v>
      </c>
      <c r="P151" t="str">
        <f t="shared" si="275"/>
        <v>Medium centralized biomass gasification w/ CCS-CO2 emissions</v>
      </c>
      <c r="Q151" t="str">
        <f t="shared" si="276"/>
        <v>Central gas storage-CO2 emissions</v>
      </c>
      <c r="R151" t="str">
        <f t="shared" si="277"/>
        <v>Liquid hydrogen truck-CO2 emissions</v>
      </c>
      <c r="S151" t="str">
        <f t="shared" si="278"/>
        <v>Hydrogen turbine (CC)-CO2 emissions</v>
      </c>
      <c r="T151">
        <f ca="1">IF(timePeriod="2020-30",(VLOOKUP($P151,'TA database'!$I$8:$J$79,2,FALSE)/VLOOKUP($D151,'Merit calculation'!$B$48:$I$52,5,FALSE)/VLOOKUP($E151,'Merit calculation'!$B$67:$I$73,5,FALSE)/VLOOKUP($F151,'Merit calculation'!$B$90:$I$103,5,FALSE)/energyContentH2),(VLOOKUP($P151,'TA database'!$I$8:$J$79,2,FALSE)/VLOOKUP($D151,'Merit calculation'!$B$48:$I$52,7,FALSE)/VLOOKUP($E151,'Merit calculation'!$B$67:$I$73,7,FALSE)/VLOOKUP($F151,'Merit calculation'!$B$90:$I$103,7,FALSE)/energyContentH2))</f>
        <v>-0.41673612268711452</v>
      </c>
      <c r="U151">
        <v>0</v>
      </c>
      <c r="V151">
        <v>0</v>
      </c>
      <c r="W151">
        <f>IFERROR(VLOOKUP($S151,'TA database'!$I$146:$J$193,2,FALSE),0)</f>
        <v>0</v>
      </c>
      <c r="X151">
        <f ca="1">IFERROR(VLOOKUP($S151,'TA database'!$I$200:$J$271,2,FALSE),0)</f>
        <v>0</v>
      </c>
      <c r="Y151">
        <f t="shared" ca="1" si="279"/>
        <v>-1.5002500416736122</v>
      </c>
      <c r="Z151" t="str">
        <f t="shared" si="280"/>
        <v>BIO_GSF_CCS_MED_C   →   C_GAS_STRG   →   LQ_TRUCK   →   H2_CCGT_PWR</v>
      </c>
      <c r="AA151" t="str">
        <f t="shared" si="281"/>
        <v>Grid electricity</v>
      </c>
      <c r="AB151" t="str">
        <f t="shared" si="282"/>
        <v>CO2 emissions</v>
      </c>
      <c r="AC151">
        <f t="shared" ca="1" si="283"/>
        <v>-1.5002500416736122</v>
      </c>
      <c r="AD151">
        <v>92</v>
      </c>
      <c r="AE151" t="str">
        <f>IF(AND(ISNUMBER(SEARCH(O151,4)),ISNUMBER(SEARCH('(4) FCH pathway assessment'!$B$16,AB151)),ISNUMBER(SEARCH('(4) FCH pathway assessment'!$B$10,AA151))),AD151,"")</f>
        <v/>
      </c>
      <c r="AF151" t="str">
        <f t="shared" si="157"/>
        <v/>
      </c>
      <c r="AG151" t="str">
        <f>VLOOKUP(C151,Assumptions!$B$116:$C$162,2,FALSE)</f>
        <v>BIO_GSF_CCS_MED_C</v>
      </c>
      <c r="AH151" t="str">
        <f>VLOOKUP(D151,Assumptions!$B$116:$C$162,2,FALSE)</f>
        <v>C_GAS_STRG</v>
      </c>
      <c r="AI151" t="str">
        <f>VLOOKUP(E151,Assumptions!$B$116:$C$162,2,FALSE)</f>
        <v>LQ_TRUCK</v>
      </c>
      <c r="AJ151" t="str">
        <f>VLOOKUP(F151,Assumptions!$B$116:$C$162,2,FALSE)</f>
        <v>H2_CCGT_PWR</v>
      </c>
    </row>
    <row r="152" spans="2:36" x14ac:dyDescent="0.25">
      <c r="B152" t="s">
        <v>117</v>
      </c>
      <c r="C152" t="s">
        <v>54</v>
      </c>
      <c r="D152" t="s">
        <v>155</v>
      </c>
      <c r="E152" t="s">
        <v>66</v>
      </c>
      <c r="F152" t="s">
        <v>163</v>
      </c>
      <c r="G152" t="s">
        <v>114</v>
      </c>
      <c r="H152" t="s">
        <v>433</v>
      </c>
      <c r="I152" t="s">
        <v>32</v>
      </c>
      <c r="J152" t="s">
        <v>329</v>
      </c>
      <c r="K152">
        <f t="shared" si="270"/>
        <v>0</v>
      </c>
      <c r="L152">
        <f t="shared" si="271"/>
        <v>1</v>
      </c>
      <c r="M152">
        <f t="shared" si="272"/>
        <v>1</v>
      </c>
      <c r="N152">
        <f t="shared" si="273"/>
        <v>0</v>
      </c>
      <c r="O152">
        <f t="shared" si="274"/>
        <v>2</v>
      </c>
      <c r="P152" t="str">
        <f t="shared" si="275"/>
        <v>Medium centralized biomass gasification w/ CCS-CO2 emissions</v>
      </c>
      <c r="Q152" t="str">
        <f t="shared" si="276"/>
        <v>Central gas storage-CO2 emissions</v>
      </c>
      <c r="R152" t="str">
        <f t="shared" si="277"/>
        <v>Onsite-CO2 emissions</v>
      </c>
      <c r="S152" t="str">
        <f t="shared" si="278"/>
        <v>Hydrogen turbine (CC)-CO2 emissions</v>
      </c>
      <c r="T152">
        <f ca="1">IF(timePeriod="2020-30",(VLOOKUP($P152,'TA database'!$I$8:$J$79,2,FALSE)/VLOOKUP($D152,'Merit calculation'!$B$48:$I$52,5,FALSE)/VLOOKUP($E152,'Merit calculation'!$B$67:$I$73,5,FALSE)/VLOOKUP($F152,'Merit calculation'!$B$90:$I$103,5,FALSE)/energyContentH2),(VLOOKUP($P152,'TA database'!$I$8:$J$79,2,FALSE)/VLOOKUP($D152,'Merit calculation'!$B$48:$I$52,7,FALSE)/VLOOKUP($E152,'Merit calculation'!$B$67:$I$73,7,FALSE)/VLOOKUP($F152,'Merit calculation'!$B$90:$I$103,7,FALSE)/energyContentH2))</f>
        <v>-0.3571428571428571</v>
      </c>
      <c r="U152">
        <v>0</v>
      </c>
      <c r="V152">
        <v>0</v>
      </c>
      <c r="W152">
        <f>IFERROR(VLOOKUP($S152,'TA database'!$I$146:$J$193,2,FALSE),0)</f>
        <v>0</v>
      </c>
      <c r="X152">
        <f ca="1">IFERROR(VLOOKUP($S152,'TA database'!$I$200:$J$271,2,FALSE),0)</f>
        <v>0</v>
      </c>
      <c r="Y152">
        <f t="shared" ca="1" si="279"/>
        <v>-1.2857142857142856</v>
      </c>
      <c r="Z152" t="str">
        <f t="shared" si="280"/>
        <v>BIO_GSF_CCS_MED_C   →   C_GAS_STRG   →   ONSITE_USE   →   H2_CCGT_PWR</v>
      </c>
      <c r="AA152" t="str">
        <f t="shared" si="281"/>
        <v>Grid electricity</v>
      </c>
      <c r="AB152" t="str">
        <f t="shared" si="282"/>
        <v>CO2 emissions</v>
      </c>
      <c r="AC152">
        <f t="shared" ca="1" si="283"/>
        <v>-1.2857142857142856</v>
      </c>
      <c r="AD152">
        <v>93</v>
      </c>
      <c r="AE152" t="str">
        <f>IF(AND(ISNUMBER(SEARCH(O152,4)),ISNUMBER(SEARCH('(4) FCH pathway assessment'!$B$16,AB152)),ISNUMBER(SEARCH('(4) FCH pathway assessment'!$B$10,AA152))),AD152,"")</f>
        <v/>
      </c>
      <c r="AF152" t="str">
        <f t="shared" si="157"/>
        <v/>
      </c>
      <c r="AG152" t="str">
        <f>VLOOKUP(C152,Assumptions!$B$116:$C$162,2,FALSE)</f>
        <v>BIO_GSF_CCS_MED_C</v>
      </c>
      <c r="AH152" t="str">
        <f>VLOOKUP(D152,Assumptions!$B$116:$C$162,2,FALSE)</f>
        <v>C_GAS_STRG</v>
      </c>
      <c r="AI152" t="str">
        <f>VLOOKUP(E152,Assumptions!$B$116:$C$162,2,FALSE)</f>
        <v>ONSITE_USE</v>
      </c>
      <c r="AJ152" t="str">
        <f>VLOOKUP(F152,Assumptions!$B$116:$C$162,2,FALSE)</f>
        <v>H2_CCGT_PWR</v>
      </c>
    </row>
    <row r="153" spans="2:36" x14ac:dyDescent="0.25">
      <c r="B153" t="s">
        <v>117</v>
      </c>
      <c r="C153" t="s">
        <v>55</v>
      </c>
      <c r="D153" s="60" t="s">
        <v>130</v>
      </c>
      <c r="E153" t="s">
        <v>66</v>
      </c>
      <c r="F153" t="s">
        <v>163</v>
      </c>
      <c r="G153" t="s">
        <v>114</v>
      </c>
      <c r="H153" t="s">
        <v>433</v>
      </c>
      <c r="I153" t="s">
        <v>32</v>
      </c>
      <c r="J153" t="s">
        <v>329</v>
      </c>
      <c r="K153">
        <f t="shared" ref="K153:K163" si="284">SUMPRODUCT(($C$7:$C$18=$C153)*($D$6:$H$6=$D153)*($D$7:$H$18))</f>
        <v>0</v>
      </c>
      <c r="L153">
        <f t="shared" ref="L153:L163" si="285">SUMPRODUCT(($C$19:$C$23=$D153)*($I$6:$O$6=$E153)*($I$19:$O$23))</f>
        <v>1</v>
      </c>
      <c r="M153">
        <f t="shared" ref="M153:M163" si="286">SUMPRODUCT(($C$24:$C$30=$E153)*($P$6:$AI$6=$F153)*($P$24:$AI$30))</f>
        <v>1</v>
      </c>
      <c r="N153">
        <f t="shared" ref="N153:N163" si="287">SUMPRODUCT(($C$31:$C$50=$F153)*($AJ$6:$AM$6=$G153)*($AJ$31:$AM$50))</f>
        <v>0</v>
      </c>
      <c r="O153">
        <f t="shared" ref="O153:O162" si="288">K153+L153+M153+N153</f>
        <v>2</v>
      </c>
      <c r="P153" t="str">
        <f t="shared" ref="P153:P163" si="289">CONCATENATE(C153,"-",J153)</f>
        <v>Small decentralized biomass gasification-CO2 emissions</v>
      </c>
      <c r="Q153" t="str">
        <f t="shared" ref="Q153:Q163" si="290">CONCATENATE(D153,"-",J153)</f>
        <v>Distributed gas storage-CO2 emissions</v>
      </c>
      <c r="R153" t="str">
        <f t="shared" ref="R153:R163" si="291">CONCATENATE(E153,"-",J153)</f>
        <v>Onsite-CO2 emissions</v>
      </c>
      <c r="S153" t="str">
        <f t="shared" ref="S153:S163" si="292">CONCATENATE(F153,"-",J153)</f>
        <v>Hydrogen turbine (CC)-CO2 emissions</v>
      </c>
      <c r="T153">
        <f ca="1">IF(timePeriod="2020-30",(VLOOKUP($P153,'TA database'!$I$8:$J$79,2,FALSE)/VLOOKUP($D153,'Merit calculation'!$B$48:$I$52,5,FALSE)/VLOOKUP($E153,'Merit calculation'!$B$67:$I$73,5,FALSE)/VLOOKUP($F153,'Merit calculation'!$B$90:$I$103,5,FALSE)/energyContentH2),(VLOOKUP($P153,'TA database'!$I$8:$J$79,2,FALSE)/VLOOKUP($D153,'Merit calculation'!$B$48:$I$52,7,FALSE)/VLOOKUP($E153,'Merit calculation'!$B$67:$I$73,7,FALSE)/VLOOKUP($F153,'Merit calculation'!$B$90:$I$103,7,FALSE)/energyContentH2))</f>
        <v>0</v>
      </c>
      <c r="U153">
        <v>0</v>
      </c>
      <c r="V153">
        <v>0</v>
      </c>
      <c r="W153">
        <f>IFERROR(VLOOKUP($S153,'TA database'!$I$146:$J$193,2,FALSE),0)</f>
        <v>0</v>
      </c>
      <c r="X153">
        <f ca="1">IFERROR(VLOOKUP($S153,'TA database'!$I$200:$J$271,2,FALSE),0)</f>
        <v>0</v>
      </c>
      <c r="Y153">
        <f t="shared" ref="Y153:Y163" ca="1" si="293">IF($W153=0,T153*3.6+X153,T153+W153)</f>
        <v>0</v>
      </c>
      <c r="Z153" t="str">
        <f t="shared" ref="Z153:Z162" si="294">CONCATENATE(AG153,"   →   ",AH153,"   →   ",AI153,"   →   ",AJ153)</f>
        <v>BIO_GSF_SML_D   →   D_GAS_STRG   →   ONSITE_USE   →   H2_CCGT_PWR</v>
      </c>
      <c r="AA153" t="str">
        <f t="shared" ref="AA153:AA162" si="295">G153</f>
        <v>Grid electricity</v>
      </c>
      <c r="AB153" t="str">
        <f t="shared" ref="AB153:AB162" si="296">J153</f>
        <v>CO2 emissions</v>
      </c>
      <c r="AC153">
        <f t="shared" ref="AC153:AC162" ca="1" si="297">Y153</f>
        <v>0</v>
      </c>
      <c r="AD153">
        <v>94</v>
      </c>
      <c r="AE153" t="str">
        <f>IF(AND(ISNUMBER(SEARCH(O153,4)),ISNUMBER(SEARCH('(4) FCH pathway assessment'!$B$16,AB153)),ISNUMBER(SEARCH('(4) FCH pathway assessment'!$B$10,AA153))),AD153,"")</f>
        <v/>
      </c>
      <c r="AF153" t="str">
        <f t="shared" si="157"/>
        <v/>
      </c>
      <c r="AG153" t="str">
        <f>VLOOKUP(C153,Assumptions!$B$116:$C$162,2,FALSE)</f>
        <v>BIO_GSF_SML_D</v>
      </c>
      <c r="AH153" t="str">
        <f>VLOOKUP(D153,Assumptions!$B$116:$C$162,2,FALSE)</f>
        <v>D_GAS_STRG</v>
      </c>
      <c r="AI153" t="str">
        <f>VLOOKUP(E153,Assumptions!$B$116:$C$162,2,FALSE)</f>
        <v>ONSITE_USE</v>
      </c>
      <c r="AJ153" t="str">
        <f>VLOOKUP(F153,Assumptions!$B$116:$C$162,2,FALSE)</f>
        <v>H2_CCGT_PWR</v>
      </c>
    </row>
    <row r="154" spans="2:36" x14ac:dyDescent="0.25">
      <c r="B154" t="s">
        <v>117</v>
      </c>
      <c r="C154" t="s">
        <v>56</v>
      </c>
      <c r="D154" t="s">
        <v>62</v>
      </c>
      <c r="E154" t="s">
        <v>157</v>
      </c>
      <c r="F154" t="s">
        <v>163</v>
      </c>
      <c r="G154" t="s">
        <v>114</v>
      </c>
      <c r="H154" t="s">
        <v>433</v>
      </c>
      <c r="I154" t="s">
        <v>32</v>
      </c>
      <c r="J154" t="s">
        <v>329</v>
      </c>
      <c r="K154">
        <f t="shared" si="284"/>
        <v>0</v>
      </c>
      <c r="L154">
        <f t="shared" si="285"/>
        <v>0</v>
      </c>
      <c r="M154">
        <f t="shared" si="286"/>
        <v>0</v>
      </c>
      <c r="N154">
        <f t="shared" si="287"/>
        <v>0</v>
      </c>
      <c r="O154">
        <f t="shared" si="288"/>
        <v>0</v>
      </c>
      <c r="P154" t="str">
        <f t="shared" si="289"/>
        <v>Large centralized biomass steam reforming -CO2 emissions</v>
      </c>
      <c r="Q154" t="str">
        <f t="shared" si="290"/>
        <v>Underground storage-CO2 emissions</v>
      </c>
      <c r="R154" t="str">
        <f t="shared" si="291"/>
        <v>Blending in natural gas pipeline-CO2 emissions</v>
      </c>
      <c r="S154" t="str">
        <f t="shared" si="292"/>
        <v>Hydrogen turbine (CC)-CO2 emissions</v>
      </c>
      <c r="T154">
        <f ca="1">IF(timePeriod="2020-30",(VLOOKUP($P154,'TA database'!$I$8:$J$79,2,FALSE)/VLOOKUP($D154,'Merit calculation'!$B$48:$I$52,5,FALSE)/VLOOKUP($E154,'Merit calculation'!$B$67:$I$73,5,FALSE)/VLOOKUP($F154,'Merit calculation'!$B$90:$I$103,5,FALSE)/energyContentH2),(VLOOKUP($P154,'TA database'!$I$8:$J$79,2,FALSE)/VLOOKUP($D154,'Merit calculation'!$B$48:$I$52,7,FALSE)/VLOOKUP($E154,'Merit calculation'!$B$67:$I$73,7,FALSE)/VLOOKUP($F154,'Merit calculation'!$B$90:$I$103,7,FALSE)/energyContentH2))</f>
        <v>0</v>
      </c>
      <c r="U154">
        <v>0</v>
      </c>
      <c r="V154">
        <v>0</v>
      </c>
      <c r="W154">
        <f>IFERROR(VLOOKUP($S154,'TA database'!$I$146:$J$193,2,FALSE),0)</f>
        <v>0</v>
      </c>
      <c r="X154">
        <f ca="1">IFERROR(VLOOKUP($S154,'TA database'!$I$200:$J$271,2,FALSE),0)</f>
        <v>0</v>
      </c>
      <c r="Y154">
        <f t="shared" ca="1" si="293"/>
        <v>0</v>
      </c>
      <c r="Z154" t="str">
        <f t="shared" si="294"/>
        <v>BIO_SR_LRG_C   →   C_UNDRGRND_STRG   →   H2_BLND_NG_P   →   H2_CCGT_PWR</v>
      </c>
      <c r="AA154" t="str">
        <f t="shared" si="295"/>
        <v>Grid electricity</v>
      </c>
      <c r="AB154" t="str">
        <f t="shared" si="296"/>
        <v>CO2 emissions</v>
      </c>
      <c r="AC154">
        <f t="shared" ca="1" si="297"/>
        <v>0</v>
      </c>
      <c r="AD154">
        <v>95</v>
      </c>
      <c r="AE154" t="str">
        <f>IF(AND(ISNUMBER(SEARCH(O154,4)),ISNUMBER(SEARCH('(4) FCH pathway assessment'!$B$16,AB154)),ISNUMBER(SEARCH('(4) FCH pathway assessment'!$B$10,AA154))),AD154,"")</f>
        <v/>
      </c>
      <c r="AF154" t="str">
        <f t="shared" si="157"/>
        <v/>
      </c>
      <c r="AG154" t="str">
        <f>VLOOKUP(C154,Assumptions!$B$116:$C$162,2,FALSE)</f>
        <v>BIO_SR_LRG_C</v>
      </c>
      <c r="AH154" t="str">
        <f>VLOOKUP(D154,Assumptions!$B$116:$C$162,2,FALSE)</f>
        <v>C_UNDRGRND_STRG</v>
      </c>
      <c r="AI154" t="str">
        <f>VLOOKUP(E154,Assumptions!$B$116:$C$162,2,FALSE)</f>
        <v>H2_BLND_NG_P</v>
      </c>
      <c r="AJ154" t="str">
        <f>VLOOKUP(F154,Assumptions!$B$116:$C$162,2,FALSE)</f>
        <v>H2_CCGT_PWR</v>
      </c>
    </row>
    <row r="155" spans="2:36" x14ac:dyDescent="0.25">
      <c r="B155" t="s">
        <v>117</v>
      </c>
      <c r="C155" t="s">
        <v>56</v>
      </c>
      <c r="D155" t="s">
        <v>62</v>
      </c>
      <c r="E155" t="s">
        <v>122</v>
      </c>
      <c r="F155" t="s">
        <v>163</v>
      </c>
      <c r="G155" t="s">
        <v>114</v>
      </c>
      <c r="H155" t="s">
        <v>433</v>
      </c>
      <c r="I155" t="s">
        <v>32</v>
      </c>
      <c r="J155" t="s">
        <v>329</v>
      </c>
      <c r="K155">
        <f t="shared" si="284"/>
        <v>0</v>
      </c>
      <c r="L155">
        <f t="shared" si="285"/>
        <v>0</v>
      </c>
      <c r="M155">
        <f t="shared" si="286"/>
        <v>1</v>
      </c>
      <c r="N155">
        <f t="shared" si="287"/>
        <v>0</v>
      </c>
      <c r="O155">
        <f t="shared" si="288"/>
        <v>1</v>
      </c>
      <c r="P155" t="str">
        <f t="shared" si="289"/>
        <v>Large centralized biomass steam reforming -CO2 emissions</v>
      </c>
      <c r="Q155" t="str">
        <f t="shared" si="290"/>
        <v>Underground storage-CO2 emissions</v>
      </c>
      <c r="R155" t="str">
        <f t="shared" si="291"/>
        <v>Hydrogen transmission &amp; distribution pipeline-CO2 emissions</v>
      </c>
      <c r="S155" t="str">
        <f t="shared" si="292"/>
        <v>Hydrogen turbine (CC)-CO2 emissions</v>
      </c>
      <c r="T155">
        <f ca="1">IF(timePeriod="2020-30",(VLOOKUP($P155,'TA database'!$I$8:$J$79,2,FALSE)/VLOOKUP($D155,'Merit calculation'!$B$48:$I$52,5,FALSE)/VLOOKUP($E155,'Merit calculation'!$B$67:$I$73,5,FALSE)/VLOOKUP($F155,'Merit calculation'!$B$90:$I$103,5,FALSE)/energyContentH2),(VLOOKUP($P155,'TA database'!$I$8:$J$79,2,FALSE)/VLOOKUP($D155,'Merit calculation'!$B$48:$I$52,7,FALSE)/VLOOKUP($E155,'Merit calculation'!$B$67:$I$73,7,FALSE)/VLOOKUP($F155,'Merit calculation'!$B$90:$I$103,7,FALSE)/energyContentH2))</f>
        <v>0</v>
      </c>
      <c r="U155">
        <v>0</v>
      </c>
      <c r="V155">
        <v>0</v>
      </c>
      <c r="W155">
        <f>IFERROR(VLOOKUP($S155,'TA database'!$I$146:$J$193,2,FALSE),0)</f>
        <v>0</v>
      </c>
      <c r="X155">
        <f ca="1">IFERROR(VLOOKUP($S155,'TA database'!$I$200:$J$271,2,FALSE),0)</f>
        <v>0</v>
      </c>
      <c r="Y155">
        <f t="shared" ca="1" si="293"/>
        <v>0</v>
      </c>
      <c r="Z155" t="str">
        <f t="shared" si="294"/>
        <v>BIO_SR_LRG_C   →   C_UNDRGRND_STRG   →   H2_T&amp;D_P   →   H2_CCGT_PWR</v>
      </c>
      <c r="AA155" t="str">
        <f t="shared" si="295"/>
        <v>Grid electricity</v>
      </c>
      <c r="AB155" t="str">
        <f t="shared" si="296"/>
        <v>CO2 emissions</v>
      </c>
      <c r="AC155">
        <f t="shared" ca="1" si="297"/>
        <v>0</v>
      </c>
      <c r="AD155">
        <v>96</v>
      </c>
      <c r="AE155" t="str">
        <f>IF(AND(ISNUMBER(SEARCH(O155,4)),ISNUMBER(SEARCH('(4) FCH pathway assessment'!$B$16,AB155)),ISNUMBER(SEARCH('(4) FCH pathway assessment'!$B$10,AA155))),AD155,"")</f>
        <v/>
      </c>
      <c r="AF155" t="str">
        <f t="shared" si="157"/>
        <v/>
      </c>
      <c r="AG155" t="str">
        <f>VLOOKUP(C155,Assumptions!$B$116:$C$162,2,FALSE)</f>
        <v>BIO_SR_LRG_C</v>
      </c>
      <c r="AH155" t="str">
        <f>VLOOKUP(D155,Assumptions!$B$116:$C$162,2,FALSE)</f>
        <v>C_UNDRGRND_STRG</v>
      </c>
      <c r="AI155" t="str">
        <f>VLOOKUP(E155,Assumptions!$B$116:$C$162,2,FALSE)</f>
        <v>H2_T&amp;D_P</v>
      </c>
      <c r="AJ155" t="str">
        <f>VLOOKUP(F155,Assumptions!$B$116:$C$162,2,FALSE)</f>
        <v>H2_CCGT_PWR</v>
      </c>
    </row>
    <row r="156" spans="2:36" x14ac:dyDescent="0.25">
      <c r="B156" t="s">
        <v>117</v>
      </c>
      <c r="C156" t="s">
        <v>56</v>
      </c>
      <c r="D156" t="s">
        <v>62</v>
      </c>
      <c r="E156" t="s">
        <v>116</v>
      </c>
      <c r="F156" t="s">
        <v>163</v>
      </c>
      <c r="G156" t="s">
        <v>114</v>
      </c>
      <c r="H156" t="s">
        <v>433</v>
      </c>
      <c r="I156" t="s">
        <v>32</v>
      </c>
      <c r="J156" t="s">
        <v>329</v>
      </c>
      <c r="K156">
        <f t="shared" si="284"/>
        <v>0</v>
      </c>
      <c r="L156">
        <f t="shared" si="285"/>
        <v>0</v>
      </c>
      <c r="M156">
        <f t="shared" si="286"/>
        <v>1</v>
      </c>
      <c r="N156">
        <f t="shared" si="287"/>
        <v>0</v>
      </c>
      <c r="O156">
        <f t="shared" si="288"/>
        <v>1</v>
      </c>
      <c r="P156" t="str">
        <f t="shared" si="289"/>
        <v>Large centralized biomass steam reforming -CO2 emissions</v>
      </c>
      <c r="Q156" t="str">
        <f t="shared" si="290"/>
        <v>Underground storage-CO2 emissions</v>
      </c>
      <c r="R156" t="str">
        <f t="shared" si="291"/>
        <v>Liquid hydrogen truck-CO2 emissions</v>
      </c>
      <c r="S156" t="str">
        <f t="shared" si="292"/>
        <v>Hydrogen turbine (CC)-CO2 emissions</v>
      </c>
      <c r="T156">
        <f ca="1">IF(timePeriod="2020-30",(VLOOKUP($P156,'TA database'!$I$8:$J$79,2,FALSE)/VLOOKUP($D156,'Merit calculation'!$B$48:$I$52,5,FALSE)/VLOOKUP($E156,'Merit calculation'!$B$67:$I$73,5,FALSE)/VLOOKUP($F156,'Merit calculation'!$B$90:$I$103,5,FALSE)/energyContentH2),(VLOOKUP($P156,'TA database'!$I$8:$J$79,2,FALSE)/VLOOKUP($D156,'Merit calculation'!$B$48:$I$52,7,FALSE)/VLOOKUP($E156,'Merit calculation'!$B$67:$I$73,7,FALSE)/VLOOKUP($F156,'Merit calculation'!$B$90:$I$103,7,FALSE)/energyContentH2))</f>
        <v>0</v>
      </c>
      <c r="U156">
        <v>0</v>
      </c>
      <c r="V156">
        <v>0</v>
      </c>
      <c r="W156">
        <f>IFERROR(VLOOKUP($S156,'TA database'!$I$146:$J$193,2,FALSE),0)</f>
        <v>0</v>
      </c>
      <c r="X156">
        <f ca="1">IFERROR(VLOOKUP($S156,'TA database'!$I$200:$J$271,2,FALSE),0)</f>
        <v>0</v>
      </c>
      <c r="Y156">
        <f t="shared" ca="1" si="293"/>
        <v>0</v>
      </c>
      <c r="Z156" t="str">
        <f t="shared" si="294"/>
        <v>BIO_SR_LRG_C   →   C_UNDRGRND_STRG   →   LQ_TRUCK   →   H2_CCGT_PWR</v>
      </c>
      <c r="AA156" t="str">
        <f t="shared" si="295"/>
        <v>Grid electricity</v>
      </c>
      <c r="AB156" t="str">
        <f t="shared" si="296"/>
        <v>CO2 emissions</v>
      </c>
      <c r="AC156">
        <f t="shared" ca="1" si="297"/>
        <v>0</v>
      </c>
      <c r="AD156">
        <v>97</v>
      </c>
      <c r="AE156" t="str">
        <f>IF(AND(ISNUMBER(SEARCH(O156,4)),ISNUMBER(SEARCH('(4) FCH pathway assessment'!$B$16,AB156)),ISNUMBER(SEARCH('(4) FCH pathway assessment'!$B$10,AA156))),AD156,"")</f>
        <v/>
      </c>
      <c r="AF156" t="str">
        <f t="shared" si="157"/>
        <v/>
      </c>
      <c r="AG156" t="str">
        <f>VLOOKUP(C156,Assumptions!$B$116:$C$162,2,FALSE)</f>
        <v>BIO_SR_LRG_C</v>
      </c>
      <c r="AH156" t="str">
        <f>VLOOKUP(D156,Assumptions!$B$116:$C$162,2,FALSE)</f>
        <v>C_UNDRGRND_STRG</v>
      </c>
      <c r="AI156" t="str">
        <f>VLOOKUP(E156,Assumptions!$B$116:$C$162,2,FALSE)</f>
        <v>LQ_TRUCK</v>
      </c>
      <c r="AJ156" t="str">
        <f>VLOOKUP(F156,Assumptions!$B$116:$C$162,2,FALSE)</f>
        <v>H2_CCGT_PWR</v>
      </c>
    </row>
    <row r="157" spans="2:36" x14ac:dyDescent="0.25">
      <c r="B157" t="s">
        <v>117</v>
      </c>
      <c r="C157" t="s">
        <v>56</v>
      </c>
      <c r="D157" t="s">
        <v>62</v>
      </c>
      <c r="E157" t="s">
        <v>66</v>
      </c>
      <c r="F157" t="s">
        <v>163</v>
      </c>
      <c r="G157" t="s">
        <v>114</v>
      </c>
      <c r="H157" t="s">
        <v>433</v>
      </c>
      <c r="I157" t="s">
        <v>32</v>
      </c>
      <c r="J157" t="s">
        <v>329</v>
      </c>
      <c r="K157">
        <f t="shared" si="284"/>
        <v>0</v>
      </c>
      <c r="L157">
        <f t="shared" si="285"/>
        <v>0</v>
      </c>
      <c r="M157">
        <f t="shared" si="286"/>
        <v>1</v>
      </c>
      <c r="N157">
        <f t="shared" si="287"/>
        <v>0</v>
      </c>
      <c r="O157">
        <f t="shared" si="288"/>
        <v>1</v>
      </c>
      <c r="P157" t="str">
        <f t="shared" si="289"/>
        <v>Large centralized biomass steam reforming -CO2 emissions</v>
      </c>
      <c r="Q157" t="str">
        <f t="shared" si="290"/>
        <v>Underground storage-CO2 emissions</v>
      </c>
      <c r="R157" t="str">
        <f t="shared" si="291"/>
        <v>Onsite-CO2 emissions</v>
      </c>
      <c r="S157" t="str">
        <f t="shared" si="292"/>
        <v>Hydrogen turbine (CC)-CO2 emissions</v>
      </c>
      <c r="T157">
        <f ca="1">IF(timePeriod="2020-30",(VLOOKUP($P157,'TA database'!$I$8:$J$79,2,FALSE)/VLOOKUP($D157,'Merit calculation'!$B$48:$I$52,5,FALSE)/VLOOKUP($E157,'Merit calculation'!$B$67:$I$73,5,FALSE)/VLOOKUP($F157,'Merit calculation'!$B$90:$I$103,5,FALSE)/energyContentH2),(VLOOKUP($P157,'TA database'!$I$8:$J$79,2,FALSE)/VLOOKUP($D157,'Merit calculation'!$B$48:$I$52,7,FALSE)/VLOOKUP($E157,'Merit calculation'!$B$67:$I$73,7,FALSE)/VLOOKUP($F157,'Merit calculation'!$B$90:$I$103,7,FALSE)/energyContentH2))</f>
        <v>0</v>
      </c>
      <c r="U157">
        <v>0</v>
      </c>
      <c r="V157">
        <v>0</v>
      </c>
      <c r="W157">
        <f>IFERROR(VLOOKUP($S157,'TA database'!$I$146:$J$193,2,FALSE),0)</f>
        <v>0</v>
      </c>
      <c r="X157">
        <f ca="1">IFERROR(VLOOKUP($S157,'TA database'!$I$200:$J$271,2,FALSE),0)</f>
        <v>0</v>
      </c>
      <c r="Y157">
        <f t="shared" ca="1" si="293"/>
        <v>0</v>
      </c>
      <c r="Z157" t="str">
        <f t="shared" si="294"/>
        <v>BIO_SR_LRG_C   →   C_UNDRGRND_STRG   →   ONSITE_USE   →   H2_CCGT_PWR</v>
      </c>
      <c r="AA157" t="str">
        <f t="shared" si="295"/>
        <v>Grid electricity</v>
      </c>
      <c r="AB157" t="str">
        <f t="shared" si="296"/>
        <v>CO2 emissions</v>
      </c>
      <c r="AC157">
        <f t="shared" ca="1" si="297"/>
        <v>0</v>
      </c>
      <c r="AD157">
        <v>98</v>
      </c>
      <c r="AE157" t="str">
        <f>IF(AND(ISNUMBER(SEARCH(O157,4)),ISNUMBER(SEARCH('(4) FCH pathway assessment'!$B$16,AB157)),ISNUMBER(SEARCH('(4) FCH pathway assessment'!$B$10,AA157))),AD157,"")</f>
        <v/>
      </c>
      <c r="AF157" t="str">
        <f t="shared" si="157"/>
        <v/>
      </c>
      <c r="AG157" t="str">
        <f>VLOOKUP(C157,Assumptions!$B$116:$C$162,2,FALSE)</f>
        <v>BIO_SR_LRG_C</v>
      </c>
      <c r="AH157" t="str">
        <f>VLOOKUP(D157,Assumptions!$B$116:$C$162,2,FALSE)</f>
        <v>C_UNDRGRND_STRG</v>
      </c>
      <c r="AI157" t="str">
        <f>VLOOKUP(E157,Assumptions!$B$116:$C$162,2,FALSE)</f>
        <v>ONSITE_USE</v>
      </c>
      <c r="AJ157" t="str">
        <f>VLOOKUP(F157,Assumptions!$B$116:$C$162,2,FALSE)</f>
        <v>H2_CCGT_PWR</v>
      </c>
    </row>
    <row r="158" spans="2:36" x14ac:dyDescent="0.25">
      <c r="B158" t="s">
        <v>117</v>
      </c>
      <c r="C158" t="s">
        <v>56</v>
      </c>
      <c r="D158" s="61" t="s">
        <v>63</v>
      </c>
      <c r="E158" t="s">
        <v>122</v>
      </c>
      <c r="F158" t="s">
        <v>163</v>
      </c>
      <c r="G158" t="s">
        <v>114</v>
      </c>
      <c r="H158" t="s">
        <v>433</v>
      </c>
      <c r="I158" t="s">
        <v>32</v>
      </c>
      <c r="J158" t="s">
        <v>329</v>
      </c>
      <c r="K158">
        <f t="shared" si="284"/>
        <v>0</v>
      </c>
      <c r="L158">
        <f t="shared" si="285"/>
        <v>1</v>
      </c>
      <c r="M158">
        <f t="shared" si="286"/>
        <v>1</v>
      </c>
      <c r="N158">
        <f t="shared" si="287"/>
        <v>0</v>
      </c>
      <c r="O158">
        <f t="shared" si="288"/>
        <v>2</v>
      </c>
      <c r="P158" t="str">
        <f t="shared" si="289"/>
        <v>Large centralized biomass steam reforming -CO2 emissions</v>
      </c>
      <c r="Q158" t="str">
        <f t="shared" si="290"/>
        <v>No storage-CO2 emissions</v>
      </c>
      <c r="R158" t="str">
        <f t="shared" si="291"/>
        <v>Hydrogen transmission &amp; distribution pipeline-CO2 emissions</v>
      </c>
      <c r="S158" t="str">
        <f t="shared" si="292"/>
        <v>Hydrogen turbine (CC)-CO2 emissions</v>
      </c>
      <c r="T158">
        <f ca="1">IF(timePeriod="2020-30",(VLOOKUP($P158,'TA database'!$I$8:$J$79,2,FALSE)/VLOOKUP($D158,'Merit calculation'!$B$48:$I$52,5,FALSE)/VLOOKUP($E158,'Merit calculation'!$B$67:$I$73,5,FALSE)/VLOOKUP($F158,'Merit calculation'!$B$90:$I$103,5,FALSE)/energyContentH2),(VLOOKUP($P158,'TA database'!$I$8:$J$79,2,FALSE)/VLOOKUP($D158,'Merit calculation'!$B$48:$I$52,7,FALSE)/VLOOKUP($E158,'Merit calculation'!$B$67:$I$73,7,FALSE)/VLOOKUP($F158,'Merit calculation'!$B$90:$I$103,7,FALSE)/energyContentH2))</f>
        <v>0</v>
      </c>
      <c r="U158">
        <v>0</v>
      </c>
      <c r="V158">
        <v>0</v>
      </c>
      <c r="W158">
        <f>IFERROR(VLOOKUP($S158,'TA database'!$I$146:$J$193,2,FALSE),0)</f>
        <v>0</v>
      </c>
      <c r="X158">
        <f ca="1">IFERROR(VLOOKUP($S158,'TA database'!$I$200:$J$271,2,FALSE),0)</f>
        <v>0</v>
      </c>
      <c r="Y158">
        <f t="shared" ca="1" si="293"/>
        <v>0</v>
      </c>
      <c r="Z158" t="str">
        <f t="shared" si="294"/>
        <v>BIO_SR_LRG_C   →   NO_STRG   →   H2_T&amp;D_P   →   H2_CCGT_PWR</v>
      </c>
      <c r="AA158" t="str">
        <f t="shared" si="295"/>
        <v>Grid electricity</v>
      </c>
      <c r="AB158" t="str">
        <f t="shared" si="296"/>
        <v>CO2 emissions</v>
      </c>
      <c r="AC158">
        <f t="shared" ca="1" si="297"/>
        <v>0</v>
      </c>
      <c r="AD158">
        <v>99</v>
      </c>
      <c r="AE158" t="str">
        <f>IF(AND(ISNUMBER(SEARCH(O158,4)),ISNUMBER(SEARCH('(4) FCH pathway assessment'!$B$16,AB158)),ISNUMBER(SEARCH('(4) FCH pathway assessment'!$B$10,AA158))),AD158,"")</f>
        <v/>
      </c>
      <c r="AF158" t="str">
        <f t="shared" si="157"/>
        <v/>
      </c>
      <c r="AG158" t="str">
        <f>VLOOKUP(C158,Assumptions!$B$116:$C$162,2,FALSE)</f>
        <v>BIO_SR_LRG_C</v>
      </c>
      <c r="AH158" t="str">
        <f>VLOOKUP(D158,Assumptions!$B$116:$C$162,2,FALSE)</f>
        <v>NO_STRG</v>
      </c>
      <c r="AI158" t="str">
        <f>VLOOKUP(E158,Assumptions!$B$116:$C$162,2,FALSE)</f>
        <v>H2_T&amp;D_P</v>
      </c>
      <c r="AJ158" t="str">
        <f>VLOOKUP(F158,Assumptions!$B$116:$C$162,2,FALSE)</f>
        <v>H2_CCGT_PWR</v>
      </c>
    </row>
    <row r="159" spans="2:36" x14ac:dyDescent="0.25">
      <c r="B159" t="s">
        <v>112</v>
      </c>
      <c r="C159" t="s">
        <v>49</v>
      </c>
      <c r="D159" t="s">
        <v>62</v>
      </c>
      <c r="E159" t="s">
        <v>157</v>
      </c>
      <c r="F159" t="s">
        <v>163</v>
      </c>
      <c r="G159" t="s">
        <v>114</v>
      </c>
      <c r="H159" t="s">
        <v>433</v>
      </c>
      <c r="I159" t="s">
        <v>32</v>
      </c>
      <c r="J159" t="s">
        <v>329</v>
      </c>
      <c r="K159">
        <f t="shared" si="284"/>
        <v>1</v>
      </c>
      <c r="L159">
        <f t="shared" si="285"/>
        <v>0</v>
      </c>
      <c r="M159">
        <f t="shared" si="286"/>
        <v>0</v>
      </c>
      <c r="N159">
        <f t="shared" si="287"/>
        <v>0</v>
      </c>
      <c r="O159">
        <f t="shared" si="288"/>
        <v>1</v>
      </c>
      <c r="P159" t="str">
        <f t="shared" si="289"/>
        <v>Large centralized electrolysis-CO2 emissions</v>
      </c>
      <c r="Q159" t="str">
        <f t="shared" si="290"/>
        <v>Underground storage-CO2 emissions</v>
      </c>
      <c r="R159" t="str">
        <f t="shared" si="291"/>
        <v>Blending in natural gas pipeline-CO2 emissions</v>
      </c>
      <c r="S159" t="str">
        <f t="shared" si="292"/>
        <v>Hydrogen turbine (CC)-CO2 emissions</v>
      </c>
      <c r="T159">
        <f ca="1">IF(timePeriod="2020-30",(VLOOKUP($P159,'TA database'!$I$8:$J$79,2,FALSE)/VLOOKUP($D159,'Merit calculation'!$B$48:$I$52,5,FALSE)/VLOOKUP($E159,'Merit calculation'!$B$67:$I$73,5,FALSE)/VLOOKUP($F159,'Merit calculation'!$B$90:$I$103,5,FALSE)/energyContentH2),(VLOOKUP($P159,'TA database'!$I$8:$J$79,2,FALSE)/VLOOKUP($D159,'Merit calculation'!$B$48:$I$52,7,FALSE)/VLOOKUP($E159,'Merit calculation'!$B$67:$I$73,7,FALSE)/VLOOKUP($F159,'Merit calculation'!$B$90:$I$103,7,FALSE)/energyContentH2))</f>
        <v>4.9204477749184065E-2</v>
      </c>
      <c r="U159">
        <v>0</v>
      </c>
      <c r="V159">
        <v>0</v>
      </c>
      <c r="W159">
        <f>IFERROR(VLOOKUP($S159,'TA database'!$I$146:$J$193,2,FALSE),0)</f>
        <v>0</v>
      </c>
      <c r="X159">
        <f ca="1">IFERROR(VLOOKUP($S159,'TA database'!$I$200:$J$271,2,FALSE),0)</f>
        <v>0</v>
      </c>
      <c r="Y159">
        <f t="shared" ca="1" si="293"/>
        <v>0.17713611989706263</v>
      </c>
      <c r="Z159" t="str">
        <f t="shared" si="294"/>
        <v>ELCTRLYZ_LRG_C   →   C_UNDRGRND_STRG   →   H2_BLND_NG_P   →   H2_CCGT_PWR</v>
      </c>
      <c r="AA159" t="str">
        <f t="shared" si="295"/>
        <v>Grid electricity</v>
      </c>
      <c r="AB159" t="str">
        <f t="shared" si="296"/>
        <v>CO2 emissions</v>
      </c>
      <c r="AC159">
        <f t="shared" ca="1" si="297"/>
        <v>0.17713611989706263</v>
      </c>
      <c r="AD159">
        <v>100</v>
      </c>
      <c r="AE159" t="str">
        <f>IF(AND(ISNUMBER(SEARCH(O159,4)),ISNUMBER(SEARCH('(4) FCH pathway assessment'!$B$16,AB159)),ISNUMBER(SEARCH('(4) FCH pathway assessment'!$B$10,AA159))),AD159,"")</f>
        <v/>
      </c>
      <c r="AF159" t="str">
        <f t="shared" si="157"/>
        <v/>
      </c>
      <c r="AG159" t="str">
        <f>VLOOKUP(C159,Assumptions!$B$116:$C$162,2,FALSE)</f>
        <v>ELCTRLYZ_LRG_C</v>
      </c>
      <c r="AH159" t="str">
        <f>VLOOKUP(D159,Assumptions!$B$116:$C$162,2,FALSE)</f>
        <v>C_UNDRGRND_STRG</v>
      </c>
      <c r="AI159" t="str">
        <f>VLOOKUP(E159,Assumptions!$B$116:$C$162,2,FALSE)</f>
        <v>H2_BLND_NG_P</v>
      </c>
      <c r="AJ159" t="str">
        <f>VLOOKUP(F159,Assumptions!$B$116:$C$162,2,FALSE)</f>
        <v>H2_CCGT_PWR</v>
      </c>
    </row>
    <row r="160" spans="2:36" x14ac:dyDescent="0.25">
      <c r="B160" t="s">
        <v>112</v>
      </c>
      <c r="C160" t="s">
        <v>49</v>
      </c>
      <c r="D160" t="s">
        <v>62</v>
      </c>
      <c r="E160" t="s">
        <v>122</v>
      </c>
      <c r="F160" t="s">
        <v>163</v>
      </c>
      <c r="G160" t="s">
        <v>114</v>
      </c>
      <c r="H160" t="s">
        <v>433</v>
      </c>
      <c r="I160" t="s">
        <v>32</v>
      </c>
      <c r="J160" t="s">
        <v>329</v>
      </c>
      <c r="K160">
        <f t="shared" si="284"/>
        <v>1</v>
      </c>
      <c r="L160">
        <f t="shared" si="285"/>
        <v>0</v>
      </c>
      <c r="M160">
        <f t="shared" si="286"/>
        <v>1</v>
      </c>
      <c r="N160">
        <f t="shared" si="287"/>
        <v>0</v>
      </c>
      <c r="O160">
        <f t="shared" si="288"/>
        <v>2</v>
      </c>
      <c r="P160" t="str">
        <f t="shared" si="289"/>
        <v>Large centralized electrolysis-CO2 emissions</v>
      </c>
      <c r="Q160" t="str">
        <f t="shared" si="290"/>
        <v>Underground storage-CO2 emissions</v>
      </c>
      <c r="R160" t="str">
        <f t="shared" si="291"/>
        <v>Hydrogen transmission &amp; distribution pipeline-CO2 emissions</v>
      </c>
      <c r="S160" t="str">
        <f t="shared" si="292"/>
        <v>Hydrogen turbine (CC)-CO2 emissions</v>
      </c>
      <c r="T160">
        <f ca="1">IF(timePeriod="2020-30",(VLOOKUP($P160,'TA database'!$I$8:$J$79,2,FALSE)/VLOOKUP($D160,'Merit calculation'!$B$48:$I$52,5,FALSE)/VLOOKUP($E160,'Merit calculation'!$B$67:$I$73,5,FALSE)/VLOOKUP($F160,'Merit calculation'!$B$90:$I$103,5,FALSE)/energyContentH2),(VLOOKUP($P160,'TA database'!$I$8:$J$79,2,FALSE)/VLOOKUP($D160,'Merit calculation'!$B$48:$I$52,7,FALSE)/VLOOKUP($E160,'Merit calculation'!$B$67:$I$73,7,FALSE)/VLOOKUP($F160,'Merit calculation'!$B$90:$I$103,7,FALSE)/energyContentH2))</f>
        <v>4.9204477749184065E-2</v>
      </c>
      <c r="U160">
        <v>0</v>
      </c>
      <c r="V160">
        <v>0</v>
      </c>
      <c r="W160">
        <f>IFERROR(VLOOKUP($S160,'TA database'!$I$146:$J$193,2,FALSE),0)</f>
        <v>0</v>
      </c>
      <c r="X160">
        <f ca="1">IFERROR(VLOOKUP($S160,'TA database'!$I$200:$J$271,2,FALSE),0)</f>
        <v>0</v>
      </c>
      <c r="Y160">
        <f t="shared" ca="1" si="293"/>
        <v>0.17713611989706263</v>
      </c>
      <c r="Z160" t="str">
        <f t="shared" si="294"/>
        <v>ELCTRLYZ_LRG_C   →   C_UNDRGRND_STRG   →   H2_T&amp;D_P   →   H2_CCGT_PWR</v>
      </c>
      <c r="AA160" t="str">
        <f t="shared" si="295"/>
        <v>Grid electricity</v>
      </c>
      <c r="AB160" t="str">
        <f t="shared" si="296"/>
        <v>CO2 emissions</v>
      </c>
      <c r="AC160">
        <f t="shared" ca="1" si="297"/>
        <v>0.17713611989706263</v>
      </c>
      <c r="AD160">
        <v>101</v>
      </c>
      <c r="AE160" t="str">
        <f>IF(AND(ISNUMBER(SEARCH(O160,4)),ISNUMBER(SEARCH('(4) FCH pathway assessment'!$B$16,AB160)),ISNUMBER(SEARCH('(4) FCH pathway assessment'!$B$10,AA160))),AD160,"")</f>
        <v/>
      </c>
      <c r="AF160" t="str">
        <f t="shared" si="157"/>
        <v/>
      </c>
      <c r="AG160" t="str">
        <f>VLOOKUP(C160,Assumptions!$B$116:$C$162,2,FALSE)</f>
        <v>ELCTRLYZ_LRG_C</v>
      </c>
      <c r="AH160" t="str">
        <f>VLOOKUP(D160,Assumptions!$B$116:$C$162,2,FALSE)</f>
        <v>C_UNDRGRND_STRG</v>
      </c>
      <c r="AI160" t="str">
        <f>VLOOKUP(E160,Assumptions!$B$116:$C$162,2,FALSE)</f>
        <v>H2_T&amp;D_P</v>
      </c>
      <c r="AJ160" t="str">
        <f>VLOOKUP(F160,Assumptions!$B$116:$C$162,2,FALSE)</f>
        <v>H2_CCGT_PWR</v>
      </c>
    </row>
    <row r="161" spans="2:36" x14ac:dyDescent="0.25">
      <c r="B161" t="s">
        <v>112</v>
      </c>
      <c r="C161" t="s">
        <v>49</v>
      </c>
      <c r="D161" t="s">
        <v>62</v>
      </c>
      <c r="E161" t="s">
        <v>116</v>
      </c>
      <c r="F161" t="s">
        <v>163</v>
      </c>
      <c r="G161" t="s">
        <v>114</v>
      </c>
      <c r="H161" t="s">
        <v>433</v>
      </c>
      <c r="I161" t="s">
        <v>32</v>
      </c>
      <c r="J161" t="s">
        <v>329</v>
      </c>
      <c r="K161">
        <f t="shared" si="284"/>
        <v>1</v>
      </c>
      <c r="L161">
        <f t="shared" si="285"/>
        <v>0</v>
      </c>
      <c r="M161">
        <f t="shared" si="286"/>
        <v>1</v>
      </c>
      <c r="N161">
        <f t="shared" si="287"/>
        <v>0</v>
      </c>
      <c r="O161">
        <f t="shared" si="288"/>
        <v>2</v>
      </c>
      <c r="P161" t="str">
        <f t="shared" si="289"/>
        <v>Large centralized electrolysis-CO2 emissions</v>
      </c>
      <c r="Q161" t="str">
        <f t="shared" si="290"/>
        <v>Underground storage-CO2 emissions</v>
      </c>
      <c r="R161" t="str">
        <f t="shared" si="291"/>
        <v>Liquid hydrogen truck-CO2 emissions</v>
      </c>
      <c r="S161" t="str">
        <f t="shared" si="292"/>
        <v>Hydrogen turbine (CC)-CO2 emissions</v>
      </c>
      <c r="T161">
        <f ca="1">IF(timePeriod="2020-30",(VLOOKUP($P161,'TA database'!$I$8:$J$79,2,FALSE)/VLOOKUP($D161,'Merit calculation'!$B$48:$I$52,5,FALSE)/VLOOKUP($E161,'Merit calculation'!$B$67:$I$73,5,FALSE)/VLOOKUP($F161,'Merit calculation'!$B$90:$I$103,5,FALSE)/energyContentH2),(VLOOKUP($P161,'TA database'!$I$8:$J$79,2,FALSE)/VLOOKUP($D161,'Merit calculation'!$B$48:$I$52,7,FALSE)/VLOOKUP($E161,'Merit calculation'!$B$67:$I$73,7,FALSE)/VLOOKUP($F161,'Merit calculation'!$B$90:$I$103,7,FALSE)/energyContentH2))</f>
        <v>5.684064524118114E-2</v>
      </c>
      <c r="U161">
        <v>0</v>
      </c>
      <c r="V161">
        <v>0</v>
      </c>
      <c r="W161">
        <f>IFERROR(VLOOKUP($S161,'TA database'!$I$146:$J$193,2,FALSE),0)</f>
        <v>0</v>
      </c>
      <c r="X161">
        <f ca="1">IFERROR(VLOOKUP($S161,'TA database'!$I$200:$J$271,2,FALSE),0)</f>
        <v>0</v>
      </c>
      <c r="Y161">
        <f t="shared" ca="1" si="293"/>
        <v>0.20462632286825211</v>
      </c>
      <c r="Z161" t="str">
        <f t="shared" si="294"/>
        <v>ELCTRLYZ_LRG_C   →   C_UNDRGRND_STRG   →   LQ_TRUCK   →   H2_CCGT_PWR</v>
      </c>
      <c r="AA161" t="str">
        <f t="shared" si="295"/>
        <v>Grid electricity</v>
      </c>
      <c r="AB161" t="str">
        <f t="shared" si="296"/>
        <v>CO2 emissions</v>
      </c>
      <c r="AC161">
        <f t="shared" ca="1" si="297"/>
        <v>0.20462632286825211</v>
      </c>
      <c r="AD161">
        <v>102</v>
      </c>
      <c r="AE161" t="str">
        <f>IF(AND(ISNUMBER(SEARCH(O161,4)),ISNUMBER(SEARCH('(4) FCH pathway assessment'!$B$16,AB161)),ISNUMBER(SEARCH('(4) FCH pathway assessment'!$B$10,AA161))),AD161,"")</f>
        <v/>
      </c>
      <c r="AF161" t="str">
        <f t="shared" si="157"/>
        <v/>
      </c>
      <c r="AG161" t="str">
        <f>VLOOKUP(C161,Assumptions!$B$116:$C$162,2,FALSE)</f>
        <v>ELCTRLYZ_LRG_C</v>
      </c>
      <c r="AH161" t="str">
        <f>VLOOKUP(D161,Assumptions!$B$116:$C$162,2,FALSE)</f>
        <v>C_UNDRGRND_STRG</v>
      </c>
      <c r="AI161" t="str">
        <f>VLOOKUP(E161,Assumptions!$B$116:$C$162,2,FALSE)</f>
        <v>LQ_TRUCK</v>
      </c>
      <c r="AJ161" t="str">
        <f>VLOOKUP(F161,Assumptions!$B$116:$C$162,2,FALSE)</f>
        <v>H2_CCGT_PWR</v>
      </c>
    </row>
    <row r="162" spans="2:36" x14ac:dyDescent="0.25">
      <c r="B162" t="s">
        <v>112</v>
      </c>
      <c r="C162" t="s">
        <v>49</v>
      </c>
      <c r="D162" t="s">
        <v>62</v>
      </c>
      <c r="E162" t="s">
        <v>66</v>
      </c>
      <c r="F162" t="s">
        <v>163</v>
      </c>
      <c r="G162" t="s">
        <v>114</v>
      </c>
      <c r="H162" t="s">
        <v>433</v>
      </c>
      <c r="I162" t="s">
        <v>32</v>
      </c>
      <c r="J162" t="s">
        <v>329</v>
      </c>
      <c r="K162">
        <f t="shared" si="284"/>
        <v>1</v>
      </c>
      <c r="L162">
        <f t="shared" si="285"/>
        <v>0</v>
      </c>
      <c r="M162">
        <f t="shared" si="286"/>
        <v>1</v>
      </c>
      <c r="N162">
        <f t="shared" si="287"/>
        <v>0</v>
      </c>
      <c r="O162">
        <f t="shared" si="288"/>
        <v>2</v>
      </c>
      <c r="P162" t="str">
        <f t="shared" si="289"/>
        <v>Large centralized electrolysis-CO2 emissions</v>
      </c>
      <c r="Q162" t="str">
        <f t="shared" si="290"/>
        <v>Underground storage-CO2 emissions</v>
      </c>
      <c r="R162" t="str">
        <f t="shared" si="291"/>
        <v>Onsite-CO2 emissions</v>
      </c>
      <c r="S162" t="str">
        <f t="shared" si="292"/>
        <v>Hydrogen turbine (CC)-CO2 emissions</v>
      </c>
      <c r="T162">
        <f ca="1">IF(timePeriod="2020-30",(VLOOKUP($P162,'TA database'!$I$8:$J$79,2,FALSE)/VLOOKUP($D162,'Merit calculation'!$B$48:$I$52,5,FALSE)/VLOOKUP($E162,'Merit calculation'!$B$67:$I$73,5,FALSE)/VLOOKUP($F162,'Merit calculation'!$B$90:$I$103,5,FALSE)/energyContentH2),(VLOOKUP($P162,'TA database'!$I$8:$J$79,2,FALSE)/VLOOKUP($D162,'Merit calculation'!$B$48:$I$52,7,FALSE)/VLOOKUP($E162,'Merit calculation'!$B$67:$I$73,7,FALSE)/VLOOKUP($F162,'Merit calculation'!$B$90:$I$103,7,FALSE)/energyContentH2))</f>
        <v>4.8712432971692227E-2</v>
      </c>
      <c r="U162">
        <v>0</v>
      </c>
      <c r="V162">
        <v>0</v>
      </c>
      <c r="W162">
        <f>IFERROR(VLOOKUP($S162,'TA database'!$I$146:$J$193,2,FALSE),0)</f>
        <v>0</v>
      </c>
      <c r="X162">
        <f ca="1">IFERROR(VLOOKUP($S162,'TA database'!$I$200:$J$271,2,FALSE),0)</f>
        <v>0</v>
      </c>
      <c r="Y162">
        <f t="shared" ca="1" si="293"/>
        <v>0.17536475869809201</v>
      </c>
      <c r="Z162" t="str">
        <f t="shared" si="294"/>
        <v>ELCTRLYZ_LRG_C   →   C_UNDRGRND_STRG   →   ONSITE_USE   →   H2_CCGT_PWR</v>
      </c>
      <c r="AA162" t="str">
        <f t="shared" si="295"/>
        <v>Grid electricity</v>
      </c>
      <c r="AB162" t="str">
        <f t="shared" si="296"/>
        <v>CO2 emissions</v>
      </c>
      <c r="AC162">
        <f t="shared" ca="1" si="297"/>
        <v>0.17536475869809201</v>
      </c>
      <c r="AD162">
        <v>103</v>
      </c>
      <c r="AE162" t="str">
        <f>IF(AND(ISNUMBER(SEARCH(O162,4)),ISNUMBER(SEARCH('(4) FCH pathway assessment'!$B$16,AB162)),ISNUMBER(SEARCH('(4) FCH pathway assessment'!$B$10,AA162))),AD162,"")</f>
        <v/>
      </c>
      <c r="AF162" t="str">
        <f t="shared" si="157"/>
        <v/>
      </c>
      <c r="AG162" t="str">
        <f>VLOOKUP(C162,Assumptions!$B$116:$C$162,2,FALSE)</f>
        <v>ELCTRLYZ_LRG_C</v>
      </c>
      <c r="AH162" t="str">
        <f>VLOOKUP(D162,Assumptions!$B$116:$C$162,2,FALSE)</f>
        <v>C_UNDRGRND_STRG</v>
      </c>
      <c r="AI162" t="str">
        <f>VLOOKUP(E162,Assumptions!$B$116:$C$162,2,FALSE)</f>
        <v>ONSITE_USE</v>
      </c>
      <c r="AJ162" t="str">
        <f>VLOOKUP(F162,Assumptions!$B$116:$C$162,2,FALSE)</f>
        <v>H2_CCGT_PWR</v>
      </c>
    </row>
    <row r="163" spans="2:36" x14ac:dyDescent="0.25">
      <c r="B163" t="s">
        <v>112</v>
      </c>
      <c r="C163" t="s">
        <v>49</v>
      </c>
      <c r="D163" t="s">
        <v>155</v>
      </c>
      <c r="E163" t="s">
        <v>157</v>
      </c>
      <c r="F163" t="s">
        <v>163</v>
      </c>
      <c r="G163" t="s">
        <v>114</v>
      </c>
      <c r="H163" t="s">
        <v>433</v>
      </c>
      <c r="I163" t="s">
        <v>32</v>
      </c>
      <c r="J163" t="s">
        <v>329</v>
      </c>
      <c r="K163">
        <f t="shared" si="284"/>
        <v>1</v>
      </c>
      <c r="L163">
        <f t="shared" si="285"/>
        <v>1</v>
      </c>
      <c r="M163">
        <f t="shared" si="286"/>
        <v>0</v>
      </c>
      <c r="N163">
        <f t="shared" si="287"/>
        <v>0</v>
      </c>
      <c r="O163">
        <f t="shared" ref="O163:O170" si="298">K163+L163+M163+N163</f>
        <v>2</v>
      </c>
      <c r="P163" t="str">
        <f t="shared" si="289"/>
        <v>Large centralized electrolysis-CO2 emissions</v>
      </c>
      <c r="Q163" t="str">
        <f t="shared" si="290"/>
        <v>Central gas storage-CO2 emissions</v>
      </c>
      <c r="R163" t="str">
        <f t="shared" si="291"/>
        <v>Blending in natural gas pipeline-CO2 emissions</v>
      </c>
      <c r="S163" t="str">
        <f t="shared" si="292"/>
        <v>Hydrogen turbine (CC)-CO2 emissions</v>
      </c>
      <c r="T163">
        <f ca="1">IF(timePeriod="2020-30",(VLOOKUP($P163,'TA database'!$I$8:$J$79,2,FALSE)/VLOOKUP($D163,'Merit calculation'!$B$48:$I$52,5,FALSE)/VLOOKUP($E163,'Merit calculation'!$B$67:$I$73,5,FALSE)/VLOOKUP($F163,'Merit calculation'!$B$90:$I$103,5,FALSE)/energyContentH2),(VLOOKUP($P163,'TA database'!$I$8:$J$79,2,FALSE)/VLOOKUP($D163,'Merit calculation'!$B$48:$I$52,7,FALSE)/VLOOKUP($E163,'Merit calculation'!$B$67:$I$73,7,FALSE)/VLOOKUP($F163,'Merit calculation'!$B$90:$I$103,7,FALSE)/energyContentH2))</f>
        <v>4.970656425682881E-2</v>
      </c>
      <c r="U163">
        <v>0</v>
      </c>
      <c r="V163">
        <v>0</v>
      </c>
      <c r="W163">
        <f>IFERROR(VLOOKUP($S163,'TA database'!$I$146:$J$193,2,FALSE),0)</f>
        <v>0</v>
      </c>
      <c r="X163">
        <f ca="1">IFERROR(VLOOKUP($S163,'TA database'!$I$200:$J$271,2,FALSE),0)</f>
        <v>0</v>
      </c>
      <c r="Y163">
        <f t="shared" ca="1" si="293"/>
        <v>0.17894363132458371</v>
      </c>
      <c r="Z163" t="str">
        <f t="shared" ref="Z163:Z170" si="299">CONCATENATE(AG163,"   →   ",AH163,"   →   ",AI163,"   →   ",AJ163)</f>
        <v>ELCTRLYZ_LRG_C   →   C_GAS_STRG   →   H2_BLND_NG_P   →   H2_CCGT_PWR</v>
      </c>
      <c r="AA163" t="str">
        <f t="shared" ref="AA163:AA170" si="300">G163</f>
        <v>Grid electricity</v>
      </c>
      <c r="AB163" t="str">
        <f t="shared" ref="AB163:AB170" si="301">J163</f>
        <v>CO2 emissions</v>
      </c>
      <c r="AC163">
        <f t="shared" ref="AC163:AC170" ca="1" si="302">Y163</f>
        <v>0.17894363132458371</v>
      </c>
      <c r="AD163">
        <v>104</v>
      </c>
      <c r="AE163" t="str">
        <f>IF(AND(ISNUMBER(SEARCH(O163,4)),ISNUMBER(SEARCH('(4) FCH pathway assessment'!$B$16,AB163)),ISNUMBER(SEARCH('(4) FCH pathway assessment'!$B$10,AA163))),AD163,"")</f>
        <v/>
      </c>
      <c r="AF163" t="str">
        <f t="shared" si="157"/>
        <v/>
      </c>
      <c r="AG163" t="str">
        <f>VLOOKUP(C163,Assumptions!$B$116:$C$162,2,FALSE)</f>
        <v>ELCTRLYZ_LRG_C</v>
      </c>
      <c r="AH163" t="str">
        <f>VLOOKUP(D163,Assumptions!$B$116:$C$162,2,FALSE)</f>
        <v>C_GAS_STRG</v>
      </c>
      <c r="AI163" t="str">
        <f>VLOOKUP(E163,Assumptions!$B$116:$C$162,2,FALSE)</f>
        <v>H2_BLND_NG_P</v>
      </c>
      <c r="AJ163" t="str">
        <f>VLOOKUP(F163,Assumptions!$B$116:$C$162,2,FALSE)</f>
        <v>H2_CCGT_PWR</v>
      </c>
    </row>
    <row r="164" spans="2:36" x14ac:dyDescent="0.25">
      <c r="B164" t="s">
        <v>112</v>
      </c>
      <c r="C164" t="s">
        <v>49</v>
      </c>
      <c r="D164" t="s">
        <v>155</v>
      </c>
      <c r="E164" t="s">
        <v>122</v>
      </c>
      <c r="F164" t="s">
        <v>163</v>
      </c>
      <c r="G164" t="s">
        <v>114</v>
      </c>
      <c r="H164" t="s">
        <v>433</v>
      </c>
      <c r="I164" t="s">
        <v>32</v>
      </c>
      <c r="J164" t="s">
        <v>329</v>
      </c>
      <c r="K164">
        <f t="shared" ref="K164:K170" si="303">SUMPRODUCT(($C$7:$C$18=$C164)*($D$6:$H$6=$D164)*($D$7:$H$18))</f>
        <v>1</v>
      </c>
      <c r="L164">
        <f t="shared" ref="L164:L170" si="304">SUMPRODUCT(($C$19:$C$23=$D164)*($I$6:$O$6=$E164)*($I$19:$O$23))</f>
        <v>1</v>
      </c>
      <c r="M164">
        <f t="shared" ref="M164:M170" si="305">SUMPRODUCT(($C$24:$C$30=$E164)*($P$6:$AI$6=$F164)*($P$24:$AI$30))</f>
        <v>1</v>
      </c>
      <c r="N164">
        <f t="shared" ref="N164:N170" si="306">SUMPRODUCT(($C$31:$C$50=$F164)*($AJ$6:$AM$6=$G164)*($AJ$31:$AM$50))</f>
        <v>0</v>
      </c>
      <c r="O164">
        <f t="shared" si="298"/>
        <v>3</v>
      </c>
      <c r="P164" t="str">
        <f t="shared" ref="P164:P170" si="307">CONCATENATE(C164,"-",J164)</f>
        <v>Large centralized electrolysis-CO2 emissions</v>
      </c>
      <c r="Q164" t="str">
        <f t="shared" ref="Q164:Q170" si="308">CONCATENATE(D164,"-",J164)</f>
        <v>Central gas storage-CO2 emissions</v>
      </c>
      <c r="R164" t="str">
        <f t="shared" ref="R164:R170" si="309">CONCATENATE(E164,"-",J164)</f>
        <v>Hydrogen transmission &amp; distribution pipeline-CO2 emissions</v>
      </c>
      <c r="S164" t="str">
        <f t="shared" ref="S164:S170" si="310">CONCATENATE(F164,"-",J164)</f>
        <v>Hydrogen turbine (CC)-CO2 emissions</v>
      </c>
      <c r="T164">
        <f ca="1">IF(timePeriod="2020-30",(VLOOKUP($P164,'TA database'!$I$8:$J$79,2,FALSE)/VLOOKUP($D164,'Merit calculation'!$B$48:$I$52,5,FALSE)/VLOOKUP($E164,'Merit calculation'!$B$67:$I$73,5,FALSE)/VLOOKUP($F164,'Merit calculation'!$B$90:$I$103,5,FALSE)/energyContentH2),(VLOOKUP($P164,'TA database'!$I$8:$J$79,2,FALSE)/VLOOKUP($D164,'Merit calculation'!$B$48:$I$52,7,FALSE)/VLOOKUP($E164,'Merit calculation'!$B$67:$I$73,7,FALSE)/VLOOKUP($F164,'Merit calculation'!$B$90:$I$103,7,FALSE)/energyContentH2))</f>
        <v>4.970656425682881E-2</v>
      </c>
      <c r="U164">
        <v>0</v>
      </c>
      <c r="V164">
        <v>0</v>
      </c>
      <c r="W164">
        <f>IFERROR(VLOOKUP($S164,'TA database'!$I$146:$J$193,2,FALSE),0)</f>
        <v>0</v>
      </c>
      <c r="X164">
        <f ca="1">IFERROR(VLOOKUP($S164,'TA database'!$I$200:$J$271,2,FALSE),0)</f>
        <v>0</v>
      </c>
      <c r="Y164">
        <f t="shared" ref="Y164:Y170" ca="1" si="311">IF($W164=0,T164*3.6+X164,T164+W164)</f>
        <v>0.17894363132458371</v>
      </c>
      <c r="Z164" t="str">
        <f t="shared" si="299"/>
        <v>ELCTRLYZ_LRG_C   →   C_GAS_STRG   →   H2_T&amp;D_P   →   H2_CCGT_PWR</v>
      </c>
      <c r="AA164" t="str">
        <f t="shared" si="300"/>
        <v>Grid electricity</v>
      </c>
      <c r="AB164" t="str">
        <f t="shared" si="301"/>
        <v>CO2 emissions</v>
      </c>
      <c r="AC164">
        <f t="shared" ca="1" si="302"/>
        <v>0.17894363132458371</v>
      </c>
      <c r="AD164">
        <v>105</v>
      </c>
      <c r="AE164" t="str">
        <f>IF(AND(ISNUMBER(SEARCH(O164,4)),ISNUMBER(SEARCH('(4) FCH pathway assessment'!$B$16,AB164)),ISNUMBER(SEARCH('(4) FCH pathway assessment'!$B$10,AA164))),AD164,"")</f>
        <v/>
      </c>
      <c r="AF164" t="str">
        <f t="shared" si="157"/>
        <v/>
      </c>
      <c r="AG164" t="str">
        <f>VLOOKUP(C164,Assumptions!$B$116:$C$162,2,FALSE)</f>
        <v>ELCTRLYZ_LRG_C</v>
      </c>
      <c r="AH164" t="str">
        <f>VLOOKUP(D164,Assumptions!$B$116:$C$162,2,FALSE)</f>
        <v>C_GAS_STRG</v>
      </c>
      <c r="AI164" t="str">
        <f>VLOOKUP(E164,Assumptions!$B$116:$C$162,2,FALSE)</f>
        <v>H2_T&amp;D_P</v>
      </c>
      <c r="AJ164" t="str">
        <f>VLOOKUP(F164,Assumptions!$B$116:$C$162,2,FALSE)</f>
        <v>H2_CCGT_PWR</v>
      </c>
    </row>
    <row r="165" spans="2:36" x14ac:dyDescent="0.25">
      <c r="B165" t="s">
        <v>112</v>
      </c>
      <c r="C165" t="s">
        <v>49</v>
      </c>
      <c r="D165" t="s">
        <v>155</v>
      </c>
      <c r="E165" t="s">
        <v>116</v>
      </c>
      <c r="F165" t="s">
        <v>163</v>
      </c>
      <c r="G165" t="s">
        <v>114</v>
      </c>
      <c r="H165" t="s">
        <v>433</v>
      </c>
      <c r="I165" t="s">
        <v>32</v>
      </c>
      <c r="J165" t="s">
        <v>329</v>
      </c>
      <c r="K165">
        <f t="shared" si="303"/>
        <v>1</v>
      </c>
      <c r="L165">
        <f t="shared" si="304"/>
        <v>1</v>
      </c>
      <c r="M165">
        <f t="shared" si="305"/>
        <v>1</v>
      </c>
      <c r="N165">
        <f t="shared" si="306"/>
        <v>0</v>
      </c>
      <c r="O165">
        <f t="shared" si="298"/>
        <v>3</v>
      </c>
      <c r="P165" t="str">
        <f t="shared" si="307"/>
        <v>Large centralized electrolysis-CO2 emissions</v>
      </c>
      <c r="Q165" t="str">
        <f t="shared" si="308"/>
        <v>Central gas storage-CO2 emissions</v>
      </c>
      <c r="R165" t="str">
        <f t="shared" si="309"/>
        <v>Liquid hydrogen truck-CO2 emissions</v>
      </c>
      <c r="S165" t="str">
        <f t="shared" si="310"/>
        <v>Hydrogen turbine (CC)-CO2 emissions</v>
      </c>
      <c r="T165">
        <f ca="1">IF(timePeriod="2020-30",(VLOOKUP($P165,'TA database'!$I$8:$J$79,2,FALSE)/VLOOKUP($D165,'Merit calculation'!$B$48:$I$52,5,FALSE)/VLOOKUP($E165,'Merit calculation'!$B$67:$I$73,5,FALSE)/VLOOKUP($F165,'Merit calculation'!$B$90:$I$103,5,FALSE)/energyContentH2),(VLOOKUP($P165,'TA database'!$I$8:$J$79,2,FALSE)/VLOOKUP($D165,'Merit calculation'!$B$48:$I$52,7,FALSE)/VLOOKUP($E165,'Merit calculation'!$B$67:$I$73,7,FALSE)/VLOOKUP($F165,'Merit calculation'!$B$90:$I$103,7,FALSE)/energyContentH2))</f>
        <v>5.7420651825274824E-2</v>
      </c>
      <c r="U165">
        <v>0</v>
      </c>
      <c r="V165">
        <v>0</v>
      </c>
      <c r="W165">
        <f>IFERROR(VLOOKUP($S165,'TA database'!$I$146:$J$193,2,FALSE),0)</f>
        <v>0</v>
      </c>
      <c r="X165">
        <f ca="1">IFERROR(VLOOKUP($S165,'TA database'!$I$200:$J$271,2,FALSE),0)</f>
        <v>0</v>
      </c>
      <c r="Y165">
        <f t="shared" ca="1" si="311"/>
        <v>0.20671434657098936</v>
      </c>
      <c r="Z165" t="str">
        <f t="shared" si="299"/>
        <v>ELCTRLYZ_LRG_C   →   C_GAS_STRG   →   LQ_TRUCK   →   H2_CCGT_PWR</v>
      </c>
      <c r="AA165" t="str">
        <f t="shared" si="300"/>
        <v>Grid electricity</v>
      </c>
      <c r="AB165" t="str">
        <f t="shared" si="301"/>
        <v>CO2 emissions</v>
      </c>
      <c r="AC165">
        <f t="shared" ca="1" si="302"/>
        <v>0.20671434657098936</v>
      </c>
      <c r="AD165">
        <v>106</v>
      </c>
      <c r="AE165" t="str">
        <f>IF(AND(ISNUMBER(SEARCH(O165,4)),ISNUMBER(SEARCH('(4) FCH pathway assessment'!$B$16,AB165)),ISNUMBER(SEARCH('(4) FCH pathway assessment'!$B$10,AA165))),AD165,"")</f>
        <v/>
      </c>
      <c r="AF165" t="str">
        <f t="shared" si="157"/>
        <v/>
      </c>
      <c r="AG165" t="str">
        <f>VLOOKUP(C165,Assumptions!$B$116:$C$162,2,FALSE)</f>
        <v>ELCTRLYZ_LRG_C</v>
      </c>
      <c r="AH165" t="str">
        <f>VLOOKUP(D165,Assumptions!$B$116:$C$162,2,FALSE)</f>
        <v>C_GAS_STRG</v>
      </c>
      <c r="AI165" t="str">
        <f>VLOOKUP(E165,Assumptions!$B$116:$C$162,2,FALSE)</f>
        <v>LQ_TRUCK</v>
      </c>
      <c r="AJ165" t="str">
        <f>VLOOKUP(F165,Assumptions!$B$116:$C$162,2,FALSE)</f>
        <v>H2_CCGT_PWR</v>
      </c>
    </row>
    <row r="166" spans="2:36" x14ac:dyDescent="0.25">
      <c r="B166" t="s">
        <v>112</v>
      </c>
      <c r="C166" t="s">
        <v>49</v>
      </c>
      <c r="D166" t="s">
        <v>155</v>
      </c>
      <c r="E166" t="s">
        <v>66</v>
      </c>
      <c r="F166" t="s">
        <v>163</v>
      </c>
      <c r="G166" t="s">
        <v>114</v>
      </c>
      <c r="H166" t="s">
        <v>433</v>
      </c>
      <c r="I166" t="s">
        <v>32</v>
      </c>
      <c r="J166" t="s">
        <v>329</v>
      </c>
      <c r="K166">
        <f t="shared" si="303"/>
        <v>1</v>
      </c>
      <c r="L166">
        <f t="shared" si="304"/>
        <v>1</v>
      </c>
      <c r="M166">
        <f t="shared" si="305"/>
        <v>1</v>
      </c>
      <c r="N166">
        <f t="shared" si="306"/>
        <v>0</v>
      </c>
      <c r="O166">
        <f t="shared" si="298"/>
        <v>3</v>
      </c>
      <c r="P166" t="str">
        <f t="shared" si="307"/>
        <v>Large centralized electrolysis-CO2 emissions</v>
      </c>
      <c r="Q166" t="str">
        <f t="shared" si="308"/>
        <v>Central gas storage-CO2 emissions</v>
      </c>
      <c r="R166" t="str">
        <f t="shared" si="309"/>
        <v>Onsite-CO2 emissions</v>
      </c>
      <c r="S166" t="str">
        <f t="shared" si="310"/>
        <v>Hydrogen turbine (CC)-CO2 emissions</v>
      </c>
      <c r="T166">
        <f ca="1">IF(timePeriod="2020-30",(VLOOKUP($P166,'TA database'!$I$8:$J$79,2,FALSE)/VLOOKUP($D166,'Merit calculation'!$B$48:$I$52,5,FALSE)/VLOOKUP($E166,'Merit calculation'!$B$67:$I$73,5,FALSE)/VLOOKUP($F166,'Merit calculation'!$B$90:$I$103,5,FALSE)/energyContentH2),(VLOOKUP($P166,'TA database'!$I$8:$J$79,2,FALSE)/VLOOKUP($D166,'Merit calculation'!$B$48:$I$52,7,FALSE)/VLOOKUP($E166,'Merit calculation'!$B$67:$I$73,7,FALSE)/VLOOKUP($F166,'Merit calculation'!$B$90:$I$103,7,FALSE)/energyContentH2))</f>
        <v>4.9209498614260522E-2</v>
      </c>
      <c r="U166">
        <v>0</v>
      </c>
      <c r="V166">
        <v>0</v>
      </c>
      <c r="W166">
        <f>IFERROR(VLOOKUP($S166,'TA database'!$I$146:$J$193,2,FALSE),0)</f>
        <v>0</v>
      </c>
      <c r="X166">
        <f ca="1">IFERROR(VLOOKUP($S166,'TA database'!$I$200:$J$271,2,FALSE),0)</f>
        <v>0</v>
      </c>
      <c r="Y166">
        <f t="shared" ca="1" si="311"/>
        <v>0.17715419501133789</v>
      </c>
      <c r="Z166" t="str">
        <f t="shared" si="299"/>
        <v>ELCTRLYZ_LRG_C   →   C_GAS_STRG   →   ONSITE_USE   →   H2_CCGT_PWR</v>
      </c>
      <c r="AA166" t="str">
        <f t="shared" si="300"/>
        <v>Grid electricity</v>
      </c>
      <c r="AB166" t="str">
        <f t="shared" si="301"/>
        <v>CO2 emissions</v>
      </c>
      <c r="AC166">
        <f t="shared" ca="1" si="302"/>
        <v>0.17715419501133789</v>
      </c>
      <c r="AD166">
        <v>107</v>
      </c>
      <c r="AE166" t="str">
        <f>IF(AND(ISNUMBER(SEARCH(O166,4)),ISNUMBER(SEARCH('(4) FCH pathway assessment'!$B$16,AB166)),ISNUMBER(SEARCH('(4) FCH pathway assessment'!$B$10,AA166))),AD166,"")</f>
        <v/>
      </c>
      <c r="AF166" t="str">
        <f t="shared" si="157"/>
        <v/>
      </c>
      <c r="AG166" t="str">
        <f>VLOOKUP(C166,Assumptions!$B$116:$C$162,2,FALSE)</f>
        <v>ELCTRLYZ_LRG_C</v>
      </c>
      <c r="AH166" t="str">
        <f>VLOOKUP(D166,Assumptions!$B$116:$C$162,2,FALSE)</f>
        <v>C_GAS_STRG</v>
      </c>
      <c r="AI166" t="str">
        <f>VLOOKUP(E166,Assumptions!$B$116:$C$162,2,FALSE)</f>
        <v>ONSITE_USE</v>
      </c>
      <c r="AJ166" t="str">
        <f>VLOOKUP(F166,Assumptions!$B$116:$C$162,2,FALSE)</f>
        <v>H2_CCGT_PWR</v>
      </c>
    </row>
    <row r="167" spans="2:36" x14ac:dyDescent="0.25">
      <c r="B167" t="s">
        <v>112</v>
      </c>
      <c r="C167" t="s">
        <v>51</v>
      </c>
      <c r="D167" t="s">
        <v>155</v>
      </c>
      <c r="E167" t="s">
        <v>157</v>
      </c>
      <c r="F167" t="s">
        <v>163</v>
      </c>
      <c r="G167" t="s">
        <v>114</v>
      </c>
      <c r="H167" t="s">
        <v>433</v>
      </c>
      <c r="I167" t="s">
        <v>32</v>
      </c>
      <c r="J167" t="s">
        <v>329</v>
      </c>
      <c r="K167">
        <f t="shared" si="303"/>
        <v>1</v>
      </c>
      <c r="L167">
        <f t="shared" si="304"/>
        <v>1</v>
      </c>
      <c r="M167">
        <f t="shared" si="305"/>
        <v>0</v>
      </c>
      <c r="N167">
        <f t="shared" si="306"/>
        <v>0</v>
      </c>
      <c r="O167">
        <f t="shared" si="298"/>
        <v>2</v>
      </c>
      <c r="P167" t="str">
        <f t="shared" si="307"/>
        <v>Medium centralized electrolysis-CO2 emissions</v>
      </c>
      <c r="Q167" t="str">
        <f t="shared" si="308"/>
        <v>Central gas storage-CO2 emissions</v>
      </c>
      <c r="R167" t="str">
        <f t="shared" si="309"/>
        <v>Blending in natural gas pipeline-CO2 emissions</v>
      </c>
      <c r="S167" t="str">
        <f t="shared" si="310"/>
        <v>Hydrogen turbine (CC)-CO2 emissions</v>
      </c>
      <c r="T167">
        <f ca="1">IF(timePeriod="2020-30",(VLOOKUP($P167,'TA database'!$I$8:$J$79,2,FALSE)/VLOOKUP($D167,'Merit calculation'!$B$48:$I$52,5,FALSE)/VLOOKUP($E167,'Merit calculation'!$B$67:$I$73,5,FALSE)/VLOOKUP($F167,'Merit calculation'!$B$90:$I$103,5,FALSE)/energyContentH2),(VLOOKUP($P167,'TA database'!$I$8:$J$79,2,FALSE)/VLOOKUP($D167,'Merit calculation'!$B$48:$I$52,7,FALSE)/VLOOKUP($E167,'Merit calculation'!$B$67:$I$73,7,FALSE)/VLOOKUP($F167,'Merit calculation'!$B$90:$I$103,7,FALSE)/energyContentH2))</f>
        <v>4.970656425682881E-2</v>
      </c>
      <c r="U167">
        <v>0</v>
      </c>
      <c r="V167">
        <v>0</v>
      </c>
      <c r="W167">
        <f>IFERROR(VLOOKUP($S167,'TA database'!$I$146:$J$193,2,FALSE),0)</f>
        <v>0</v>
      </c>
      <c r="X167">
        <f ca="1">IFERROR(VLOOKUP($S167,'TA database'!$I$200:$J$271,2,FALSE),0)</f>
        <v>0</v>
      </c>
      <c r="Y167">
        <f t="shared" ca="1" si="311"/>
        <v>0.17894363132458371</v>
      </c>
      <c r="Z167" t="str">
        <f t="shared" si="299"/>
        <v>ELCTRLYZ_MED_C   →   C_GAS_STRG   →   H2_BLND_NG_P   →   H2_CCGT_PWR</v>
      </c>
      <c r="AA167" t="str">
        <f t="shared" si="300"/>
        <v>Grid electricity</v>
      </c>
      <c r="AB167" t="str">
        <f t="shared" si="301"/>
        <v>CO2 emissions</v>
      </c>
      <c r="AC167">
        <f t="shared" ca="1" si="302"/>
        <v>0.17894363132458371</v>
      </c>
      <c r="AD167">
        <v>108</v>
      </c>
      <c r="AE167" t="str">
        <f>IF(AND(ISNUMBER(SEARCH(O167,4)),ISNUMBER(SEARCH('(4) FCH pathway assessment'!$B$16,AB167)),ISNUMBER(SEARCH('(4) FCH pathway assessment'!$B$10,AA167))),AD167,"")</f>
        <v/>
      </c>
      <c r="AF167" t="str">
        <f t="shared" si="157"/>
        <v/>
      </c>
      <c r="AG167" t="str">
        <f>VLOOKUP(C167,Assumptions!$B$116:$C$162,2,FALSE)</f>
        <v>ELCTRLYZ_MED_C</v>
      </c>
      <c r="AH167" t="str">
        <f>VLOOKUP(D167,Assumptions!$B$116:$C$162,2,FALSE)</f>
        <v>C_GAS_STRG</v>
      </c>
      <c r="AI167" t="str">
        <f>VLOOKUP(E167,Assumptions!$B$116:$C$162,2,FALSE)</f>
        <v>H2_BLND_NG_P</v>
      </c>
      <c r="AJ167" t="str">
        <f>VLOOKUP(F167,Assumptions!$B$116:$C$162,2,FALSE)</f>
        <v>H2_CCGT_PWR</v>
      </c>
    </row>
    <row r="168" spans="2:36" x14ac:dyDescent="0.25">
      <c r="B168" t="s">
        <v>112</v>
      </c>
      <c r="C168" t="s">
        <v>51</v>
      </c>
      <c r="D168" t="s">
        <v>155</v>
      </c>
      <c r="E168" t="s">
        <v>122</v>
      </c>
      <c r="F168" t="s">
        <v>163</v>
      </c>
      <c r="G168" t="s">
        <v>114</v>
      </c>
      <c r="H168" t="s">
        <v>433</v>
      </c>
      <c r="I168" t="s">
        <v>32</v>
      </c>
      <c r="J168" t="s">
        <v>329</v>
      </c>
      <c r="K168">
        <f t="shared" si="303"/>
        <v>1</v>
      </c>
      <c r="L168">
        <f t="shared" si="304"/>
        <v>1</v>
      </c>
      <c r="M168">
        <f t="shared" si="305"/>
        <v>1</v>
      </c>
      <c r="N168">
        <f t="shared" si="306"/>
        <v>0</v>
      </c>
      <c r="O168">
        <f t="shared" si="298"/>
        <v>3</v>
      </c>
      <c r="P168" t="str">
        <f t="shared" si="307"/>
        <v>Medium centralized electrolysis-CO2 emissions</v>
      </c>
      <c r="Q168" t="str">
        <f t="shared" si="308"/>
        <v>Central gas storage-CO2 emissions</v>
      </c>
      <c r="R168" t="str">
        <f t="shared" si="309"/>
        <v>Hydrogen transmission &amp; distribution pipeline-CO2 emissions</v>
      </c>
      <c r="S168" t="str">
        <f t="shared" si="310"/>
        <v>Hydrogen turbine (CC)-CO2 emissions</v>
      </c>
      <c r="T168">
        <f ca="1">IF(timePeriod="2020-30",(VLOOKUP($P168,'TA database'!$I$8:$J$79,2,FALSE)/VLOOKUP($D168,'Merit calculation'!$B$48:$I$52,5,FALSE)/VLOOKUP($E168,'Merit calculation'!$B$67:$I$73,5,FALSE)/VLOOKUP($F168,'Merit calculation'!$B$90:$I$103,5,FALSE)/energyContentH2),(VLOOKUP($P168,'TA database'!$I$8:$J$79,2,FALSE)/VLOOKUP($D168,'Merit calculation'!$B$48:$I$52,7,FALSE)/VLOOKUP($E168,'Merit calculation'!$B$67:$I$73,7,FALSE)/VLOOKUP($F168,'Merit calculation'!$B$90:$I$103,7,FALSE)/energyContentH2))</f>
        <v>4.970656425682881E-2</v>
      </c>
      <c r="U168">
        <v>0</v>
      </c>
      <c r="V168">
        <v>0</v>
      </c>
      <c r="W168">
        <f>IFERROR(VLOOKUP($S168,'TA database'!$I$146:$J$193,2,FALSE),0)</f>
        <v>0</v>
      </c>
      <c r="X168">
        <f ca="1">IFERROR(VLOOKUP($S168,'TA database'!$I$200:$J$271,2,FALSE),0)</f>
        <v>0</v>
      </c>
      <c r="Y168">
        <f t="shared" ca="1" si="311"/>
        <v>0.17894363132458371</v>
      </c>
      <c r="Z168" t="str">
        <f t="shared" si="299"/>
        <v>ELCTRLYZ_MED_C   →   C_GAS_STRG   →   H2_T&amp;D_P   →   H2_CCGT_PWR</v>
      </c>
      <c r="AA168" t="str">
        <f t="shared" si="300"/>
        <v>Grid electricity</v>
      </c>
      <c r="AB168" t="str">
        <f t="shared" si="301"/>
        <v>CO2 emissions</v>
      </c>
      <c r="AC168">
        <f t="shared" ca="1" si="302"/>
        <v>0.17894363132458371</v>
      </c>
      <c r="AD168">
        <v>109</v>
      </c>
      <c r="AE168" t="str">
        <f>IF(AND(ISNUMBER(SEARCH(O168,4)),ISNUMBER(SEARCH('(4) FCH pathway assessment'!$B$16,AB168)),ISNUMBER(SEARCH('(4) FCH pathway assessment'!$B$10,AA168))),AD168,"")</f>
        <v/>
      </c>
      <c r="AF168" t="str">
        <f t="shared" si="157"/>
        <v/>
      </c>
      <c r="AG168" t="str">
        <f>VLOOKUP(C168,Assumptions!$B$116:$C$162,2,FALSE)</f>
        <v>ELCTRLYZ_MED_C</v>
      </c>
      <c r="AH168" t="str">
        <f>VLOOKUP(D168,Assumptions!$B$116:$C$162,2,FALSE)</f>
        <v>C_GAS_STRG</v>
      </c>
      <c r="AI168" t="str">
        <f>VLOOKUP(E168,Assumptions!$B$116:$C$162,2,FALSE)</f>
        <v>H2_T&amp;D_P</v>
      </c>
      <c r="AJ168" t="str">
        <f>VLOOKUP(F168,Assumptions!$B$116:$C$162,2,FALSE)</f>
        <v>H2_CCGT_PWR</v>
      </c>
    </row>
    <row r="169" spans="2:36" x14ac:dyDescent="0.25">
      <c r="B169" t="s">
        <v>112</v>
      </c>
      <c r="C169" t="s">
        <v>51</v>
      </c>
      <c r="D169" t="s">
        <v>155</v>
      </c>
      <c r="E169" t="s">
        <v>116</v>
      </c>
      <c r="F169" t="s">
        <v>163</v>
      </c>
      <c r="G169" t="s">
        <v>114</v>
      </c>
      <c r="H169" t="s">
        <v>433</v>
      </c>
      <c r="I169" t="s">
        <v>32</v>
      </c>
      <c r="J169" t="s">
        <v>329</v>
      </c>
      <c r="K169">
        <f t="shared" si="303"/>
        <v>1</v>
      </c>
      <c r="L169">
        <f t="shared" si="304"/>
        <v>1</v>
      </c>
      <c r="M169">
        <f t="shared" si="305"/>
        <v>1</v>
      </c>
      <c r="N169">
        <f t="shared" si="306"/>
        <v>0</v>
      </c>
      <c r="O169">
        <f t="shared" si="298"/>
        <v>3</v>
      </c>
      <c r="P169" t="str">
        <f t="shared" si="307"/>
        <v>Medium centralized electrolysis-CO2 emissions</v>
      </c>
      <c r="Q169" t="str">
        <f t="shared" si="308"/>
        <v>Central gas storage-CO2 emissions</v>
      </c>
      <c r="R169" t="str">
        <f t="shared" si="309"/>
        <v>Liquid hydrogen truck-CO2 emissions</v>
      </c>
      <c r="S169" t="str">
        <f t="shared" si="310"/>
        <v>Hydrogen turbine (CC)-CO2 emissions</v>
      </c>
      <c r="T169">
        <f ca="1">IF(timePeriod="2020-30",(VLOOKUP($P169,'TA database'!$I$8:$J$79,2,FALSE)/VLOOKUP($D169,'Merit calculation'!$B$48:$I$52,5,FALSE)/VLOOKUP($E169,'Merit calculation'!$B$67:$I$73,5,FALSE)/VLOOKUP($F169,'Merit calculation'!$B$90:$I$103,5,FALSE)/energyContentH2),(VLOOKUP($P169,'TA database'!$I$8:$J$79,2,FALSE)/VLOOKUP($D169,'Merit calculation'!$B$48:$I$52,7,FALSE)/VLOOKUP($E169,'Merit calculation'!$B$67:$I$73,7,FALSE)/VLOOKUP($F169,'Merit calculation'!$B$90:$I$103,7,FALSE)/energyContentH2))</f>
        <v>5.7420651825274824E-2</v>
      </c>
      <c r="U169">
        <v>0</v>
      </c>
      <c r="V169">
        <v>0</v>
      </c>
      <c r="W169">
        <f>IFERROR(VLOOKUP($S169,'TA database'!$I$146:$J$193,2,FALSE),0)</f>
        <v>0</v>
      </c>
      <c r="X169">
        <f ca="1">IFERROR(VLOOKUP($S169,'TA database'!$I$200:$J$271,2,FALSE),0)</f>
        <v>0</v>
      </c>
      <c r="Y169">
        <f t="shared" ca="1" si="311"/>
        <v>0.20671434657098936</v>
      </c>
      <c r="Z169" t="str">
        <f t="shared" si="299"/>
        <v>ELCTRLYZ_MED_C   →   C_GAS_STRG   →   LQ_TRUCK   →   H2_CCGT_PWR</v>
      </c>
      <c r="AA169" t="str">
        <f t="shared" si="300"/>
        <v>Grid electricity</v>
      </c>
      <c r="AB169" t="str">
        <f t="shared" si="301"/>
        <v>CO2 emissions</v>
      </c>
      <c r="AC169">
        <f t="shared" ca="1" si="302"/>
        <v>0.20671434657098936</v>
      </c>
      <c r="AD169">
        <v>110</v>
      </c>
      <c r="AE169" t="str">
        <f>IF(AND(ISNUMBER(SEARCH(O169,4)),ISNUMBER(SEARCH('(4) FCH pathway assessment'!$B$16,AB169)),ISNUMBER(SEARCH('(4) FCH pathway assessment'!$B$10,AA169))),AD169,"")</f>
        <v/>
      </c>
      <c r="AF169" t="str">
        <f t="shared" si="157"/>
        <v/>
      </c>
      <c r="AG169" t="str">
        <f>VLOOKUP(C169,Assumptions!$B$116:$C$162,2,FALSE)</f>
        <v>ELCTRLYZ_MED_C</v>
      </c>
      <c r="AH169" t="str">
        <f>VLOOKUP(D169,Assumptions!$B$116:$C$162,2,FALSE)</f>
        <v>C_GAS_STRG</v>
      </c>
      <c r="AI169" t="str">
        <f>VLOOKUP(E169,Assumptions!$B$116:$C$162,2,FALSE)</f>
        <v>LQ_TRUCK</v>
      </c>
      <c r="AJ169" t="str">
        <f>VLOOKUP(F169,Assumptions!$B$116:$C$162,2,FALSE)</f>
        <v>H2_CCGT_PWR</v>
      </c>
    </row>
    <row r="170" spans="2:36" x14ac:dyDescent="0.25">
      <c r="B170" t="s">
        <v>112</v>
      </c>
      <c r="C170" t="s">
        <v>51</v>
      </c>
      <c r="D170" t="s">
        <v>155</v>
      </c>
      <c r="E170" t="s">
        <v>66</v>
      </c>
      <c r="F170" t="s">
        <v>163</v>
      </c>
      <c r="G170" t="s">
        <v>114</v>
      </c>
      <c r="H170" t="s">
        <v>433</v>
      </c>
      <c r="I170" t="s">
        <v>32</v>
      </c>
      <c r="J170" t="s">
        <v>329</v>
      </c>
      <c r="K170">
        <f t="shared" si="303"/>
        <v>1</v>
      </c>
      <c r="L170">
        <f t="shared" si="304"/>
        <v>1</v>
      </c>
      <c r="M170">
        <f t="shared" si="305"/>
        <v>1</v>
      </c>
      <c r="N170">
        <f t="shared" si="306"/>
        <v>0</v>
      </c>
      <c r="O170">
        <f t="shared" si="298"/>
        <v>3</v>
      </c>
      <c r="P170" t="str">
        <f t="shared" si="307"/>
        <v>Medium centralized electrolysis-CO2 emissions</v>
      </c>
      <c r="Q170" t="str">
        <f t="shared" si="308"/>
        <v>Central gas storage-CO2 emissions</v>
      </c>
      <c r="R170" t="str">
        <f t="shared" si="309"/>
        <v>Onsite-CO2 emissions</v>
      </c>
      <c r="S170" t="str">
        <f t="shared" si="310"/>
        <v>Hydrogen turbine (CC)-CO2 emissions</v>
      </c>
      <c r="T170">
        <f ca="1">IF(timePeriod="2020-30",(VLOOKUP($P170,'TA database'!$I$8:$J$79,2,FALSE)/VLOOKUP($D170,'Merit calculation'!$B$48:$I$52,5,FALSE)/VLOOKUP($E170,'Merit calculation'!$B$67:$I$73,5,FALSE)/VLOOKUP($F170,'Merit calculation'!$B$90:$I$103,5,FALSE)/energyContentH2),(VLOOKUP($P170,'TA database'!$I$8:$J$79,2,FALSE)/VLOOKUP($D170,'Merit calculation'!$B$48:$I$52,7,FALSE)/VLOOKUP($E170,'Merit calculation'!$B$67:$I$73,7,FALSE)/VLOOKUP($F170,'Merit calculation'!$B$90:$I$103,7,FALSE)/energyContentH2))</f>
        <v>4.9209498614260522E-2</v>
      </c>
      <c r="U170">
        <v>0</v>
      </c>
      <c r="V170">
        <v>0</v>
      </c>
      <c r="W170">
        <f>IFERROR(VLOOKUP($S170,'TA database'!$I$146:$J$193,2,FALSE),0)</f>
        <v>0</v>
      </c>
      <c r="X170">
        <f ca="1">IFERROR(VLOOKUP($S170,'TA database'!$I$200:$J$271,2,FALSE),0)</f>
        <v>0</v>
      </c>
      <c r="Y170">
        <f t="shared" ca="1" si="311"/>
        <v>0.17715419501133789</v>
      </c>
      <c r="Z170" t="str">
        <f t="shared" si="299"/>
        <v>ELCTRLYZ_MED_C   →   C_GAS_STRG   →   ONSITE_USE   →   H2_CCGT_PWR</v>
      </c>
      <c r="AA170" t="str">
        <f t="shared" si="300"/>
        <v>Grid electricity</v>
      </c>
      <c r="AB170" t="str">
        <f t="shared" si="301"/>
        <v>CO2 emissions</v>
      </c>
      <c r="AC170">
        <f t="shared" ca="1" si="302"/>
        <v>0.17715419501133789</v>
      </c>
      <c r="AD170">
        <v>111</v>
      </c>
      <c r="AE170" t="str">
        <f>IF(AND(ISNUMBER(SEARCH(O170,4)),ISNUMBER(SEARCH('(4) FCH pathway assessment'!$B$16,AB170)),ISNUMBER(SEARCH('(4) FCH pathway assessment'!$B$10,AA170))),AD170,"")</f>
        <v/>
      </c>
      <c r="AF170" t="str">
        <f t="shared" si="157"/>
        <v/>
      </c>
      <c r="AG170" t="str">
        <f>VLOOKUP(C170,Assumptions!$B$116:$C$162,2,FALSE)</f>
        <v>ELCTRLYZ_MED_C</v>
      </c>
      <c r="AH170" t="str">
        <f>VLOOKUP(D170,Assumptions!$B$116:$C$162,2,FALSE)</f>
        <v>C_GAS_STRG</v>
      </c>
      <c r="AI170" t="str">
        <f>VLOOKUP(E170,Assumptions!$B$116:$C$162,2,FALSE)</f>
        <v>ONSITE_USE</v>
      </c>
      <c r="AJ170" t="str">
        <f>VLOOKUP(F170,Assumptions!$B$116:$C$162,2,FALSE)</f>
        <v>H2_CCGT_PWR</v>
      </c>
    </row>
    <row r="171" spans="2:36" x14ac:dyDescent="0.25">
      <c r="B171" t="s">
        <v>112</v>
      </c>
      <c r="C171" t="s">
        <v>52</v>
      </c>
      <c r="D171" s="60" t="s">
        <v>130</v>
      </c>
      <c r="E171" t="s">
        <v>66</v>
      </c>
      <c r="F171" t="s">
        <v>163</v>
      </c>
      <c r="G171" t="s">
        <v>114</v>
      </c>
      <c r="H171" t="s">
        <v>433</v>
      </c>
      <c r="I171" t="s">
        <v>32</v>
      </c>
      <c r="J171" t="s">
        <v>329</v>
      </c>
      <c r="K171">
        <f t="shared" ref="K171:K176" si="312">SUMPRODUCT(($C$7:$C$18=$C171)*($D$6:$H$6=$D171)*($D$7:$H$18))</f>
        <v>1</v>
      </c>
      <c r="L171">
        <f t="shared" ref="L171:L176" si="313">SUMPRODUCT(($C$19:$C$23=$D171)*($I$6:$O$6=$E171)*($I$19:$O$23))</f>
        <v>1</v>
      </c>
      <c r="M171">
        <f t="shared" ref="M171:M176" si="314">SUMPRODUCT(($C$24:$C$30=$E171)*($P$6:$AI$6=$F171)*($P$24:$AI$30))</f>
        <v>1</v>
      </c>
      <c r="N171">
        <f t="shared" ref="N171:N176" si="315">SUMPRODUCT(($C$31:$C$50=$F171)*($AJ$6:$AM$6=$G171)*($AJ$31:$AM$50))</f>
        <v>0</v>
      </c>
      <c r="O171">
        <f t="shared" ref="O171:O176" si="316">K171+L171+M171+N171</f>
        <v>3</v>
      </c>
      <c r="P171" t="str">
        <f t="shared" ref="P171:P176" si="317">CONCATENATE(C171,"-",J171)</f>
        <v>Small decentralized electrolysis-CO2 emissions</v>
      </c>
      <c r="Q171" t="str">
        <f t="shared" ref="Q171:Q176" si="318">CONCATENATE(D171,"-",J171)</f>
        <v>Distributed gas storage-CO2 emissions</v>
      </c>
      <c r="R171" t="str">
        <f t="shared" ref="R171:R176" si="319">CONCATENATE(E171,"-",J171)</f>
        <v>Onsite-CO2 emissions</v>
      </c>
      <c r="S171" t="str">
        <f t="shared" ref="S171:S176" si="320">CONCATENATE(F171,"-",J171)</f>
        <v>Hydrogen turbine (CC)-CO2 emissions</v>
      </c>
      <c r="T171">
        <f ca="1">IF(timePeriod="2020-30",(VLOOKUP($P171,'TA database'!$I$8:$J$79,2,FALSE)/VLOOKUP($D171,'Merit calculation'!$B$48:$I$52,5,FALSE)/VLOOKUP($E171,'Merit calculation'!$B$67:$I$73,5,FALSE)/VLOOKUP($F171,'Merit calculation'!$B$90:$I$103,5,FALSE)/energyContentH2),(VLOOKUP($P171,'TA database'!$I$8:$J$79,2,FALSE)/VLOOKUP($D171,'Merit calculation'!$B$48:$I$52,7,FALSE)/VLOOKUP($E171,'Merit calculation'!$B$67:$I$73,7,FALSE)/VLOOKUP($F171,'Merit calculation'!$B$90:$I$103,7,FALSE)/energyContentH2))</f>
        <v>4.9209498614260522E-2</v>
      </c>
      <c r="U171">
        <v>0</v>
      </c>
      <c r="V171">
        <v>0</v>
      </c>
      <c r="W171">
        <f>IFERROR(VLOOKUP($S171,'TA database'!$I$146:$J$193,2,FALSE),0)</f>
        <v>0</v>
      </c>
      <c r="X171">
        <f ca="1">IFERROR(VLOOKUP($S171,'TA database'!$I$200:$J$271,2,FALSE),0)</f>
        <v>0</v>
      </c>
      <c r="Y171">
        <f t="shared" ref="Y171:Y176" ca="1" si="321">IF($W171=0,T171*3.6+X171,T171+W171)</f>
        <v>0.17715419501133789</v>
      </c>
      <c r="Z171" t="str">
        <f t="shared" ref="Z171:Z176" si="322">CONCATENATE(AG171,"   →   ",AH171,"   →   ",AI171,"   →   ",AJ171)</f>
        <v>ELCTRLYZ_SML_D   →   D_GAS_STRG   →   ONSITE_USE   →   H2_CCGT_PWR</v>
      </c>
      <c r="AA171" t="str">
        <f t="shared" ref="AA171:AA176" si="323">G171</f>
        <v>Grid electricity</v>
      </c>
      <c r="AB171" t="str">
        <f t="shared" ref="AB171:AB176" si="324">J171</f>
        <v>CO2 emissions</v>
      </c>
      <c r="AC171">
        <f t="shared" ref="AC171:AC176" ca="1" si="325">Y171</f>
        <v>0.17715419501133789</v>
      </c>
      <c r="AD171">
        <v>112</v>
      </c>
      <c r="AE171" t="str">
        <f>IF(AND(ISNUMBER(SEARCH(O171,4)),ISNUMBER(SEARCH('(4) FCH pathway assessment'!$B$16,AB171)),ISNUMBER(SEARCH('(4) FCH pathway assessment'!$B$10,AA171))),AD171,"")</f>
        <v/>
      </c>
      <c r="AF171" t="str">
        <f t="shared" si="157"/>
        <v/>
      </c>
      <c r="AG171" t="str">
        <f>VLOOKUP(C171,Assumptions!$B$116:$C$162,2,FALSE)</f>
        <v>ELCTRLYZ_SML_D</v>
      </c>
      <c r="AH171" t="str">
        <f>VLOOKUP(D171,Assumptions!$B$116:$C$162,2,FALSE)</f>
        <v>D_GAS_STRG</v>
      </c>
      <c r="AI171" t="str">
        <f>VLOOKUP(E171,Assumptions!$B$116:$C$162,2,FALSE)</f>
        <v>ONSITE_USE</v>
      </c>
      <c r="AJ171" t="str">
        <f>VLOOKUP(F171,Assumptions!$B$116:$C$162,2,FALSE)</f>
        <v>H2_CCGT_PWR</v>
      </c>
    </row>
    <row r="172" spans="2:36" x14ac:dyDescent="0.25">
      <c r="B172" t="s">
        <v>127</v>
      </c>
      <c r="C172" t="s">
        <v>57</v>
      </c>
      <c r="D172" t="s">
        <v>62</v>
      </c>
      <c r="E172" t="s">
        <v>157</v>
      </c>
      <c r="F172" t="s">
        <v>163</v>
      </c>
      <c r="G172" t="s">
        <v>114</v>
      </c>
      <c r="H172" t="s">
        <v>433</v>
      </c>
      <c r="I172" t="s">
        <v>32</v>
      </c>
      <c r="J172" t="s">
        <v>329</v>
      </c>
      <c r="K172">
        <f t="shared" si="312"/>
        <v>1</v>
      </c>
      <c r="L172">
        <f t="shared" si="313"/>
        <v>0</v>
      </c>
      <c r="M172">
        <f t="shared" si="314"/>
        <v>0</v>
      </c>
      <c r="N172">
        <f t="shared" si="315"/>
        <v>0</v>
      </c>
      <c r="O172">
        <f t="shared" si="316"/>
        <v>1</v>
      </c>
      <c r="P172" t="str">
        <f t="shared" si="317"/>
        <v>Large centralized natural gas steam reforming-CO2 emissions</v>
      </c>
      <c r="Q172" t="str">
        <f t="shared" si="318"/>
        <v>Underground storage-CO2 emissions</v>
      </c>
      <c r="R172" t="str">
        <f t="shared" si="319"/>
        <v>Blending in natural gas pipeline-CO2 emissions</v>
      </c>
      <c r="S172" t="str">
        <f t="shared" si="320"/>
        <v>Hydrogen turbine (CC)-CO2 emissions</v>
      </c>
      <c r="T172">
        <f ca="1">IF(timePeriod="2020-30",(VLOOKUP($P172,'TA database'!$I$8:$J$79,2,FALSE)/VLOOKUP($D172,'Merit calculation'!$B$48:$I$52,5,FALSE)/VLOOKUP($E172,'Merit calculation'!$B$67:$I$73,5,FALSE)/VLOOKUP($F172,'Merit calculation'!$B$90:$I$103,5,FALSE)/energyContentH2),(VLOOKUP($P172,'TA database'!$I$8:$J$79,2,FALSE)/VLOOKUP($D172,'Merit calculation'!$B$48:$I$52,7,FALSE)/VLOOKUP($E172,'Merit calculation'!$B$67:$I$73,7,FALSE)/VLOOKUP($F172,'Merit calculation'!$B$90:$I$103,7,FALSE)/energyContentH2))</f>
        <v>0.19874672652450431</v>
      </c>
      <c r="U172">
        <v>0</v>
      </c>
      <c r="V172">
        <v>0</v>
      </c>
      <c r="W172">
        <f>IFERROR(VLOOKUP($S172,'TA database'!$I$146:$J$193,2,FALSE),0)</f>
        <v>0</v>
      </c>
      <c r="X172">
        <f ca="1">IFERROR(VLOOKUP($S172,'TA database'!$I$200:$J$271,2,FALSE),0)</f>
        <v>0</v>
      </c>
      <c r="Y172">
        <f t="shared" ca="1" si="321"/>
        <v>0.71548821548821551</v>
      </c>
      <c r="Z172" t="str">
        <f t="shared" si="322"/>
        <v>NG_SR_LRG_C   →   C_UNDRGRND_STRG   →   H2_BLND_NG_P   →   H2_CCGT_PWR</v>
      </c>
      <c r="AA172" t="str">
        <f t="shared" si="323"/>
        <v>Grid electricity</v>
      </c>
      <c r="AB172" t="str">
        <f t="shared" si="324"/>
        <v>CO2 emissions</v>
      </c>
      <c r="AC172">
        <f t="shared" ca="1" si="325"/>
        <v>0.71548821548821551</v>
      </c>
      <c r="AD172">
        <v>113</v>
      </c>
      <c r="AE172" t="str">
        <f>IF(AND(ISNUMBER(SEARCH(O172,4)),ISNUMBER(SEARCH('(4) FCH pathway assessment'!$B$16,AB172)),ISNUMBER(SEARCH('(4) FCH pathway assessment'!$B$10,AA172))),AD172,"")</f>
        <v/>
      </c>
      <c r="AF172" t="str">
        <f t="shared" si="157"/>
        <v/>
      </c>
      <c r="AG172" t="str">
        <f>VLOOKUP(C172,Assumptions!$B$116:$C$162,2,FALSE)</f>
        <v>NG_SR_LRG_C</v>
      </c>
      <c r="AH172" t="str">
        <f>VLOOKUP(D172,Assumptions!$B$116:$C$162,2,FALSE)</f>
        <v>C_UNDRGRND_STRG</v>
      </c>
      <c r="AI172" t="str">
        <f>VLOOKUP(E172,Assumptions!$B$116:$C$162,2,FALSE)</f>
        <v>H2_BLND_NG_P</v>
      </c>
      <c r="AJ172" t="str">
        <f>VLOOKUP(F172,Assumptions!$B$116:$C$162,2,FALSE)</f>
        <v>H2_CCGT_PWR</v>
      </c>
    </row>
    <row r="173" spans="2:36" x14ac:dyDescent="0.25">
      <c r="B173" t="s">
        <v>127</v>
      </c>
      <c r="C173" t="s">
        <v>57</v>
      </c>
      <c r="D173" t="s">
        <v>62</v>
      </c>
      <c r="E173" t="s">
        <v>122</v>
      </c>
      <c r="F173" t="s">
        <v>163</v>
      </c>
      <c r="G173" t="s">
        <v>114</v>
      </c>
      <c r="H173" t="s">
        <v>433</v>
      </c>
      <c r="I173" t="s">
        <v>32</v>
      </c>
      <c r="J173" t="s">
        <v>329</v>
      </c>
      <c r="K173">
        <f t="shared" si="312"/>
        <v>1</v>
      </c>
      <c r="L173">
        <f t="shared" si="313"/>
        <v>0</v>
      </c>
      <c r="M173">
        <f t="shared" si="314"/>
        <v>1</v>
      </c>
      <c r="N173">
        <f t="shared" si="315"/>
        <v>0</v>
      </c>
      <c r="O173">
        <f t="shared" si="316"/>
        <v>2</v>
      </c>
      <c r="P173" t="str">
        <f t="shared" si="317"/>
        <v>Large centralized natural gas steam reforming-CO2 emissions</v>
      </c>
      <c r="Q173" t="str">
        <f t="shared" si="318"/>
        <v>Underground storage-CO2 emissions</v>
      </c>
      <c r="R173" t="str">
        <f t="shared" si="319"/>
        <v>Hydrogen transmission &amp; distribution pipeline-CO2 emissions</v>
      </c>
      <c r="S173" t="str">
        <f t="shared" si="320"/>
        <v>Hydrogen turbine (CC)-CO2 emissions</v>
      </c>
      <c r="T173">
        <f ca="1">IF(timePeriod="2020-30",(VLOOKUP($P173,'TA database'!$I$8:$J$79,2,FALSE)/VLOOKUP($D173,'Merit calculation'!$B$48:$I$52,5,FALSE)/VLOOKUP($E173,'Merit calculation'!$B$67:$I$73,5,FALSE)/VLOOKUP($F173,'Merit calculation'!$B$90:$I$103,5,FALSE)/energyContentH2),(VLOOKUP($P173,'TA database'!$I$8:$J$79,2,FALSE)/VLOOKUP($D173,'Merit calculation'!$B$48:$I$52,7,FALSE)/VLOOKUP($E173,'Merit calculation'!$B$67:$I$73,7,FALSE)/VLOOKUP($F173,'Merit calculation'!$B$90:$I$103,7,FALSE)/energyContentH2))</f>
        <v>0.19874672652450431</v>
      </c>
      <c r="U173">
        <v>0</v>
      </c>
      <c r="V173">
        <v>0</v>
      </c>
      <c r="W173">
        <f>IFERROR(VLOOKUP($S173,'TA database'!$I$146:$J$193,2,FALSE),0)</f>
        <v>0</v>
      </c>
      <c r="X173">
        <f ca="1">IFERROR(VLOOKUP($S173,'TA database'!$I$200:$J$271,2,FALSE),0)</f>
        <v>0</v>
      </c>
      <c r="Y173">
        <f t="shared" ca="1" si="321"/>
        <v>0.71548821548821551</v>
      </c>
      <c r="Z173" t="str">
        <f t="shared" si="322"/>
        <v>NG_SR_LRG_C   →   C_UNDRGRND_STRG   →   H2_T&amp;D_P   →   H2_CCGT_PWR</v>
      </c>
      <c r="AA173" t="str">
        <f t="shared" si="323"/>
        <v>Grid electricity</v>
      </c>
      <c r="AB173" t="str">
        <f t="shared" si="324"/>
        <v>CO2 emissions</v>
      </c>
      <c r="AC173">
        <f t="shared" ca="1" si="325"/>
        <v>0.71548821548821551</v>
      </c>
      <c r="AD173">
        <v>114</v>
      </c>
      <c r="AE173" t="str">
        <f>IF(AND(ISNUMBER(SEARCH(O173,4)),ISNUMBER(SEARCH('(4) FCH pathway assessment'!$B$16,AB173)),ISNUMBER(SEARCH('(4) FCH pathway assessment'!$B$10,AA173))),AD173,"")</f>
        <v/>
      </c>
      <c r="AF173" t="str">
        <f t="shared" si="157"/>
        <v/>
      </c>
      <c r="AG173" t="str">
        <f>VLOOKUP(C173,Assumptions!$B$116:$C$162,2,FALSE)</f>
        <v>NG_SR_LRG_C</v>
      </c>
      <c r="AH173" t="str">
        <f>VLOOKUP(D173,Assumptions!$B$116:$C$162,2,FALSE)</f>
        <v>C_UNDRGRND_STRG</v>
      </c>
      <c r="AI173" t="str">
        <f>VLOOKUP(E173,Assumptions!$B$116:$C$162,2,FALSE)</f>
        <v>H2_T&amp;D_P</v>
      </c>
      <c r="AJ173" t="str">
        <f>VLOOKUP(F173,Assumptions!$B$116:$C$162,2,FALSE)</f>
        <v>H2_CCGT_PWR</v>
      </c>
    </row>
    <row r="174" spans="2:36" x14ac:dyDescent="0.25">
      <c r="B174" t="s">
        <v>127</v>
      </c>
      <c r="C174" t="s">
        <v>57</v>
      </c>
      <c r="D174" t="s">
        <v>62</v>
      </c>
      <c r="E174" t="s">
        <v>116</v>
      </c>
      <c r="F174" t="s">
        <v>163</v>
      </c>
      <c r="G174" t="s">
        <v>114</v>
      </c>
      <c r="H174" t="s">
        <v>433</v>
      </c>
      <c r="I174" t="s">
        <v>32</v>
      </c>
      <c r="J174" t="s">
        <v>329</v>
      </c>
      <c r="K174">
        <f t="shared" si="312"/>
        <v>1</v>
      </c>
      <c r="L174">
        <f t="shared" si="313"/>
        <v>0</v>
      </c>
      <c r="M174">
        <f t="shared" si="314"/>
        <v>1</v>
      </c>
      <c r="N174">
        <f t="shared" si="315"/>
        <v>0</v>
      </c>
      <c r="O174">
        <f t="shared" si="316"/>
        <v>2</v>
      </c>
      <c r="P174" t="str">
        <f t="shared" si="317"/>
        <v>Large centralized natural gas steam reforming-CO2 emissions</v>
      </c>
      <c r="Q174" t="str">
        <f t="shared" si="318"/>
        <v>Underground storage-CO2 emissions</v>
      </c>
      <c r="R174" t="str">
        <f t="shared" si="319"/>
        <v>Liquid hydrogen truck-CO2 emissions</v>
      </c>
      <c r="S174" t="str">
        <f t="shared" si="320"/>
        <v>Hydrogen turbine (CC)-CO2 emissions</v>
      </c>
      <c r="T174">
        <f ca="1">IF(timePeriod="2020-30",(VLOOKUP($P174,'TA database'!$I$8:$J$79,2,FALSE)/VLOOKUP($D174,'Merit calculation'!$B$48:$I$52,5,FALSE)/VLOOKUP($E174,'Merit calculation'!$B$67:$I$73,5,FALSE)/VLOOKUP($F174,'Merit calculation'!$B$90:$I$103,5,FALSE)/energyContentH2),(VLOOKUP($P174,'TA database'!$I$8:$J$79,2,FALSE)/VLOOKUP($D174,'Merit calculation'!$B$48:$I$52,7,FALSE)/VLOOKUP($E174,'Merit calculation'!$B$67:$I$73,7,FALSE)/VLOOKUP($F174,'Merit calculation'!$B$90:$I$103,7,FALSE)/energyContentH2))</f>
        <v>0.2295907342581788</v>
      </c>
      <c r="U174">
        <v>0</v>
      </c>
      <c r="V174">
        <v>0</v>
      </c>
      <c r="W174">
        <f>IFERROR(VLOOKUP($S174,'TA database'!$I$146:$J$193,2,FALSE),0)</f>
        <v>0</v>
      </c>
      <c r="X174">
        <f ca="1">IFERROR(VLOOKUP($S174,'TA database'!$I$200:$J$271,2,FALSE),0)</f>
        <v>0</v>
      </c>
      <c r="Y174">
        <f t="shared" ca="1" si="321"/>
        <v>0.8265266433294437</v>
      </c>
      <c r="Z174" t="str">
        <f t="shared" si="322"/>
        <v>NG_SR_LRG_C   →   C_UNDRGRND_STRG   →   LQ_TRUCK   →   H2_CCGT_PWR</v>
      </c>
      <c r="AA174" t="str">
        <f t="shared" si="323"/>
        <v>Grid electricity</v>
      </c>
      <c r="AB174" t="str">
        <f t="shared" si="324"/>
        <v>CO2 emissions</v>
      </c>
      <c r="AC174">
        <f t="shared" ca="1" si="325"/>
        <v>0.8265266433294437</v>
      </c>
      <c r="AD174">
        <v>115</v>
      </c>
      <c r="AE174" t="str">
        <f>IF(AND(ISNUMBER(SEARCH(O174,4)),ISNUMBER(SEARCH('(4) FCH pathway assessment'!$B$16,AB174)),ISNUMBER(SEARCH('(4) FCH pathway assessment'!$B$10,AA174))),AD174,"")</f>
        <v/>
      </c>
      <c r="AF174" t="str">
        <f t="shared" si="157"/>
        <v/>
      </c>
      <c r="AG174" t="str">
        <f>VLOOKUP(C174,Assumptions!$B$116:$C$162,2,FALSE)</f>
        <v>NG_SR_LRG_C</v>
      </c>
      <c r="AH174" t="str">
        <f>VLOOKUP(D174,Assumptions!$B$116:$C$162,2,FALSE)</f>
        <v>C_UNDRGRND_STRG</v>
      </c>
      <c r="AI174" t="str">
        <f>VLOOKUP(E174,Assumptions!$B$116:$C$162,2,FALSE)</f>
        <v>LQ_TRUCK</v>
      </c>
      <c r="AJ174" t="str">
        <f>VLOOKUP(F174,Assumptions!$B$116:$C$162,2,FALSE)</f>
        <v>H2_CCGT_PWR</v>
      </c>
    </row>
    <row r="175" spans="2:36" x14ac:dyDescent="0.25">
      <c r="B175" t="s">
        <v>127</v>
      </c>
      <c r="C175" t="s">
        <v>57</v>
      </c>
      <c r="D175" t="s">
        <v>62</v>
      </c>
      <c r="E175" t="s">
        <v>66</v>
      </c>
      <c r="F175" t="s">
        <v>163</v>
      </c>
      <c r="G175" t="s">
        <v>114</v>
      </c>
      <c r="H175" t="s">
        <v>433</v>
      </c>
      <c r="I175" t="s">
        <v>32</v>
      </c>
      <c r="J175" t="s">
        <v>329</v>
      </c>
      <c r="K175">
        <f t="shared" si="312"/>
        <v>1</v>
      </c>
      <c r="L175">
        <f t="shared" si="313"/>
        <v>0</v>
      </c>
      <c r="M175">
        <f t="shared" si="314"/>
        <v>1</v>
      </c>
      <c r="N175">
        <f t="shared" si="315"/>
        <v>0</v>
      </c>
      <c r="O175">
        <f t="shared" si="316"/>
        <v>2</v>
      </c>
      <c r="P175" t="str">
        <f t="shared" si="317"/>
        <v>Large centralized natural gas steam reforming-CO2 emissions</v>
      </c>
      <c r="Q175" t="str">
        <f t="shared" si="318"/>
        <v>Underground storage-CO2 emissions</v>
      </c>
      <c r="R175" t="str">
        <f t="shared" si="319"/>
        <v>Onsite-CO2 emissions</v>
      </c>
      <c r="S175" t="str">
        <f t="shared" si="320"/>
        <v>Hydrogen turbine (CC)-CO2 emissions</v>
      </c>
      <c r="T175">
        <f ca="1">IF(timePeriod="2020-30",(VLOOKUP($P175,'TA database'!$I$8:$J$79,2,FALSE)/VLOOKUP($D175,'Merit calculation'!$B$48:$I$52,5,FALSE)/VLOOKUP($E175,'Merit calculation'!$B$67:$I$73,5,FALSE)/VLOOKUP($F175,'Merit calculation'!$B$90:$I$103,5,FALSE)/energyContentH2),(VLOOKUP($P175,'TA database'!$I$8:$J$79,2,FALSE)/VLOOKUP($D175,'Merit calculation'!$B$48:$I$52,7,FALSE)/VLOOKUP($E175,'Merit calculation'!$B$67:$I$73,7,FALSE)/VLOOKUP($F175,'Merit calculation'!$B$90:$I$103,7,FALSE)/energyContentH2))</f>
        <v>0.19675925925925924</v>
      </c>
      <c r="U175">
        <v>0</v>
      </c>
      <c r="V175">
        <v>0</v>
      </c>
      <c r="W175">
        <f>IFERROR(VLOOKUP($S175,'TA database'!$I$146:$J$193,2,FALSE),0)</f>
        <v>0</v>
      </c>
      <c r="X175">
        <f ca="1">IFERROR(VLOOKUP($S175,'TA database'!$I$200:$J$271,2,FALSE),0)</f>
        <v>0</v>
      </c>
      <c r="Y175">
        <f t="shared" ca="1" si="321"/>
        <v>0.70833333333333326</v>
      </c>
      <c r="Z175" t="str">
        <f t="shared" si="322"/>
        <v>NG_SR_LRG_C   →   C_UNDRGRND_STRG   →   ONSITE_USE   →   H2_CCGT_PWR</v>
      </c>
      <c r="AA175" t="str">
        <f t="shared" si="323"/>
        <v>Grid electricity</v>
      </c>
      <c r="AB175" t="str">
        <f t="shared" si="324"/>
        <v>CO2 emissions</v>
      </c>
      <c r="AC175">
        <f t="shared" ca="1" si="325"/>
        <v>0.70833333333333326</v>
      </c>
      <c r="AD175">
        <v>116</v>
      </c>
      <c r="AE175" t="str">
        <f>IF(AND(ISNUMBER(SEARCH(O175,4)),ISNUMBER(SEARCH('(4) FCH pathway assessment'!$B$16,AB175)),ISNUMBER(SEARCH('(4) FCH pathway assessment'!$B$10,AA175))),AD175,"")</f>
        <v/>
      </c>
      <c r="AF175" t="str">
        <f t="shared" si="157"/>
        <v/>
      </c>
      <c r="AG175" t="str">
        <f>VLOOKUP(C175,Assumptions!$B$116:$C$162,2,FALSE)</f>
        <v>NG_SR_LRG_C</v>
      </c>
      <c r="AH175" t="str">
        <f>VLOOKUP(D175,Assumptions!$B$116:$C$162,2,FALSE)</f>
        <v>C_UNDRGRND_STRG</v>
      </c>
      <c r="AI175" t="str">
        <f>VLOOKUP(E175,Assumptions!$B$116:$C$162,2,FALSE)</f>
        <v>ONSITE_USE</v>
      </c>
      <c r="AJ175" t="str">
        <f>VLOOKUP(F175,Assumptions!$B$116:$C$162,2,FALSE)</f>
        <v>H2_CCGT_PWR</v>
      </c>
    </row>
    <row r="176" spans="2:36" x14ac:dyDescent="0.25">
      <c r="B176" t="s">
        <v>127</v>
      </c>
      <c r="C176" t="s">
        <v>57</v>
      </c>
      <c r="D176" s="61" t="s">
        <v>63</v>
      </c>
      <c r="E176" t="s">
        <v>122</v>
      </c>
      <c r="F176" t="s">
        <v>163</v>
      </c>
      <c r="G176" t="s">
        <v>114</v>
      </c>
      <c r="H176" t="s">
        <v>433</v>
      </c>
      <c r="I176" t="s">
        <v>32</v>
      </c>
      <c r="J176" t="s">
        <v>329</v>
      </c>
      <c r="K176">
        <f t="shared" si="312"/>
        <v>1</v>
      </c>
      <c r="L176">
        <f t="shared" si="313"/>
        <v>1</v>
      </c>
      <c r="M176">
        <f t="shared" si="314"/>
        <v>1</v>
      </c>
      <c r="N176">
        <f t="shared" si="315"/>
        <v>0</v>
      </c>
      <c r="O176">
        <f t="shared" si="316"/>
        <v>3</v>
      </c>
      <c r="P176" t="str">
        <f t="shared" si="317"/>
        <v>Large centralized natural gas steam reforming-CO2 emissions</v>
      </c>
      <c r="Q176" t="str">
        <f t="shared" si="318"/>
        <v>No storage-CO2 emissions</v>
      </c>
      <c r="R176" t="str">
        <f t="shared" si="319"/>
        <v>Hydrogen transmission &amp; distribution pipeline-CO2 emissions</v>
      </c>
      <c r="S176" t="str">
        <f t="shared" si="320"/>
        <v>Hydrogen turbine (CC)-CO2 emissions</v>
      </c>
      <c r="T176">
        <f ca="1">IF(timePeriod="2020-30",(VLOOKUP($P176,'TA database'!$I$8:$J$79,2,FALSE)/VLOOKUP($D176,'Merit calculation'!$B$48:$I$52,5,FALSE)/VLOOKUP($E176,'Merit calculation'!$B$67:$I$73,5,FALSE)/VLOOKUP($F176,'Merit calculation'!$B$90:$I$103,5,FALSE)/energyContentH2),(VLOOKUP($P176,'TA database'!$I$8:$J$79,2,FALSE)/VLOOKUP($D176,'Merit calculation'!$B$48:$I$52,7,FALSE)/VLOOKUP($E176,'Merit calculation'!$B$67:$I$73,7,FALSE)/VLOOKUP($F176,'Merit calculation'!$B$90:$I$103,7,FALSE)/energyContentH2))</f>
        <v>0.19675925925925924</v>
      </c>
      <c r="U176">
        <v>0</v>
      </c>
      <c r="V176">
        <v>0</v>
      </c>
      <c r="W176">
        <f>IFERROR(VLOOKUP($S176,'TA database'!$I$146:$J$193,2,FALSE),0)</f>
        <v>0</v>
      </c>
      <c r="X176">
        <f ca="1">IFERROR(VLOOKUP($S176,'TA database'!$I$200:$J$271,2,FALSE),0)</f>
        <v>0</v>
      </c>
      <c r="Y176">
        <f t="shared" ca="1" si="321"/>
        <v>0.70833333333333326</v>
      </c>
      <c r="Z176" t="str">
        <f t="shared" si="322"/>
        <v>NG_SR_LRG_C   →   NO_STRG   →   H2_T&amp;D_P   →   H2_CCGT_PWR</v>
      </c>
      <c r="AA176" t="str">
        <f t="shared" si="323"/>
        <v>Grid electricity</v>
      </c>
      <c r="AB176" t="str">
        <f t="shared" si="324"/>
        <v>CO2 emissions</v>
      </c>
      <c r="AC176">
        <f t="shared" ca="1" si="325"/>
        <v>0.70833333333333326</v>
      </c>
      <c r="AD176">
        <v>117</v>
      </c>
      <c r="AE176" t="str">
        <f>IF(AND(ISNUMBER(SEARCH(O176,4)),ISNUMBER(SEARCH('(4) FCH pathway assessment'!$B$16,AB176)),ISNUMBER(SEARCH('(4) FCH pathway assessment'!$B$10,AA176))),AD176,"")</f>
        <v/>
      </c>
      <c r="AF176" t="str">
        <f t="shared" si="157"/>
        <v/>
      </c>
      <c r="AG176" t="str">
        <f>VLOOKUP(C176,Assumptions!$B$116:$C$162,2,FALSE)</f>
        <v>NG_SR_LRG_C</v>
      </c>
      <c r="AH176" t="str">
        <f>VLOOKUP(D176,Assumptions!$B$116:$C$162,2,FALSE)</f>
        <v>NO_STRG</v>
      </c>
      <c r="AI176" t="str">
        <f>VLOOKUP(E176,Assumptions!$B$116:$C$162,2,FALSE)</f>
        <v>H2_T&amp;D_P</v>
      </c>
      <c r="AJ176" t="str">
        <f>VLOOKUP(F176,Assumptions!$B$116:$C$162,2,FALSE)</f>
        <v>H2_CCGT_PWR</v>
      </c>
    </row>
    <row r="177" spans="2:36" x14ac:dyDescent="0.25">
      <c r="B177" t="s">
        <v>127</v>
      </c>
      <c r="C177" t="s">
        <v>58</v>
      </c>
      <c r="D177" t="s">
        <v>155</v>
      </c>
      <c r="E177" t="s">
        <v>157</v>
      </c>
      <c r="F177" t="s">
        <v>163</v>
      </c>
      <c r="G177" t="s">
        <v>114</v>
      </c>
      <c r="H177" t="s">
        <v>433</v>
      </c>
      <c r="I177" t="s">
        <v>32</v>
      </c>
      <c r="J177" t="s">
        <v>329</v>
      </c>
      <c r="K177">
        <f t="shared" ref="K177:K181" si="326">SUMPRODUCT(($C$7:$C$18=$C177)*($D$6:$H$6=$D177)*($D$7:$H$18))</f>
        <v>1</v>
      </c>
      <c r="L177">
        <f t="shared" ref="L177:L181" si="327">SUMPRODUCT(($C$19:$C$23=$D177)*($I$6:$O$6=$E177)*($I$19:$O$23))</f>
        <v>1</v>
      </c>
      <c r="M177">
        <f t="shared" ref="M177:M181" si="328">SUMPRODUCT(($C$24:$C$30=$E177)*($P$6:$AI$6=$F177)*($P$24:$AI$30))</f>
        <v>0</v>
      </c>
      <c r="N177">
        <f t="shared" ref="N177:N181" si="329">SUMPRODUCT(($C$31:$C$50=$F177)*($AJ$6:$AM$6=$G177)*($AJ$31:$AM$50))</f>
        <v>0</v>
      </c>
      <c r="O177">
        <f t="shared" ref="O177:O181" si="330">K177+L177+M177+N177</f>
        <v>2</v>
      </c>
      <c r="P177" t="str">
        <f t="shared" ref="P177:P181" si="331">CONCATENATE(C177,"-",J177)</f>
        <v>Small centralized natural gas steam reforming-CO2 emissions</v>
      </c>
      <c r="Q177" t="str">
        <f t="shared" ref="Q177:Q181" si="332">CONCATENATE(D177,"-",J177)</f>
        <v>Central gas storage-CO2 emissions</v>
      </c>
      <c r="R177" t="str">
        <f t="shared" ref="R177:R181" si="333">CONCATENATE(E177,"-",J177)</f>
        <v>Blending in natural gas pipeline-CO2 emissions</v>
      </c>
      <c r="S177" t="str">
        <f t="shared" ref="S177:S181" si="334">CONCATENATE(F177,"-",J177)</f>
        <v>Hydrogen turbine (CC)-CO2 emissions</v>
      </c>
      <c r="T177">
        <f ca="1">IF(timePeriod="2020-30",(VLOOKUP($P177,'TA database'!$I$8:$J$79,2,FALSE)/VLOOKUP($D177,'Merit calculation'!$B$48:$I$52,5,FALSE)/VLOOKUP($E177,'Merit calculation'!$B$67:$I$73,5,FALSE)/VLOOKUP($F177,'Merit calculation'!$B$90:$I$103,5,FALSE)/energyContentH2),(VLOOKUP($P177,'TA database'!$I$8:$J$79,2,FALSE)/VLOOKUP($D177,'Merit calculation'!$B$48:$I$52,7,FALSE)/VLOOKUP($E177,'Merit calculation'!$B$67:$I$73,7,FALSE)/VLOOKUP($F177,'Merit calculation'!$B$90:$I$103,7,FALSE)/energyContentH2))</f>
        <v>0.20077475434618292</v>
      </c>
      <c r="U177">
        <v>0</v>
      </c>
      <c r="V177">
        <v>0</v>
      </c>
      <c r="W177">
        <f>IFERROR(VLOOKUP($S177,'TA database'!$I$146:$J$193,2,FALSE),0)</f>
        <v>0</v>
      </c>
      <c r="X177">
        <f ca="1">IFERROR(VLOOKUP($S177,'TA database'!$I$200:$J$271,2,FALSE),0)</f>
        <v>0</v>
      </c>
      <c r="Y177">
        <f t="shared" ref="Y177:Y181" ca="1" si="335">IF($W177=0,T177*3.6+X177,T177+W177)</f>
        <v>0.72278911564625847</v>
      </c>
      <c r="Z177" t="str">
        <f t="shared" ref="Z177:Z181" si="336">CONCATENATE(AG177,"   →   ",AH177,"   →   ",AI177,"   →   ",AJ177)</f>
        <v>NG_SR_SML_C   →   C_GAS_STRG   →   H2_BLND_NG_P   →   H2_CCGT_PWR</v>
      </c>
      <c r="AA177" t="str">
        <f t="shared" ref="AA177:AA181" si="337">G177</f>
        <v>Grid electricity</v>
      </c>
      <c r="AB177" t="str">
        <f t="shared" ref="AB177:AB181" si="338">J177</f>
        <v>CO2 emissions</v>
      </c>
      <c r="AC177">
        <f t="shared" ref="AC177:AC181" ca="1" si="339">Y177</f>
        <v>0.72278911564625847</v>
      </c>
      <c r="AD177">
        <v>118</v>
      </c>
      <c r="AE177" t="str">
        <f>IF(AND(ISNUMBER(SEARCH(O177,4)),ISNUMBER(SEARCH('(4) FCH pathway assessment'!$B$16,AB177)),ISNUMBER(SEARCH('(4) FCH pathway assessment'!$B$10,AA177))),AD177,"")</f>
        <v/>
      </c>
      <c r="AF177" t="str">
        <f t="shared" si="157"/>
        <v/>
      </c>
      <c r="AG177" t="str">
        <f>VLOOKUP(C177,Assumptions!$B$116:$C$162,2,FALSE)</f>
        <v>NG_SR_SML_C</v>
      </c>
      <c r="AH177" t="str">
        <f>VLOOKUP(D177,Assumptions!$B$116:$C$162,2,FALSE)</f>
        <v>C_GAS_STRG</v>
      </c>
      <c r="AI177" t="str">
        <f>VLOOKUP(E177,Assumptions!$B$116:$C$162,2,FALSE)</f>
        <v>H2_BLND_NG_P</v>
      </c>
      <c r="AJ177" t="str">
        <f>VLOOKUP(F177,Assumptions!$B$116:$C$162,2,FALSE)</f>
        <v>H2_CCGT_PWR</v>
      </c>
    </row>
    <row r="178" spans="2:36" x14ac:dyDescent="0.25">
      <c r="B178" t="s">
        <v>127</v>
      </c>
      <c r="C178" t="s">
        <v>58</v>
      </c>
      <c r="D178" t="s">
        <v>155</v>
      </c>
      <c r="E178" t="s">
        <v>122</v>
      </c>
      <c r="F178" t="s">
        <v>163</v>
      </c>
      <c r="G178" t="s">
        <v>114</v>
      </c>
      <c r="H178" t="s">
        <v>433</v>
      </c>
      <c r="I178" t="s">
        <v>32</v>
      </c>
      <c r="J178" t="s">
        <v>329</v>
      </c>
      <c r="K178">
        <f t="shared" si="326"/>
        <v>1</v>
      </c>
      <c r="L178">
        <f t="shared" si="327"/>
        <v>1</v>
      </c>
      <c r="M178">
        <f t="shared" si="328"/>
        <v>1</v>
      </c>
      <c r="N178">
        <f t="shared" si="329"/>
        <v>0</v>
      </c>
      <c r="O178">
        <f t="shared" si="330"/>
        <v>3</v>
      </c>
      <c r="P178" t="str">
        <f t="shared" si="331"/>
        <v>Small centralized natural gas steam reforming-CO2 emissions</v>
      </c>
      <c r="Q178" t="str">
        <f t="shared" si="332"/>
        <v>Central gas storage-CO2 emissions</v>
      </c>
      <c r="R178" t="str">
        <f t="shared" si="333"/>
        <v>Hydrogen transmission &amp; distribution pipeline-CO2 emissions</v>
      </c>
      <c r="S178" t="str">
        <f t="shared" si="334"/>
        <v>Hydrogen turbine (CC)-CO2 emissions</v>
      </c>
      <c r="T178">
        <f ca="1">IF(timePeriod="2020-30",(VLOOKUP($P178,'TA database'!$I$8:$J$79,2,FALSE)/VLOOKUP($D178,'Merit calculation'!$B$48:$I$52,5,FALSE)/VLOOKUP($E178,'Merit calculation'!$B$67:$I$73,5,FALSE)/VLOOKUP($F178,'Merit calculation'!$B$90:$I$103,5,FALSE)/energyContentH2),(VLOOKUP($P178,'TA database'!$I$8:$J$79,2,FALSE)/VLOOKUP($D178,'Merit calculation'!$B$48:$I$52,7,FALSE)/VLOOKUP($E178,'Merit calculation'!$B$67:$I$73,7,FALSE)/VLOOKUP($F178,'Merit calculation'!$B$90:$I$103,7,FALSE)/energyContentH2))</f>
        <v>0.20077475434618292</v>
      </c>
      <c r="U178">
        <v>0</v>
      </c>
      <c r="V178">
        <v>0</v>
      </c>
      <c r="W178">
        <f>IFERROR(VLOOKUP($S178,'TA database'!$I$146:$J$193,2,FALSE),0)</f>
        <v>0</v>
      </c>
      <c r="X178">
        <f ca="1">IFERROR(VLOOKUP($S178,'TA database'!$I$200:$J$271,2,FALSE),0)</f>
        <v>0</v>
      </c>
      <c r="Y178">
        <f t="shared" ca="1" si="335"/>
        <v>0.72278911564625847</v>
      </c>
      <c r="Z178" t="str">
        <f t="shared" si="336"/>
        <v>NG_SR_SML_C   →   C_GAS_STRG   →   H2_T&amp;D_P   →   H2_CCGT_PWR</v>
      </c>
      <c r="AA178" t="str">
        <f t="shared" si="337"/>
        <v>Grid electricity</v>
      </c>
      <c r="AB178" t="str">
        <f t="shared" si="338"/>
        <v>CO2 emissions</v>
      </c>
      <c r="AC178">
        <f t="shared" ca="1" si="339"/>
        <v>0.72278911564625847</v>
      </c>
      <c r="AD178">
        <v>119</v>
      </c>
      <c r="AE178" t="str">
        <f>IF(AND(ISNUMBER(SEARCH(O178,4)),ISNUMBER(SEARCH('(4) FCH pathway assessment'!$B$16,AB178)),ISNUMBER(SEARCH('(4) FCH pathway assessment'!$B$10,AA178))),AD178,"")</f>
        <v/>
      </c>
      <c r="AF178" t="str">
        <f t="shared" si="157"/>
        <v/>
      </c>
      <c r="AG178" t="str">
        <f>VLOOKUP(C178,Assumptions!$B$116:$C$162,2,FALSE)</f>
        <v>NG_SR_SML_C</v>
      </c>
      <c r="AH178" t="str">
        <f>VLOOKUP(D178,Assumptions!$B$116:$C$162,2,FALSE)</f>
        <v>C_GAS_STRG</v>
      </c>
      <c r="AI178" t="str">
        <f>VLOOKUP(E178,Assumptions!$B$116:$C$162,2,FALSE)</f>
        <v>H2_T&amp;D_P</v>
      </c>
      <c r="AJ178" t="str">
        <f>VLOOKUP(F178,Assumptions!$B$116:$C$162,2,FALSE)</f>
        <v>H2_CCGT_PWR</v>
      </c>
    </row>
    <row r="179" spans="2:36" x14ac:dyDescent="0.25">
      <c r="B179" t="s">
        <v>127</v>
      </c>
      <c r="C179" t="s">
        <v>58</v>
      </c>
      <c r="D179" t="s">
        <v>155</v>
      </c>
      <c r="E179" t="s">
        <v>116</v>
      </c>
      <c r="F179" t="s">
        <v>163</v>
      </c>
      <c r="G179" t="s">
        <v>114</v>
      </c>
      <c r="H179" t="s">
        <v>433</v>
      </c>
      <c r="I179" t="s">
        <v>32</v>
      </c>
      <c r="J179" t="s">
        <v>329</v>
      </c>
      <c r="K179">
        <f t="shared" si="326"/>
        <v>1</v>
      </c>
      <c r="L179">
        <f t="shared" si="327"/>
        <v>1</v>
      </c>
      <c r="M179">
        <f t="shared" si="328"/>
        <v>1</v>
      </c>
      <c r="N179">
        <f t="shared" si="329"/>
        <v>0</v>
      </c>
      <c r="O179">
        <f t="shared" si="330"/>
        <v>3</v>
      </c>
      <c r="P179" t="str">
        <f t="shared" si="331"/>
        <v>Small centralized natural gas steam reforming-CO2 emissions</v>
      </c>
      <c r="Q179" t="str">
        <f t="shared" si="332"/>
        <v>Central gas storage-CO2 emissions</v>
      </c>
      <c r="R179" t="str">
        <f t="shared" si="333"/>
        <v>Liquid hydrogen truck-CO2 emissions</v>
      </c>
      <c r="S179" t="str">
        <f t="shared" si="334"/>
        <v>Hydrogen turbine (CC)-CO2 emissions</v>
      </c>
      <c r="T179">
        <f ca="1">IF(timePeriod="2020-30",(VLOOKUP($P179,'TA database'!$I$8:$J$79,2,FALSE)/VLOOKUP($D179,'Merit calculation'!$B$48:$I$52,5,FALSE)/VLOOKUP($E179,'Merit calculation'!$B$67:$I$73,5,FALSE)/VLOOKUP($F179,'Merit calculation'!$B$90:$I$103,5,FALSE)/energyContentH2),(VLOOKUP($P179,'TA database'!$I$8:$J$79,2,FALSE)/VLOOKUP($D179,'Merit calculation'!$B$48:$I$52,7,FALSE)/VLOOKUP($E179,'Merit calculation'!$B$67:$I$73,7,FALSE)/VLOOKUP($F179,'Merit calculation'!$B$90:$I$103,7,FALSE)/energyContentH2))</f>
        <v>0.23193349685265002</v>
      </c>
      <c r="U179">
        <v>0</v>
      </c>
      <c r="V179">
        <v>0</v>
      </c>
      <c r="W179">
        <f>IFERROR(VLOOKUP($S179,'TA database'!$I$146:$J$193,2,FALSE),0)</f>
        <v>0</v>
      </c>
      <c r="X179">
        <f ca="1">IFERROR(VLOOKUP($S179,'TA database'!$I$200:$J$271,2,FALSE),0)</f>
        <v>0</v>
      </c>
      <c r="Y179">
        <f t="shared" ca="1" si="335"/>
        <v>0.83496058866954015</v>
      </c>
      <c r="Z179" t="str">
        <f t="shared" si="336"/>
        <v>NG_SR_SML_C   →   C_GAS_STRG   →   LQ_TRUCK   →   H2_CCGT_PWR</v>
      </c>
      <c r="AA179" t="str">
        <f t="shared" si="337"/>
        <v>Grid electricity</v>
      </c>
      <c r="AB179" t="str">
        <f t="shared" si="338"/>
        <v>CO2 emissions</v>
      </c>
      <c r="AC179">
        <f t="shared" ca="1" si="339"/>
        <v>0.83496058866954015</v>
      </c>
      <c r="AD179">
        <v>120</v>
      </c>
      <c r="AE179" t="str">
        <f>IF(AND(ISNUMBER(SEARCH(O179,4)),ISNUMBER(SEARCH('(4) FCH pathway assessment'!$B$16,AB179)),ISNUMBER(SEARCH('(4) FCH pathway assessment'!$B$10,AA179))),AD179,"")</f>
        <v/>
      </c>
      <c r="AF179" t="str">
        <f t="shared" si="157"/>
        <v/>
      </c>
      <c r="AG179" t="str">
        <f>VLOOKUP(C179,Assumptions!$B$116:$C$162,2,FALSE)</f>
        <v>NG_SR_SML_C</v>
      </c>
      <c r="AH179" t="str">
        <f>VLOOKUP(D179,Assumptions!$B$116:$C$162,2,FALSE)</f>
        <v>C_GAS_STRG</v>
      </c>
      <c r="AI179" t="str">
        <f>VLOOKUP(E179,Assumptions!$B$116:$C$162,2,FALSE)</f>
        <v>LQ_TRUCK</v>
      </c>
      <c r="AJ179" t="str">
        <f>VLOOKUP(F179,Assumptions!$B$116:$C$162,2,FALSE)</f>
        <v>H2_CCGT_PWR</v>
      </c>
    </row>
    <row r="180" spans="2:36" x14ac:dyDescent="0.25">
      <c r="B180" t="s">
        <v>127</v>
      </c>
      <c r="C180" t="s">
        <v>58</v>
      </c>
      <c r="D180" t="s">
        <v>155</v>
      </c>
      <c r="E180" t="s">
        <v>66</v>
      </c>
      <c r="F180" t="s">
        <v>163</v>
      </c>
      <c r="G180" t="s">
        <v>114</v>
      </c>
      <c r="H180" t="s">
        <v>433</v>
      </c>
      <c r="I180" t="s">
        <v>32</v>
      </c>
      <c r="J180" t="s">
        <v>329</v>
      </c>
      <c r="K180">
        <f t="shared" si="326"/>
        <v>1</v>
      </c>
      <c r="L180">
        <f t="shared" si="327"/>
        <v>1</v>
      </c>
      <c r="M180">
        <f t="shared" si="328"/>
        <v>1</v>
      </c>
      <c r="N180">
        <f t="shared" si="329"/>
        <v>0</v>
      </c>
      <c r="O180">
        <f t="shared" si="330"/>
        <v>3</v>
      </c>
      <c r="P180" t="str">
        <f t="shared" si="331"/>
        <v>Small centralized natural gas steam reforming-CO2 emissions</v>
      </c>
      <c r="Q180" t="str">
        <f t="shared" si="332"/>
        <v>Central gas storage-CO2 emissions</v>
      </c>
      <c r="R180" t="str">
        <f t="shared" si="333"/>
        <v>Onsite-CO2 emissions</v>
      </c>
      <c r="S180" t="str">
        <f t="shared" si="334"/>
        <v>Hydrogen turbine (CC)-CO2 emissions</v>
      </c>
      <c r="T180">
        <f ca="1">IF(timePeriod="2020-30",(VLOOKUP($P180,'TA database'!$I$8:$J$79,2,FALSE)/VLOOKUP($D180,'Merit calculation'!$B$48:$I$52,5,FALSE)/VLOOKUP($E180,'Merit calculation'!$B$67:$I$73,5,FALSE)/VLOOKUP($F180,'Merit calculation'!$B$90:$I$103,5,FALSE)/energyContentH2),(VLOOKUP($P180,'TA database'!$I$8:$J$79,2,FALSE)/VLOOKUP($D180,'Merit calculation'!$B$48:$I$52,7,FALSE)/VLOOKUP($E180,'Merit calculation'!$B$67:$I$73,7,FALSE)/VLOOKUP($F180,'Merit calculation'!$B$90:$I$103,7,FALSE)/energyContentH2))</f>
        <v>0.19876700680272108</v>
      </c>
      <c r="U180">
        <v>0</v>
      </c>
      <c r="V180">
        <v>0</v>
      </c>
      <c r="W180">
        <f>IFERROR(VLOOKUP($S180,'TA database'!$I$146:$J$193,2,FALSE),0)</f>
        <v>0</v>
      </c>
      <c r="X180">
        <f ca="1">IFERROR(VLOOKUP($S180,'TA database'!$I$200:$J$271,2,FALSE),0)</f>
        <v>0</v>
      </c>
      <c r="Y180">
        <f t="shared" ca="1" si="335"/>
        <v>0.71556122448979587</v>
      </c>
      <c r="Z180" t="str">
        <f t="shared" si="336"/>
        <v>NG_SR_SML_C   →   C_GAS_STRG   →   ONSITE_USE   →   H2_CCGT_PWR</v>
      </c>
      <c r="AA180" t="str">
        <f t="shared" si="337"/>
        <v>Grid electricity</v>
      </c>
      <c r="AB180" t="str">
        <f t="shared" si="338"/>
        <v>CO2 emissions</v>
      </c>
      <c r="AC180">
        <f t="shared" ca="1" si="339"/>
        <v>0.71556122448979587</v>
      </c>
      <c r="AD180">
        <v>121</v>
      </c>
      <c r="AE180" t="str">
        <f>IF(AND(ISNUMBER(SEARCH(O180,4)),ISNUMBER(SEARCH('(4) FCH pathway assessment'!$B$16,AB180)),ISNUMBER(SEARCH('(4) FCH pathway assessment'!$B$10,AA180))),AD180,"")</f>
        <v/>
      </c>
      <c r="AF180" t="str">
        <f t="shared" si="157"/>
        <v/>
      </c>
      <c r="AG180" t="str">
        <f>VLOOKUP(C180,Assumptions!$B$116:$C$162,2,FALSE)</f>
        <v>NG_SR_SML_C</v>
      </c>
      <c r="AH180" t="str">
        <f>VLOOKUP(D180,Assumptions!$B$116:$C$162,2,FALSE)</f>
        <v>C_GAS_STRG</v>
      </c>
      <c r="AI180" t="str">
        <f>VLOOKUP(E180,Assumptions!$B$116:$C$162,2,FALSE)</f>
        <v>ONSITE_USE</v>
      </c>
      <c r="AJ180" t="str">
        <f>VLOOKUP(F180,Assumptions!$B$116:$C$162,2,FALSE)</f>
        <v>H2_CCGT_PWR</v>
      </c>
    </row>
    <row r="181" spans="2:36" x14ac:dyDescent="0.25">
      <c r="B181" t="s">
        <v>127</v>
      </c>
      <c r="C181" t="s">
        <v>59</v>
      </c>
      <c r="D181" s="60" t="s">
        <v>130</v>
      </c>
      <c r="E181" t="s">
        <v>66</v>
      </c>
      <c r="F181" t="s">
        <v>163</v>
      </c>
      <c r="G181" t="s">
        <v>114</v>
      </c>
      <c r="H181" t="s">
        <v>433</v>
      </c>
      <c r="I181" t="s">
        <v>32</v>
      </c>
      <c r="J181" t="s">
        <v>329</v>
      </c>
      <c r="K181">
        <f t="shared" si="326"/>
        <v>1</v>
      </c>
      <c r="L181">
        <f t="shared" si="327"/>
        <v>1</v>
      </c>
      <c r="M181">
        <f t="shared" si="328"/>
        <v>1</v>
      </c>
      <c r="N181">
        <f t="shared" si="329"/>
        <v>0</v>
      </c>
      <c r="O181">
        <f t="shared" si="330"/>
        <v>3</v>
      </c>
      <c r="P181" t="str">
        <f t="shared" si="331"/>
        <v>Medium decentralized natural gas steam reforming-CO2 emissions</v>
      </c>
      <c r="Q181" t="str">
        <f t="shared" si="332"/>
        <v>Distributed gas storage-CO2 emissions</v>
      </c>
      <c r="R181" t="str">
        <f t="shared" si="333"/>
        <v>Onsite-CO2 emissions</v>
      </c>
      <c r="S181" t="str">
        <f t="shared" si="334"/>
        <v>Hydrogen turbine (CC)-CO2 emissions</v>
      </c>
      <c r="T181">
        <f ca="1">IF(timePeriod="2020-30",(VLOOKUP($P181,'TA database'!$I$8:$J$79,2,FALSE)/VLOOKUP($D181,'Merit calculation'!$B$48:$I$52,5,FALSE)/VLOOKUP($E181,'Merit calculation'!$B$67:$I$73,5,FALSE)/VLOOKUP($F181,'Merit calculation'!$B$90:$I$103,5,FALSE)/energyContentH2),(VLOOKUP($P181,'TA database'!$I$8:$J$79,2,FALSE)/VLOOKUP($D181,'Merit calculation'!$B$48:$I$52,7,FALSE)/VLOOKUP($E181,'Merit calculation'!$B$67:$I$73,7,FALSE)/VLOOKUP($F181,'Merit calculation'!$B$90:$I$103,7,FALSE)/energyContentH2))</f>
        <v>0.20801198386331274</v>
      </c>
      <c r="U181">
        <v>0</v>
      </c>
      <c r="V181">
        <v>0</v>
      </c>
      <c r="W181">
        <f>IFERROR(VLOOKUP($S181,'TA database'!$I$146:$J$193,2,FALSE),0)</f>
        <v>0</v>
      </c>
      <c r="X181">
        <f ca="1">IFERROR(VLOOKUP($S181,'TA database'!$I$200:$J$271,2,FALSE),0)</f>
        <v>0</v>
      </c>
      <c r="Y181">
        <f t="shared" ca="1" si="335"/>
        <v>0.74884314190792589</v>
      </c>
      <c r="Z181" t="str">
        <f t="shared" si="336"/>
        <v>NG_SR_MED_D   →   D_GAS_STRG   →   ONSITE_USE   →   H2_CCGT_PWR</v>
      </c>
      <c r="AA181" t="str">
        <f t="shared" si="337"/>
        <v>Grid electricity</v>
      </c>
      <c r="AB181" t="str">
        <f t="shared" si="338"/>
        <v>CO2 emissions</v>
      </c>
      <c r="AC181">
        <f t="shared" ca="1" si="339"/>
        <v>0.74884314190792589</v>
      </c>
      <c r="AD181">
        <v>122</v>
      </c>
      <c r="AE181" t="str">
        <f>IF(AND(ISNUMBER(SEARCH(O181,4)),ISNUMBER(SEARCH('(4) FCH pathway assessment'!$B$16,AB181)),ISNUMBER(SEARCH('(4) FCH pathway assessment'!$B$10,AA181))),AD181,"")</f>
        <v/>
      </c>
      <c r="AF181" t="str">
        <f t="shared" si="157"/>
        <v/>
      </c>
      <c r="AG181" t="str">
        <f>VLOOKUP(C181,Assumptions!$B$116:$C$162,2,FALSE)</f>
        <v>NG_SR_MED_D</v>
      </c>
      <c r="AH181" t="str">
        <f>VLOOKUP(D181,Assumptions!$B$116:$C$162,2,FALSE)</f>
        <v>D_GAS_STRG</v>
      </c>
      <c r="AI181" t="str">
        <f>VLOOKUP(E181,Assumptions!$B$116:$C$162,2,FALSE)</f>
        <v>ONSITE_USE</v>
      </c>
      <c r="AJ181" t="str">
        <f>VLOOKUP(F181,Assumptions!$B$116:$C$162,2,FALSE)</f>
        <v>H2_CCGT_PWR</v>
      </c>
    </row>
    <row r="182" spans="2:36" x14ac:dyDescent="0.25">
      <c r="B182" t="s">
        <v>127</v>
      </c>
      <c r="C182" t="s">
        <v>60</v>
      </c>
      <c r="D182" s="60" t="s">
        <v>130</v>
      </c>
      <c r="E182" t="s">
        <v>66</v>
      </c>
      <c r="F182" t="s">
        <v>163</v>
      </c>
      <c r="G182" t="s">
        <v>114</v>
      </c>
      <c r="H182" t="s">
        <v>433</v>
      </c>
      <c r="I182" t="s">
        <v>32</v>
      </c>
      <c r="J182" t="s">
        <v>329</v>
      </c>
      <c r="K182">
        <f t="shared" ref="K182" si="340">SUMPRODUCT(($C$7:$C$18=$C182)*($D$6:$H$6=$D182)*($D$7:$H$18))</f>
        <v>1</v>
      </c>
      <c r="L182">
        <f t="shared" ref="L182" si="341">SUMPRODUCT(($C$19:$C$23=$D182)*($I$6:$O$6=$E182)*($I$19:$O$23))</f>
        <v>1</v>
      </c>
      <c r="M182">
        <f t="shared" ref="M182" si="342">SUMPRODUCT(($C$24:$C$30=$E182)*($P$6:$AI$6=$F182)*($P$24:$AI$30))</f>
        <v>1</v>
      </c>
      <c r="N182">
        <f t="shared" ref="N182" si="343">SUMPRODUCT(($C$31:$C$50=$F182)*($AJ$6:$AM$6=$G182)*($AJ$31:$AM$50))</f>
        <v>0</v>
      </c>
      <c r="O182">
        <f t="shared" ref="O182" si="344">K182+L182+M182+N182</f>
        <v>3</v>
      </c>
      <c r="P182" t="str">
        <f t="shared" ref="P182" si="345">CONCATENATE(C182,"-",J182)</f>
        <v>Small decentralized natural gas steam reforming-CO2 emissions</v>
      </c>
      <c r="Q182" t="str">
        <f t="shared" ref="Q182" si="346">CONCATENATE(D182,"-",J182)</f>
        <v>Distributed gas storage-CO2 emissions</v>
      </c>
      <c r="R182" t="str">
        <f t="shared" ref="R182" si="347">CONCATENATE(E182,"-",J182)</f>
        <v>Onsite-CO2 emissions</v>
      </c>
      <c r="S182" t="str">
        <f t="shared" ref="S182" si="348">CONCATENATE(F182,"-",J182)</f>
        <v>Hydrogen turbine (CC)-CO2 emissions</v>
      </c>
      <c r="T182">
        <f ca="1">IF(timePeriod="2020-30",(VLOOKUP($P182,'TA database'!$I$8:$J$79,2,FALSE)/VLOOKUP($D182,'Merit calculation'!$B$48:$I$52,5,FALSE)/VLOOKUP($E182,'Merit calculation'!$B$67:$I$73,5,FALSE)/VLOOKUP($F182,'Merit calculation'!$B$90:$I$103,5,FALSE)/energyContentH2),(VLOOKUP($P182,'TA database'!$I$8:$J$79,2,FALSE)/VLOOKUP($D182,'Merit calculation'!$B$48:$I$52,7,FALSE)/VLOOKUP($E182,'Merit calculation'!$B$67:$I$73,7,FALSE)/VLOOKUP($F182,'Merit calculation'!$B$90:$I$103,7,FALSE)/energyContentH2))</f>
        <v>0.19876700680272108</v>
      </c>
      <c r="U182">
        <v>0</v>
      </c>
      <c r="V182">
        <v>0</v>
      </c>
      <c r="W182">
        <f>IFERROR(VLOOKUP($S182,'TA database'!$I$146:$J$193,2,FALSE),0)</f>
        <v>0</v>
      </c>
      <c r="X182">
        <f ca="1">IFERROR(VLOOKUP($S182,'TA database'!$I$200:$J$271,2,FALSE),0)</f>
        <v>0</v>
      </c>
      <c r="Y182">
        <f t="shared" ref="Y182" ca="1" si="349">IF($W182=0,T182*3.6+X182,T182+W182)</f>
        <v>0.71556122448979587</v>
      </c>
      <c r="Z182" t="str">
        <f t="shared" ref="Z182" si="350">CONCATENATE(AG182,"   →   ",AH182,"   →   ",AI182,"   →   ",AJ182)</f>
        <v>NG_SR_SML_D   →   D_GAS_STRG   →   ONSITE_USE   →   H2_CCGT_PWR</v>
      </c>
      <c r="AA182" t="str">
        <f t="shared" ref="AA182" si="351">G182</f>
        <v>Grid electricity</v>
      </c>
      <c r="AB182" t="str">
        <f t="shared" ref="AB182" si="352">J182</f>
        <v>CO2 emissions</v>
      </c>
      <c r="AC182">
        <f t="shared" ref="AC182" ca="1" si="353">Y182</f>
        <v>0.71556122448979587</v>
      </c>
      <c r="AD182">
        <v>123</v>
      </c>
      <c r="AE182" t="str">
        <f>IF(AND(ISNUMBER(SEARCH(O182,4)),ISNUMBER(SEARCH('(4) FCH pathway assessment'!$B$16,AB182)),ISNUMBER(SEARCH('(4) FCH pathway assessment'!$B$10,AA182))),AD182,"")</f>
        <v/>
      </c>
      <c r="AF182" t="str">
        <f t="shared" si="157"/>
        <v/>
      </c>
      <c r="AG182" t="str">
        <f>VLOOKUP(C182,Assumptions!$B$116:$C$162,2,FALSE)</f>
        <v>NG_SR_SML_D</v>
      </c>
      <c r="AH182" t="str">
        <f>VLOOKUP(D182,Assumptions!$B$116:$C$162,2,FALSE)</f>
        <v>D_GAS_STRG</v>
      </c>
      <c r="AI182" t="str">
        <f>VLOOKUP(E182,Assumptions!$B$116:$C$162,2,FALSE)</f>
        <v>ONSITE_USE</v>
      </c>
      <c r="AJ182" t="str">
        <f>VLOOKUP(F182,Assumptions!$B$116:$C$162,2,FALSE)</f>
        <v>H2_CCGT_PWR</v>
      </c>
    </row>
    <row r="183" spans="2:36" x14ac:dyDescent="0.25">
      <c r="B183" t="s">
        <v>117</v>
      </c>
      <c r="C183" t="s">
        <v>53</v>
      </c>
      <c r="D183" t="s">
        <v>155</v>
      </c>
      <c r="E183" t="s">
        <v>157</v>
      </c>
      <c r="F183" t="s">
        <v>162</v>
      </c>
      <c r="G183" t="s">
        <v>114</v>
      </c>
      <c r="H183" t="s">
        <v>433</v>
      </c>
      <c r="I183" t="s">
        <v>32</v>
      </c>
      <c r="J183" t="s">
        <v>329</v>
      </c>
      <c r="K183">
        <f t="shared" ref="K183:K190" si="354">SUMPRODUCT(($C$7:$C$18=$C183)*($D$6:$H$6=$D183)*($D$7:$H$18))</f>
        <v>0</v>
      </c>
      <c r="L183">
        <f t="shared" ref="L183:L190" si="355">SUMPRODUCT(($C$19:$C$23=$D183)*($I$6:$O$6=$E183)*($I$19:$O$23))</f>
        <v>1</v>
      </c>
      <c r="M183">
        <f t="shared" ref="M183:M190" si="356">SUMPRODUCT(($C$24:$C$30=$E183)*($P$6:$AI$6=$F183)*($P$24:$AI$30))</f>
        <v>0</v>
      </c>
      <c r="N183">
        <f t="shared" ref="N183:N190" si="357">SUMPRODUCT(($C$31:$C$50=$F183)*($AJ$6:$AM$6=$G183)*($AJ$31:$AM$50))</f>
        <v>0</v>
      </c>
      <c r="O183">
        <f t="shared" ref="O183:O190" si="358">K183+L183+M183+N183</f>
        <v>1</v>
      </c>
      <c r="P183" t="str">
        <f t="shared" ref="P183:P190" si="359">CONCATENATE(C183,"-",J183)</f>
        <v>Medium centralized biomass gasification-CO2 emissions</v>
      </c>
      <c r="Q183" t="str">
        <f t="shared" ref="Q183:Q190" si="360">CONCATENATE(D183,"-",J183)</f>
        <v>Central gas storage-CO2 emissions</v>
      </c>
      <c r="R183" t="str">
        <f t="shared" ref="R183:R190" si="361">CONCATENATE(E183,"-",J183)</f>
        <v>Blending in natural gas pipeline-CO2 emissions</v>
      </c>
      <c r="S183" t="str">
        <f t="shared" ref="S183:S190" si="362">CONCATENATE(F183,"-",J183)</f>
        <v>Hydrogen turbine (OC)-CO2 emissions</v>
      </c>
      <c r="T183">
        <f ca="1">IF(timePeriod="2020-30",(VLOOKUP($P183,'TA database'!$I$8:$J$79,2,FALSE)/VLOOKUP($D183,'Merit calculation'!$B$48:$I$52,5,FALSE)/VLOOKUP($E183,'Merit calculation'!$B$67:$I$73,5,FALSE)/VLOOKUP($F183,'Merit calculation'!$B$90:$I$103,5,FALSE)/energyContentH2),(VLOOKUP($P183,'TA database'!$I$8:$J$79,2,FALSE)/VLOOKUP($D183,'Merit calculation'!$B$48:$I$52,7,FALSE)/VLOOKUP($E183,'Merit calculation'!$B$67:$I$73,7,FALSE)/VLOOKUP($F183,'Merit calculation'!$B$90:$I$103,7,FALSE)/energyContentH2))</f>
        <v>0</v>
      </c>
      <c r="U183">
        <v>0</v>
      </c>
      <c r="V183">
        <v>0</v>
      </c>
      <c r="W183">
        <f>IFERROR(VLOOKUP($S183,'TA database'!$I$146:$J$193,2,FALSE),0)</f>
        <v>0</v>
      </c>
      <c r="X183">
        <f ca="1">IFERROR(VLOOKUP($S183,'TA database'!$I$200:$J$271,2,FALSE),0)</f>
        <v>0</v>
      </c>
      <c r="Y183">
        <f t="shared" ref="Y183:Y190" ca="1" si="363">IF($W183=0,T183*3.6+X183,T183+W183)</f>
        <v>0</v>
      </c>
      <c r="Z183" t="str">
        <f t="shared" ref="Z183:Z190" si="364">CONCATENATE(AG183,"   →   ",AH183,"   →   ",AI183,"   →   ",AJ183)</f>
        <v>BIO_GSF_MED_C   →   C_GAS_STRG   →   H2_BLND_NG_P   →   H2_OCGT_PWR</v>
      </c>
      <c r="AA183" t="str">
        <f t="shared" ref="AA183:AA190" si="365">G183</f>
        <v>Grid electricity</v>
      </c>
      <c r="AB183" t="str">
        <f t="shared" ref="AB183:AB190" si="366">J183</f>
        <v>CO2 emissions</v>
      </c>
      <c r="AC183">
        <f t="shared" ref="AC183:AC190" ca="1" si="367">Y183</f>
        <v>0</v>
      </c>
      <c r="AD183">
        <v>124</v>
      </c>
      <c r="AE183" t="str">
        <f>IF(AND(ISNUMBER(SEARCH(O183,4)),ISNUMBER(SEARCH('(4) FCH pathway assessment'!$B$16,AB183)),ISNUMBER(SEARCH('(4) FCH pathway assessment'!$B$10,AA183))),AD183,"")</f>
        <v/>
      </c>
      <c r="AF183" t="str">
        <f t="shared" si="157"/>
        <v/>
      </c>
      <c r="AG183" t="str">
        <f>VLOOKUP(C183,Assumptions!$B$116:$C$162,2,FALSE)</f>
        <v>BIO_GSF_MED_C</v>
      </c>
      <c r="AH183" t="str">
        <f>VLOOKUP(D183,Assumptions!$B$116:$C$162,2,FALSE)</f>
        <v>C_GAS_STRG</v>
      </c>
      <c r="AI183" t="str">
        <f>VLOOKUP(E183,Assumptions!$B$116:$C$162,2,FALSE)</f>
        <v>H2_BLND_NG_P</v>
      </c>
      <c r="AJ183" t="str">
        <f>VLOOKUP(F183,Assumptions!$B$116:$C$162,2,FALSE)</f>
        <v>H2_OCGT_PWR</v>
      </c>
    </row>
    <row r="184" spans="2:36" x14ac:dyDescent="0.25">
      <c r="B184" t="s">
        <v>117</v>
      </c>
      <c r="C184" t="s">
        <v>53</v>
      </c>
      <c r="D184" t="s">
        <v>155</v>
      </c>
      <c r="E184" t="s">
        <v>122</v>
      </c>
      <c r="F184" t="s">
        <v>162</v>
      </c>
      <c r="G184" t="s">
        <v>114</v>
      </c>
      <c r="H184" t="s">
        <v>433</v>
      </c>
      <c r="I184" t="s">
        <v>32</v>
      </c>
      <c r="J184" t="s">
        <v>329</v>
      </c>
      <c r="K184">
        <f t="shared" si="354"/>
        <v>0</v>
      </c>
      <c r="L184">
        <f t="shared" si="355"/>
        <v>1</v>
      </c>
      <c r="M184">
        <f t="shared" si="356"/>
        <v>1</v>
      </c>
      <c r="N184">
        <f t="shared" si="357"/>
        <v>0</v>
      </c>
      <c r="O184">
        <f t="shared" si="358"/>
        <v>2</v>
      </c>
      <c r="P184" t="str">
        <f t="shared" si="359"/>
        <v>Medium centralized biomass gasification-CO2 emissions</v>
      </c>
      <c r="Q184" t="str">
        <f t="shared" si="360"/>
        <v>Central gas storage-CO2 emissions</v>
      </c>
      <c r="R184" t="str">
        <f t="shared" si="361"/>
        <v>Hydrogen transmission &amp; distribution pipeline-CO2 emissions</v>
      </c>
      <c r="S184" t="str">
        <f t="shared" si="362"/>
        <v>Hydrogen turbine (OC)-CO2 emissions</v>
      </c>
      <c r="T184">
        <f ca="1">IF(timePeriod="2020-30",(VLOOKUP($P184,'TA database'!$I$8:$J$79,2,FALSE)/VLOOKUP($D184,'Merit calculation'!$B$48:$I$52,5,FALSE)/VLOOKUP($E184,'Merit calculation'!$B$67:$I$73,5,FALSE)/VLOOKUP($F184,'Merit calculation'!$B$90:$I$103,5,FALSE)/energyContentH2),(VLOOKUP($P184,'TA database'!$I$8:$J$79,2,FALSE)/VLOOKUP($D184,'Merit calculation'!$B$48:$I$52,7,FALSE)/VLOOKUP($E184,'Merit calculation'!$B$67:$I$73,7,FALSE)/VLOOKUP($F184,'Merit calculation'!$B$90:$I$103,7,FALSE)/energyContentH2))</f>
        <v>0</v>
      </c>
      <c r="U184">
        <v>0</v>
      </c>
      <c r="V184">
        <v>0</v>
      </c>
      <c r="W184">
        <f>IFERROR(VLOOKUP($S184,'TA database'!$I$146:$J$193,2,FALSE),0)</f>
        <v>0</v>
      </c>
      <c r="X184">
        <f ca="1">IFERROR(VLOOKUP($S184,'TA database'!$I$200:$J$271,2,FALSE),0)</f>
        <v>0</v>
      </c>
      <c r="Y184">
        <f t="shared" ca="1" si="363"/>
        <v>0</v>
      </c>
      <c r="Z184" t="str">
        <f t="shared" si="364"/>
        <v>BIO_GSF_MED_C   →   C_GAS_STRG   →   H2_T&amp;D_P   →   H2_OCGT_PWR</v>
      </c>
      <c r="AA184" t="str">
        <f t="shared" si="365"/>
        <v>Grid electricity</v>
      </c>
      <c r="AB184" t="str">
        <f t="shared" si="366"/>
        <v>CO2 emissions</v>
      </c>
      <c r="AC184">
        <f t="shared" ca="1" si="367"/>
        <v>0</v>
      </c>
      <c r="AD184">
        <v>125</v>
      </c>
      <c r="AE184" t="str">
        <f>IF(AND(ISNUMBER(SEARCH(O184,4)),ISNUMBER(SEARCH('(4) FCH pathway assessment'!$B$16,AB184)),ISNUMBER(SEARCH('(4) FCH pathway assessment'!$B$10,AA184))),AD184,"")</f>
        <v/>
      </c>
      <c r="AF184" t="str">
        <f t="shared" si="157"/>
        <v/>
      </c>
      <c r="AG184" t="str">
        <f>VLOOKUP(C184,Assumptions!$B$116:$C$162,2,FALSE)</f>
        <v>BIO_GSF_MED_C</v>
      </c>
      <c r="AH184" t="str">
        <f>VLOOKUP(D184,Assumptions!$B$116:$C$162,2,FALSE)</f>
        <v>C_GAS_STRG</v>
      </c>
      <c r="AI184" t="str">
        <f>VLOOKUP(E184,Assumptions!$B$116:$C$162,2,FALSE)</f>
        <v>H2_T&amp;D_P</v>
      </c>
      <c r="AJ184" t="str">
        <f>VLOOKUP(F184,Assumptions!$B$116:$C$162,2,FALSE)</f>
        <v>H2_OCGT_PWR</v>
      </c>
    </row>
    <row r="185" spans="2:36" x14ac:dyDescent="0.25">
      <c r="B185" t="s">
        <v>117</v>
      </c>
      <c r="C185" t="s">
        <v>53</v>
      </c>
      <c r="D185" t="s">
        <v>155</v>
      </c>
      <c r="E185" t="s">
        <v>116</v>
      </c>
      <c r="F185" t="s">
        <v>162</v>
      </c>
      <c r="G185" t="s">
        <v>114</v>
      </c>
      <c r="H185" t="s">
        <v>433</v>
      </c>
      <c r="I185" t="s">
        <v>32</v>
      </c>
      <c r="J185" t="s">
        <v>329</v>
      </c>
      <c r="K185">
        <f t="shared" si="354"/>
        <v>0</v>
      </c>
      <c r="L185">
        <f t="shared" si="355"/>
        <v>1</v>
      </c>
      <c r="M185">
        <f t="shared" si="356"/>
        <v>1</v>
      </c>
      <c r="N185">
        <f t="shared" si="357"/>
        <v>0</v>
      </c>
      <c r="O185">
        <f t="shared" si="358"/>
        <v>2</v>
      </c>
      <c r="P185" t="str">
        <f t="shared" si="359"/>
        <v>Medium centralized biomass gasification-CO2 emissions</v>
      </c>
      <c r="Q185" t="str">
        <f t="shared" si="360"/>
        <v>Central gas storage-CO2 emissions</v>
      </c>
      <c r="R185" t="str">
        <f t="shared" si="361"/>
        <v>Liquid hydrogen truck-CO2 emissions</v>
      </c>
      <c r="S185" t="str">
        <f t="shared" si="362"/>
        <v>Hydrogen turbine (OC)-CO2 emissions</v>
      </c>
      <c r="T185">
        <f ca="1">IF(timePeriod="2020-30",(VLOOKUP($P185,'TA database'!$I$8:$J$79,2,FALSE)/VLOOKUP($D185,'Merit calculation'!$B$48:$I$52,5,FALSE)/VLOOKUP($E185,'Merit calculation'!$B$67:$I$73,5,FALSE)/VLOOKUP($F185,'Merit calculation'!$B$90:$I$103,5,FALSE)/energyContentH2),(VLOOKUP($P185,'TA database'!$I$8:$J$79,2,FALSE)/VLOOKUP($D185,'Merit calculation'!$B$48:$I$52,7,FALSE)/VLOOKUP($E185,'Merit calculation'!$B$67:$I$73,7,FALSE)/VLOOKUP($F185,'Merit calculation'!$B$90:$I$103,7,FALSE)/energyContentH2))</f>
        <v>0</v>
      </c>
      <c r="U185">
        <v>0</v>
      </c>
      <c r="V185">
        <v>0</v>
      </c>
      <c r="W185">
        <f>IFERROR(VLOOKUP($S185,'TA database'!$I$146:$J$193,2,FALSE),0)</f>
        <v>0</v>
      </c>
      <c r="X185">
        <f ca="1">IFERROR(VLOOKUP($S185,'TA database'!$I$200:$J$271,2,FALSE),0)</f>
        <v>0</v>
      </c>
      <c r="Y185">
        <f t="shared" ca="1" si="363"/>
        <v>0</v>
      </c>
      <c r="Z185" t="str">
        <f t="shared" si="364"/>
        <v>BIO_GSF_MED_C   →   C_GAS_STRG   →   LQ_TRUCK   →   H2_OCGT_PWR</v>
      </c>
      <c r="AA185" t="str">
        <f t="shared" si="365"/>
        <v>Grid electricity</v>
      </c>
      <c r="AB185" t="str">
        <f t="shared" si="366"/>
        <v>CO2 emissions</v>
      </c>
      <c r="AC185">
        <f t="shared" ca="1" si="367"/>
        <v>0</v>
      </c>
      <c r="AD185">
        <v>126</v>
      </c>
      <c r="AE185" t="str">
        <f>IF(AND(ISNUMBER(SEARCH(O185,4)),ISNUMBER(SEARCH('(4) FCH pathway assessment'!$B$16,AB185)),ISNUMBER(SEARCH('(4) FCH pathway assessment'!$B$10,AA185))),AD185,"")</f>
        <v/>
      </c>
      <c r="AF185" t="str">
        <f t="shared" si="157"/>
        <v/>
      </c>
      <c r="AG185" t="str">
        <f>VLOOKUP(C185,Assumptions!$B$116:$C$162,2,FALSE)</f>
        <v>BIO_GSF_MED_C</v>
      </c>
      <c r="AH185" t="str">
        <f>VLOOKUP(D185,Assumptions!$B$116:$C$162,2,FALSE)</f>
        <v>C_GAS_STRG</v>
      </c>
      <c r="AI185" t="str">
        <f>VLOOKUP(E185,Assumptions!$B$116:$C$162,2,FALSE)</f>
        <v>LQ_TRUCK</v>
      </c>
      <c r="AJ185" t="str">
        <f>VLOOKUP(F185,Assumptions!$B$116:$C$162,2,FALSE)</f>
        <v>H2_OCGT_PWR</v>
      </c>
    </row>
    <row r="186" spans="2:36" x14ac:dyDescent="0.25">
      <c r="B186" t="s">
        <v>117</v>
      </c>
      <c r="C186" t="s">
        <v>53</v>
      </c>
      <c r="D186" t="s">
        <v>155</v>
      </c>
      <c r="E186" t="s">
        <v>66</v>
      </c>
      <c r="F186" t="s">
        <v>162</v>
      </c>
      <c r="G186" t="s">
        <v>114</v>
      </c>
      <c r="H186" t="s">
        <v>433</v>
      </c>
      <c r="I186" t="s">
        <v>32</v>
      </c>
      <c r="J186" t="s">
        <v>329</v>
      </c>
      <c r="K186">
        <f t="shared" si="354"/>
        <v>0</v>
      </c>
      <c r="L186">
        <f t="shared" si="355"/>
        <v>1</v>
      </c>
      <c r="M186">
        <f t="shared" si="356"/>
        <v>1</v>
      </c>
      <c r="N186">
        <f t="shared" si="357"/>
        <v>0</v>
      </c>
      <c r="O186">
        <f t="shared" si="358"/>
        <v>2</v>
      </c>
      <c r="P186" t="str">
        <f t="shared" si="359"/>
        <v>Medium centralized biomass gasification-CO2 emissions</v>
      </c>
      <c r="Q186" t="str">
        <f t="shared" si="360"/>
        <v>Central gas storage-CO2 emissions</v>
      </c>
      <c r="R186" t="str">
        <f t="shared" si="361"/>
        <v>Onsite-CO2 emissions</v>
      </c>
      <c r="S186" t="str">
        <f t="shared" si="362"/>
        <v>Hydrogen turbine (OC)-CO2 emissions</v>
      </c>
      <c r="T186">
        <f ca="1">IF(timePeriod="2020-30",(VLOOKUP($P186,'TA database'!$I$8:$J$79,2,FALSE)/VLOOKUP($D186,'Merit calculation'!$B$48:$I$52,5,FALSE)/VLOOKUP($E186,'Merit calculation'!$B$67:$I$73,5,FALSE)/VLOOKUP($F186,'Merit calculation'!$B$90:$I$103,5,FALSE)/energyContentH2),(VLOOKUP($P186,'TA database'!$I$8:$J$79,2,FALSE)/VLOOKUP($D186,'Merit calculation'!$B$48:$I$52,7,FALSE)/VLOOKUP($E186,'Merit calculation'!$B$67:$I$73,7,FALSE)/VLOOKUP($F186,'Merit calculation'!$B$90:$I$103,7,FALSE)/energyContentH2))</f>
        <v>0</v>
      </c>
      <c r="U186">
        <v>0</v>
      </c>
      <c r="V186">
        <v>0</v>
      </c>
      <c r="W186">
        <f>IFERROR(VLOOKUP($S186,'TA database'!$I$146:$J$193,2,FALSE),0)</f>
        <v>0</v>
      </c>
      <c r="X186">
        <f ca="1">IFERROR(VLOOKUP($S186,'TA database'!$I$200:$J$271,2,FALSE),0)</f>
        <v>0</v>
      </c>
      <c r="Y186">
        <f t="shared" ca="1" si="363"/>
        <v>0</v>
      </c>
      <c r="Z186" t="str">
        <f t="shared" si="364"/>
        <v>BIO_GSF_MED_C   →   C_GAS_STRG   →   ONSITE_USE   →   H2_OCGT_PWR</v>
      </c>
      <c r="AA186" t="str">
        <f t="shared" si="365"/>
        <v>Grid electricity</v>
      </c>
      <c r="AB186" t="str">
        <f t="shared" si="366"/>
        <v>CO2 emissions</v>
      </c>
      <c r="AC186">
        <f t="shared" ca="1" si="367"/>
        <v>0</v>
      </c>
      <c r="AD186">
        <v>127</v>
      </c>
      <c r="AE186" t="str">
        <f>IF(AND(ISNUMBER(SEARCH(O186,4)),ISNUMBER(SEARCH('(4) FCH pathway assessment'!$B$16,AB186)),ISNUMBER(SEARCH('(4) FCH pathway assessment'!$B$10,AA186))),AD186,"")</f>
        <v/>
      </c>
      <c r="AF186" t="str">
        <f t="shared" si="157"/>
        <v/>
      </c>
      <c r="AG186" t="str">
        <f>VLOOKUP(C186,Assumptions!$B$116:$C$162,2,FALSE)</f>
        <v>BIO_GSF_MED_C</v>
      </c>
      <c r="AH186" t="str">
        <f>VLOOKUP(D186,Assumptions!$B$116:$C$162,2,FALSE)</f>
        <v>C_GAS_STRG</v>
      </c>
      <c r="AI186" t="str">
        <f>VLOOKUP(E186,Assumptions!$B$116:$C$162,2,FALSE)</f>
        <v>ONSITE_USE</v>
      </c>
      <c r="AJ186" t="str">
        <f>VLOOKUP(F186,Assumptions!$B$116:$C$162,2,FALSE)</f>
        <v>H2_OCGT_PWR</v>
      </c>
    </row>
    <row r="187" spans="2:36" x14ac:dyDescent="0.25">
      <c r="B187" t="s">
        <v>117</v>
      </c>
      <c r="C187" t="s">
        <v>54</v>
      </c>
      <c r="D187" t="s">
        <v>155</v>
      </c>
      <c r="E187" t="s">
        <v>157</v>
      </c>
      <c r="F187" t="s">
        <v>162</v>
      </c>
      <c r="G187" t="s">
        <v>114</v>
      </c>
      <c r="H187" t="s">
        <v>433</v>
      </c>
      <c r="I187" t="s">
        <v>32</v>
      </c>
      <c r="J187" t="s">
        <v>329</v>
      </c>
      <c r="K187">
        <f t="shared" si="354"/>
        <v>0</v>
      </c>
      <c r="L187">
        <f t="shared" si="355"/>
        <v>1</v>
      </c>
      <c r="M187">
        <f t="shared" si="356"/>
        <v>0</v>
      </c>
      <c r="N187">
        <f t="shared" si="357"/>
        <v>0</v>
      </c>
      <c r="O187">
        <f t="shared" si="358"/>
        <v>1</v>
      </c>
      <c r="P187" t="str">
        <f t="shared" si="359"/>
        <v>Medium centralized biomass gasification w/ CCS-CO2 emissions</v>
      </c>
      <c r="Q187" t="str">
        <f t="shared" si="360"/>
        <v>Central gas storage-CO2 emissions</v>
      </c>
      <c r="R187" t="str">
        <f t="shared" si="361"/>
        <v>Blending in natural gas pipeline-CO2 emissions</v>
      </c>
      <c r="S187" t="str">
        <f t="shared" si="362"/>
        <v>Hydrogen turbine (OC)-CO2 emissions</v>
      </c>
      <c r="T187">
        <f ca="1">IF(timePeriod="2020-30",(VLOOKUP($P187,'TA database'!$I$8:$J$79,2,FALSE)/VLOOKUP($D187,'Merit calculation'!$B$48:$I$52,5,FALSE)/VLOOKUP($E187,'Merit calculation'!$B$67:$I$73,5,FALSE)/VLOOKUP($F187,'Merit calculation'!$B$90:$I$103,5,FALSE)/energyContentH2),(VLOOKUP($P187,'TA database'!$I$8:$J$79,2,FALSE)/VLOOKUP($D187,'Merit calculation'!$B$48:$I$52,7,FALSE)/VLOOKUP($E187,'Merit calculation'!$B$67:$I$73,7,FALSE)/VLOOKUP($F187,'Merit calculation'!$B$90:$I$103,7,FALSE)/energyContentH2))</f>
        <v>-0.24050024050024052</v>
      </c>
      <c r="U187">
        <v>0</v>
      </c>
      <c r="V187">
        <v>0</v>
      </c>
      <c r="W187">
        <f>IFERROR(VLOOKUP($S187,'TA database'!$I$146:$J$193,2,FALSE),0)</f>
        <v>0</v>
      </c>
      <c r="X187">
        <f ca="1">IFERROR(VLOOKUP($S187,'TA database'!$I$200:$J$271,2,FALSE),0)</f>
        <v>0</v>
      </c>
      <c r="Y187">
        <f t="shared" ca="1" si="363"/>
        <v>-0.8658008658008659</v>
      </c>
      <c r="Z187" t="str">
        <f t="shared" si="364"/>
        <v>BIO_GSF_CCS_MED_C   →   C_GAS_STRG   →   H2_BLND_NG_P   →   H2_OCGT_PWR</v>
      </c>
      <c r="AA187" t="str">
        <f t="shared" si="365"/>
        <v>Grid electricity</v>
      </c>
      <c r="AB187" t="str">
        <f t="shared" si="366"/>
        <v>CO2 emissions</v>
      </c>
      <c r="AC187">
        <f t="shared" ca="1" si="367"/>
        <v>-0.8658008658008659</v>
      </c>
      <c r="AD187">
        <v>128</v>
      </c>
      <c r="AE187" t="str">
        <f>IF(AND(ISNUMBER(SEARCH(O187,4)),ISNUMBER(SEARCH('(4) FCH pathway assessment'!$B$16,AB187)),ISNUMBER(SEARCH('(4) FCH pathway assessment'!$B$10,AA187))),AD187,"")</f>
        <v/>
      </c>
      <c r="AF187" t="str">
        <f t="shared" si="157"/>
        <v/>
      </c>
      <c r="AG187" t="str">
        <f>VLOOKUP(C187,Assumptions!$B$116:$C$162,2,FALSE)</f>
        <v>BIO_GSF_CCS_MED_C</v>
      </c>
      <c r="AH187" t="str">
        <f>VLOOKUP(D187,Assumptions!$B$116:$C$162,2,FALSE)</f>
        <v>C_GAS_STRG</v>
      </c>
      <c r="AI187" t="str">
        <f>VLOOKUP(E187,Assumptions!$B$116:$C$162,2,FALSE)</f>
        <v>H2_BLND_NG_P</v>
      </c>
      <c r="AJ187" t="str">
        <f>VLOOKUP(F187,Assumptions!$B$116:$C$162,2,FALSE)</f>
        <v>H2_OCGT_PWR</v>
      </c>
    </row>
    <row r="188" spans="2:36" x14ac:dyDescent="0.25">
      <c r="B188" t="s">
        <v>117</v>
      </c>
      <c r="C188" t="s">
        <v>54</v>
      </c>
      <c r="D188" t="s">
        <v>155</v>
      </c>
      <c r="E188" t="s">
        <v>122</v>
      </c>
      <c r="F188" t="s">
        <v>162</v>
      </c>
      <c r="G188" t="s">
        <v>114</v>
      </c>
      <c r="H188" t="s">
        <v>433</v>
      </c>
      <c r="I188" t="s">
        <v>32</v>
      </c>
      <c r="J188" t="s">
        <v>329</v>
      </c>
      <c r="K188">
        <f t="shared" si="354"/>
        <v>0</v>
      </c>
      <c r="L188">
        <f t="shared" si="355"/>
        <v>1</v>
      </c>
      <c r="M188">
        <f t="shared" si="356"/>
        <v>1</v>
      </c>
      <c r="N188">
        <f t="shared" si="357"/>
        <v>0</v>
      </c>
      <c r="O188">
        <f t="shared" si="358"/>
        <v>2</v>
      </c>
      <c r="P188" t="str">
        <f t="shared" si="359"/>
        <v>Medium centralized biomass gasification w/ CCS-CO2 emissions</v>
      </c>
      <c r="Q188" t="str">
        <f t="shared" si="360"/>
        <v>Central gas storage-CO2 emissions</v>
      </c>
      <c r="R188" t="str">
        <f t="shared" si="361"/>
        <v>Hydrogen transmission &amp; distribution pipeline-CO2 emissions</v>
      </c>
      <c r="S188" t="str">
        <f t="shared" si="362"/>
        <v>Hydrogen turbine (OC)-CO2 emissions</v>
      </c>
      <c r="T188">
        <f ca="1">IF(timePeriod="2020-30",(VLOOKUP($P188,'TA database'!$I$8:$J$79,2,FALSE)/VLOOKUP($D188,'Merit calculation'!$B$48:$I$52,5,FALSE)/VLOOKUP($E188,'Merit calculation'!$B$67:$I$73,5,FALSE)/VLOOKUP($F188,'Merit calculation'!$B$90:$I$103,5,FALSE)/energyContentH2),(VLOOKUP($P188,'TA database'!$I$8:$J$79,2,FALSE)/VLOOKUP($D188,'Merit calculation'!$B$48:$I$52,7,FALSE)/VLOOKUP($E188,'Merit calculation'!$B$67:$I$73,7,FALSE)/VLOOKUP($F188,'Merit calculation'!$B$90:$I$103,7,FALSE)/energyContentH2))</f>
        <v>-0.24050024050024052</v>
      </c>
      <c r="U188">
        <v>0</v>
      </c>
      <c r="V188">
        <v>0</v>
      </c>
      <c r="W188">
        <f>IFERROR(VLOOKUP($S188,'TA database'!$I$146:$J$193,2,FALSE),0)</f>
        <v>0</v>
      </c>
      <c r="X188">
        <f ca="1">IFERROR(VLOOKUP($S188,'TA database'!$I$200:$J$271,2,FALSE),0)</f>
        <v>0</v>
      </c>
      <c r="Y188">
        <f t="shared" ca="1" si="363"/>
        <v>-0.8658008658008659</v>
      </c>
      <c r="Z188" t="str">
        <f t="shared" si="364"/>
        <v>BIO_GSF_CCS_MED_C   →   C_GAS_STRG   →   H2_T&amp;D_P   →   H2_OCGT_PWR</v>
      </c>
      <c r="AA188" t="str">
        <f t="shared" si="365"/>
        <v>Grid electricity</v>
      </c>
      <c r="AB188" t="str">
        <f t="shared" si="366"/>
        <v>CO2 emissions</v>
      </c>
      <c r="AC188">
        <f t="shared" ca="1" si="367"/>
        <v>-0.8658008658008659</v>
      </c>
      <c r="AD188">
        <v>129</v>
      </c>
      <c r="AE188" t="str">
        <f>IF(AND(ISNUMBER(SEARCH(O188,4)),ISNUMBER(SEARCH('(4) FCH pathway assessment'!$B$16,AB188)),ISNUMBER(SEARCH('(4) FCH pathway assessment'!$B$10,AA188))),AD188,"")</f>
        <v/>
      </c>
      <c r="AF188" t="str">
        <f t="shared" ref="AF188:AF251" si="368">IFERROR(SMALL($AE$60:$AE$1991,AD188),"")</f>
        <v/>
      </c>
      <c r="AG188" t="str">
        <f>VLOOKUP(C188,Assumptions!$B$116:$C$162,2,FALSE)</f>
        <v>BIO_GSF_CCS_MED_C</v>
      </c>
      <c r="AH188" t="str">
        <f>VLOOKUP(D188,Assumptions!$B$116:$C$162,2,FALSE)</f>
        <v>C_GAS_STRG</v>
      </c>
      <c r="AI188" t="str">
        <f>VLOOKUP(E188,Assumptions!$B$116:$C$162,2,FALSE)</f>
        <v>H2_T&amp;D_P</v>
      </c>
      <c r="AJ188" t="str">
        <f>VLOOKUP(F188,Assumptions!$B$116:$C$162,2,FALSE)</f>
        <v>H2_OCGT_PWR</v>
      </c>
    </row>
    <row r="189" spans="2:36" x14ac:dyDescent="0.25">
      <c r="B189" t="s">
        <v>117</v>
      </c>
      <c r="C189" t="s">
        <v>54</v>
      </c>
      <c r="D189" t="s">
        <v>155</v>
      </c>
      <c r="E189" t="s">
        <v>116</v>
      </c>
      <c r="F189" t="s">
        <v>162</v>
      </c>
      <c r="G189" t="s">
        <v>114</v>
      </c>
      <c r="H189" t="s">
        <v>433</v>
      </c>
      <c r="I189" t="s">
        <v>32</v>
      </c>
      <c r="J189" t="s">
        <v>329</v>
      </c>
      <c r="K189">
        <f t="shared" si="354"/>
        <v>0</v>
      </c>
      <c r="L189">
        <f t="shared" si="355"/>
        <v>1</v>
      </c>
      <c r="M189">
        <f t="shared" si="356"/>
        <v>1</v>
      </c>
      <c r="N189">
        <f t="shared" si="357"/>
        <v>0</v>
      </c>
      <c r="O189">
        <f t="shared" si="358"/>
        <v>2</v>
      </c>
      <c r="P189" t="str">
        <f t="shared" si="359"/>
        <v>Medium centralized biomass gasification w/ CCS-CO2 emissions</v>
      </c>
      <c r="Q189" t="str">
        <f t="shared" si="360"/>
        <v>Central gas storage-CO2 emissions</v>
      </c>
      <c r="R189" t="str">
        <f t="shared" si="361"/>
        <v>Liquid hydrogen truck-CO2 emissions</v>
      </c>
      <c r="S189" t="str">
        <f t="shared" si="362"/>
        <v>Hydrogen turbine (OC)-CO2 emissions</v>
      </c>
      <c r="T189">
        <f ca="1">IF(timePeriod="2020-30",(VLOOKUP($P189,'TA database'!$I$8:$J$79,2,FALSE)/VLOOKUP($D189,'Merit calculation'!$B$48:$I$52,5,FALSE)/VLOOKUP($E189,'Merit calculation'!$B$67:$I$73,5,FALSE)/VLOOKUP($F189,'Merit calculation'!$B$90:$I$103,5,FALSE)/energyContentH2),(VLOOKUP($P189,'TA database'!$I$8:$J$79,2,FALSE)/VLOOKUP($D189,'Merit calculation'!$B$48:$I$52,7,FALSE)/VLOOKUP($E189,'Merit calculation'!$B$67:$I$73,7,FALSE)/VLOOKUP($F189,'Merit calculation'!$B$90:$I$103,7,FALSE)/energyContentH2))</f>
        <v>-0.27782408179140972</v>
      </c>
      <c r="U189">
        <v>0</v>
      </c>
      <c r="V189">
        <v>0</v>
      </c>
      <c r="W189">
        <f>IFERROR(VLOOKUP($S189,'TA database'!$I$146:$J$193,2,FALSE),0)</f>
        <v>0</v>
      </c>
      <c r="X189">
        <f ca="1">IFERROR(VLOOKUP($S189,'TA database'!$I$200:$J$271,2,FALSE),0)</f>
        <v>0</v>
      </c>
      <c r="Y189">
        <f t="shared" ca="1" si="363"/>
        <v>-1.000166694449075</v>
      </c>
      <c r="Z189" t="str">
        <f t="shared" si="364"/>
        <v>BIO_GSF_CCS_MED_C   →   C_GAS_STRG   →   LQ_TRUCK   →   H2_OCGT_PWR</v>
      </c>
      <c r="AA189" t="str">
        <f t="shared" si="365"/>
        <v>Grid electricity</v>
      </c>
      <c r="AB189" t="str">
        <f t="shared" si="366"/>
        <v>CO2 emissions</v>
      </c>
      <c r="AC189">
        <f t="shared" ca="1" si="367"/>
        <v>-1.000166694449075</v>
      </c>
      <c r="AD189">
        <v>130</v>
      </c>
      <c r="AE189" t="str">
        <f>IF(AND(ISNUMBER(SEARCH(O189,4)),ISNUMBER(SEARCH('(4) FCH pathway assessment'!$B$16,AB189)),ISNUMBER(SEARCH('(4) FCH pathway assessment'!$B$10,AA189))),AD189,"")</f>
        <v/>
      </c>
      <c r="AF189" t="str">
        <f t="shared" si="368"/>
        <v/>
      </c>
      <c r="AG189" t="str">
        <f>VLOOKUP(C189,Assumptions!$B$116:$C$162,2,FALSE)</f>
        <v>BIO_GSF_CCS_MED_C</v>
      </c>
      <c r="AH189" t="str">
        <f>VLOOKUP(D189,Assumptions!$B$116:$C$162,2,FALSE)</f>
        <v>C_GAS_STRG</v>
      </c>
      <c r="AI189" t="str">
        <f>VLOOKUP(E189,Assumptions!$B$116:$C$162,2,FALSE)</f>
        <v>LQ_TRUCK</v>
      </c>
      <c r="AJ189" t="str">
        <f>VLOOKUP(F189,Assumptions!$B$116:$C$162,2,FALSE)</f>
        <v>H2_OCGT_PWR</v>
      </c>
    </row>
    <row r="190" spans="2:36" x14ac:dyDescent="0.25">
      <c r="B190" t="s">
        <v>117</v>
      </c>
      <c r="C190" t="s">
        <v>54</v>
      </c>
      <c r="D190" t="s">
        <v>155</v>
      </c>
      <c r="E190" t="s">
        <v>66</v>
      </c>
      <c r="F190" t="s">
        <v>162</v>
      </c>
      <c r="G190" t="s">
        <v>114</v>
      </c>
      <c r="H190" t="s">
        <v>433</v>
      </c>
      <c r="I190" t="s">
        <v>32</v>
      </c>
      <c r="J190" t="s">
        <v>329</v>
      </c>
      <c r="K190">
        <f t="shared" si="354"/>
        <v>0</v>
      </c>
      <c r="L190">
        <f t="shared" si="355"/>
        <v>1</v>
      </c>
      <c r="M190">
        <f t="shared" si="356"/>
        <v>1</v>
      </c>
      <c r="N190">
        <f t="shared" si="357"/>
        <v>0</v>
      </c>
      <c r="O190">
        <f t="shared" si="358"/>
        <v>2</v>
      </c>
      <c r="P190" t="str">
        <f t="shared" si="359"/>
        <v>Medium centralized biomass gasification w/ CCS-CO2 emissions</v>
      </c>
      <c r="Q190" t="str">
        <f t="shared" si="360"/>
        <v>Central gas storage-CO2 emissions</v>
      </c>
      <c r="R190" t="str">
        <f t="shared" si="361"/>
        <v>Onsite-CO2 emissions</v>
      </c>
      <c r="S190" t="str">
        <f t="shared" si="362"/>
        <v>Hydrogen turbine (OC)-CO2 emissions</v>
      </c>
      <c r="T190">
        <f ca="1">IF(timePeriod="2020-30",(VLOOKUP($P190,'TA database'!$I$8:$J$79,2,FALSE)/VLOOKUP($D190,'Merit calculation'!$B$48:$I$52,5,FALSE)/VLOOKUP($E190,'Merit calculation'!$B$67:$I$73,5,FALSE)/VLOOKUP($F190,'Merit calculation'!$B$90:$I$103,5,FALSE)/energyContentH2),(VLOOKUP($P190,'TA database'!$I$8:$J$79,2,FALSE)/VLOOKUP($D190,'Merit calculation'!$B$48:$I$52,7,FALSE)/VLOOKUP($E190,'Merit calculation'!$B$67:$I$73,7,FALSE)/VLOOKUP($F190,'Merit calculation'!$B$90:$I$103,7,FALSE)/energyContentH2))</f>
        <v>-0.23809523809523808</v>
      </c>
      <c r="U190">
        <v>0</v>
      </c>
      <c r="V190">
        <v>0</v>
      </c>
      <c r="W190">
        <f>IFERROR(VLOOKUP($S190,'TA database'!$I$146:$J$193,2,FALSE),0)</f>
        <v>0</v>
      </c>
      <c r="X190">
        <f ca="1">IFERROR(VLOOKUP($S190,'TA database'!$I$200:$J$271,2,FALSE),0)</f>
        <v>0</v>
      </c>
      <c r="Y190">
        <f t="shared" ca="1" si="363"/>
        <v>-0.8571428571428571</v>
      </c>
      <c r="Z190" t="str">
        <f t="shared" si="364"/>
        <v>BIO_GSF_CCS_MED_C   →   C_GAS_STRG   →   ONSITE_USE   →   H2_OCGT_PWR</v>
      </c>
      <c r="AA190" t="str">
        <f t="shared" si="365"/>
        <v>Grid electricity</v>
      </c>
      <c r="AB190" t="str">
        <f t="shared" si="366"/>
        <v>CO2 emissions</v>
      </c>
      <c r="AC190">
        <f t="shared" ca="1" si="367"/>
        <v>-0.8571428571428571</v>
      </c>
      <c r="AD190">
        <v>131</v>
      </c>
      <c r="AE190" t="str">
        <f>IF(AND(ISNUMBER(SEARCH(O190,4)),ISNUMBER(SEARCH('(4) FCH pathway assessment'!$B$16,AB190)),ISNUMBER(SEARCH('(4) FCH pathway assessment'!$B$10,AA190))),AD190,"")</f>
        <v/>
      </c>
      <c r="AF190" t="str">
        <f t="shared" si="368"/>
        <v/>
      </c>
      <c r="AG190" t="str">
        <f>VLOOKUP(C190,Assumptions!$B$116:$C$162,2,FALSE)</f>
        <v>BIO_GSF_CCS_MED_C</v>
      </c>
      <c r="AH190" t="str">
        <f>VLOOKUP(D190,Assumptions!$B$116:$C$162,2,FALSE)</f>
        <v>C_GAS_STRG</v>
      </c>
      <c r="AI190" t="str">
        <f>VLOOKUP(E190,Assumptions!$B$116:$C$162,2,FALSE)</f>
        <v>ONSITE_USE</v>
      </c>
      <c r="AJ190" t="str">
        <f>VLOOKUP(F190,Assumptions!$B$116:$C$162,2,FALSE)</f>
        <v>H2_OCGT_PWR</v>
      </c>
    </row>
    <row r="191" spans="2:36" x14ac:dyDescent="0.25">
      <c r="B191" t="s">
        <v>117</v>
      </c>
      <c r="C191" t="s">
        <v>55</v>
      </c>
      <c r="D191" s="60" t="s">
        <v>130</v>
      </c>
      <c r="E191" t="s">
        <v>66</v>
      </c>
      <c r="F191" t="s">
        <v>162</v>
      </c>
      <c r="G191" t="s">
        <v>114</v>
      </c>
      <c r="H191" t="s">
        <v>433</v>
      </c>
      <c r="I191" t="s">
        <v>32</v>
      </c>
      <c r="J191" t="s">
        <v>329</v>
      </c>
      <c r="K191">
        <f t="shared" ref="K191:K195" si="369">SUMPRODUCT(($C$7:$C$18=$C191)*($D$6:$H$6=$D191)*($D$7:$H$18))</f>
        <v>0</v>
      </c>
      <c r="L191">
        <f t="shared" ref="L191:L195" si="370">SUMPRODUCT(($C$19:$C$23=$D191)*($I$6:$O$6=$E191)*($I$19:$O$23))</f>
        <v>1</v>
      </c>
      <c r="M191">
        <f t="shared" ref="M191:M195" si="371">SUMPRODUCT(($C$24:$C$30=$E191)*($P$6:$AI$6=$F191)*($P$24:$AI$30))</f>
        <v>1</v>
      </c>
      <c r="N191">
        <f t="shared" ref="N191:N195" si="372">SUMPRODUCT(($C$31:$C$50=$F191)*($AJ$6:$AM$6=$G191)*($AJ$31:$AM$50))</f>
        <v>0</v>
      </c>
      <c r="O191">
        <f t="shared" ref="O191:O195" si="373">K191+L191+M191+N191</f>
        <v>2</v>
      </c>
      <c r="P191" t="str">
        <f t="shared" ref="P191:P195" si="374">CONCATENATE(C191,"-",J191)</f>
        <v>Small decentralized biomass gasification-CO2 emissions</v>
      </c>
      <c r="Q191" t="str">
        <f t="shared" ref="Q191:Q195" si="375">CONCATENATE(D191,"-",J191)</f>
        <v>Distributed gas storage-CO2 emissions</v>
      </c>
      <c r="R191" t="str">
        <f t="shared" ref="R191:R195" si="376">CONCATENATE(E191,"-",J191)</f>
        <v>Onsite-CO2 emissions</v>
      </c>
      <c r="S191" t="str">
        <f t="shared" ref="S191:S195" si="377">CONCATENATE(F191,"-",J191)</f>
        <v>Hydrogen turbine (OC)-CO2 emissions</v>
      </c>
      <c r="T191">
        <f ca="1">IF(timePeriod="2020-30",(VLOOKUP($P191,'TA database'!$I$8:$J$79,2,FALSE)/VLOOKUP($D191,'Merit calculation'!$B$48:$I$52,5,FALSE)/VLOOKUP($E191,'Merit calculation'!$B$67:$I$73,5,FALSE)/VLOOKUP($F191,'Merit calculation'!$B$90:$I$103,5,FALSE)/energyContentH2),(VLOOKUP($P191,'TA database'!$I$8:$J$79,2,FALSE)/VLOOKUP($D191,'Merit calculation'!$B$48:$I$52,7,FALSE)/VLOOKUP($E191,'Merit calculation'!$B$67:$I$73,7,FALSE)/VLOOKUP($F191,'Merit calculation'!$B$90:$I$103,7,FALSE)/energyContentH2))</f>
        <v>0</v>
      </c>
      <c r="U191">
        <v>0</v>
      </c>
      <c r="V191">
        <v>0</v>
      </c>
      <c r="W191">
        <f>IFERROR(VLOOKUP($S191,'TA database'!$I$146:$J$193,2,FALSE),0)</f>
        <v>0</v>
      </c>
      <c r="X191">
        <f ca="1">IFERROR(VLOOKUP($S191,'TA database'!$I$200:$J$271,2,FALSE),0)</f>
        <v>0</v>
      </c>
      <c r="Y191">
        <f t="shared" ref="Y191:Y195" ca="1" si="378">IF($W191=0,T191*3.6+X191,T191+W191)</f>
        <v>0</v>
      </c>
      <c r="Z191" t="str">
        <f t="shared" ref="Z191:Z195" si="379">CONCATENATE(AG191,"   →   ",AH191,"   →   ",AI191,"   →   ",AJ191)</f>
        <v>BIO_GSF_SML_D   →   D_GAS_STRG   →   ONSITE_USE   →   H2_OCGT_PWR</v>
      </c>
      <c r="AA191" t="str">
        <f t="shared" ref="AA191:AA195" si="380">G191</f>
        <v>Grid electricity</v>
      </c>
      <c r="AB191" t="str">
        <f t="shared" ref="AB191:AB195" si="381">J191</f>
        <v>CO2 emissions</v>
      </c>
      <c r="AC191">
        <f t="shared" ref="AC191:AC195" ca="1" si="382">Y191</f>
        <v>0</v>
      </c>
      <c r="AD191">
        <v>132</v>
      </c>
      <c r="AE191" t="str">
        <f>IF(AND(ISNUMBER(SEARCH(O191,4)),ISNUMBER(SEARCH('(4) FCH pathway assessment'!$B$16,AB191)),ISNUMBER(SEARCH('(4) FCH pathway assessment'!$B$10,AA191))),AD191,"")</f>
        <v/>
      </c>
      <c r="AF191" t="str">
        <f t="shared" si="368"/>
        <v/>
      </c>
      <c r="AG191" t="str">
        <f>VLOOKUP(C191,Assumptions!$B$116:$C$162,2,FALSE)</f>
        <v>BIO_GSF_SML_D</v>
      </c>
      <c r="AH191" t="str">
        <f>VLOOKUP(D191,Assumptions!$B$116:$C$162,2,FALSE)</f>
        <v>D_GAS_STRG</v>
      </c>
      <c r="AI191" t="str">
        <f>VLOOKUP(E191,Assumptions!$B$116:$C$162,2,FALSE)</f>
        <v>ONSITE_USE</v>
      </c>
      <c r="AJ191" t="str">
        <f>VLOOKUP(F191,Assumptions!$B$116:$C$162,2,FALSE)</f>
        <v>H2_OCGT_PWR</v>
      </c>
    </row>
    <row r="192" spans="2:36" x14ac:dyDescent="0.25">
      <c r="B192" t="s">
        <v>117</v>
      </c>
      <c r="C192" t="s">
        <v>56</v>
      </c>
      <c r="D192" t="s">
        <v>62</v>
      </c>
      <c r="E192" t="s">
        <v>157</v>
      </c>
      <c r="F192" t="s">
        <v>162</v>
      </c>
      <c r="G192" t="s">
        <v>114</v>
      </c>
      <c r="H192" t="s">
        <v>433</v>
      </c>
      <c r="I192" t="s">
        <v>32</v>
      </c>
      <c r="J192" t="s">
        <v>329</v>
      </c>
      <c r="K192">
        <f t="shared" si="369"/>
        <v>0</v>
      </c>
      <c r="L192">
        <f t="shared" si="370"/>
        <v>0</v>
      </c>
      <c r="M192">
        <f t="shared" si="371"/>
        <v>0</v>
      </c>
      <c r="N192">
        <f t="shared" si="372"/>
        <v>0</v>
      </c>
      <c r="O192">
        <f t="shared" si="373"/>
        <v>0</v>
      </c>
      <c r="P192" t="str">
        <f t="shared" si="374"/>
        <v>Large centralized biomass steam reforming -CO2 emissions</v>
      </c>
      <c r="Q192" t="str">
        <f t="shared" si="375"/>
        <v>Underground storage-CO2 emissions</v>
      </c>
      <c r="R192" t="str">
        <f t="shared" si="376"/>
        <v>Blending in natural gas pipeline-CO2 emissions</v>
      </c>
      <c r="S192" t="str">
        <f t="shared" si="377"/>
        <v>Hydrogen turbine (OC)-CO2 emissions</v>
      </c>
      <c r="T192">
        <f ca="1">IF(timePeriod="2020-30",(VLOOKUP($P192,'TA database'!$I$8:$J$79,2,FALSE)/VLOOKUP($D192,'Merit calculation'!$B$48:$I$52,5,FALSE)/VLOOKUP($E192,'Merit calculation'!$B$67:$I$73,5,FALSE)/VLOOKUP($F192,'Merit calculation'!$B$90:$I$103,5,FALSE)/energyContentH2),(VLOOKUP($P192,'TA database'!$I$8:$J$79,2,FALSE)/VLOOKUP($D192,'Merit calculation'!$B$48:$I$52,7,FALSE)/VLOOKUP($E192,'Merit calculation'!$B$67:$I$73,7,FALSE)/VLOOKUP($F192,'Merit calculation'!$B$90:$I$103,7,FALSE)/energyContentH2))</f>
        <v>0</v>
      </c>
      <c r="U192">
        <v>0</v>
      </c>
      <c r="V192">
        <v>0</v>
      </c>
      <c r="W192">
        <f>IFERROR(VLOOKUP($S192,'TA database'!$I$146:$J$193,2,FALSE),0)</f>
        <v>0</v>
      </c>
      <c r="X192">
        <f ca="1">IFERROR(VLOOKUP($S192,'TA database'!$I$200:$J$271,2,FALSE),0)</f>
        <v>0</v>
      </c>
      <c r="Y192">
        <f t="shared" ca="1" si="378"/>
        <v>0</v>
      </c>
      <c r="Z192" t="str">
        <f t="shared" si="379"/>
        <v>BIO_SR_LRG_C   →   C_UNDRGRND_STRG   →   H2_BLND_NG_P   →   H2_OCGT_PWR</v>
      </c>
      <c r="AA192" t="str">
        <f t="shared" si="380"/>
        <v>Grid electricity</v>
      </c>
      <c r="AB192" t="str">
        <f t="shared" si="381"/>
        <v>CO2 emissions</v>
      </c>
      <c r="AC192">
        <f t="shared" ca="1" si="382"/>
        <v>0</v>
      </c>
      <c r="AD192">
        <v>133</v>
      </c>
      <c r="AE192" t="str">
        <f>IF(AND(ISNUMBER(SEARCH(O192,4)),ISNUMBER(SEARCH('(4) FCH pathway assessment'!$B$16,AB192)),ISNUMBER(SEARCH('(4) FCH pathway assessment'!$B$10,AA192))),AD192,"")</f>
        <v/>
      </c>
      <c r="AF192" t="str">
        <f t="shared" si="368"/>
        <v/>
      </c>
      <c r="AG192" t="str">
        <f>VLOOKUP(C192,Assumptions!$B$116:$C$162,2,FALSE)</f>
        <v>BIO_SR_LRG_C</v>
      </c>
      <c r="AH192" t="str">
        <f>VLOOKUP(D192,Assumptions!$B$116:$C$162,2,FALSE)</f>
        <v>C_UNDRGRND_STRG</v>
      </c>
      <c r="AI192" t="str">
        <f>VLOOKUP(E192,Assumptions!$B$116:$C$162,2,FALSE)</f>
        <v>H2_BLND_NG_P</v>
      </c>
      <c r="AJ192" t="str">
        <f>VLOOKUP(F192,Assumptions!$B$116:$C$162,2,FALSE)</f>
        <v>H2_OCGT_PWR</v>
      </c>
    </row>
    <row r="193" spans="2:36" x14ac:dyDescent="0.25">
      <c r="B193" t="s">
        <v>117</v>
      </c>
      <c r="C193" t="s">
        <v>56</v>
      </c>
      <c r="D193" t="s">
        <v>62</v>
      </c>
      <c r="E193" t="s">
        <v>122</v>
      </c>
      <c r="F193" t="s">
        <v>162</v>
      </c>
      <c r="G193" t="s">
        <v>114</v>
      </c>
      <c r="H193" t="s">
        <v>433</v>
      </c>
      <c r="I193" t="s">
        <v>32</v>
      </c>
      <c r="J193" t="s">
        <v>329</v>
      </c>
      <c r="K193">
        <f t="shared" si="369"/>
        <v>0</v>
      </c>
      <c r="L193">
        <f t="shared" si="370"/>
        <v>0</v>
      </c>
      <c r="M193">
        <f t="shared" si="371"/>
        <v>1</v>
      </c>
      <c r="N193">
        <f t="shared" si="372"/>
        <v>0</v>
      </c>
      <c r="O193">
        <f t="shared" si="373"/>
        <v>1</v>
      </c>
      <c r="P193" t="str">
        <f t="shared" si="374"/>
        <v>Large centralized biomass steam reforming -CO2 emissions</v>
      </c>
      <c r="Q193" t="str">
        <f t="shared" si="375"/>
        <v>Underground storage-CO2 emissions</v>
      </c>
      <c r="R193" t="str">
        <f t="shared" si="376"/>
        <v>Hydrogen transmission &amp; distribution pipeline-CO2 emissions</v>
      </c>
      <c r="S193" t="str">
        <f t="shared" si="377"/>
        <v>Hydrogen turbine (OC)-CO2 emissions</v>
      </c>
      <c r="T193">
        <f ca="1">IF(timePeriod="2020-30",(VLOOKUP($P193,'TA database'!$I$8:$J$79,2,FALSE)/VLOOKUP($D193,'Merit calculation'!$B$48:$I$52,5,FALSE)/VLOOKUP($E193,'Merit calculation'!$B$67:$I$73,5,FALSE)/VLOOKUP($F193,'Merit calculation'!$B$90:$I$103,5,FALSE)/energyContentH2),(VLOOKUP($P193,'TA database'!$I$8:$J$79,2,FALSE)/VLOOKUP($D193,'Merit calculation'!$B$48:$I$52,7,FALSE)/VLOOKUP($E193,'Merit calculation'!$B$67:$I$73,7,FALSE)/VLOOKUP($F193,'Merit calculation'!$B$90:$I$103,7,FALSE)/energyContentH2))</f>
        <v>0</v>
      </c>
      <c r="U193">
        <v>0</v>
      </c>
      <c r="V193">
        <v>0</v>
      </c>
      <c r="W193">
        <f>IFERROR(VLOOKUP($S193,'TA database'!$I$146:$J$193,2,FALSE),0)</f>
        <v>0</v>
      </c>
      <c r="X193">
        <f ca="1">IFERROR(VLOOKUP($S193,'TA database'!$I$200:$J$271,2,FALSE),0)</f>
        <v>0</v>
      </c>
      <c r="Y193">
        <f t="shared" ca="1" si="378"/>
        <v>0</v>
      </c>
      <c r="Z193" t="str">
        <f t="shared" si="379"/>
        <v>BIO_SR_LRG_C   →   C_UNDRGRND_STRG   →   H2_T&amp;D_P   →   H2_OCGT_PWR</v>
      </c>
      <c r="AA193" t="str">
        <f t="shared" si="380"/>
        <v>Grid electricity</v>
      </c>
      <c r="AB193" t="str">
        <f t="shared" si="381"/>
        <v>CO2 emissions</v>
      </c>
      <c r="AC193">
        <f t="shared" ca="1" si="382"/>
        <v>0</v>
      </c>
      <c r="AD193">
        <v>134</v>
      </c>
      <c r="AE193" t="str">
        <f>IF(AND(ISNUMBER(SEARCH(O193,4)),ISNUMBER(SEARCH('(4) FCH pathway assessment'!$B$16,AB193)),ISNUMBER(SEARCH('(4) FCH pathway assessment'!$B$10,AA193))),AD193,"")</f>
        <v/>
      </c>
      <c r="AF193" t="str">
        <f t="shared" si="368"/>
        <v/>
      </c>
      <c r="AG193" t="str">
        <f>VLOOKUP(C193,Assumptions!$B$116:$C$162,2,FALSE)</f>
        <v>BIO_SR_LRG_C</v>
      </c>
      <c r="AH193" t="str">
        <f>VLOOKUP(D193,Assumptions!$B$116:$C$162,2,FALSE)</f>
        <v>C_UNDRGRND_STRG</v>
      </c>
      <c r="AI193" t="str">
        <f>VLOOKUP(E193,Assumptions!$B$116:$C$162,2,FALSE)</f>
        <v>H2_T&amp;D_P</v>
      </c>
      <c r="AJ193" t="str">
        <f>VLOOKUP(F193,Assumptions!$B$116:$C$162,2,FALSE)</f>
        <v>H2_OCGT_PWR</v>
      </c>
    </row>
    <row r="194" spans="2:36" x14ac:dyDescent="0.25">
      <c r="B194" t="s">
        <v>117</v>
      </c>
      <c r="C194" t="s">
        <v>56</v>
      </c>
      <c r="D194" t="s">
        <v>62</v>
      </c>
      <c r="E194" t="s">
        <v>116</v>
      </c>
      <c r="F194" t="s">
        <v>162</v>
      </c>
      <c r="G194" t="s">
        <v>114</v>
      </c>
      <c r="H194" t="s">
        <v>433</v>
      </c>
      <c r="I194" t="s">
        <v>32</v>
      </c>
      <c r="J194" t="s">
        <v>329</v>
      </c>
      <c r="K194">
        <f t="shared" si="369"/>
        <v>0</v>
      </c>
      <c r="L194">
        <f t="shared" si="370"/>
        <v>0</v>
      </c>
      <c r="M194">
        <f t="shared" si="371"/>
        <v>1</v>
      </c>
      <c r="N194">
        <f t="shared" si="372"/>
        <v>0</v>
      </c>
      <c r="O194">
        <f t="shared" si="373"/>
        <v>1</v>
      </c>
      <c r="P194" t="str">
        <f t="shared" si="374"/>
        <v>Large centralized biomass steam reforming -CO2 emissions</v>
      </c>
      <c r="Q194" t="str">
        <f t="shared" si="375"/>
        <v>Underground storage-CO2 emissions</v>
      </c>
      <c r="R194" t="str">
        <f t="shared" si="376"/>
        <v>Liquid hydrogen truck-CO2 emissions</v>
      </c>
      <c r="S194" t="str">
        <f t="shared" si="377"/>
        <v>Hydrogen turbine (OC)-CO2 emissions</v>
      </c>
      <c r="T194">
        <f ca="1">IF(timePeriod="2020-30",(VLOOKUP($P194,'TA database'!$I$8:$J$79,2,FALSE)/VLOOKUP($D194,'Merit calculation'!$B$48:$I$52,5,FALSE)/VLOOKUP($E194,'Merit calculation'!$B$67:$I$73,5,FALSE)/VLOOKUP($F194,'Merit calculation'!$B$90:$I$103,5,FALSE)/energyContentH2),(VLOOKUP($P194,'TA database'!$I$8:$J$79,2,FALSE)/VLOOKUP($D194,'Merit calculation'!$B$48:$I$52,7,FALSE)/VLOOKUP($E194,'Merit calculation'!$B$67:$I$73,7,FALSE)/VLOOKUP($F194,'Merit calculation'!$B$90:$I$103,7,FALSE)/energyContentH2))</f>
        <v>0</v>
      </c>
      <c r="U194">
        <v>0</v>
      </c>
      <c r="V194">
        <v>0</v>
      </c>
      <c r="W194">
        <f>IFERROR(VLOOKUP($S194,'TA database'!$I$146:$J$193,2,FALSE),0)</f>
        <v>0</v>
      </c>
      <c r="X194">
        <f ca="1">IFERROR(VLOOKUP($S194,'TA database'!$I$200:$J$271,2,FALSE),0)</f>
        <v>0</v>
      </c>
      <c r="Y194">
        <f t="shared" ca="1" si="378"/>
        <v>0</v>
      </c>
      <c r="Z194" t="str">
        <f t="shared" si="379"/>
        <v>BIO_SR_LRG_C   →   C_UNDRGRND_STRG   →   LQ_TRUCK   →   H2_OCGT_PWR</v>
      </c>
      <c r="AA194" t="str">
        <f t="shared" si="380"/>
        <v>Grid electricity</v>
      </c>
      <c r="AB194" t="str">
        <f t="shared" si="381"/>
        <v>CO2 emissions</v>
      </c>
      <c r="AC194">
        <f t="shared" ca="1" si="382"/>
        <v>0</v>
      </c>
      <c r="AD194">
        <v>135</v>
      </c>
      <c r="AE194" t="str">
        <f>IF(AND(ISNUMBER(SEARCH(O194,4)),ISNUMBER(SEARCH('(4) FCH pathway assessment'!$B$16,AB194)),ISNUMBER(SEARCH('(4) FCH pathway assessment'!$B$10,AA194))),AD194,"")</f>
        <v/>
      </c>
      <c r="AF194" t="str">
        <f t="shared" si="368"/>
        <v/>
      </c>
      <c r="AG194" t="str">
        <f>VLOOKUP(C194,Assumptions!$B$116:$C$162,2,FALSE)</f>
        <v>BIO_SR_LRG_C</v>
      </c>
      <c r="AH194" t="str">
        <f>VLOOKUP(D194,Assumptions!$B$116:$C$162,2,FALSE)</f>
        <v>C_UNDRGRND_STRG</v>
      </c>
      <c r="AI194" t="str">
        <f>VLOOKUP(E194,Assumptions!$B$116:$C$162,2,FALSE)</f>
        <v>LQ_TRUCK</v>
      </c>
      <c r="AJ194" t="str">
        <f>VLOOKUP(F194,Assumptions!$B$116:$C$162,2,FALSE)</f>
        <v>H2_OCGT_PWR</v>
      </c>
    </row>
    <row r="195" spans="2:36" x14ac:dyDescent="0.25">
      <c r="B195" t="s">
        <v>117</v>
      </c>
      <c r="C195" t="s">
        <v>56</v>
      </c>
      <c r="D195" t="s">
        <v>62</v>
      </c>
      <c r="E195" t="s">
        <v>66</v>
      </c>
      <c r="F195" t="s">
        <v>162</v>
      </c>
      <c r="G195" t="s">
        <v>114</v>
      </c>
      <c r="H195" t="s">
        <v>433</v>
      </c>
      <c r="I195" t="s">
        <v>32</v>
      </c>
      <c r="J195" t="s">
        <v>329</v>
      </c>
      <c r="K195">
        <f t="shared" si="369"/>
        <v>0</v>
      </c>
      <c r="L195">
        <f t="shared" si="370"/>
        <v>0</v>
      </c>
      <c r="M195">
        <f t="shared" si="371"/>
        <v>1</v>
      </c>
      <c r="N195">
        <f t="shared" si="372"/>
        <v>0</v>
      </c>
      <c r="O195">
        <f t="shared" si="373"/>
        <v>1</v>
      </c>
      <c r="P195" t="str">
        <f t="shared" si="374"/>
        <v>Large centralized biomass steam reforming -CO2 emissions</v>
      </c>
      <c r="Q195" t="str">
        <f t="shared" si="375"/>
        <v>Underground storage-CO2 emissions</v>
      </c>
      <c r="R195" t="str">
        <f t="shared" si="376"/>
        <v>Onsite-CO2 emissions</v>
      </c>
      <c r="S195" t="str">
        <f t="shared" si="377"/>
        <v>Hydrogen turbine (OC)-CO2 emissions</v>
      </c>
      <c r="T195">
        <f ca="1">IF(timePeriod="2020-30",(VLOOKUP($P195,'TA database'!$I$8:$J$79,2,FALSE)/VLOOKUP($D195,'Merit calculation'!$B$48:$I$52,5,FALSE)/VLOOKUP($E195,'Merit calculation'!$B$67:$I$73,5,FALSE)/VLOOKUP($F195,'Merit calculation'!$B$90:$I$103,5,FALSE)/energyContentH2),(VLOOKUP($P195,'TA database'!$I$8:$J$79,2,FALSE)/VLOOKUP($D195,'Merit calculation'!$B$48:$I$52,7,FALSE)/VLOOKUP($E195,'Merit calculation'!$B$67:$I$73,7,FALSE)/VLOOKUP($F195,'Merit calculation'!$B$90:$I$103,7,FALSE)/energyContentH2))</f>
        <v>0</v>
      </c>
      <c r="U195">
        <v>0</v>
      </c>
      <c r="V195">
        <v>0</v>
      </c>
      <c r="W195">
        <f>IFERROR(VLOOKUP($S195,'TA database'!$I$146:$J$193,2,FALSE),0)</f>
        <v>0</v>
      </c>
      <c r="X195">
        <f ca="1">IFERROR(VLOOKUP($S195,'TA database'!$I$200:$J$271,2,FALSE),0)</f>
        <v>0</v>
      </c>
      <c r="Y195">
        <f t="shared" ca="1" si="378"/>
        <v>0</v>
      </c>
      <c r="Z195" t="str">
        <f t="shared" si="379"/>
        <v>BIO_SR_LRG_C   →   C_UNDRGRND_STRG   →   ONSITE_USE   →   H2_OCGT_PWR</v>
      </c>
      <c r="AA195" t="str">
        <f t="shared" si="380"/>
        <v>Grid electricity</v>
      </c>
      <c r="AB195" t="str">
        <f t="shared" si="381"/>
        <v>CO2 emissions</v>
      </c>
      <c r="AC195">
        <f t="shared" ca="1" si="382"/>
        <v>0</v>
      </c>
      <c r="AD195">
        <v>136</v>
      </c>
      <c r="AE195" t="str">
        <f>IF(AND(ISNUMBER(SEARCH(O195,4)),ISNUMBER(SEARCH('(4) FCH pathway assessment'!$B$16,AB195)),ISNUMBER(SEARCH('(4) FCH pathway assessment'!$B$10,AA195))),AD195,"")</f>
        <v/>
      </c>
      <c r="AF195" t="str">
        <f t="shared" si="368"/>
        <v/>
      </c>
      <c r="AG195" t="str">
        <f>VLOOKUP(C195,Assumptions!$B$116:$C$162,2,FALSE)</f>
        <v>BIO_SR_LRG_C</v>
      </c>
      <c r="AH195" t="str">
        <f>VLOOKUP(D195,Assumptions!$B$116:$C$162,2,FALSE)</f>
        <v>C_UNDRGRND_STRG</v>
      </c>
      <c r="AI195" t="str">
        <f>VLOOKUP(E195,Assumptions!$B$116:$C$162,2,FALSE)</f>
        <v>ONSITE_USE</v>
      </c>
      <c r="AJ195" t="str">
        <f>VLOOKUP(F195,Assumptions!$B$116:$C$162,2,FALSE)</f>
        <v>H2_OCGT_PWR</v>
      </c>
    </row>
    <row r="196" spans="2:36" x14ac:dyDescent="0.25">
      <c r="B196" t="s">
        <v>117</v>
      </c>
      <c r="C196" t="s">
        <v>56</v>
      </c>
      <c r="D196" s="61" t="s">
        <v>63</v>
      </c>
      <c r="E196" t="s">
        <v>122</v>
      </c>
      <c r="F196" t="s">
        <v>162</v>
      </c>
      <c r="G196" t="s">
        <v>114</v>
      </c>
      <c r="H196" t="s">
        <v>433</v>
      </c>
      <c r="I196" t="s">
        <v>32</v>
      </c>
      <c r="J196" t="s">
        <v>329</v>
      </c>
      <c r="K196">
        <f t="shared" ref="K196:K204" si="383">SUMPRODUCT(($C$7:$C$18=$C196)*($D$6:$H$6=$D196)*($D$7:$H$18))</f>
        <v>0</v>
      </c>
      <c r="L196">
        <f t="shared" ref="L196:L204" si="384">SUMPRODUCT(($C$19:$C$23=$D196)*($I$6:$O$6=$E196)*($I$19:$O$23))</f>
        <v>1</v>
      </c>
      <c r="M196">
        <f t="shared" ref="M196:M204" si="385">SUMPRODUCT(($C$24:$C$30=$E196)*($P$6:$AI$6=$F196)*($P$24:$AI$30))</f>
        <v>1</v>
      </c>
      <c r="N196">
        <f t="shared" ref="N196:N204" si="386">SUMPRODUCT(($C$31:$C$50=$F196)*($AJ$6:$AM$6=$G196)*($AJ$31:$AM$50))</f>
        <v>0</v>
      </c>
      <c r="O196">
        <f t="shared" ref="O196:O204" si="387">K196+L196+M196+N196</f>
        <v>2</v>
      </c>
      <c r="P196" t="str">
        <f t="shared" ref="P196:P204" si="388">CONCATENATE(C196,"-",J196)</f>
        <v>Large centralized biomass steam reforming -CO2 emissions</v>
      </c>
      <c r="Q196" t="str">
        <f t="shared" ref="Q196:Q204" si="389">CONCATENATE(D196,"-",J196)</f>
        <v>No storage-CO2 emissions</v>
      </c>
      <c r="R196" t="str">
        <f t="shared" ref="R196:R204" si="390">CONCATENATE(E196,"-",J196)</f>
        <v>Hydrogen transmission &amp; distribution pipeline-CO2 emissions</v>
      </c>
      <c r="S196" t="str">
        <f t="shared" ref="S196:S204" si="391">CONCATENATE(F196,"-",J196)</f>
        <v>Hydrogen turbine (OC)-CO2 emissions</v>
      </c>
      <c r="T196">
        <f ca="1">IF(timePeriod="2020-30",(VLOOKUP($P196,'TA database'!$I$8:$J$79,2,FALSE)/VLOOKUP($D196,'Merit calculation'!$B$48:$I$52,5,FALSE)/VLOOKUP($E196,'Merit calculation'!$B$67:$I$73,5,FALSE)/VLOOKUP($F196,'Merit calculation'!$B$90:$I$103,5,FALSE)/energyContentH2),(VLOOKUP($P196,'TA database'!$I$8:$J$79,2,FALSE)/VLOOKUP($D196,'Merit calculation'!$B$48:$I$52,7,FALSE)/VLOOKUP($E196,'Merit calculation'!$B$67:$I$73,7,FALSE)/VLOOKUP($F196,'Merit calculation'!$B$90:$I$103,7,FALSE)/energyContentH2))</f>
        <v>0</v>
      </c>
      <c r="U196">
        <v>0</v>
      </c>
      <c r="V196">
        <v>0</v>
      </c>
      <c r="W196">
        <f>IFERROR(VLOOKUP($S196,'TA database'!$I$146:$J$193,2,FALSE),0)</f>
        <v>0</v>
      </c>
      <c r="X196">
        <f ca="1">IFERROR(VLOOKUP($S196,'TA database'!$I$200:$J$271,2,FALSE),0)</f>
        <v>0</v>
      </c>
      <c r="Y196">
        <f t="shared" ref="Y196:Y204" ca="1" si="392">IF($W196=0,T196*3.6+X196,T196+W196)</f>
        <v>0</v>
      </c>
      <c r="Z196" t="str">
        <f t="shared" ref="Z196:Z204" si="393">CONCATENATE(AG196,"   →   ",AH196,"   →   ",AI196,"   →   ",AJ196)</f>
        <v>BIO_SR_LRG_C   →   NO_STRG   →   H2_T&amp;D_P   →   H2_OCGT_PWR</v>
      </c>
      <c r="AA196" t="str">
        <f t="shared" ref="AA196:AA204" si="394">G196</f>
        <v>Grid electricity</v>
      </c>
      <c r="AB196" t="str">
        <f t="shared" ref="AB196:AB204" si="395">J196</f>
        <v>CO2 emissions</v>
      </c>
      <c r="AC196">
        <f t="shared" ref="AC196:AC204" ca="1" si="396">Y196</f>
        <v>0</v>
      </c>
      <c r="AD196">
        <v>137</v>
      </c>
      <c r="AE196" t="str">
        <f>IF(AND(ISNUMBER(SEARCH(O196,4)),ISNUMBER(SEARCH('(4) FCH pathway assessment'!$B$16,AB196)),ISNUMBER(SEARCH('(4) FCH pathway assessment'!$B$10,AA196))),AD196,"")</f>
        <v/>
      </c>
      <c r="AF196" t="str">
        <f t="shared" si="368"/>
        <v/>
      </c>
      <c r="AG196" t="str">
        <f>VLOOKUP(C196,Assumptions!$B$116:$C$162,2,FALSE)</f>
        <v>BIO_SR_LRG_C</v>
      </c>
      <c r="AH196" t="str">
        <f>VLOOKUP(D196,Assumptions!$B$116:$C$162,2,FALSE)</f>
        <v>NO_STRG</v>
      </c>
      <c r="AI196" t="str">
        <f>VLOOKUP(E196,Assumptions!$B$116:$C$162,2,FALSE)</f>
        <v>H2_T&amp;D_P</v>
      </c>
      <c r="AJ196" t="str">
        <f>VLOOKUP(F196,Assumptions!$B$116:$C$162,2,FALSE)</f>
        <v>H2_OCGT_PWR</v>
      </c>
    </row>
    <row r="197" spans="2:36" x14ac:dyDescent="0.25">
      <c r="B197" t="s">
        <v>112</v>
      </c>
      <c r="C197" t="s">
        <v>49</v>
      </c>
      <c r="D197" t="s">
        <v>62</v>
      </c>
      <c r="E197" t="s">
        <v>157</v>
      </c>
      <c r="F197" t="s">
        <v>162</v>
      </c>
      <c r="G197" t="s">
        <v>114</v>
      </c>
      <c r="H197" t="s">
        <v>433</v>
      </c>
      <c r="I197" t="s">
        <v>32</v>
      </c>
      <c r="J197" t="s">
        <v>329</v>
      </c>
      <c r="K197">
        <f t="shared" si="383"/>
        <v>1</v>
      </c>
      <c r="L197">
        <f t="shared" si="384"/>
        <v>0</v>
      </c>
      <c r="M197">
        <f t="shared" si="385"/>
        <v>0</v>
      </c>
      <c r="N197">
        <f t="shared" si="386"/>
        <v>0</v>
      </c>
      <c r="O197">
        <f t="shared" si="387"/>
        <v>1</v>
      </c>
      <c r="P197" t="str">
        <f t="shared" si="388"/>
        <v>Large centralized electrolysis-CO2 emissions</v>
      </c>
      <c r="Q197" t="str">
        <f t="shared" si="389"/>
        <v>Underground storage-CO2 emissions</v>
      </c>
      <c r="R197" t="str">
        <f t="shared" si="390"/>
        <v>Blending in natural gas pipeline-CO2 emissions</v>
      </c>
      <c r="S197" t="str">
        <f t="shared" si="391"/>
        <v>Hydrogen turbine (OC)-CO2 emissions</v>
      </c>
      <c r="T197">
        <f ca="1">IF(timePeriod="2020-30",(VLOOKUP($P197,'TA database'!$I$8:$J$79,2,FALSE)/VLOOKUP($D197,'Merit calculation'!$B$48:$I$52,5,FALSE)/VLOOKUP($E197,'Merit calculation'!$B$67:$I$73,5,FALSE)/VLOOKUP($F197,'Merit calculation'!$B$90:$I$103,5,FALSE)/energyContentH2),(VLOOKUP($P197,'TA database'!$I$8:$J$79,2,FALSE)/VLOOKUP($D197,'Merit calculation'!$B$48:$I$52,7,FALSE)/VLOOKUP($E197,'Merit calculation'!$B$67:$I$73,7,FALSE)/VLOOKUP($F197,'Merit calculation'!$B$90:$I$103,7,FALSE)/energyContentH2))</f>
        <v>3.2802985166122713E-2</v>
      </c>
      <c r="U197">
        <v>0</v>
      </c>
      <c r="V197">
        <v>0</v>
      </c>
      <c r="W197">
        <f>IFERROR(VLOOKUP($S197,'TA database'!$I$146:$J$193,2,FALSE),0)</f>
        <v>0</v>
      </c>
      <c r="X197">
        <f ca="1">IFERROR(VLOOKUP($S197,'TA database'!$I$200:$J$271,2,FALSE),0)</f>
        <v>0</v>
      </c>
      <c r="Y197">
        <f t="shared" ca="1" si="392"/>
        <v>0.11809074659804177</v>
      </c>
      <c r="Z197" t="str">
        <f t="shared" si="393"/>
        <v>ELCTRLYZ_LRG_C   →   C_UNDRGRND_STRG   →   H2_BLND_NG_P   →   H2_OCGT_PWR</v>
      </c>
      <c r="AA197" t="str">
        <f t="shared" si="394"/>
        <v>Grid electricity</v>
      </c>
      <c r="AB197" t="str">
        <f t="shared" si="395"/>
        <v>CO2 emissions</v>
      </c>
      <c r="AC197">
        <f t="shared" ca="1" si="396"/>
        <v>0.11809074659804177</v>
      </c>
      <c r="AD197">
        <v>138</v>
      </c>
      <c r="AE197" t="str">
        <f>IF(AND(ISNUMBER(SEARCH(O197,4)),ISNUMBER(SEARCH('(4) FCH pathway assessment'!$B$16,AB197)),ISNUMBER(SEARCH('(4) FCH pathway assessment'!$B$10,AA197))),AD197,"")</f>
        <v/>
      </c>
      <c r="AF197" t="str">
        <f t="shared" si="368"/>
        <v/>
      </c>
      <c r="AG197" t="str">
        <f>VLOOKUP(C197,Assumptions!$B$116:$C$162,2,FALSE)</f>
        <v>ELCTRLYZ_LRG_C</v>
      </c>
      <c r="AH197" t="str">
        <f>VLOOKUP(D197,Assumptions!$B$116:$C$162,2,FALSE)</f>
        <v>C_UNDRGRND_STRG</v>
      </c>
      <c r="AI197" t="str">
        <f>VLOOKUP(E197,Assumptions!$B$116:$C$162,2,FALSE)</f>
        <v>H2_BLND_NG_P</v>
      </c>
      <c r="AJ197" t="str">
        <f>VLOOKUP(F197,Assumptions!$B$116:$C$162,2,FALSE)</f>
        <v>H2_OCGT_PWR</v>
      </c>
    </row>
    <row r="198" spans="2:36" x14ac:dyDescent="0.25">
      <c r="B198" t="s">
        <v>112</v>
      </c>
      <c r="C198" t="s">
        <v>49</v>
      </c>
      <c r="D198" t="s">
        <v>62</v>
      </c>
      <c r="E198" t="s">
        <v>122</v>
      </c>
      <c r="F198" t="s">
        <v>162</v>
      </c>
      <c r="G198" t="s">
        <v>114</v>
      </c>
      <c r="H198" t="s">
        <v>433</v>
      </c>
      <c r="I198" t="s">
        <v>32</v>
      </c>
      <c r="J198" t="s">
        <v>329</v>
      </c>
      <c r="K198">
        <f t="shared" si="383"/>
        <v>1</v>
      </c>
      <c r="L198">
        <f t="shared" si="384"/>
        <v>0</v>
      </c>
      <c r="M198">
        <f t="shared" si="385"/>
        <v>1</v>
      </c>
      <c r="N198">
        <f t="shared" si="386"/>
        <v>0</v>
      </c>
      <c r="O198">
        <f t="shared" si="387"/>
        <v>2</v>
      </c>
      <c r="P198" t="str">
        <f t="shared" si="388"/>
        <v>Large centralized electrolysis-CO2 emissions</v>
      </c>
      <c r="Q198" t="str">
        <f t="shared" si="389"/>
        <v>Underground storage-CO2 emissions</v>
      </c>
      <c r="R198" t="str">
        <f t="shared" si="390"/>
        <v>Hydrogen transmission &amp; distribution pipeline-CO2 emissions</v>
      </c>
      <c r="S198" t="str">
        <f t="shared" si="391"/>
        <v>Hydrogen turbine (OC)-CO2 emissions</v>
      </c>
      <c r="T198">
        <f ca="1">IF(timePeriod="2020-30",(VLOOKUP($P198,'TA database'!$I$8:$J$79,2,FALSE)/VLOOKUP($D198,'Merit calculation'!$B$48:$I$52,5,FALSE)/VLOOKUP($E198,'Merit calculation'!$B$67:$I$73,5,FALSE)/VLOOKUP($F198,'Merit calculation'!$B$90:$I$103,5,FALSE)/energyContentH2),(VLOOKUP($P198,'TA database'!$I$8:$J$79,2,FALSE)/VLOOKUP($D198,'Merit calculation'!$B$48:$I$52,7,FALSE)/VLOOKUP($E198,'Merit calculation'!$B$67:$I$73,7,FALSE)/VLOOKUP($F198,'Merit calculation'!$B$90:$I$103,7,FALSE)/energyContentH2))</f>
        <v>3.2802985166122713E-2</v>
      </c>
      <c r="U198">
        <v>0</v>
      </c>
      <c r="V198">
        <v>0</v>
      </c>
      <c r="W198">
        <f>IFERROR(VLOOKUP($S198,'TA database'!$I$146:$J$193,2,FALSE),0)</f>
        <v>0</v>
      </c>
      <c r="X198">
        <f ca="1">IFERROR(VLOOKUP($S198,'TA database'!$I$200:$J$271,2,FALSE),0)</f>
        <v>0</v>
      </c>
      <c r="Y198">
        <f t="shared" ca="1" si="392"/>
        <v>0.11809074659804177</v>
      </c>
      <c r="Z198" t="str">
        <f t="shared" si="393"/>
        <v>ELCTRLYZ_LRG_C   →   C_UNDRGRND_STRG   →   H2_T&amp;D_P   →   H2_OCGT_PWR</v>
      </c>
      <c r="AA198" t="str">
        <f t="shared" si="394"/>
        <v>Grid electricity</v>
      </c>
      <c r="AB198" t="str">
        <f t="shared" si="395"/>
        <v>CO2 emissions</v>
      </c>
      <c r="AC198">
        <f t="shared" ca="1" si="396"/>
        <v>0.11809074659804177</v>
      </c>
      <c r="AD198">
        <v>139</v>
      </c>
      <c r="AE198" t="str">
        <f>IF(AND(ISNUMBER(SEARCH(O198,4)),ISNUMBER(SEARCH('(4) FCH pathway assessment'!$B$16,AB198)),ISNUMBER(SEARCH('(4) FCH pathway assessment'!$B$10,AA198))),AD198,"")</f>
        <v/>
      </c>
      <c r="AF198" t="str">
        <f t="shared" si="368"/>
        <v/>
      </c>
      <c r="AG198" t="str">
        <f>VLOOKUP(C198,Assumptions!$B$116:$C$162,2,FALSE)</f>
        <v>ELCTRLYZ_LRG_C</v>
      </c>
      <c r="AH198" t="str">
        <f>VLOOKUP(D198,Assumptions!$B$116:$C$162,2,FALSE)</f>
        <v>C_UNDRGRND_STRG</v>
      </c>
      <c r="AI198" t="str">
        <f>VLOOKUP(E198,Assumptions!$B$116:$C$162,2,FALSE)</f>
        <v>H2_T&amp;D_P</v>
      </c>
      <c r="AJ198" t="str">
        <f>VLOOKUP(F198,Assumptions!$B$116:$C$162,2,FALSE)</f>
        <v>H2_OCGT_PWR</v>
      </c>
    </row>
    <row r="199" spans="2:36" x14ac:dyDescent="0.25">
      <c r="B199" t="s">
        <v>112</v>
      </c>
      <c r="C199" t="s">
        <v>49</v>
      </c>
      <c r="D199" t="s">
        <v>62</v>
      </c>
      <c r="E199" t="s">
        <v>116</v>
      </c>
      <c r="F199" t="s">
        <v>162</v>
      </c>
      <c r="G199" t="s">
        <v>114</v>
      </c>
      <c r="H199" t="s">
        <v>433</v>
      </c>
      <c r="I199" t="s">
        <v>32</v>
      </c>
      <c r="J199" t="s">
        <v>329</v>
      </c>
      <c r="K199">
        <f t="shared" si="383"/>
        <v>1</v>
      </c>
      <c r="L199">
        <f t="shared" si="384"/>
        <v>0</v>
      </c>
      <c r="M199">
        <f t="shared" si="385"/>
        <v>1</v>
      </c>
      <c r="N199">
        <f t="shared" si="386"/>
        <v>0</v>
      </c>
      <c r="O199">
        <f t="shared" si="387"/>
        <v>2</v>
      </c>
      <c r="P199" t="str">
        <f t="shared" si="388"/>
        <v>Large centralized electrolysis-CO2 emissions</v>
      </c>
      <c r="Q199" t="str">
        <f t="shared" si="389"/>
        <v>Underground storage-CO2 emissions</v>
      </c>
      <c r="R199" t="str">
        <f t="shared" si="390"/>
        <v>Liquid hydrogen truck-CO2 emissions</v>
      </c>
      <c r="S199" t="str">
        <f t="shared" si="391"/>
        <v>Hydrogen turbine (OC)-CO2 emissions</v>
      </c>
      <c r="T199">
        <f ca="1">IF(timePeriod="2020-30",(VLOOKUP($P199,'TA database'!$I$8:$J$79,2,FALSE)/VLOOKUP($D199,'Merit calculation'!$B$48:$I$52,5,FALSE)/VLOOKUP($E199,'Merit calculation'!$B$67:$I$73,5,FALSE)/VLOOKUP($F199,'Merit calculation'!$B$90:$I$103,5,FALSE)/energyContentH2),(VLOOKUP($P199,'TA database'!$I$8:$J$79,2,FALSE)/VLOOKUP($D199,'Merit calculation'!$B$48:$I$52,7,FALSE)/VLOOKUP($E199,'Merit calculation'!$B$67:$I$73,7,FALSE)/VLOOKUP($F199,'Merit calculation'!$B$90:$I$103,7,FALSE)/energyContentH2))</f>
        <v>3.7893763494120762E-2</v>
      </c>
      <c r="U199">
        <v>0</v>
      </c>
      <c r="V199">
        <v>0</v>
      </c>
      <c r="W199">
        <f>IFERROR(VLOOKUP($S199,'TA database'!$I$146:$J$193,2,FALSE),0)</f>
        <v>0</v>
      </c>
      <c r="X199">
        <f ca="1">IFERROR(VLOOKUP($S199,'TA database'!$I$200:$J$271,2,FALSE),0)</f>
        <v>0</v>
      </c>
      <c r="Y199">
        <f t="shared" ca="1" si="392"/>
        <v>0.13641754857883476</v>
      </c>
      <c r="Z199" t="str">
        <f t="shared" si="393"/>
        <v>ELCTRLYZ_LRG_C   →   C_UNDRGRND_STRG   →   LQ_TRUCK   →   H2_OCGT_PWR</v>
      </c>
      <c r="AA199" t="str">
        <f t="shared" si="394"/>
        <v>Grid electricity</v>
      </c>
      <c r="AB199" t="str">
        <f t="shared" si="395"/>
        <v>CO2 emissions</v>
      </c>
      <c r="AC199">
        <f t="shared" ca="1" si="396"/>
        <v>0.13641754857883476</v>
      </c>
      <c r="AD199">
        <v>140</v>
      </c>
      <c r="AE199" t="str">
        <f>IF(AND(ISNUMBER(SEARCH(O199,4)),ISNUMBER(SEARCH('(4) FCH pathway assessment'!$B$16,AB199)),ISNUMBER(SEARCH('(4) FCH pathway assessment'!$B$10,AA199))),AD199,"")</f>
        <v/>
      </c>
      <c r="AF199" t="str">
        <f t="shared" si="368"/>
        <v/>
      </c>
      <c r="AG199" t="str">
        <f>VLOOKUP(C199,Assumptions!$B$116:$C$162,2,FALSE)</f>
        <v>ELCTRLYZ_LRG_C</v>
      </c>
      <c r="AH199" t="str">
        <f>VLOOKUP(D199,Assumptions!$B$116:$C$162,2,FALSE)</f>
        <v>C_UNDRGRND_STRG</v>
      </c>
      <c r="AI199" t="str">
        <f>VLOOKUP(E199,Assumptions!$B$116:$C$162,2,FALSE)</f>
        <v>LQ_TRUCK</v>
      </c>
      <c r="AJ199" t="str">
        <f>VLOOKUP(F199,Assumptions!$B$116:$C$162,2,FALSE)</f>
        <v>H2_OCGT_PWR</v>
      </c>
    </row>
    <row r="200" spans="2:36" x14ac:dyDescent="0.25">
      <c r="B200" t="s">
        <v>112</v>
      </c>
      <c r="C200" t="s">
        <v>49</v>
      </c>
      <c r="D200" t="s">
        <v>62</v>
      </c>
      <c r="E200" t="s">
        <v>66</v>
      </c>
      <c r="F200" t="s">
        <v>162</v>
      </c>
      <c r="G200" t="s">
        <v>114</v>
      </c>
      <c r="H200" t="s">
        <v>433</v>
      </c>
      <c r="I200" t="s">
        <v>32</v>
      </c>
      <c r="J200" t="s">
        <v>329</v>
      </c>
      <c r="K200">
        <f t="shared" si="383"/>
        <v>1</v>
      </c>
      <c r="L200">
        <f t="shared" si="384"/>
        <v>0</v>
      </c>
      <c r="M200">
        <f t="shared" si="385"/>
        <v>1</v>
      </c>
      <c r="N200">
        <f t="shared" si="386"/>
        <v>0</v>
      </c>
      <c r="O200">
        <f t="shared" si="387"/>
        <v>2</v>
      </c>
      <c r="P200" t="str">
        <f t="shared" si="388"/>
        <v>Large centralized electrolysis-CO2 emissions</v>
      </c>
      <c r="Q200" t="str">
        <f t="shared" si="389"/>
        <v>Underground storage-CO2 emissions</v>
      </c>
      <c r="R200" t="str">
        <f t="shared" si="390"/>
        <v>Onsite-CO2 emissions</v>
      </c>
      <c r="S200" t="str">
        <f t="shared" si="391"/>
        <v>Hydrogen turbine (OC)-CO2 emissions</v>
      </c>
      <c r="T200">
        <f ca="1">IF(timePeriod="2020-30",(VLOOKUP($P200,'TA database'!$I$8:$J$79,2,FALSE)/VLOOKUP($D200,'Merit calculation'!$B$48:$I$52,5,FALSE)/VLOOKUP($E200,'Merit calculation'!$B$67:$I$73,5,FALSE)/VLOOKUP($F200,'Merit calculation'!$B$90:$I$103,5,FALSE)/energyContentH2),(VLOOKUP($P200,'TA database'!$I$8:$J$79,2,FALSE)/VLOOKUP($D200,'Merit calculation'!$B$48:$I$52,7,FALSE)/VLOOKUP($E200,'Merit calculation'!$B$67:$I$73,7,FALSE)/VLOOKUP($F200,'Merit calculation'!$B$90:$I$103,7,FALSE)/energyContentH2))</f>
        <v>3.2474955314461491E-2</v>
      </c>
      <c r="U200">
        <v>0</v>
      </c>
      <c r="V200">
        <v>0</v>
      </c>
      <c r="W200">
        <f>IFERROR(VLOOKUP($S200,'TA database'!$I$146:$J$193,2,FALSE),0)</f>
        <v>0</v>
      </c>
      <c r="X200">
        <f ca="1">IFERROR(VLOOKUP($S200,'TA database'!$I$200:$J$271,2,FALSE),0)</f>
        <v>0</v>
      </c>
      <c r="Y200">
        <f t="shared" ca="1" si="392"/>
        <v>0.11690983913206138</v>
      </c>
      <c r="Z200" t="str">
        <f t="shared" si="393"/>
        <v>ELCTRLYZ_LRG_C   →   C_UNDRGRND_STRG   →   ONSITE_USE   →   H2_OCGT_PWR</v>
      </c>
      <c r="AA200" t="str">
        <f t="shared" si="394"/>
        <v>Grid electricity</v>
      </c>
      <c r="AB200" t="str">
        <f t="shared" si="395"/>
        <v>CO2 emissions</v>
      </c>
      <c r="AC200">
        <f t="shared" ca="1" si="396"/>
        <v>0.11690983913206138</v>
      </c>
      <c r="AD200">
        <v>141</v>
      </c>
      <c r="AE200" t="str">
        <f>IF(AND(ISNUMBER(SEARCH(O200,4)),ISNUMBER(SEARCH('(4) FCH pathway assessment'!$B$16,AB200)),ISNUMBER(SEARCH('(4) FCH pathway assessment'!$B$10,AA200))),AD200,"")</f>
        <v/>
      </c>
      <c r="AF200" t="str">
        <f t="shared" si="368"/>
        <v/>
      </c>
      <c r="AG200" t="str">
        <f>VLOOKUP(C200,Assumptions!$B$116:$C$162,2,FALSE)</f>
        <v>ELCTRLYZ_LRG_C</v>
      </c>
      <c r="AH200" t="str">
        <f>VLOOKUP(D200,Assumptions!$B$116:$C$162,2,FALSE)</f>
        <v>C_UNDRGRND_STRG</v>
      </c>
      <c r="AI200" t="str">
        <f>VLOOKUP(E200,Assumptions!$B$116:$C$162,2,FALSE)</f>
        <v>ONSITE_USE</v>
      </c>
      <c r="AJ200" t="str">
        <f>VLOOKUP(F200,Assumptions!$B$116:$C$162,2,FALSE)</f>
        <v>H2_OCGT_PWR</v>
      </c>
    </row>
    <row r="201" spans="2:36" x14ac:dyDescent="0.25">
      <c r="B201" t="s">
        <v>112</v>
      </c>
      <c r="C201" t="s">
        <v>49</v>
      </c>
      <c r="D201" t="s">
        <v>155</v>
      </c>
      <c r="E201" t="s">
        <v>157</v>
      </c>
      <c r="F201" t="s">
        <v>162</v>
      </c>
      <c r="G201" t="s">
        <v>114</v>
      </c>
      <c r="H201" t="s">
        <v>433</v>
      </c>
      <c r="I201" t="s">
        <v>32</v>
      </c>
      <c r="J201" t="s">
        <v>329</v>
      </c>
      <c r="K201">
        <f t="shared" si="383"/>
        <v>1</v>
      </c>
      <c r="L201">
        <f t="shared" si="384"/>
        <v>1</v>
      </c>
      <c r="M201">
        <f t="shared" si="385"/>
        <v>0</v>
      </c>
      <c r="N201">
        <f t="shared" si="386"/>
        <v>0</v>
      </c>
      <c r="O201">
        <f t="shared" si="387"/>
        <v>2</v>
      </c>
      <c r="P201" t="str">
        <f t="shared" si="388"/>
        <v>Large centralized electrolysis-CO2 emissions</v>
      </c>
      <c r="Q201" t="str">
        <f t="shared" si="389"/>
        <v>Central gas storage-CO2 emissions</v>
      </c>
      <c r="R201" t="str">
        <f t="shared" si="390"/>
        <v>Blending in natural gas pipeline-CO2 emissions</v>
      </c>
      <c r="S201" t="str">
        <f t="shared" si="391"/>
        <v>Hydrogen turbine (OC)-CO2 emissions</v>
      </c>
      <c r="T201">
        <f ca="1">IF(timePeriod="2020-30",(VLOOKUP($P201,'TA database'!$I$8:$J$79,2,FALSE)/VLOOKUP($D201,'Merit calculation'!$B$48:$I$52,5,FALSE)/VLOOKUP($E201,'Merit calculation'!$B$67:$I$73,5,FALSE)/VLOOKUP($F201,'Merit calculation'!$B$90:$I$103,5,FALSE)/energyContentH2),(VLOOKUP($P201,'TA database'!$I$8:$J$79,2,FALSE)/VLOOKUP($D201,'Merit calculation'!$B$48:$I$52,7,FALSE)/VLOOKUP($E201,'Merit calculation'!$B$67:$I$73,7,FALSE)/VLOOKUP($F201,'Merit calculation'!$B$90:$I$103,7,FALSE)/energyContentH2))</f>
        <v>3.313770950455254E-2</v>
      </c>
      <c r="U201">
        <v>0</v>
      </c>
      <c r="V201">
        <v>0</v>
      </c>
      <c r="W201">
        <f>IFERROR(VLOOKUP($S201,'TA database'!$I$146:$J$193,2,FALSE),0)</f>
        <v>0</v>
      </c>
      <c r="X201">
        <f ca="1">IFERROR(VLOOKUP($S201,'TA database'!$I$200:$J$271,2,FALSE),0)</f>
        <v>0</v>
      </c>
      <c r="Y201">
        <f t="shared" ca="1" si="392"/>
        <v>0.11929575421638915</v>
      </c>
      <c r="Z201" t="str">
        <f t="shared" si="393"/>
        <v>ELCTRLYZ_LRG_C   →   C_GAS_STRG   →   H2_BLND_NG_P   →   H2_OCGT_PWR</v>
      </c>
      <c r="AA201" t="str">
        <f t="shared" si="394"/>
        <v>Grid electricity</v>
      </c>
      <c r="AB201" t="str">
        <f t="shared" si="395"/>
        <v>CO2 emissions</v>
      </c>
      <c r="AC201">
        <f t="shared" ca="1" si="396"/>
        <v>0.11929575421638915</v>
      </c>
      <c r="AD201">
        <v>142</v>
      </c>
      <c r="AE201" t="str">
        <f>IF(AND(ISNUMBER(SEARCH(O201,4)),ISNUMBER(SEARCH('(4) FCH pathway assessment'!$B$16,AB201)),ISNUMBER(SEARCH('(4) FCH pathway assessment'!$B$10,AA201))),AD201,"")</f>
        <v/>
      </c>
      <c r="AF201" t="str">
        <f t="shared" si="368"/>
        <v/>
      </c>
      <c r="AG201" t="str">
        <f>VLOOKUP(C201,Assumptions!$B$116:$C$162,2,FALSE)</f>
        <v>ELCTRLYZ_LRG_C</v>
      </c>
      <c r="AH201" t="str">
        <f>VLOOKUP(D201,Assumptions!$B$116:$C$162,2,FALSE)</f>
        <v>C_GAS_STRG</v>
      </c>
      <c r="AI201" t="str">
        <f>VLOOKUP(E201,Assumptions!$B$116:$C$162,2,FALSE)</f>
        <v>H2_BLND_NG_P</v>
      </c>
      <c r="AJ201" t="str">
        <f>VLOOKUP(F201,Assumptions!$B$116:$C$162,2,FALSE)</f>
        <v>H2_OCGT_PWR</v>
      </c>
    </row>
    <row r="202" spans="2:36" x14ac:dyDescent="0.25">
      <c r="B202" t="s">
        <v>112</v>
      </c>
      <c r="C202" t="s">
        <v>49</v>
      </c>
      <c r="D202" t="s">
        <v>155</v>
      </c>
      <c r="E202" t="s">
        <v>122</v>
      </c>
      <c r="F202" t="s">
        <v>162</v>
      </c>
      <c r="G202" t="s">
        <v>114</v>
      </c>
      <c r="H202" t="s">
        <v>433</v>
      </c>
      <c r="I202" t="s">
        <v>32</v>
      </c>
      <c r="J202" t="s">
        <v>329</v>
      </c>
      <c r="K202">
        <f t="shared" si="383"/>
        <v>1</v>
      </c>
      <c r="L202">
        <f t="shared" si="384"/>
        <v>1</v>
      </c>
      <c r="M202">
        <f t="shared" si="385"/>
        <v>1</v>
      </c>
      <c r="N202">
        <f t="shared" si="386"/>
        <v>0</v>
      </c>
      <c r="O202">
        <f t="shared" si="387"/>
        <v>3</v>
      </c>
      <c r="P202" t="str">
        <f t="shared" si="388"/>
        <v>Large centralized electrolysis-CO2 emissions</v>
      </c>
      <c r="Q202" t="str">
        <f t="shared" si="389"/>
        <v>Central gas storage-CO2 emissions</v>
      </c>
      <c r="R202" t="str">
        <f t="shared" si="390"/>
        <v>Hydrogen transmission &amp; distribution pipeline-CO2 emissions</v>
      </c>
      <c r="S202" t="str">
        <f t="shared" si="391"/>
        <v>Hydrogen turbine (OC)-CO2 emissions</v>
      </c>
      <c r="T202">
        <f ca="1">IF(timePeriod="2020-30",(VLOOKUP($P202,'TA database'!$I$8:$J$79,2,FALSE)/VLOOKUP($D202,'Merit calculation'!$B$48:$I$52,5,FALSE)/VLOOKUP($E202,'Merit calculation'!$B$67:$I$73,5,FALSE)/VLOOKUP($F202,'Merit calculation'!$B$90:$I$103,5,FALSE)/energyContentH2),(VLOOKUP($P202,'TA database'!$I$8:$J$79,2,FALSE)/VLOOKUP($D202,'Merit calculation'!$B$48:$I$52,7,FALSE)/VLOOKUP($E202,'Merit calculation'!$B$67:$I$73,7,FALSE)/VLOOKUP($F202,'Merit calculation'!$B$90:$I$103,7,FALSE)/energyContentH2))</f>
        <v>3.313770950455254E-2</v>
      </c>
      <c r="U202">
        <v>0</v>
      </c>
      <c r="V202">
        <v>0</v>
      </c>
      <c r="W202">
        <f>IFERROR(VLOOKUP($S202,'TA database'!$I$146:$J$193,2,FALSE),0)</f>
        <v>0</v>
      </c>
      <c r="X202">
        <f ca="1">IFERROR(VLOOKUP($S202,'TA database'!$I$200:$J$271,2,FALSE),0)</f>
        <v>0</v>
      </c>
      <c r="Y202">
        <f t="shared" ca="1" si="392"/>
        <v>0.11929575421638915</v>
      </c>
      <c r="Z202" t="str">
        <f t="shared" si="393"/>
        <v>ELCTRLYZ_LRG_C   →   C_GAS_STRG   →   H2_T&amp;D_P   →   H2_OCGT_PWR</v>
      </c>
      <c r="AA202" t="str">
        <f t="shared" si="394"/>
        <v>Grid electricity</v>
      </c>
      <c r="AB202" t="str">
        <f t="shared" si="395"/>
        <v>CO2 emissions</v>
      </c>
      <c r="AC202">
        <f t="shared" ca="1" si="396"/>
        <v>0.11929575421638915</v>
      </c>
      <c r="AD202">
        <v>143</v>
      </c>
      <c r="AE202" t="str">
        <f>IF(AND(ISNUMBER(SEARCH(O202,4)),ISNUMBER(SEARCH('(4) FCH pathway assessment'!$B$16,AB202)),ISNUMBER(SEARCH('(4) FCH pathway assessment'!$B$10,AA202))),AD202,"")</f>
        <v/>
      </c>
      <c r="AF202" t="str">
        <f t="shared" si="368"/>
        <v/>
      </c>
      <c r="AG202" t="str">
        <f>VLOOKUP(C202,Assumptions!$B$116:$C$162,2,FALSE)</f>
        <v>ELCTRLYZ_LRG_C</v>
      </c>
      <c r="AH202" t="str">
        <f>VLOOKUP(D202,Assumptions!$B$116:$C$162,2,FALSE)</f>
        <v>C_GAS_STRG</v>
      </c>
      <c r="AI202" t="str">
        <f>VLOOKUP(E202,Assumptions!$B$116:$C$162,2,FALSE)</f>
        <v>H2_T&amp;D_P</v>
      </c>
      <c r="AJ202" t="str">
        <f>VLOOKUP(F202,Assumptions!$B$116:$C$162,2,FALSE)</f>
        <v>H2_OCGT_PWR</v>
      </c>
    </row>
    <row r="203" spans="2:36" x14ac:dyDescent="0.25">
      <c r="B203" t="s">
        <v>112</v>
      </c>
      <c r="C203" t="s">
        <v>49</v>
      </c>
      <c r="D203" t="s">
        <v>155</v>
      </c>
      <c r="E203" t="s">
        <v>116</v>
      </c>
      <c r="F203" t="s">
        <v>162</v>
      </c>
      <c r="G203" t="s">
        <v>114</v>
      </c>
      <c r="H203" t="s">
        <v>433</v>
      </c>
      <c r="I203" t="s">
        <v>32</v>
      </c>
      <c r="J203" t="s">
        <v>329</v>
      </c>
      <c r="K203">
        <f t="shared" si="383"/>
        <v>1</v>
      </c>
      <c r="L203">
        <f t="shared" si="384"/>
        <v>1</v>
      </c>
      <c r="M203">
        <f t="shared" si="385"/>
        <v>1</v>
      </c>
      <c r="N203">
        <f t="shared" si="386"/>
        <v>0</v>
      </c>
      <c r="O203">
        <f t="shared" si="387"/>
        <v>3</v>
      </c>
      <c r="P203" t="str">
        <f t="shared" si="388"/>
        <v>Large centralized electrolysis-CO2 emissions</v>
      </c>
      <c r="Q203" t="str">
        <f t="shared" si="389"/>
        <v>Central gas storage-CO2 emissions</v>
      </c>
      <c r="R203" t="str">
        <f t="shared" si="390"/>
        <v>Liquid hydrogen truck-CO2 emissions</v>
      </c>
      <c r="S203" t="str">
        <f t="shared" si="391"/>
        <v>Hydrogen turbine (OC)-CO2 emissions</v>
      </c>
      <c r="T203">
        <f ca="1">IF(timePeriod="2020-30",(VLOOKUP($P203,'TA database'!$I$8:$J$79,2,FALSE)/VLOOKUP($D203,'Merit calculation'!$B$48:$I$52,5,FALSE)/VLOOKUP($E203,'Merit calculation'!$B$67:$I$73,5,FALSE)/VLOOKUP($F203,'Merit calculation'!$B$90:$I$103,5,FALSE)/energyContentH2),(VLOOKUP($P203,'TA database'!$I$8:$J$79,2,FALSE)/VLOOKUP($D203,'Merit calculation'!$B$48:$I$52,7,FALSE)/VLOOKUP($E203,'Merit calculation'!$B$67:$I$73,7,FALSE)/VLOOKUP($F203,'Merit calculation'!$B$90:$I$103,7,FALSE)/energyContentH2))</f>
        <v>3.828043455018322E-2</v>
      </c>
      <c r="U203">
        <v>0</v>
      </c>
      <c r="V203">
        <v>0</v>
      </c>
      <c r="W203">
        <f>IFERROR(VLOOKUP($S203,'TA database'!$I$146:$J$193,2,FALSE),0)</f>
        <v>0</v>
      </c>
      <c r="X203">
        <f ca="1">IFERROR(VLOOKUP($S203,'TA database'!$I$200:$J$271,2,FALSE),0)</f>
        <v>0</v>
      </c>
      <c r="Y203">
        <f t="shared" ca="1" si="392"/>
        <v>0.13780956438065961</v>
      </c>
      <c r="Z203" t="str">
        <f t="shared" si="393"/>
        <v>ELCTRLYZ_LRG_C   →   C_GAS_STRG   →   LQ_TRUCK   →   H2_OCGT_PWR</v>
      </c>
      <c r="AA203" t="str">
        <f t="shared" si="394"/>
        <v>Grid electricity</v>
      </c>
      <c r="AB203" t="str">
        <f t="shared" si="395"/>
        <v>CO2 emissions</v>
      </c>
      <c r="AC203">
        <f t="shared" ca="1" si="396"/>
        <v>0.13780956438065961</v>
      </c>
      <c r="AD203">
        <v>144</v>
      </c>
      <c r="AE203" t="str">
        <f>IF(AND(ISNUMBER(SEARCH(O203,4)),ISNUMBER(SEARCH('(4) FCH pathway assessment'!$B$16,AB203)),ISNUMBER(SEARCH('(4) FCH pathway assessment'!$B$10,AA203))),AD203,"")</f>
        <v/>
      </c>
      <c r="AF203" t="str">
        <f t="shared" si="368"/>
        <v/>
      </c>
      <c r="AG203" t="str">
        <f>VLOOKUP(C203,Assumptions!$B$116:$C$162,2,FALSE)</f>
        <v>ELCTRLYZ_LRG_C</v>
      </c>
      <c r="AH203" t="str">
        <f>VLOOKUP(D203,Assumptions!$B$116:$C$162,2,FALSE)</f>
        <v>C_GAS_STRG</v>
      </c>
      <c r="AI203" t="str">
        <f>VLOOKUP(E203,Assumptions!$B$116:$C$162,2,FALSE)</f>
        <v>LQ_TRUCK</v>
      </c>
      <c r="AJ203" t="str">
        <f>VLOOKUP(F203,Assumptions!$B$116:$C$162,2,FALSE)</f>
        <v>H2_OCGT_PWR</v>
      </c>
    </row>
    <row r="204" spans="2:36" x14ac:dyDescent="0.25">
      <c r="B204" t="s">
        <v>112</v>
      </c>
      <c r="C204" t="s">
        <v>49</v>
      </c>
      <c r="D204" t="s">
        <v>155</v>
      </c>
      <c r="E204" t="s">
        <v>66</v>
      </c>
      <c r="F204" t="s">
        <v>162</v>
      </c>
      <c r="G204" t="s">
        <v>114</v>
      </c>
      <c r="H204" t="s">
        <v>433</v>
      </c>
      <c r="I204" t="s">
        <v>32</v>
      </c>
      <c r="J204" t="s">
        <v>329</v>
      </c>
      <c r="K204">
        <f t="shared" si="383"/>
        <v>1</v>
      </c>
      <c r="L204">
        <f t="shared" si="384"/>
        <v>1</v>
      </c>
      <c r="M204">
        <f t="shared" si="385"/>
        <v>1</v>
      </c>
      <c r="N204">
        <f t="shared" si="386"/>
        <v>0</v>
      </c>
      <c r="O204">
        <f t="shared" si="387"/>
        <v>3</v>
      </c>
      <c r="P204" t="str">
        <f t="shared" si="388"/>
        <v>Large centralized electrolysis-CO2 emissions</v>
      </c>
      <c r="Q204" t="str">
        <f t="shared" si="389"/>
        <v>Central gas storage-CO2 emissions</v>
      </c>
      <c r="R204" t="str">
        <f t="shared" si="390"/>
        <v>Onsite-CO2 emissions</v>
      </c>
      <c r="S204" t="str">
        <f t="shared" si="391"/>
        <v>Hydrogen turbine (OC)-CO2 emissions</v>
      </c>
      <c r="T204">
        <f ca="1">IF(timePeriod="2020-30",(VLOOKUP($P204,'TA database'!$I$8:$J$79,2,FALSE)/VLOOKUP($D204,'Merit calculation'!$B$48:$I$52,5,FALSE)/VLOOKUP($E204,'Merit calculation'!$B$67:$I$73,5,FALSE)/VLOOKUP($F204,'Merit calculation'!$B$90:$I$103,5,FALSE)/energyContentH2),(VLOOKUP($P204,'TA database'!$I$8:$J$79,2,FALSE)/VLOOKUP($D204,'Merit calculation'!$B$48:$I$52,7,FALSE)/VLOOKUP($E204,'Merit calculation'!$B$67:$I$73,7,FALSE)/VLOOKUP($F204,'Merit calculation'!$B$90:$I$103,7,FALSE)/energyContentH2))</f>
        <v>3.2806332409507019E-2</v>
      </c>
      <c r="U204">
        <v>0</v>
      </c>
      <c r="V204">
        <v>0</v>
      </c>
      <c r="W204">
        <f>IFERROR(VLOOKUP($S204,'TA database'!$I$146:$J$193,2,FALSE),0)</f>
        <v>0</v>
      </c>
      <c r="X204">
        <f ca="1">IFERROR(VLOOKUP($S204,'TA database'!$I$200:$J$271,2,FALSE),0)</f>
        <v>0</v>
      </c>
      <c r="Y204">
        <f t="shared" ca="1" si="392"/>
        <v>0.11810279667422527</v>
      </c>
      <c r="Z204" t="str">
        <f t="shared" si="393"/>
        <v>ELCTRLYZ_LRG_C   →   C_GAS_STRG   →   ONSITE_USE   →   H2_OCGT_PWR</v>
      </c>
      <c r="AA204" t="str">
        <f t="shared" si="394"/>
        <v>Grid electricity</v>
      </c>
      <c r="AB204" t="str">
        <f t="shared" si="395"/>
        <v>CO2 emissions</v>
      </c>
      <c r="AC204">
        <f t="shared" ca="1" si="396"/>
        <v>0.11810279667422527</v>
      </c>
      <c r="AD204">
        <v>145</v>
      </c>
      <c r="AE204" t="str">
        <f>IF(AND(ISNUMBER(SEARCH(O204,4)),ISNUMBER(SEARCH('(4) FCH pathway assessment'!$B$16,AB204)),ISNUMBER(SEARCH('(4) FCH pathway assessment'!$B$10,AA204))),AD204,"")</f>
        <v/>
      </c>
      <c r="AF204" t="str">
        <f t="shared" si="368"/>
        <v/>
      </c>
      <c r="AG204" t="str">
        <f>VLOOKUP(C204,Assumptions!$B$116:$C$162,2,FALSE)</f>
        <v>ELCTRLYZ_LRG_C</v>
      </c>
      <c r="AH204" t="str">
        <f>VLOOKUP(D204,Assumptions!$B$116:$C$162,2,FALSE)</f>
        <v>C_GAS_STRG</v>
      </c>
      <c r="AI204" t="str">
        <f>VLOOKUP(E204,Assumptions!$B$116:$C$162,2,FALSE)</f>
        <v>ONSITE_USE</v>
      </c>
      <c r="AJ204" t="str">
        <f>VLOOKUP(F204,Assumptions!$B$116:$C$162,2,FALSE)</f>
        <v>H2_OCGT_PWR</v>
      </c>
    </row>
    <row r="205" spans="2:36" x14ac:dyDescent="0.25">
      <c r="B205" t="s">
        <v>112</v>
      </c>
      <c r="C205" t="s">
        <v>51</v>
      </c>
      <c r="D205" t="s">
        <v>155</v>
      </c>
      <c r="E205" t="s">
        <v>157</v>
      </c>
      <c r="F205" t="s">
        <v>162</v>
      </c>
      <c r="G205" t="s">
        <v>114</v>
      </c>
      <c r="H205" t="s">
        <v>433</v>
      </c>
      <c r="I205" t="s">
        <v>32</v>
      </c>
      <c r="J205" t="s">
        <v>329</v>
      </c>
      <c r="K205">
        <f t="shared" ref="K205:K209" si="397">SUMPRODUCT(($C$7:$C$18=$C205)*($D$6:$H$6=$D205)*($D$7:$H$18))</f>
        <v>1</v>
      </c>
      <c r="L205">
        <f t="shared" ref="L205:L209" si="398">SUMPRODUCT(($C$19:$C$23=$D205)*($I$6:$O$6=$E205)*($I$19:$O$23))</f>
        <v>1</v>
      </c>
      <c r="M205">
        <f t="shared" ref="M205:M209" si="399">SUMPRODUCT(($C$24:$C$30=$E205)*($P$6:$AI$6=$F205)*($P$24:$AI$30))</f>
        <v>0</v>
      </c>
      <c r="N205">
        <f t="shared" ref="N205:N209" si="400">SUMPRODUCT(($C$31:$C$50=$F205)*($AJ$6:$AM$6=$G205)*($AJ$31:$AM$50))</f>
        <v>0</v>
      </c>
      <c r="O205">
        <f t="shared" ref="O205:O209" si="401">K205+L205+M205+N205</f>
        <v>2</v>
      </c>
      <c r="P205" t="str">
        <f t="shared" ref="P205:P209" si="402">CONCATENATE(C205,"-",J205)</f>
        <v>Medium centralized electrolysis-CO2 emissions</v>
      </c>
      <c r="Q205" t="str">
        <f t="shared" ref="Q205:Q209" si="403">CONCATENATE(D205,"-",J205)</f>
        <v>Central gas storage-CO2 emissions</v>
      </c>
      <c r="R205" t="str">
        <f t="shared" ref="R205:R209" si="404">CONCATENATE(E205,"-",J205)</f>
        <v>Blending in natural gas pipeline-CO2 emissions</v>
      </c>
      <c r="S205" t="str">
        <f t="shared" ref="S205:S209" si="405">CONCATENATE(F205,"-",J205)</f>
        <v>Hydrogen turbine (OC)-CO2 emissions</v>
      </c>
      <c r="T205">
        <f ca="1">IF(timePeriod="2020-30",(VLOOKUP($P205,'TA database'!$I$8:$J$79,2,FALSE)/VLOOKUP($D205,'Merit calculation'!$B$48:$I$52,5,FALSE)/VLOOKUP($E205,'Merit calculation'!$B$67:$I$73,5,FALSE)/VLOOKUP($F205,'Merit calculation'!$B$90:$I$103,5,FALSE)/energyContentH2),(VLOOKUP($P205,'TA database'!$I$8:$J$79,2,FALSE)/VLOOKUP($D205,'Merit calculation'!$B$48:$I$52,7,FALSE)/VLOOKUP($E205,'Merit calculation'!$B$67:$I$73,7,FALSE)/VLOOKUP($F205,'Merit calculation'!$B$90:$I$103,7,FALSE)/energyContentH2))</f>
        <v>3.313770950455254E-2</v>
      </c>
      <c r="U205">
        <v>0</v>
      </c>
      <c r="V205">
        <v>0</v>
      </c>
      <c r="W205">
        <f>IFERROR(VLOOKUP($S205,'TA database'!$I$146:$J$193,2,FALSE),0)</f>
        <v>0</v>
      </c>
      <c r="X205">
        <f ca="1">IFERROR(VLOOKUP($S205,'TA database'!$I$200:$J$271,2,FALSE),0)</f>
        <v>0</v>
      </c>
      <c r="Y205">
        <f t="shared" ref="Y205:Y209" ca="1" si="406">IF($W205=0,T205*3.6+X205,T205+W205)</f>
        <v>0.11929575421638915</v>
      </c>
      <c r="Z205" t="str">
        <f t="shared" ref="Z205:Z209" si="407">CONCATENATE(AG205,"   →   ",AH205,"   →   ",AI205,"   →   ",AJ205)</f>
        <v>ELCTRLYZ_MED_C   →   C_GAS_STRG   →   H2_BLND_NG_P   →   H2_OCGT_PWR</v>
      </c>
      <c r="AA205" t="str">
        <f t="shared" ref="AA205:AA209" si="408">G205</f>
        <v>Grid electricity</v>
      </c>
      <c r="AB205" t="str">
        <f t="shared" ref="AB205:AB209" si="409">J205</f>
        <v>CO2 emissions</v>
      </c>
      <c r="AC205">
        <f t="shared" ref="AC205:AC209" ca="1" si="410">Y205</f>
        <v>0.11929575421638915</v>
      </c>
      <c r="AD205">
        <v>146</v>
      </c>
      <c r="AE205" t="str">
        <f>IF(AND(ISNUMBER(SEARCH(O205,4)),ISNUMBER(SEARCH('(4) FCH pathway assessment'!$B$16,AB205)),ISNUMBER(SEARCH('(4) FCH pathway assessment'!$B$10,AA205))),AD205,"")</f>
        <v/>
      </c>
      <c r="AF205" t="str">
        <f t="shared" si="368"/>
        <v/>
      </c>
      <c r="AG205" t="str">
        <f>VLOOKUP(C205,Assumptions!$B$116:$C$162,2,FALSE)</f>
        <v>ELCTRLYZ_MED_C</v>
      </c>
      <c r="AH205" t="str">
        <f>VLOOKUP(D205,Assumptions!$B$116:$C$162,2,FALSE)</f>
        <v>C_GAS_STRG</v>
      </c>
      <c r="AI205" t="str">
        <f>VLOOKUP(E205,Assumptions!$B$116:$C$162,2,FALSE)</f>
        <v>H2_BLND_NG_P</v>
      </c>
      <c r="AJ205" t="str">
        <f>VLOOKUP(F205,Assumptions!$B$116:$C$162,2,FALSE)</f>
        <v>H2_OCGT_PWR</v>
      </c>
    </row>
    <row r="206" spans="2:36" x14ac:dyDescent="0.25">
      <c r="B206" t="s">
        <v>112</v>
      </c>
      <c r="C206" t="s">
        <v>51</v>
      </c>
      <c r="D206" t="s">
        <v>155</v>
      </c>
      <c r="E206" t="s">
        <v>122</v>
      </c>
      <c r="F206" t="s">
        <v>162</v>
      </c>
      <c r="G206" t="s">
        <v>114</v>
      </c>
      <c r="H206" t="s">
        <v>433</v>
      </c>
      <c r="I206" t="s">
        <v>32</v>
      </c>
      <c r="J206" t="s">
        <v>329</v>
      </c>
      <c r="K206">
        <f t="shared" si="397"/>
        <v>1</v>
      </c>
      <c r="L206">
        <f t="shared" si="398"/>
        <v>1</v>
      </c>
      <c r="M206">
        <f t="shared" si="399"/>
        <v>1</v>
      </c>
      <c r="N206">
        <f t="shared" si="400"/>
        <v>0</v>
      </c>
      <c r="O206">
        <f t="shared" si="401"/>
        <v>3</v>
      </c>
      <c r="P206" t="str">
        <f t="shared" si="402"/>
        <v>Medium centralized electrolysis-CO2 emissions</v>
      </c>
      <c r="Q206" t="str">
        <f t="shared" si="403"/>
        <v>Central gas storage-CO2 emissions</v>
      </c>
      <c r="R206" t="str">
        <f t="shared" si="404"/>
        <v>Hydrogen transmission &amp; distribution pipeline-CO2 emissions</v>
      </c>
      <c r="S206" t="str">
        <f t="shared" si="405"/>
        <v>Hydrogen turbine (OC)-CO2 emissions</v>
      </c>
      <c r="T206">
        <f ca="1">IF(timePeriod="2020-30",(VLOOKUP($P206,'TA database'!$I$8:$J$79,2,FALSE)/VLOOKUP($D206,'Merit calculation'!$B$48:$I$52,5,FALSE)/VLOOKUP($E206,'Merit calculation'!$B$67:$I$73,5,FALSE)/VLOOKUP($F206,'Merit calculation'!$B$90:$I$103,5,FALSE)/energyContentH2),(VLOOKUP($P206,'TA database'!$I$8:$J$79,2,FALSE)/VLOOKUP($D206,'Merit calculation'!$B$48:$I$52,7,FALSE)/VLOOKUP($E206,'Merit calculation'!$B$67:$I$73,7,FALSE)/VLOOKUP($F206,'Merit calculation'!$B$90:$I$103,7,FALSE)/energyContentH2))</f>
        <v>3.313770950455254E-2</v>
      </c>
      <c r="U206">
        <v>0</v>
      </c>
      <c r="V206">
        <v>0</v>
      </c>
      <c r="W206">
        <f>IFERROR(VLOOKUP($S206,'TA database'!$I$146:$J$193,2,FALSE),0)</f>
        <v>0</v>
      </c>
      <c r="X206">
        <f ca="1">IFERROR(VLOOKUP($S206,'TA database'!$I$200:$J$271,2,FALSE),0)</f>
        <v>0</v>
      </c>
      <c r="Y206">
        <f t="shared" ca="1" si="406"/>
        <v>0.11929575421638915</v>
      </c>
      <c r="Z206" t="str">
        <f t="shared" si="407"/>
        <v>ELCTRLYZ_MED_C   →   C_GAS_STRG   →   H2_T&amp;D_P   →   H2_OCGT_PWR</v>
      </c>
      <c r="AA206" t="str">
        <f t="shared" si="408"/>
        <v>Grid electricity</v>
      </c>
      <c r="AB206" t="str">
        <f t="shared" si="409"/>
        <v>CO2 emissions</v>
      </c>
      <c r="AC206">
        <f t="shared" ca="1" si="410"/>
        <v>0.11929575421638915</v>
      </c>
      <c r="AD206">
        <v>147</v>
      </c>
      <c r="AE206" t="str">
        <f>IF(AND(ISNUMBER(SEARCH(O206,4)),ISNUMBER(SEARCH('(4) FCH pathway assessment'!$B$16,AB206)),ISNUMBER(SEARCH('(4) FCH pathway assessment'!$B$10,AA206))),AD206,"")</f>
        <v/>
      </c>
      <c r="AF206" t="str">
        <f t="shared" si="368"/>
        <v/>
      </c>
      <c r="AG206" t="str">
        <f>VLOOKUP(C206,Assumptions!$B$116:$C$162,2,FALSE)</f>
        <v>ELCTRLYZ_MED_C</v>
      </c>
      <c r="AH206" t="str">
        <f>VLOOKUP(D206,Assumptions!$B$116:$C$162,2,FALSE)</f>
        <v>C_GAS_STRG</v>
      </c>
      <c r="AI206" t="str">
        <f>VLOOKUP(E206,Assumptions!$B$116:$C$162,2,FALSE)</f>
        <v>H2_T&amp;D_P</v>
      </c>
      <c r="AJ206" t="str">
        <f>VLOOKUP(F206,Assumptions!$B$116:$C$162,2,FALSE)</f>
        <v>H2_OCGT_PWR</v>
      </c>
    </row>
    <row r="207" spans="2:36" x14ac:dyDescent="0.25">
      <c r="B207" t="s">
        <v>112</v>
      </c>
      <c r="C207" t="s">
        <v>51</v>
      </c>
      <c r="D207" t="s">
        <v>155</v>
      </c>
      <c r="E207" t="s">
        <v>116</v>
      </c>
      <c r="F207" t="s">
        <v>162</v>
      </c>
      <c r="G207" t="s">
        <v>114</v>
      </c>
      <c r="H207" t="s">
        <v>433</v>
      </c>
      <c r="I207" t="s">
        <v>32</v>
      </c>
      <c r="J207" t="s">
        <v>329</v>
      </c>
      <c r="K207">
        <f t="shared" si="397"/>
        <v>1</v>
      </c>
      <c r="L207">
        <f t="shared" si="398"/>
        <v>1</v>
      </c>
      <c r="M207">
        <f t="shared" si="399"/>
        <v>1</v>
      </c>
      <c r="N207">
        <f t="shared" si="400"/>
        <v>0</v>
      </c>
      <c r="O207">
        <f t="shared" si="401"/>
        <v>3</v>
      </c>
      <c r="P207" t="str">
        <f t="shared" si="402"/>
        <v>Medium centralized electrolysis-CO2 emissions</v>
      </c>
      <c r="Q207" t="str">
        <f t="shared" si="403"/>
        <v>Central gas storage-CO2 emissions</v>
      </c>
      <c r="R207" t="str">
        <f t="shared" si="404"/>
        <v>Liquid hydrogen truck-CO2 emissions</v>
      </c>
      <c r="S207" t="str">
        <f t="shared" si="405"/>
        <v>Hydrogen turbine (OC)-CO2 emissions</v>
      </c>
      <c r="T207">
        <f ca="1">IF(timePeriod="2020-30",(VLOOKUP($P207,'TA database'!$I$8:$J$79,2,FALSE)/VLOOKUP($D207,'Merit calculation'!$B$48:$I$52,5,FALSE)/VLOOKUP($E207,'Merit calculation'!$B$67:$I$73,5,FALSE)/VLOOKUP($F207,'Merit calculation'!$B$90:$I$103,5,FALSE)/energyContentH2),(VLOOKUP($P207,'TA database'!$I$8:$J$79,2,FALSE)/VLOOKUP($D207,'Merit calculation'!$B$48:$I$52,7,FALSE)/VLOOKUP($E207,'Merit calculation'!$B$67:$I$73,7,FALSE)/VLOOKUP($F207,'Merit calculation'!$B$90:$I$103,7,FALSE)/energyContentH2))</f>
        <v>3.828043455018322E-2</v>
      </c>
      <c r="U207">
        <v>0</v>
      </c>
      <c r="V207">
        <v>0</v>
      </c>
      <c r="W207">
        <f>IFERROR(VLOOKUP($S207,'TA database'!$I$146:$J$193,2,FALSE),0)</f>
        <v>0</v>
      </c>
      <c r="X207">
        <f ca="1">IFERROR(VLOOKUP($S207,'TA database'!$I$200:$J$271,2,FALSE),0)</f>
        <v>0</v>
      </c>
      <c r="Y207">
        <f t="shared" ca="1" si="406"/>
        <v>0.13780956438065961</v>
      </c>
      <c r="Z207" t="str">
        <f t="shared" si="407"/>
        <v>ELCTRLYZ_MED_C   →   C_GAS_STRG   →   LQ_TRUCK   →   H2_OCGT_PWR</v>
      </c>
      <c r="AA207" t="str">
        <f t="shared" si="408"/>
        <v>Grid electricity</v>
      </c>
      <c r="AB207" t="str">
        <f t="shared" si="409"/>
        <v>CO2 emissions</v>
      </c>
      <c r="AC207">
        <f t="shared" ca="1" si="410"/>
        <v>0.13780956438065961</v>
      </c>
      <c r="AD207">
        <v>148</v>
      </c>
      <c r="AE207" t="str">
        <f>IF(AND(ISNUMBER(SEARCH(O207,4)),ISNUMBER(SEARCH('(4) FCH pathway assessment'!$B$16,AB207)),ISNUMBER(SEARCH('(4) FCH pathway assessment'!$B$10,AA207))),AD207,"")</f>
        <v/>
      </c>
      <c r="AF207" t="str">
        <f t="shared" si="368"/>
        <v/>
      </c>
      <c r="AG207" t="str">
        <f>VLOOKUP(C207,Assumptions!$B$116:$C$162,2,FALSE)</f>
        <v>ELCTRLYZ_MED_C</v>
      </c>
      <c r="AH207" t="str">
        <f>VLOOKUP(D207,Assumptions!$B$116:$C$162,2,FALSE)</f>
        <v>C_GAS_STRG</v>
      </c>
      <c r="AI207" t="str">
        <f>VLOOKUP(E207,Assumptions!$B$116:$C$162,2,FALSE)</f>
        <v>LQ_TRUCK</v>
      </c>
      <c r="AJ207" t="str">
        <f>VLOOKUP(F207,Assumptions!$B$116:$C$162,2,FALSE)</f>
        <v>H2_OCGT_PWR</v>
      </c>
    </row>
    <row r="208" spans="2:36" x14ac:dyDescent="0.25">
      <c r="B208" t="s">
        <v>112</v>
      </c>
      <c r="C208" t="s">
        <v>51</v>
      </c>
      <c r="D208" t="s">
        <v>155</v>
      </c>
      <c r="E208" t="s">
        <v>66</v>
      </c>
      <c r="F208" t="s">
        <v>162</v>
      </c>
      <c r="G208" t="s">
        <v>114</v>
      </c>
      <c r="H208" t="s">
        <v>433</v>
      </c>
      <c r="I208" t="s">
        <v>32</v>
      </c>
      <c r="J208" t="s">
        <v>329</v>
      </c>
      <c r="K208">
        <f t="shared" si="397"/>
        <v>1</v>
      </c>
      <c r="L208">
        <f t="shared" si="398"/>
        <v>1</v>
      </c>
      <c r="M208">
        <f t="shared" si="399"/>
        <v>1</v>
      </c>
      <c r="N208">
        <f t="shared" si="400"/>
        <v>0</v>
      </c>
      <c r="O208">
        <f t="shared" si="401"/>
        <v>3</v>
      </c>
      <c r="P208" t="str">
        <f t="shared" si="402"/>
        <v>Medium centralized electrolysis-CO2 emissions</v>
      </c>
      <c r="Q208" t="str">
        <f t="shared" si="403"/>
        <v>Central gas storage-CO2 emissions</v>
      </c>
      <c r="R208" t="str">
        <f t="shared" si="404"/>
        <v>Onsite-CO2 emissions</v>
      </c>
      <c r="S208" t="str">
        <f t="shared" si="405"/>
        <v>Hydrogen turbine (OC)-CO2 emissions</v>
      </c>
      <c r="T208">
        <f ca="1">IF(timePeriod="2020-30",(VLOOKUP($P208,'TA database'!$I$8:$J$79,2,FALSE)/VLOOKUP($D208,'Merit calculation'!$B$48:$I$52,5,FALSE)/VLOOKUP($E208,'Merit calculation'!$B$67:$I$73,5,FALSE)/VLOOKUP($F208,'Merit calculation'!$B$90:$I$103,5,FALSE)/energyContentH2),(VLOOKUP($P208,'TA database'!$I$8:$J$79,2,FALSE)/VLOOKUP($D208,'Merit calculation'!$B$48:$I$52,7,FALSE)/VLOOKUP($E208,'Merit calculation'!$B$67:$I$73,7,FALSE)/VLOOKUP($F208,'Merit calculation'!$B$90:$I$103,7,FALSE)/energyContentH2))</f>
        <v>3.2806332409507019E-2</v>
      </c>
      <c r="U208">
        <v>0</v>
      </c>
      <c r="V208">
        <v>0</v>
      </c>
      <c r="W208">
        <f>IFERROR(VLOOKUP($S208,'TA database'!$I$146:$J$193,2,FALSE),0)</f>
        <v>0</v>
      </c>
      <c r="X208">
        <f ca="1">IFERROR(VLOOKUP($S208,'TA database'!$I$200:$J$271,2,FALSE),0)</f>
        <v>0</v>
      </c>
      <c r="Y208">
        <f t="shared" ca="1" si="406"/>
        <v>0.11810279667422527</v>
      </c>
      <c r="Z208" t="str">
        <f t="shared" si="407"/>
        <v>ELCTRLYZ_MED_C   →   C_GAS_STRG   →   ONSITE_USE   →   H2_OCGT_PWR</v>
      </c>
      <c r="AA208" t="str">
        <f t="shared" si="408"/>
        <v>Grid electricity</v>
      </c>
      <c r="AB208" t="str">
        <f t="shared" si="409"/>
        <v>CO2 emissions</v>
      </c>
      <c r="AC208">
        <f t="shared" ca="1" si="410"/>
        <v>0.11810279667422527</v>
      </c>
      <c r="AD208">
        <v>149</v>
      </c>
      <c r="AE208" t="str">
        <f>IF(AND(ISNUMBER(SEARCH(O208,4)),ISNUMBER(SEARCH('(4) FCH pathway assessment'!$B$16,AB208)),ISNUMBER(SEARCH('(4) FCH pathway assessment'!$B$10,AA208))),AD208,"")</f>
        <v/>
      </c>
      <c r="AF208" t="str">
        <f t="shared" si="368"/>
        <v/>
      </c>
      <c r="AG208" t="str">
        <f>VLOOKUP(C208,Assumptions!$B$116:$C$162,2,FALSE)</f>
        <v>ELCTRLYZ_MED_C</v>
      </c>
      <c r="AH208" t="str">
        <f>VLOOKUP(D208,Assumptions!$B$116:$C$162,2,FALSE)</f>
        <v>C_GAS_STRG</v>
      </c>
      <c r="AI208" t="str">
        <f>VLOOKUP(E208,Assumptions!$B$116:$C$162,2,FALSE)</f>
        <v>ONSITE_USE</v>
      </c>
      <c r="AJ208" t="str">
        <f>VLOOKUP(F208,Assumptions!$B$116:$C$162,2,FALSE)</f>
        <v>H2_OCGT_PWR</v>
      </c>
    </row>
    <row r="209" spans="2:36" x14ac:dyDescent="0.25">
      <c r="B209" t="s">
        <v>112</v>
      </c>
      <c r="C209" t="s">
        <v>52</v>
      </c>
      <c r="D209" s="60" t="s">
        <v>130</v>
      </c>
      <c r="E209" t="s">
        <v>66</v>
      </c>
      <c r="F209" t="s">
        <v>162</v>
      </c>
      <c r="G209" t="s">
        <v>114</v>
      </c>
      <c r="H209" t="s">
        <v>433</v>
      </c>
      <c r="I209" t="s">
        <v>32</v>
      </c>
      <c r="J209" t="s">
        <v>329</v>
      </c>
      <c r="K209">
        <f t="shared" si="397"/>
        <v>1</v>
      </c>
      <c r="L209">
        <f t="shared" si="398"/>
        <v>1</v>
      </c>
      <c r="M209">
        <f t="shared" si="399"/>
        <v>1</v>
      </c>
      <c r="N209">
        <f t="shared" si="400"/>
        <v>0</v>
      </c>
      <c r="O209">
        <f t="shared" si="401"/>
        <v>3</v>
      </c>
      <c r="P209" t="str">
        <f t="shared" si="402"/>
        <v>Small decentralized electrolysis-CO2 emissions</v>
      </c>
      <c r="Q209" t="str">
        <f t="shared" si="403"/>
        <v>Distributed gas storage-CO2 emissions</v>
      </c>
      <c r="R209" t="str">
        <f t="shared" si="404"/>
        <v>Onsite-CO2 emissions</v>
      </c>
      <c r="S209" t="str">
        <f t="shared" si="405"/>
        <v>Hydrogen turbine (OC)-CO2 emissions</v>
      </c>
      <c r="T209">
        <f ca="1">IF(timePeriod="2020-30",(VLOOKUP($P209,'TA database'!$I$8:$J$79,2,FALSE)/VLOOKUP($D209,'Merit calculation'!$B$48:$I$52,5,FALSE)/VLOOKUP($E209,'Merit calculation'!$B$67:$I$73,5,FALSE)/VLOOKUP($F209,'Merit calculation'!$B$90:$I$103,5,FALSE)/energyContentH2),(VLOOKUP($P209,'TA database'!$I$8:$J$79,2,FALSE)/VLOOKUP($D209,'Merit calculation'!$B$48:$I$52,7,FALSE)/VLOOKUP($E209,'Merit calculation'!$B$67:$I$73,7,FALSE)/VLOOKUP($F209,'Merit calculation'!$B$90:$I$103,7,FALSE)/energyContentH2))</f>
        <v>3.2806332409507019E-2</v>
      </c>
      <c r="U209">
        <v>0</v>
      </c>
      <c r="V209">
        <v>0</v>
      </c>
      <c r="W209">
        <f>IFERROR(VLOOKUP($S209,'TA database'!$I$146:$J$193,2,FALSE),0)</f>
        <v>0</v>
      </c>
      <c r="X209">
        <f ca="1">IFERROR(VLOOKUP($S209,'TA database'!$I$200:$J$271,2,FALSE),0)</f>
        <v>0</v>
      </c>
      <c r="Y209">
        <f t="shared" ca="1" si="406"/>
        <v>0.11810279667422527</v>
      </c>
      <c r="Z209" t="str">
        <f t="shared" si="407"/>
        <v>ELCTRLYZ_SML_D   →   D_GAS_STRG   →   ONSITE_USE   →   H2_OCGT_PWR</v>
      </c>
      <c r="AA209" t="str">
        <f t="shared" si="408"/>
        <v>Grid electricity</v>
      </c>
      <c r="AB209" t="str">
        <f t="shared" si="409"/>
        <v>CO2 emissions</v>
      </c>
      <c r="AC209">
        <f t="shared" ca="1" si="410"/>
        <v>0.11810279667422527</v>
      </c>
      <c r="AD209">
        <v>150</v>
      </c>
      <c r="AE209" t="str">
        <f>IF(AND(ISNUMBER(SEARCH(O209,4)),ISNUMBER(SEARCH('(4) FCH pathway assessment'!$B$16,AB209)),ISNUMBER(SEARCH('(4) FCH pathway assessment'!$B$10,AA209))),AD209,"")</f>
        <v/>
      </c>
      <c r="AF209" t="str">
        <f t="shared" si="368"/>
        <v/>
      </c>
      <c r="AG209" t="str">
        <f>VLOOKUP(C209,Assumptions!$B$116:$C$162,2,FALSE)</f>
        <v>ELCTRLYZ_SML_D</v>
      </c>
      <c r="AH209" t="str">
        <f>VLOOKUP(D209,Assumptions!$B$116:$C$162,2,FALSE)</f>
        <v>D_GAS_STRG</v>
      </c>
      <c r="AI209" t="str">
        <f>VLOOKUP(E209,Assumptions!$B$116:$C$162,2,FALSE)</f>
        <v>ONSITE_USE</v>
      </c>
      <c r="AJ209" t="str">
        <f>VLOOKUP(F209,Assumptions!$B$116:$C$162,2,FALSE)</f>
        <v>H2_OCGT_PWR</v>
      </c>
    </row>
    <row r="210" spans="2:36" x14ac:dyDescent="0.25">
      <c r="B210" t="s">
        <v>127</v>
      </c>
      <c r="C210" t="s">
        <v>57</v>
      </c>
      <c r="D210" t="s">
        <v>62</v>
      </c>
      <c r="E210" t="s">
        <v>157</v>
      </c>
      <c r="F210" t="s">
        <v>162</v>
      </c>
      <c r="G210" t="s">
        <v>114</v>
      </c>
      <c r="H210" t="s">
        <v>433</v>
      </c>
      <c r="I210" t="s">
        <v>32</v>
      </c>
      <c r="J210" t="s">
        <v>329</v>
      </c>
      <c r="K210">
        <f t="shared" ref="K210:K218" si="411">SUMPRODUCT(($C$7:$C$18=$C210)*($D$6:$H$6=$D210)*($D$7:$H$18))</f>
        <v>1</v>
      </c>
      <c r="L210">
        <f t="shared" ref="L210:L218" si="412">SUMPRODUCT(($C$19:$C$23=$D210)*($I$6:$O$6=$E210)*($I$19:$O$23))</f>
        <v>0</v>
      </c>
      <c r="M210">
        <f t="shared" ref="M210:M218" si="413">SUMPRODUCT(($C$24:$C$30=$E210)*($P$6:$AI$6=$F210)*($P$24:$AI$30))</f>
        <v>0</v>
      </c>
      <c r="N210">
        <f t="shared" ref="N210:N218" si="414">SUMPRODUCT(($C$31:$C$50=$F210)*($AJ$6:$AM$6=$G210)*($AJ$31:$AM$50))</f>
        <v>0</v>
      </c>
      <c r="O210">
        <f t="shared" ref="O210:O218" si="415">K210+L210+M210+N210</f>
        <v>1</v>
      </c>
      <c r="P210" t="str">
        <f t="shared" ref="P210:P218" si="416">CONCATENATE(C210,"-",J210)</f>
        <v>Large centralized natural gas steam reforming-CO2 emissions</v>
      </c>
      <c r="Q210" t="str">
        <f t="shared" ref="Q210:Q218" si="417">CONCATENATE(D210,"-",J210)</f>
        <v>Underground storage-CO2 emissions</v>
      </c>
      <c r="R210" t="str">
        <f t="shared" ref="R210:R218" si="418">CONCATENATE(E210,"-",J210)</f>
        <v>Blending in natural gas pipeline-CO2 emissions</v>
      </c>
      <c r="S210" t="str">
        <f t="shared" ref="S210:S218" si="419">CONCATENATE(F210,"-",J210)</f>
        <v>Hydrogen turbine (OC)-CO2 emissions</v>
      </c>
      <c r="T210">
        <f ca="1">IF(timePeriod="2020-30",(VLOOKUP($P210,'TA database'!$I$8:$J$79,2,FALSE)/VLOOKUP($D210,'Merit calculation'!$B$48:$I$52,5,FALSE)/VLOOKUP($E210,'Merit calculation'!$B$67:$I$73,5,FALSE)/VLOOKUP($F210,'Merit calculation'!$B$90:$I$103,5,FALSE)/energyContentH2),(VLOOKUP($P210,'TA database'!$I$8:$J$79,2,FALSE)/VLOOKUP($D210,'Merit calculation'!$B$48:$I$52,7,FALSE)/VLOOKUP($E210,'Merit calculation'!$B$67:$I$73,7,FALSE)/VLOOKUP($F210,'Merit calculation'!$B$90:$I$103,7,FALSE)/energyContentH2))</f>
        <v>0.13249781768300287</v>
      </c>
      <c r="U210">
        <v>0</v>
      </c>
      <c r="V210">
        <v>0</v>
      </c>
      <c r="W210">
        <f>IFERROR(VLOOKUP($S210,'TA database'!$I$146:$J$193,2,FALSE),0)</f>
        <v>0</v>
      </c>
      <c r="X210">
        <f ca="1">IFERROR(VLOOKUP($S210,'TA database'!$I$200:$J$271,2,FALSE),0)</f>
        <v>0</v>
      </c>
      <c r="Y210">
        <f t="shared" ref="Y210:Y218" ca="1" si="420">IF($W210=0,T210*3.6+X210,T210+W210)</f>
        <v>0.47699214365881032</v>
      </c>
      <c r="Z210" t="str">
        <f t="shared" ref="Z210:Z218" si="421">CONCATENATE(AG210,"   →   ",AH210,"   →   ",AI210,"   →   ",AJ210)</f>
        <v>NG_SR_LRG_C   →   C_UNDRGRND_STRG   →   H2_BLND_NG_P   →   H2_OCGT_PWR</v>
      </c>
      <c r="AA210" t="str">
        <f t="shared" ref="AA210:AA218" si="422">G210</f>
        <v>Grid electricity</v>
      </c>
      <c r="AB210" t="str">
        <f t="shared" ref="AB210:AB218" si="423">J210</f>
        <v>CO2 emissions</v>
      </c>
      <c r="AC210">
        <f t="shared" ref="AC210:AC218" ca="1" si="424">Y210</f>
        <v>0.47699214365881032</v>
      </c>
      <c r="AD210">
        <v>151</v>
      </c>
      <c r="AE210" t="str">
        <f>IF(AND(ISNUMBER(SEARCH(O210,4)),ISNUMBER(SEARCH('(4) FCH pathway assessment'!$B$16,AB210)),ISNUMBER(SEARCH('(4) FCH pathway assessment'!$B$10,AA210))),AD210,"")</f>
        <v/>
      </c>
      <c r="AF210" t="str">
        <f t="shared" si="368"/>
        <v/>
      </c>
      <c r="AG210" t="str">
        <f>VLOOKUP(C210,Assumptions!$B$116:$C$162,2,FALSE)</f>
        <v>NG_SR_LRG_C</v>
      </c>
      <c r="AH210" t="str">
        <f>VLOOKUP(D210,Assumptions!$B$116:$C$162,2,FALSE)</f>
        <v>C_UNDRGRND_STRG</v>
      </c>
      <c r="AI210" t="str">
        <f>VLOOKUP(E210,Assumptions!$B$116:$C$162,2,FALSE)</f>
        <v>H2_BLND_NG_P</v>
      </c>
      <c r="AJ210" t="str">
        <f>VLOOKUP(F210,Assumptions!$B$116:$C$162,2,FALSE)</f>
        <v>H2_OCGT_PWR</v>
      </c>
    </row>
    <row r="211" spans="2:36" x14ac:dyDescent="0.25">
      <c r="B211" t="s">
        <v>127</v>
      </c>
      <c r="C211" t="s">
        <v>57</v>
      </c>
      <c r="D211" t="s">
        <v>62</v>
      </c>
      <c r="E211" t="s">
        <v>122</v>
      </c>
      <c r="F211" t="s">
        <v>162</v>
      </c>
      <c r="G211" t="s">
        <v>114</v>
      </c>
      <c r="H211" t="s">
        <v>433</v>
      </c>
      <c r="I211" t="s">
        <v>32</v>
      </c>
      <c r="J211" t="s">
        <v>329</v>
      </c>
      <c r="K211">
        <f t="shared" si="411"/>
        <v>1</v>
      </c>
      <c r="L211">
        <f t="shared" si="412"/>
        <v>0</v>
      </c>
      <c r="M211">
        <f t="shared" si="413"/>
        <v>1</v>
      </c>
      <c r="N211">
        <f t="shared" si="414"/>
        <v>0</v>
      </c>
      <c r="O211">
        <f t="shared" si="415"/>
        <v>2</v>
      </c>
      <c r="P211" t="str">
        <f t="shared" si="416"/>
        <v>Large centralized natural gas steam reforming-CO2 emissions</v>
      </c>
      <c r="Q211" t="str">
        <f t="shared" si="417"/>
        <v>Underground storage-CO2 emissions</v>
      </c>
      <c r="R211" t="str">
        <f t="shared" si="418"/>
        <v>Hydrogen transmission &amp; distribution pipeline-CO2 emissions</v>
      </c>
      <c r="S211" t="str">
        <f t="shared" si="419"/>
        <v>Hydrogen turbine (OC)-CO2 emissions</v>
      </c>
      <c r="T211">
        <f ca="1">IF(timePeriod="2020-30",(VLOOKUP($P211,'TA database'!$I$8:$J$79,2,FALSE)/VLOOKUP($D211,'Merit calculation'!$B$48:$I$52,5,FALSE)/VLOOKUP($E211,'Merit calculation'!$B$67:$I$73,5,FALSE)/VLOOKUP($F211,'Merit calculation'!$B$90:$I$103,5,FALSE)/energyContentH2),(VLOOKUP($P211,'TA database'!$I$8:$J$79,2,FALSE)/VLOOKUP($D211,'Merit calculation'!$B$48:$I$52,7,FALSE)/VLOOKUP($E211,'Merit calculation'!$B$67:$I$73,7,FALSE)/VLOOKUP($F211,'Merit calculation'!$B$90:$I$103,7,FALSE)/energyContentH2))</f>
        <v>0.13249781768300287</v>
      </c>
      <c r="U211">
        <v>0</v>
      </c>
      <c r="V211">
        <v>0</v>
      </c>
      <c r="W211">
        <f>IFERROR(VLOOKUP($S211,'TA database'!$I$146:$J$193,2,FALSE),0)</f>
        <v>0</v>
      </c>
      <c r="X211">
        <f ca="1">IFERROR(VLOOKUP($S211,'TA database'!$I$200:$J$271,2,FALSE),0)</f>
        <v>0</v>
      </c>
      <c r="Y211">
        <f t="shared" ca="1" si="420"/>
        <v>0.47699214365881032</v>
      </c>
      <c r="Z211" t="str">
        <f t="shared" si="421"/>
        <v>NG_SR_LRG_C   →   C_UNDRGRND_STRG   →   H2_T&amp;D_P   →   H2_OCGT_PWR</v>
      </c>
      <c r="AA211" t="str">
        <f t="shared" si="422"/>
        <v>Grid electricity</v>
      </c>
      <c r="AB211" t="str">
        <f t="shared" si="423"/>
        <v>CO2 emissions</v>
      </c>
      <c r="AC211">
        <f t="shared" ca="1" si="424"/>
        <v>0.47699214365881032</v>
      </c>
      <c r="AD211">
        <v>152</v>
      </c>
      <c r="AE211" t="str">
        <f>IF(AND(ISNUMBER(SEARCH(O211,4)),ISNUMBER(SEARCH('(4) FCH pathway assessment'!$B$16,AB211)),ISNUMBER(SEARCH('(4) FCH pathway assessment'!$B$10,AA211))),AD211,"")</f>
        <v/>
      </c>
      <c r="AF211" t="str">
        <f t="shared" si="368"/>
        <v/>
      </c>
      <c r="AG211" t="str">
        <f>VLOOKUP(C211,Assumptions!$B$116:$C$162,2,FALSE)</f>
        <v>NG_SR_LRG_C</v>
      </c>
      <c r="AH211" t="str">
        <f>VLOOKUP(D211,Assumptions!$B$116:$C$162,2,FALSE)</f>
        <v>C_UNDRGRND_STRG</v>
      </c>
      <c r="AI211" t="str">
        <f>VLOOKUP(E211,Assumptions!$B$116:$C$162,2,FALSE)</f>
        <v>H2_T&amp;D_P</v>
      </c>
      <c r="AJ211" t="str">
        <f>VLOOKUP(F211,Assumptions!$B$116:$C$162,2,FALSE)</f>
        <v>H2_OCGT_PWR</v>
      </c>
    </row>
    <row r="212" spans="2:36" x14ac:dyDescent="0.25">
      <c r="B212" t="s">
        <v>127</v>
      </c>
      <c r="C212" t="s">
        <v>57</v>
      </c>
      <c r="D212" t="s">
        <v>62</v>
      </c>
      <c r="E212" t="s">
        <v>116</v>
      </c>
      <c r="F212" t="s">
        <v>162</v>
      </c>
      <c r="G212" t="s">
        <v>114</v>
      </c>
      <c r="H212" t="s">
        <v>433</v>
      </c>
      <c r="I212" t="s">
        <v>32</v>
      </c>
      <c r="J212" t="s">
        <v>329</v>
      </c>
      <c r="K212">
        <f t="shared" si="411"/>
        <v>1</v>
      </c>
      <c r="L212">
        <f t="shared" si="412"/>
        <v>0</v>
      </c>
      <c r="M212">
        <f t="shared" si="413"/>
        <v>1</v>
      </c>
      <c r="N212">
        <f t="shared" si="414"/>
        <v>0</v>
      </c>
      <c r="O212">
        <f t="shared" si="415"/>
        <v>2</v>
      </c>
      <c r="P212" t="str">
        <f t="shared" si="416"/>
        <v>Large centralized natural gas steam reforming-CO2 emissions</v>
      </c>
      <c r="Q212" t="str">
        <f t="shared" si="417"/>
        <v>Underground storage-CO2 emissions</v>
      </c>
      <c r="R212" t="str">
        <f t="shared" si="418"/>
        <v>Liquid hydrogen truck-CO2 emissions</v>
      </c>
      <c r="S212" t="str">
        <f t="shared" si="419"/>
        <v>Hydrogen turbine (OC)-CO2 emissions</v>
      </c>
      <c r="T212">
        <f ca="1">IF(timePeriod="2020-30",(VLOOKUP($P212,'TA database'!$I$8:$J$79,2,FALSE)/VLOOKUP($D212,'Merit calculation'!$B$48:$I$52,5,FALSE)/VLOOKUP($E212,'Merit calculation'!$B$67:$I$73,5,FALSE)/VLOOKUP($F212,'Merit calculation'!$B$90:$I$103,5,FALSE)/energyContentH2),(VLOOKUP($P212,'TA database'!$I$8:$J$79,2,FALSE)/VLOOKUP($D212,'Merit calculation'!$B$48:$I$52,7,FALSE)/VLOOKUP($E212,'Merit calculation'!$B$67:$I$73,7,FALSE)/VLOOKUP($F212,'Merit calculation'!$B$90:$I$103,7,FALSE)/energyContentH2))</f>
        <v>0.15306048950545256</v>
      </c>
      <c r="U212">
        <v>0</v>
      </c>
      <c r="V212">
        <v>0</v>
      </c>
      <c r="W212">
        <f>IFERROR(VLOOKUP($S212,'TA database'!$I$146:$J$193,2,FALSE),0)</f>
        <v>0</v>
      </c>
      <c r="X212">
        <f ca="1">IFERROR(VLOOKUP($S212,'TA database'!$I$200:$J$271,2,FALSE),0)</f>
        <v>0</v>
      </c>
      <c r="Y212">
        <f t="shared" ca="1" si="420"/>
        <v>0.55101776221962928</v>
      </c>
      <c r="Z212" t="str">
        <f t="shared" si="421"/>
        <v>NG_SR_LRG_C   →   C_UNDRGRND_STRG   →   LQ_TRUCK   →   H2_OCGT_PWR</v>
      </c>
      <c r="AA212" t="str">
        <f t="shared" si="422"/>
        <v>Grid electricity</v>
      </c>
      <c r="AB212" t="str">
        <f t="shared" si="423"/>
        <v>CO2 emissions</v>
      </c>
      <c r="AC212">
        <f t="shared" ca="1" si="424"/>
        <v>0.55101776221962928</v>
      </c>
      <c r="AD212">
        <v>153</v>
      </c>
      <c r="AE212" t="str">
        <f>IF(AND(ISNUMBER(SEARCH(O212,4)),ISNUMBER(SEARCH('(4) FCH pathway assessment'!$B$16,AB212)),ISNUMBER(SEARCH('(4) FCH pathway assessment'!$B$10,AA212))),AD212,"")</f>
        <v/>
      </c>
      <c r="AF212" t="str">
        <f t="shared" si="368"/>
        <v/>
      </c>
      <c r="AG212" t="str">
        <f>VLOOKUP(C212,Assumptions!$B$116:$C$162,2,FALSE)</f>
        <v>NG_SR_LRG_C</v>
      </c>
      <c r="AH212" t="str">
        <f>VLOOKUP(D212,Assumptions!$B$116:$C$162,2,FALSE)</f>
        <v>C_UNDRGRND_STRG</v>
      </c>
      <c r="AI212" t="str">
        <f>VLOOKUP(E212,Assumptions!$B$116:$C$162,2,FALSE)</f>
        <v>LQ_TRUCK</v>
      </c>
      <c r="AJ212" t="str">
        <f>VLOOKUP(F212,Assumptions!$B$116:$C$162,2,FALSE)</f>
        <v>H2_OCGT_PWR</v>
      </c>
    </row>
    <row r="213" spans="2:36" x14ac:dyDescent="0.25">
      <c r="B213" t="s">
        <v>127</v>
      </c>
      <c r="C213" t="s">
        <v>57</v>
      </c>
      <c r="D213" t="s">
        <v>62</v>
      </c>
      <c r="E213" t="s">
        <v>66</v>
      </c>
      <c r="F213" t="s">
        <v>162</v>
      </c>
      <c r="G213" t="s">
        <v>114</v>
      </c>
      <c r="H213" t="s">
        <v>433</v>
      </c>
      <c r="I213" t="s">
        <v>32</v>
      </c>
      <c r="J213" t="s">
        <v>329</v>
      </c>
      <c r="K213">
        <f t="shared" si="411"/>
        <v>1</v>
      </c>
      <c r="L213">
        <f t="shared" si="412"/>
        <v>0</v>
      </c>
      <c r="M213">
        <f t="shared" si="413"/>
        <v>1</v>
      </c>
      <c r="N213">
        <f t="shared" si="414"/>
        <v>0</v>
      </c>
      <c r="O213">
        <f t="shared" si="415"/>
        <v>2</v>
      </c>
      <c r="P213" t="str">
        <f t="shared" si="416"/>
        <v>Large centralized natural gas steam reforming-CO2 emissions</v>
      </c>
      <c r="Q213" t="str">
        <f t="shared" si="417"/>
        <v>Underground storage-CO2 emissions</v>
      </c>
      <c r="R213" t="str">
        <f t="shared" si="418"/>
        <v>Onsite-CO2 emissions</v>
      </c>
      <c r="S213" t="str">
        <f t="shared" si="419"/>
        <v>Hydrogen turbine (OC)-CO2 emissions</v>
      </c>
      <c r="T213">
        <f ca="1">IF(timePeriod="2020-30",(VLOOKUP($P213,'TA database'!$I$8:$J$79,2,FALSE)/VLOOKUP($D213,'Merit calculation'!$B$48:$I$52,5,FALSE)/VLOOKUP($E213,'Merit calculation'!$B$67:$I$73,5,FALSE)/VLOOKUP($F213,'Merit calculation'!$B$90:$I$103,5,FALSE)/energyContentH2),(VLOOKUP($P213,'TA database'!$I$8:$J$79,2,FALSE)/VLOOKUP($D213,'Merit calculation'!$B$48:$I$52,7,FALSE)/VLOOKUP($E213,'Merit calculation'!$B$67:$I$73,7,FALSE)/VLOOKUP($F213,'Merit calculation'!$B$90:$I$103,7,FALSE)/energyContentH2))</f>
        <v>0.13117283950617284</v>
      </c>
      <c r="U213">
        <v>0</v>
      </c>
      <c r="V213">
        <v>0</v>
      </c>
      <c r="W213">
        <f>IFERROR(VLOOKUP($S213,'TA database'!$I$146:$J$193,2,FALSE),0)</f>
        <v>0</v>
      </c>
      <c r="X213">
        <f ca="1">IFERROR(VLOOKUP($S213,'TA database'!$I$200:$J$271,2,FALSE),0)</f>
        <v>0</v>
      </c>
      <c r="Y213">
        <f t="shared" ca="1" si="420"/>
        <v>0.47222222222222221</v>
      </c>
      <c r="Z213" t="str">
        <f t="shared" si="421"/>
        <v>NG_SR_LRG_C   →   C_UNDRGRND_STRG   →   ONSITE_USE   →   H2_OCGT_PWR</v>
      </c>
      <c r="AA213" t="str">
        <f t="shared" si="422"/>
        <v>Grid electricity</v>
      </c>
      <c r="AB213" t="str">
        <f t="shared" si="423"/>
        <v>CO2 emissions</v>
      </c>
      <c r="AC213">
        <f t="shared" ca="1" si="424"/>
        <v>0.47222222222222221</v>
      </c>
      <c r="AD213">
        <v>154</v>
      </c>
      <c r="AE213" t="str">
        <f>IF(AND(ISNUMBER(SEARCH(O213,4)),ISNUMBER(SEARCH('(4) FCH pathway assessment'!$B$16,AB213)),ISNUMBER(SEARCH('(4) FCH pathway assessment'!$B$10,AA213))),AD213,"")</f>
        <v/>
      </c>
      <c r="AF213" t="str">
        <f t="shared" si="368"/>
        <v/>
      </c>
      <c r="AG213" t="str">
        <f>VLOOKUP(C213,Assumptions!$B$116:$C$162,2,FALSE)</f>
        <v>NG_SR_LRG_C</v>
      </c>
      <c r="AH213" t="str">
        <f>VLOOKUP(D213,Assumptions!$B$116:$C$162,2,FALSE)</f>
        <v>C_UNDRGRND_STRG</v>
      </c>
      <c r="AI213" t="str">
        <f>VLOOKUP(E213,Assumptions!$B$116:$C$162,2,FALSE)</f>
        <v>ONSITE_USE</v>
      </c>
      <c r="AJ213" t="str">
        <f>VLOOKUP(F213,Assumptions!$B$116:$C$162,2,FALSE)</f>
        <v>H2_OCGT_PWR</v>
      </c>
    </row>
    <row r="214" spans="2:36" x14ac:dyDescent="0.25">
      <c r="B214" t="s">
        <v>127</v>
      </c>
      <c r="C214" t="s">
        <v>57</v>
      </c>
      <c r="D214" s="61" t="s">
        <v>63</v>
      </c>
      <c r="E214" t="s">
        <v>122</v>
      </c>
      <c r="F214" t="s">
        <v>162</v>
      </c>
      <c r="G214" t="s">
        <v>114</v>
      </c>
      <c r="H214" t="s">
        <v>433</v>
      </c>
      <c r="I214" t="s">
        <v>32</v>
      </c>
      <c r="J214" t="s">
        <v>329</v>
      </c>
      <c r="K214">
        <f t="shared" si="411"/>
        <v>1</v>
      </c>
      <c r="L214">
        <f t="shared" si="412"/>
        <v>1</v>
      </c>
      <c r="M214">
        <f t="shared" si="413"/>
        <v>1</v>
      </c>
      <c r="N214">
        <f t="shared" si="414"/>
        <v>0</v>
      </c>
      <c r="O214">
        <f t="shared" si="415"/>
        <v>3</v>
      </c>
      <c r="P214" t="str">
        <f t="shared" si="416"/>
        <v>Large centralized natural gas steam reforming-CO2 emissions</v>
      </c>
      <c r="Q214" t="str">
        <f t="shared" si="417"/>
        <v>No storage-CO2 emissions</v>
      </c>
      <c r="R214" t="str">
        <f t="shared" si="418"/>
        <v>Hydrogen transmission &amp; distribution pipeline-CO2 emissions</v>
      </c>
      <c r="S214" t="str">
        <f t="shared" si="419"/>
        <v>Hydrogen turbine (OC)-CO2 emissions</v>
      </c>
      <c r="T214">
        <f ca="1">IF(timePeriod="2020-30",(VLOOKUP($P214,'TA database'!$I$8:$J$79,2,FALSE)/VLOOKUP($D214,'Merit calculation'!$B$48:$I$52,5,FALSE)/VLOOKUP($E214,'Merit calculation'!$B$67:$I$73,5,FALSE)/VLOOKUP($F214,'Merit calculation'!$B$90:$I$103,5,FALSE)/energyContentH2),(VLOOKUP($P214,'TA database'!$I$8:$J$79,2,FALSE)/VLOOKUP($D214,'Merit calculation'!$B$48:$I$52,7,FALSE)/VLOOKUP($E214,'Merit calculation'!$B$67:$I$73,7,FALSE)/VLOOKUP($F214,'Merit calculation'!$B$90:$I$103,7,FALSE)/energyContentH2))</f>
        <v>0.13117283950617284</v>
      </c>
      <c r="U214">
        <v>0</v>
      </c>
      <c r="V214">
        <v>0</v>
      </c>
      <c r="W214">
        <f>IFERROR(VLOOKUP($S214,'TA database'!$I$146:$J$193,2,FALSE),0)</f>
        <v>0</v>
      </c>
      <c r="X214">
        <f ca="1">IFERROR(VLOOKUP($S214,'TA database'!$I$200:$J$271,2,FALSE),0)</f>
        <v>0</v>
      </c>
      <c r="Y214">
        <f t="shared" ca="1" si="420"/>
        <v>0.47222222222222221</v>
      </c>
      <c r="Z214" t="str">
        <f t="shared" si="421"/>
        <v>NG_SR_LRG_C   →   NO_STRG   →   H2_T&amp;D_P   →   H2_OCGT_PWR</v>
      </c>
      <c r="AA214" t="str">
        <f t="shared" si="422"/>
        <v>Grid electricity</v>
      </c>
      <c r="AB214" t="str">
        <f t="shared" si="423"/>
        <v>CO2 emissions</v>
      </c>
      <c r="AC214">
        <f t="shared" ca="1" si="424"/>
        <v>0.47222222222222221</v>
      </c>
      <c r="AD214">
        <v>155</v>
      </c>
      <c r="AE214" t="str">
        <f>IF(AND(ISNUMBER(SEARCH(O214,4)),ISNUMBER(SEARCH('(4) FCH pathway assessment'!$B$16,AB214)),ISNUMBER(SEARCH('(4) FCH pathway assessment'!$B$10,AA214))),AD214,"")</f>
        <v/>
      </c>
      <c r="AF214" t="str">
        <f t="shared" si="368"/>
        <v/>
      </c>
      <c r="AG214" t="str">
        <f>VLOOKUP(C214,Assumptions!$B$116:$C$162,2,FALSE)</f>
        <v>NG_SR_LRG_C</v>
      </c>
      <c r="AH214" t="str">
        <f>VLOOKUP(D214,Assumptions!$B$116:$C$162,2,FALSE)</f>
        <v>NO_STRG</v>
      </c>
      <c r="AI214" t="str">
        <f>VLOOKUP(E214,Assumptions!$B$116:$C$162,2,FALSE)</f>
        <v>H2_T&amp;D_P</v>
      </c>
      <c r="AJ214" t="str">
        <f>VLOOKUP(F214,Assumptions!$B$116:$C$162,2,FALSE)</f>
        <v>H2_OCGT_PWR</v>
      </c>
    </row>
    <row r="215" spans="2:36" x14ac:dyDescent="0.25">
      <c r="B215" t="s">
        <v>127</v>
      </c>
      <c r="C215" t="s">
        <v>58</v>
      </c>
      <c r="D215" t="s">
        <v>155</v>
      </c>
      <c r="E215" t="s">
        <v>157</v>
      </c>
      <c r="F215" t="s">
        <v>162</v>
      </c>
      <c r="G215" t="s">
        <v>114</v>
      </c>
      <c r="H215" t="s">
        <v>433</v>
      </c>
      <c r="I215" t="s">
        <v>32</v>
      </c>
      <c r="J215" t="s">
        <v>329</v>
      </c>
      <c r="K215">
        <f t="shared" si="411"/>
        <v>1</v>
      </c>
      <c r="L215">
        <f t="shared" si="412"/>
        <v>1</v>
      </c>
      <c r="M215">
        <f t="shared" si="413"/>
        <v>0</v>
      </c>
      <c r="N215">
        <f t="shared" si="414"/>
        <v>0</v>
      </c>
      <c r="O215">
        <f t="shared" si="415"/>
        <v>2</v>
      </c>
      <c r="P215" t="str">
        <f t="shared" si="416"/>
        <v>Small centralized natural gas steam reforming-CO2 emissions</v>
      </c>
      <c r="Q215" t="str">
        <f t="shared" si="417"/>
        <v>Central gas storage-CO2 emissions</v>
      </c>
      <c r="R215" t="str">
        <f t="shared" si="418"/>
        <v>Blending in natural gas pipeline-CO2 emissions</v>
      </c>
      <c r="S215" t="str">
        <f t="shared" si="419"/>
        <v>Hydrogen turbine (OC)-CO2 emissions</v>
      </c>
      <c r="T215">
        <f ca="1">IF(timePeriod="2020-30",(VLOOKUP($P215,'TA database'!$I$8:$J$79,2,FALSE)/VLOOKUP($D215,'Merit calculation'!$B$48:$I$52,5,FALSE)/VLOOKUP($E215,'Merit calculation'!$B$67:$I$73,5,FALSE)/VLOOKUP($F215,'Merit calculation'!$B$90:$I$103,5,FALSE)/energyContentH2),(VLOOKUP($P215,'TA database'!$I$8:$J$79,2,FALSE)/VLOOKUP($D215,'Merit calculation'!$B$48:$I$52,7,FALSE)/VLOOKUP($E215,'Merit calculation'!$B$67:$I$73,7,FALSE)/VLOOKUP($F215,'Merit calculation'!$B$90:$I$103,7,FALSE)/energyContentH2))</f>
        <v>0.13384983623078864</v>
      </c>
      <c r="U215">
        <v>0</v>
      </c>
      <c r="V215">
        <v>0</v>
      </c>
      <c r="W215">
        <f>IFERROR(VLOOKUP($S215,'TA database'!$I$146:$J$193,2,FALSE),0)</f>
        <v>0</v>
      </c>
      <c r="X215">
        <f ca="1">IFERROR(VLOOKUP($S215,'TA database'!$I$200:$J$271,2,FALSE),0)</f>
        <v>0</v>
      </c>
      <c r="Y215">
        <f t="shared" ca="1" si="420"/>
        <v>0.48185941043083913</v>
      </c>
      <c r="Z215" t="str">
        <f t="shared" si="421"/>
        <v>NG_SR_SML_C   →   C_GAS_STRG   →   H2_BLND_NG_P   →   H2_OCGT_PWR</v>
      </c>
      <c r="AA215" t="str">
        <f t="shared" si="422"/>
        <v>Grid electricity</v>
      </c>
      <c r="AB215" t="str">
        <f t="shared" si="423"/>
        <v>CO2 emissions</v>
      </c>
      <c r="AC215">
        <f t="shared" ca="1" si="424"/>
        <v>0.48185941043083913</v>
      </c>
      <c r="AD215">
        <v>156</v>
      </c>
      <c r="AE215" t="str">
        <f>IF(AND(ISNUMBER(SEARCH(O215,4)),ISNUMBER(SEARCH('(4) FCH pathway assessment'!$B$16,AB215)),ISNUMBER(SEARCH('(4) FCH pathway assessment'!$B$10,AA215))),AD215,"")</f>
        <v/>
      </c>
      <c r="AF215" t="str">
        <f t="shared" si="368"/>
        <v/>
      </c>
      <c r="AG215" t="str">
        <f>VLOOKUP(C215,Assumptions!$B$116:$C$162,2,FALSE)</f>
        <v>NG_SR_SML_C</v>
      </c>
      <c r="AH215" t="str">
        <f>VLOOKUP(D215,Assumptions!$B$116:$C$162,2,FALSE)</f>
        <v>C_GAS_STRG</v>
      </c>
      <c r="AI215" t="str">
        <f>VLOOKUP(E215,Assumptions!$B$116:$C$162,2,FALSE)</f>
        <v>H2_BLND_NG_P</v>
      </c>
      <c r="AJ215" t="str">
        <f>VLOOKUP(F215,Assumptions!$B$116:$C$162,2,FALSE)</f>
        <v>H2_OCGT_PWR</v>
      </c>
    </row>
    <row r="216" spans="2:36" x14ac:dyDescent="0.25">
      <c r="B216" t="s">
        <v>127</v>
      </c>
      <c r="C216" t="s">
        <v>58</v>
      </c>
      <c r="D216" t="s">
        <v>155</v>
      </c>
      <c r="E216" t="s">
        <v>122</v>
      </c>
      <c r="F216" t="s">
        <v>162</v>
      </c>
      <c r="G216" t="s">
        <v>114</v>
      </c>
      <c r="H216" t="s">
        <v>433</v>
      </c>
      <c r="I216" t="s">
        <v>32</v>
      </c>
      <c r="J216" t="s">
        <v>329</v>
      </c>
      <c r="K216">
        <f t="shared" si="411"/>
        <v>1</v>
      </c>
      <c r="L216">
        <f t="shared" si="412"/>
        <v>1</v>
      </c>
      <c r="M216">
        <f t="shared" si="413"/>
        <v>1</v>
      </c>
      <c r="N216">
        <f t="shared" si="414"/>
        <v>0</v>
      </c>
      <c r="O216">
        <f t="shared" si="415"/>
        <v>3</v>
      </c>
      <c r="P216" t="str">
        <f t="shared" si="416"/>
        <v>Small centralized natural gas steam reforming-CO2 emissions</v>
      </c>
      <c r="Q216" t="str">
        <f t="shared" si="417"/>
        <v>Central gas storage-CO2 emissions</v>
      </c>
      <c r="R216" t="str">
        <f t="shared" si="418"/>
        <v>Hydrogen transmission &amp; distribution pipeline-CO2 emissions</v>
      </c>
      <c r="S216" t="str">
        <f t="shared" si="419"/>
        <v>Hydrogen turbine (OC)-CO2 emissions</v>
      </c>
      <c r="T216">
        <f ca="1">IF(timePeriod="2020-30",(VLOOKUP($P216,'TA database'!$I$8:$J$79,2,FALSE)/VLOOKUP($D216,'Merit calculation'!$B$48:$I$52,5,FALSE)/VLOOKUP($E216,'Merit calculation'!$B$67:$I$73,5,FALSE)/VLOOKUP($F216,'Merit calculation'!$B$90:$I$103,5,FALSE)/energyContentH2),(VLOOKUP($P216,'TA database'!$I$8:$J$79,2,FALSE)/VLOOKUP($D216,'Merit calculation'!$B$48:$I$52,7,FALSE)/VLOOKUP($E216,'Merit calculation'!$B$67:$I$73,7,FALSE)/VLOOKUP($F216,'Merit calculation'!$B$90:$I$103,7,FALSE)/energyContentH2))</f>
        <v>0.13384983623078864</v>
      </c>
      <c r="U216">
        <v>0</v>
      </c>
      <c r="V216">
        <v>0</v>
      </c>
      <c r="W216">
        <f>IFERROR(VLOOKUP($S216,'TA database'!$I$146:$J$193,2,FALSE),0)</f>
        <v>0</v>
      </c>
      <c r="X216">
        <f ca="1">IFERROR(VLOOKUP($S216,'TA database'!$I$200:$J$271,2,FALSE),0)</f>
        <v>0</v>
      </c>
      <c r="Y216">
        <f t="shared" ca="1" si="420"/>
        <v>0.48185941043083913</v>
      </c>
      <c r="Z216" t="str">
        <f t="shared" si="421"/>
        <v>NG_SR_SML_C   →   C_GAS_STRG   →   H2_T&amp;D_P   →   H2_OCGT_PWR</v>
      </c>
      <c r="AA216" t="str">
        <f t="shared" si="422"/>
        <v>Grid electricity</v>
      </c>
      <c r="AB216" t="str">
        <f t="shared" si="423"/>
        <v>CO2 emissions</v>
      </c>
      <c r="AC216">
        <f t="shared" ca="1" si="424"/>
        <v>0.48185941043083913</v>
      </c>
      <c r="AD216">
        <v>157</v>
      </c>
      <c r="AE216" t="str">
        <f>IF(AND(ISNUMBER(SEARCH(O216,4)),ISNUMBER(SEARCH('(4) FCH pathway assessment'!$B$16,AB216)),ISNUMBER(SEARCH('(4) FCH pathway assessment'!$B$10,AA216))),AD216,"")</f>
        <v/>
      </c>
      <c r="AF216" t="str">
        <f t="shared" si="368"/>
        <v/>
      </c>
      <c r="AG216" t="str">
        <f>VLOOKUP(C216,Assumptions!$B$116:$C$162,2,FALSE)</f>
        <v>NG_SR_SML_C</v>
      </c>
      <c r="AH216" t="str">
        <f>VLOOKUP(D216,Assumptions!$B$116:$C$162,2,FALSE)</f>
        <v>C_GAS_STRG</v>
      </c>
      <c r="AI216" t="str">
        <f>VLOOKUP(E216,Assumptions!$B$116:$C$162,2,FALSE)</f>
        <v>H2_T&amp;D_P</v>
      </c>
      <c r="AJ216" t="str">
        <f>VLOOKUP(F216,Assumptions!$B$116:$C$162,2,FALSE)</f>
        <v>H2_OCGT_PWR</v>
      </c>
    </row>
    <row r="217" spans="2:36" x14ac:dyDescent="0.25">
      <c r="B217" t="s">
        <v>127</v>
      </c>
      <c r="C217" t="s">
        <v>58</v>
      </c>
      <c r="D217" t="s">
        <v>155</v>
      </c>
      <c r="E217" t="s">
        <v>116</v>
      </c>
      <c r="F217" t="s">
        <v>162</v>
      </c>
      <c r="G217" t="s">
        <v>114</v>
      </c>
      <c r="H217" t="s">
        <v>433</v>
      </c>
      <c r="I217" t="s">
        <v>32</v>
      </c>
      <c r="J217" t="s">
        <v>329</v>
      </c>
      <c r="K217">
        <f t="shared" si="411"/>
        <v>1</v>
      </c>
      <c r="L217">
        <f t="shared" si="412"/>
        <v>1</v>
      </c>
      <c r="M217">
        <f t="shared" si="413"/>
        <v>1</v>
      </c>
      <c r="N217">
        <f t="shared" si="414"/>
        <v>0</v>
      </c>
      <c r="O217">
        <f t="shared" si="415"/>
        <v>3</v>
      </c>
      <c r="P217" t="str">
        <f t="shared" si="416"/>
        <v>Small centralized natural gas steam reforming-CO2 emissions</v>
      </c>
      <c r="Q217" t="str">
        <f t="shared" si="417"/>
        <v>Central gas storage-CO2 emissions</v>
      </c>
      <c r="R217" t="str">
        <f t="shared" si="418"/>
        <v>Liquid hydrogen truck-CO2 emissions</v>
      </c>
      <c r="S217" t="str">
        <f t="shared" si="419"/>
        <v>Hydrogen turbine (OC)-CO2 emissions</v>
      </c>
      <c r="T217">
        <f ca="1">IF(timePeriod="2020-30",(VLOOKUP($P217,'TA database'!$I$8:$J$79,2,FALSE)/VLOOKUP($D217,'Merit calculation'!$B$48:$I$52,5,FALSE)/VLOOKUP($E217,'Merit calculation'!$B$67:$I$73,5,FALSE)/VLOOKUP($F217,'Merit calculation'!$B$90:$I$103,5,FALSE)/energyContentH2),(VLOOKUP($P217,'TA database'!$I$8:$J$79,2,FALSE)/VLOOKUP($D217,'Merit calculation'!$B$48:$I$52,7,FALSE)/VLOOKUP($E217,'Merit calculation'!$B$67:$I$73,7,FALSE)/VLOOKUP($F217,'Merit calculation'!$B$90:$I$103,7,FALSE)/energyContentH2))</f>
        <v>0.15462233123510002</v>
      </c>
      <c r="U217">
        <v>0</v>
      </c>
      <c r="V217">
        <v>0</v>
      </c>
      <c r="W217">
        <f>IFERROR(VLOOKUP($S217,'TA database'!$I$146:$J$193,2,FALSE),0)</f>
        <v>0</v>
      </c>
      <c r="X217">
        <f ca="1">IFERROR(VLOOKUP($S217,'TA database'!$I$200:$J$271,2,FALSE),0)</f>
        <v>0</v>
      </c>
      <c r="Y217">
        <f t="shared" ca="1" si="420"/>
        <v>0.5566403924463601</v>
      </c>
      <c r="Z217" t="str">
        <f t="shared" si="421"/>
        <v>NG_SR_SML_C   →   C_GAS_STRG   →   LQ_TRUCK   →   H2_OCGT_PWR</v>
      </c>
      <c r="AA217" t="str">
        <f t="shared" si="422"/>
        <v>Grid electricity</v>
      </c>
      <c r="AB217" t="str">
        <f t="shared" si="423"/>
        <v>CO2 emissions</v>
      </c>
      <c r="AC217">
        <f t="shared" ca="1" si="424"/>
        <v>0.5566403924463601</v>
      </c>
      <c r="AD217">
        <v>158</v>
      </c>
      <c r="AE217" t="str">
        <f>IF(AND(ISNUMBER(SEARCH(O217,4)),ISNUMBER(SEARCH('(4) FCH pathway assessment'!$B$16,AB217)),ISNUMBER(SEARCH('(4) FCH pathway assessment'!$B$10,AA217))),AD217,"")</f>
        <v/>
      </c>
      <c r="AF217" t="str">
        <f t="shared" si="368"/>
        <v/>
      </c>
      <c r="AG217" t="str">
        <f>VLOOKUP(C217,Assumptions!$B$116:$C$162,2,FALSE)</f>
        <v>NG_SR_SML_C</v>
      </c>
      <c r="AH217" t="str">
        <f>VLOOKUP(D217,Assumptions!$B$116:$C$162,2,FALSE)</f>
        <v>C_GAS_STRG</v>
      </c>
      <c r="AI217" t="str">
        <f>VLOOKUP(E217,Assumptions!$B$116:$C$162,2,FALSE)</f>
        <v>LQ_TRUCK</v>
      </c>
      <c r="AJ217" t="str">
        <f>VLOOKUP(F217,Assumptions!$B$116:$C$162,2,FALSE)</f>
        <v>H2_OCGT_PWR</v>
      </c>
    </row>
    <row r="218" spans="2:36" x14ac:dyDescent="0.25">
      <c r="B218" t="s">
        <v>127</v>
      </c>
      <c r="C218" t="s">
        <v>58</v>
      </c>
      <c r="D218" t="s">
        <v>155</v>
      </c>
      <c r="E218" t="s">
        <v>66</v>
      </c>
      <c r="F218" t="s">
        <v>162</v>
      </c>
      <c r="G218" t="s">
        <v>114</v>
      </c>
      <c r="H218" t="s">
        <v>433</v>
      </c>
      <c r="I218" t="s">
        <v>32</v>
      </c>
      <c r="J218" t="s">
        <v>329</v>
      </c>
      <c r="K218">
        <f t="shared" si="411"/>
        <v>1</v>
      </c>
      <c r="L218">
        <f t="shared" si="412"/>
        <v>1</v>
      </c>
      <c r="M218">
        <f t="shared" si="413"/>
        <v>1</v>
      </c>
      <c r="N218">
        <f t="shared" si="414"/>
        <v>0</v>
      </c>
      <c r="O218">
        <f t="shared" si="415"/>
        <v>3</v>
      </c>
      <c r="P218" t="str">
        <f t="shared" si="416"/>
        <v>Small centralized natural gas steam reforming-CO2 emissions</v>
      </c>
      <c r="Q218" t="str">
        <f t="shared" si="417"/>
        <v>Central gas storage-CO2 emissions</v>
      </c>
      <c r="R218" t="str">
        <f t="shared" si="418"/>
        <v>Onsite-CO2 emissions</v>
      </c>
      <c r="S218" t="str">
        <f t="shared" si="419"/>
        <v>Hydrogen turbine (OC)-CO2 emissions</v>
      </c>
      <c r="T218">
        <f ca="1">IF(timePeriod="2020-30",(VLOOKUP($P218,'TA database'!$I$8:$J$79,2,FALSE)/VLOOKUP($D218,'Merit calculation'!$B$48:$I$52,5,FALSE)/VLOOKUP($E218,'Merit calculation'!$B$67:$I$73,5,FALSE)/VLOOKUP($F218,'Merit calculation'!$B$90:$I$103,5,FALSE)/energyContentH2),(VLOOKUP($P218,'TA database'!$I$8:$J$79,2,FALSE)/VLOOKUP($D218,'Merit calculation'!$B$48:$I$52,7,FALSE)/VLOOKUP($E218,'Merit calculation'!$B$67:$I$73,7,FALSE)/VLOOKUP($F218,'Merit calculation'!$B$90:$I$103,7,FALSE)/energyContentH2))</f>
        <v>0.13251133786848074</v>
      </c>
      <c r="U218">
        <v>0</v>
      </c>
      <c r="V218">
        <v>0</v>
      </c>
      <c r="W218">
        <f>IFERROR(VLOOKUP($S218,'TA database'!$I$146:$J$193,2,FALSE),0)</f>
        <v>0</v>
      </c>
      <c r="X218">
        <f ca="1">IFERROR(VLOOKUP($S218,'TA database'!$I$200:$J$271,2,FALSE),0)</f>
        <v>0</v>
      </c>
      <c r="Y218">
        <f t="shared" ca="1" si="420"/>
        <v>0.47704081632653067</v>
      </c>
      <c r="Z218" t="str">
        <f t="shared" si="421"/>
        <v>NG_SR_SML_C   →   C_GAS_STRG   →   ONSITE_USE   →   H2_OCGT_PWR</v>
      </c>
      <c r="AA218" t="str">
        <f t="shared" si="422"/>
        <v>Grid electricity</v>
      </c>
      <c r="AB218" t="str">
        <f t="shared" si="423"/>
        <v>CO2 emissions</v>
      </c>
      <c r="AC218">
        <f t="shared" ca="1" si="424"/>
        <v>0.47704081632653067</v>
      </c>
      <c r="AD218">
        <v>159</v>
      </c>
      <c r="AE218" t="str">
        <f>IF(AND(ISNUMBER(SEARCH(O218,4)),ISNUMBER(SEARCH('(4) FCH pathway assessment'!$B$16,AB218)),ISNUMBER(SEARCH('(4) FCH pathway assessment'!$B$10,AA218))),AD218,"")</f>
        <v/>
      </c>
      <c r="AF218" t="str">
        <f t="shared" si="368"/>
        <v/>
      </c>
      <c r="AG218" t="str">
        <f>VLOOKUP(C218,Assumptions!$B$116:$C$162,2,FALSE)</f>
        <v>NG_SR_SML_C</v>
      </c>
      <c r="AH218" t="str">
        <f>VLOOKUP(D218,Assumptions!$B$116:$C$162,2,FALSE)</f>
        <v>C_GAS_STRG</v>
      </c>
      <c r="AI218" t="str">
        <f>VLOOKUP(E218,Assumptions!$B$116:$C$162,2,FALSE)</f>
        <v>ONSITE_USE</v>
      </c>
      <c r="AJ218" t="str">
        <f>VLOOKUP(F218,Assumptions!$B$116:$C$162,2,FALSE)</f>
        <v>H2_OCGT_PWR</v>
      </c>
    </row>
    <row r="219" spans="2:36" x14ac:dyDescent="0.25">
      <c r="B219" t="s">
        <v>127</v>
      </c>
      <c r="C219" t="s">
        <v>59</v>
      </c>
      <c r="D219" s="60" t="s">
        <v>130</v>
      </c>
      <c r="E219" t="s">
        <v>66</v>
      </c>
      <c r="F219" t="s">
        <v>162</v>
      </c>
      <c r="G219" t="s">
        <v>114</v>
      </c>
      <c r="H219" t="s">
        <v>433</v>
      </c>
      <c r="I219" t="s">
        <v>32</v>
      </c>
      <c r="J219" t="s">
        <v>329</v>
      </c>
      <c r="K219">
        <f t="shared" ref="K219" si="425">SUMPRODUCT(($C$7:$C$18=$C219)*($D$6:$H$6=$D219)*($D$7:$H$18))</f>
        <v>1</v>
      </c>
      <c r="L219">
        <f t="shared" ref="L219" si="426">SUMPRODUCT(($C$19:$C$23=$D219)*($I$6:$O$6=$E219)*($I$19:$O$23))</f>
        <v>1</v>
      </c>
      <c r="M219">
        <f t="shared" ref="M219" si="427">SUMPRODUCT(($C$24:$C$30=$E219)*($P$6:$AI$6=$F219)*($P$24:$AI$30))</f>
        <v>1</v>
      </c>
      <c r="N219">
        <f t="shared" ref="N219" si="428">SUMPRODUCT(($C$31:$C$50=$F219)*($AJ$6:$AM$6=$G219)*($AJ$31:$AM$50))</f>
        <v>0</v>
      </c>
      <c r="O219">
        <f t="shared" ref="O219" si="429">K219+L219+M219+N219</f>
        <v>3</v>
      </c>
      <c r="P219" t="str">
        <f t="shared" ref="P219" si="430">CONCATENATE(C219,"-",J219)</f>
        <v>Medium decentralized natural gas steam reforming-CO2 emissions</v>
      </c>
      <c r="Q219" t="str">
        <f t="shared" ref="Q219" si="431">CONCATENATE(D219,"-",J219)</f>
        <v>Distributed gas storage-CO2 emissions</v>
      </c>
      <c r="R219" t="str">
        <f t="shared" ref="R219" si="432">CONCATENATE(E219,"-",J219)</f>
        <v>Onsite-CO2 emissions</v>
      </c>
      <c r="S219" t="str">
        <f t="shared" ref="S219" si="433">CONCATENATE(F219,"-",J219)</f>
        <v>Hydrogen turbine (OC)-CO2 emissions</v>
      </c>
      <c r="T219">
        <f ca="1">IF(timePeriod="2020-30",(VLOOKUP($P219,'TA database'!$I$8:$J$79,2,FALSE)/VLOOKUP($D219,'Merit calculation'!$B$48:$I$52,5,FALSE)/VLOOKUP($E219,'Merit calculation'!$B$67:$I$73,5,FALSE)/VLOOKUP($F219,'Merit calculation'!$B$90:$I$103,5,FALSE)/energyContentH2),(VLOOKUP($P219,'TA database'!$I$8:$J$79,2,FALSE)/VLOOKUP($D219,'Merit calculation'!$B$48:$I$52,7,FALSE)/VLOOKUP($E219,'Merit calculation'!$B$67:$I$73,7,FALSE)/VLOOKUP($F219,'Merit calculation'!$B$90:$I$103,7,FALSE)/energyContentH2))</f>
        <v>0.13867465590887518</v>
      </c>
      <c r="U219">
        <v>0</v>
      </c>
      <c r="V219">
        <v>0</v>
      </c>
      <c r="W219">
        <f>IFERROR(VLOOKUP($S219,'TA database'!$I$146:$J$193,2,FALSE),0)</f>
        <v>0</v>
      </c>
      <c r="X219">
        <f ca="1">IFERROR(VLOOKUP($S219,'TA database'!$I$200:$J$271,2,FALSE),0)</f>
        <v>0</v>
      </c>
      <c r="Y219">
        <f t="shared" ref="Y219" ca="1" si="434">IF($W219=0,T219*3.6+X219,T219+W219)</f>
        <v>0.49922876127195065</v>
      </c>
      <c r="Z219" t="str">
        <f t="shared" ref="Z219" si="435">CONCATENATE(AG219,"   →   ",AH219,"   →   ",AI219,"   →   ",AJ219)</f>
        <v>NG_SR_MED_D   →   D_GAS_STRG   →   ONSITE_USE   →   H2_OCGT_PWR</v>
      </c>
      <c r="AA219" t="str">
        <f t="shared" ref="AA219" si="436">G219</f>
        <v>Grid electricity</v>
      </c>
      <c r="AB219" t="str">
        <f t="shared" ref="AB219" si="437">J219</f>
        <v>CO2 emissions</v>
      </c>
      <c r="AC219">
        <f t="shared" ref="AC219" ca="1" si="438">Y219</f>
        <v>0.49922876127195065</v>
      </c>
      <c r="AD219">
        <v>160</v>
      </c>
      <c r="AE219" t="str">
        <f>IF(AND(ISNUMBER(SEARCH(O219,4)),ISNUMBER(SEARCH('(4) FCH pathway assessment'!$B$16,AB219)),ISNUMBER(SEARCH('(4) FCH pathway assessment'!$B$10,AA219))),AD219,"")</f>
        <v/>
      </c>
      <c r="AF219" t="str">
        <f t="shared" si="368"/>
        <v/>
      </c>
      <c r="AG219" t="str">
        <f>VLOOKUP(C219,Assumptions!$B$116:$C$162,2,FALSE)</f>
        <v>NG_SR_MED_D</v>
      </c>
      <c r="AH219" t="str">
        <f>VLOOKUP(D219,Assumptions!$B$116:$C$162,2,FALSE)</f>
        <v>D_GAS_STRG</v>
      </c>
      <c r="AI219" t="str">
        <f>VLOOKUP(E219,Assumptions!$B$116:$C$162,2,FALSE)</f>
        <v>ONSITE_USE</v>
      </c>
      <c r="AJ219" t="str">
        <f>VLOOKUP(F219,Assumptions!$B$116:$C$162,2,FALSE)</f>
        <v>H2_OCGT_PWR</v>
      </c>
    </row>
    <row r="220" spans="2:36" x14ac:dyDescent="0.25">
      <c r="B220" t="s">
        <v>127</v>
      </c>
      <c r="C220" t="s">
        <v>60</v>
      </c>
      <c r="D220" s="60" t="s">
        <v>130</v>
      </c>
      <c r="E220" t="s">
        <v>66</v>
      </c>
      <c r="F220" t="s">
        <v>162</v>
      </c>
      <c r="G220" t="s">
        <v>114</v>
      </c>
      <c r="H220" t="s">
        <v>433</v>
      </c>
      <c r="I220" t="s">
        <v>32</v>
      </c>
      <c r="J220" t="s">
        <v>329</v>
      </c>
      <c r="K220">
        <f t="shared" ref="K220" si="439">SUMPRODUCT(($C$7:$C$18=$C220)*($D$6:$H$6=$D220)*($D$7:$H$18))</f>
        <v>1</v>
      </c>
      <c r="L220">
        <f t="shared" ref="L220" si="440">SUMPRODUCT(($C$19:$C$23=$D220)*($I$6:$O$6=$E220)*($I$19:$O$23))</f>
        <v>1</v>
      </c>
      <c r="M220">
        <f t="shared" ref="M220" si="441">SUMPRODUCT(($C$24:$C$30=$E220)*($P$6:$AI$6=$F220)*($P$24:$AI$30))</f>
        <v>1</v>
      </c>
      <c r="N220">
        <f t="shared" ref="N220" si="442">SUMPRODUCT(($C$31:$C$50=$F220)*($AJ$6:$AM$6=$G220)*($AJ$31:$AM$50))</f>
        <v>0</v>
      </c>
      <c r="O220">
        <f t="shared" ref="O220" si="443">K220+L220+M220+N220</f>
        <v>3</v>
      </c>
      <c r="P220" t="str">
        <f t="shared" ref="P220" si="444">CONCATENATE(C220,"-",J220)</f>
        <v>Small decentralized natural gas steam reforming-CO2 emissions</v>
      </c>
      <c r="Q220" t="str">
        <f t="shared" ref="Q220" si="445">CONCATENATE(D220,"-",J220)</f>
        <v>Distributed gas storage-CO2 emissions</v>
      </c>
      <c r="R220" t="str">
        <f t="shared" ref="R220" si="446">CONCATENATE(E220,"-",J220)</f>
        <v>Onsite-CO2 emissions</v>
      </c>
      <c r="S220" t="str">
        <f t="shared" ref="S220" si="447">CONCATENATE(F220,"-",J220)</f>
        <v>Hydrogen turbine (OC)-CO2 emissions</v>
      </c>
      <c r="T220">
        <f ca="1">IF(timePeriod="2020-30",(VLOOKUP($P220,'TA database'!$I$8:$J$79,2,FALSE)/VLOOKUP($D220,'Merit calculation'!$B$48:$I$52,5,FALSE)/VLOOKUP($E220,'Merit calculation'!$B$67:$I$73,5,FALSE)/VLOOKUP($F220,'Merit calculation'!$B$90:$I$103,5,FALSE)/energyContentH2),(VLOOKUP($P220,'TA database'!$I$8:$J$79,2,FALSE)/VLOOKUP($D220,'Merit calculation'!$B$48:$I$52,7,FALSE)/VLOOKUP($E220,'Merit calculation'!$B$67:$I$73,7,FALSE)/VLOOKUP($F220,'Merit calculation'!$B$90:$I$103,7,FALSE)/energyContentH2))</f>
        <v>0.13251133786848074</v>
      </c>
      <c r="U220">
        <v>0</v>
      </c>
      <c r="V220">
        <v>0</v>
      </c>
      <c r="W220">
        <f>IFERROR(VLOOKUP($S220,'TA database'!$I$146:$J$193,2,FALSE),0)</f>
        <v>0</v>
      </c>
      <c r="X220">
        <f ca="1">IFERROR(VLOOKUP($S220,'TA database'!$I$200:$J$271,2,FALSE),0)</f>
        <v>0</v>
      </c>
      <c r="Y220">
        <f t="shared" ref="Y220" ca="1" si="448">IF($W220=0,T220*3.6+X220,T220+W220)</f>
        <v>0.47704081632653067</v>
      </c>
      <c r="Z220" t="str">
        <f t="shared" ref="Z220" si="449">CONCATENATE(AG220,"   →   ",AH220,"   →   ",AI220,"   →   ",AJ220)</f>
        <v>NG_SR_SML_D   →   D_GAS_STRG   →   ONSITE_USE   →   H2_OCGT_PWR</v>
      </c>
      <c r="AA220" t="str">
        <f t="shared" ref="AA220" si="450">G220</f>
        <v>Grid electricity</v>
      </c>
      <c r="AB220" t="str">
        <f t="shared" ref="AB220" si="451">J220</f>
        <v>CO2 emissions</v>
      </c>
      <c r="AC220">
        <f t="shared" ref="AC220" ca="1" si="452">Y220</f>
        <v>0.47704081632653067</v>
      </c>
      <c r="AD220">
        <v>161</v>
      </c>
      <c r="AE220" t="str">
        <f>IF(AND(ISNUMBER(SEARCH(O220,4)),ISNUMBER(SEARCH('(4) FCH pathway assessment'!$B$16,AB220)),ISNUMBER(SEARCH('(4) FCH pathway assessment'!$B$10,AA220))),AD220,"")</f>
        <v/>
      </c>
      <c r="AF220" t="str">
        <f t="shared" si="368"/>
        <v/>
      </c>
      <c r="AG220" t="str">
        <f>VLOOKUP(C220,Assumptions!$B$116:$C$162,2,FALSE)</f>
        <v>NG_SR_SML_D</v>
      </c>
      <c r="AH220" t="str">
        <f>VLOOKUP(D220,Assumptions!$B$116:$C$162,2,FALSE)</f>
        <v>D_GAS_STRG</v>
      </c>
      <c r="AI220" t="str">
        <f>VLOOKUP(E220,Assumptions!$B$116:$C$162,2,FALSE)</f>
        <v>ONSITE_USE</v>
      </c>
      <c r="AJ220" t="str">
        <f>VLOOKUP(F220,Assumptions!$B$116:$C$162,2,FALSE)</f>
        <v>H2_OCGT_PWR</v>
      </c>
    </row>
    <row r="221" spans="2:36" x14ac:dyDescent="0.25">
      <c r="B221" t="s">
        <v>117</v>
      </c>
      <c r="C221" t="s">
        <v>53</v>
      </c>
      <c r="D221" t="s">
        <v>155</v>
      </c>
      <c r="E221" t="s">
        <v>157</v>
      </c>
      <c r="F221" t="s">
        <v>164</v>
      </c>
      <c r="G221" t="s">
        <v>126</v>
      </c>
      <c r="H221" t="s">
        <v>433</v>
      </c>
      <c r="I221" t="s">
        <v>32</v>
      </c>
      <c r="J221" t="s">
        <v>329</v>
      </c>
      <c r="K221">
        <f t="shared" ref="K221:K226" si="453">SUMPRODUCT(($C$7:$C$18=$C221)*($D$6:$H$6=$D221)*($D$7:$H$18))</f>
        <v>0</v>
      </c>
      <c r="L221">
        <f t="shared" ref="L221:L226" si="454">SUMPRODUCT(($C$19:$C$23=$D221)*($I$6:$O$6=$E221)*($I$19:$O$23))</f>
        <v>1</v>
      </c>
      <c r="M221">
        <f t="shared" ref="M221:M226" si="455">SUMPRODUCT(($C$24:$C$30=$E221)*($P$6:$AI$6=$F221)*($P$24:$AI$30))</f>
        <v>0</v>
      </c>
      <c r="N221">
        <f t="shared" ref="N221:N226" si="456">SUMPRODUCT(($C$31:$C$50=$F221)*($AJ$6:$AM$6=$G221)*($AJ$31:$AM$50))</f>
        <v>1</v>
      </c>
      <c r="O221">
        <f t="shared" ref="O221:O226" si="457">K221+L221+M221+N221</f>
        <v>2</v>
      </c>
      <c r="P221" t="str">
        <f t="shared" ref="P221:P226" si="458">CONCATENATE(C221,"-",J221)</f>
        <v>Medium centralized biomass gasification-CO2 emissions</v>
      </c>
      <c r="Q221" t="str">
        <f t="shared" ref="Q221:Q226" si="459">CONCATENATE(D221,"-",J221)</f>
        <v>Central gas storage-CO2 emissions</v>
      </c>
      <c r="R221" t="str">
        <f t="shared" ref="R221:R226" si="460">CONCATENATE(E221,"-",J221)</f>
        <v>Blending in natural gas pipeline-CO2 emissions</v>
      </c>
      <c r="S221" t="str">
        <f t="shared" ref="S221:S226" si="461">CONCATENATE(F221,"-",J221)</f>
        <v>Prime power H2 fuel cell-CO2 emissions</v>
      </c>
      <c r="T221">
        <f ca="1">IF(timePeriod="2020-30",(VLOOKUP($P221,'TA database'!$I$8:$J$79,2,FALSE)/VLOOKUP($D221,'Merit calculation'!$B$48:$I$52,5,FALSE)/VLOOKUP($E221,'Merit calculation'!$B$67:$I$73,5,FALSE)/VLOOKUP($F221,'Merit calculation'!$B$90:$I$103,5,FALSE)/energyContentH2),(VLOOKUP($P221,'TA database'!$I$8:$J$79,2,FALSE)/VLOOKUP($D221,'Merit calculation'!$B$48:$I$52,7,FALSE)/VLOOKUP($E221,'Merit calculation'!$B$67:$I$73,7,FALSE)/VLOOKUP($F221,'Merit calculation'!$B$90:$I$103,7,FALSE)/energyContentH2))</f>
        <v>0</v>
      </c>
      <c r="U221">
        <v>0</v>
      </c>
      <c r="V221">
        <v>0</v>
      </c>
      <c r="W221">
        <f>IFERROR(VLOOKUP($S221,'TA database'!$I$146:$J$193,2,FALSE),0)</f>
        <v>0</v>
      </c>
      <c r="X221">
        <f ca="1">IFERROR(VLOOKUP($S221,'TA database'!$I$200:$J$271,2,FALSE),0)</f>
        <v>0</v>
      </c>
      <c r="Y221">
        <f t="shared" ref="Y221:Y226" ca="1" si="462">IF($W221=0,T221*3.6+X221,T221+W221)</f>
        <v>0</v>
      </c>
      <c r="Z221" t="str">
        <f t="shared" ref="Z221:Z226" si="463">CONCATENATE(AG221,"   →   ",AH221,"   →   ",AI221,"   →   ",AJ221)</f>
        <v>BIO_GSF_MED_C   →   C_GAS_STRG   →   H2_BLND_NG_P   →   H2_FC_PWR</v>
      </c>
      <c r="AA221" t="str">
        <f t="shared" ref="AA221:AA226" si="464">G221</f>
        <v>Onsite / Back-up power</v>
      </c>
      <c r="AB221" t="str">
        <f t="shared" ref="AB221:AB226" si="465">J221</f>
        <v>CO2 emissions</v>
      </c>
      <c r="AC221">
        <f t="shared" ref="AC221:AC226" ca="1" si="466">Y221</f>
        <v>0</v>
      </c>
      <c r="AD221">
        <v>162</v>
      </c>
      <c r="AE221" t="str">
        <f>IF(AND(ISNUMBER(SEARCH(O221,4)),ISNUMBER(SEARCH('(4) FCH pathway assessment'!$B$16,AB221)),ISNUMBER(SEARCH('(4) FCH pathway assessment'!$B$10,AA221))),AD221,"")</f>
        <v/>
      </c>
      <c r="AF221" t="str">
        <f t="shared" si="368"/>
        <v/>
      </c>
      <c r="AG221" t="str">
        <f>VLOOKUP(C221,Assumptions!$B$116:$C$162,2,FALSE)</f>
        <v>BIO_GSF_MED_C</v>
      </c>
      <c r="AH221" t="str">
        <f>VLOOKUP(D221,Assumptions!$B$116:$C$162,2,FALSE)</f>
        <v>C_GAS_STRG</v>
      </c>
      <c r="AI221" t="str">
        <f>VLOOKUP(E221,Assumptions!$B$116:$C$162,2,FALSE)</f>
        <v>H2_BLND_NG_P</v>
      </c>
      <c r="AJ221" t="str">
        <f>VLOOKUP(F221,Assumptions!$B$116:$C$162,2,FALSE)</f>
        <v>H2_FC_PWR</v>
      </c>
    </row>
    <row r="222" spans="2:36" x14ac:dyDescent="0.25">
      <c r="B222" t="s">
        <v>117</v>
      </c>
      <c r="C222" t="s">
        <v>53</v>
      </c>
      <c r="D222" t="s">
        <v>155</v>
      </c>
      <c r="E222" t="s">
        <v>122</v>
      </c>
      <c r="F222" t="s">
        <v>164</v>
      </c>
      <c r="G222" t="s">
        <v>126</v>
      </c>
      <c r="H222" t="s">
        <v>433</v>
      </c>
      <c r="I222" t="s">
        <v>32</v>
      </c>
      <c r="J222" t="s">
        <v>329</v>
      </c>
      <c r="K222">
        <f t="shared" si="453"/>
        <v>0</v>
      </c>
      <c r="L222">
        <f t="shared" si="454"/>
        <v>1</v>
      </c>
      <c r="M222">
        <f t="shared" si="455"/>
        <v>1</v>
      </c>
      <c r="N222">
        <f t="shared" si="456"/>
        <v>1</v>
      </c>
      <c r="O222">
        <f t="shared" si="457"/>
        <v>3</v>
      </c>
      <c r="P222" t="str">
        <f t="shared" si="458"/>
        <v>Medium centralized biomass gasification-CO2 emissions</v>
      </c>
      <c r="Q222" t="str">
        <f t="shared" si="459"/>
        <v>Central gas storage-CO2 emissions</v>
      </c>
      <c r="R222" t="str">
        <f t="shared" si="460"/>
        <v>Hydrogen transmission &amp; distribution pipeline-CO2 emissions</v>
      </c>
      <c r="S222" t="str">
        <f t="shared" si="461"/>
        <v>Prime power H2 fuel cell-CO2 emissions</v>
      </c>
      <c r="T222">
        <f ca="1">IF(timePeriod="2020-30",(VLOOKUP($P222,'TA database'!$I$8:$J$79,2,FALSE)/VLOOKUP($D222,'Merit calculation'!$B$48:$I$52,5,FALSE)/VLOOKUP($E222,'Merit calculation'!$B$67:$I$73,5,FALSE)/VLOOKUP($F222,'Merit calculation'!$B$90:$I$103,5,FALSE)/energyContentH2),(VLOOKUP($P222,'TA database'!$I$8:$J$79,2,FALSE)/VLOOKUP($D222,'Merit calculation'!$B$48:$I$52,7,FALSE)/VLOOKUP($E222,'Merit calculation'!$B$67:$I$73,7,FALSE)/VLOOKUP($F222,'Merit calculation'!$B$90:$I$103,7,FALSE)/energyContentH2))</f>
        <v>0</v>
      </c>
      <c r="U222">
        <v>0</v>
      </c>
      <c r="V222">
        <v>0</v>
      </c>
      <c r="W222">
        <f>IFERROR(VLOOKUP($S222,'TA database'!$I$146:$J$193,2,FALSE),0)</f>
        <v>0</v>
      </c>
      <c r="X222">
        <f ca="1">IFERROR(VLOOKUP($S222,'TA database'!$I$200:$J$271,2,FALSE),0)</f>
        <v>0</v>
      </c>
      <c r="Y222">
        <f t="shared" ca="1" si="462"/>
        <v>0</v>
      </c>
      <c r="Z222" t="str">
        <f t="shared" si="463"/>
        <v>BIO_GSF_MED_C   →   C_GAS_STRG   →   H2_T&amp;D_P   →   H2_FC_PWR</v>
      </c>
      <c r="AA222" t="str">
        <f t="shared" si="464"/>
        <v>Onsite / Back-up power</v>
      </c>
      <c r="AB222" t="str">
        <f t="shared" si="465"/>
        <v>CO2 emissions</v>
      </c>
      <c r="AC222">
        <f t="shared" ca="1" si="466"/>
        <v>0</v>
      </c>
      <c r="AD222">
        <v>163</v>
      </c>
      <c r="AE222" t="str">
        <f>IF(AND(ISNUMBER(SEARCH(O222,4)),ISNUMBER(SEARCH('(4) FCH pathway assessment'!$B$16,AB222)),ISNUMBER(SEARCH('(4) FCH pathway assessment'!$B$10,AA222))),AD222,"")</f>
        <v/>
      </c>
      <c r="AF222" t="str">
        <f t="shared" si="368"/>
        <v/>
      </c>
      <c r="AG222" t="str">
        <f>VLOOKUP(C222,Assumptions!$B$116:$C$162,2,FALSE)</f>
        <v>BIO_GSF_MED_C</v>
      </c>
      <c r="AH222" t="str">
        <f>VLOOKUP(D222,Assumptions!$B$116:$C$162,2,FALSE)</f>
        <v>C_GAS_STRG</v>
      </c>
      <c r="AI222" t="str">
        <f>VLOOKUP(E222,Assumptions!$B$116:$C$162,2,FALSE)</f>
        <v>H2_T&amp;D_P</v>
      </c>
      <c r="AJ222" t="str">
        <f>VLOOKUP(F222,Assumptions!$B$116:$C$162,2,FALSE)</f>
        <v>H2_FC_PWR</v>
      </c>
    </row>
    <row r="223" spans="2:36" x14ac:dyDescent="0.25">
      <c r="B223" t="s">
        <v>117</v>
      </c>
      <c r="C223" t="s">
        <v>53</v>
      </c>
      <c r="D223" t="s">
        <v>155</v>
      </c>
      <c r="E223" t="s">
        <v>66</v>
      </c>
      <c r="F223" t="s">
        <v>164</v>
      </c>
      <c r="G223" t="s">
        <v>126</v>
      </c>
      <c r="H223" t="s">
        <v>433</v>
      </c>
      <c r="I223" t="s">
        <v>32</v>
      </c>
      <c r="J223" t="s">
        <v>329</v>
      </c>
      <c r="K223">
        <f t="shared" si="453"/>
        <v>0</v>
      </c>
      <c r="L223">
        <f t="shared" si="454"/>
        <v>1</v>
      </c>
      <c r="M223">
        <f t="shared" si="455"/>
        <v>1</v>
      </c>
      <c r="N223">
        <f t="shared" si="456"/>
        <v>1</v>
      </c>
      <c r="O223">
        <f t="shared" si="457"/>
        <v>3</v>
      </c>
      <c r="P223" t="str">
        <f t="shared" si="458"/>
        <v>Medium centralized biomass gasification-CO2 emissions</v>
      </c>
      <c r="Q223" t="str">
        <f t="shared" si="459"/>
        <v>Central gas storage-CO2 emissions</v>
      </c>
      <c r="R223" t="str">
        <f t="shared" si="460"/>
        <v>Onsite-CO2 emissions</v>
      </c>
      <c r="S223" t="str">
        <f t="shared" si="461"/>
        <v>Prime power H2 fuel cell-CO2 emissions</v>
      </c>
      <c r="T223">
        <f ca="1">IF(timePeriod="2020-30",(VLOOKUP($P223,'TA database'!$I$8:$J$79,2,FALSE)/VLOOKUP($D223,'Merit calculation'!$B$48:$I$52,5,FALSE)/VLOOKUP($E223,'Merit calculation'!$B$67:$I$73,5,FALSE)/VLOOKUP($F223,'Merit calculation'!$B$90:$I$103,5,FALSE)/energyContentH2),(VLOOKUP($P223,'TA database'!$I$8:$J$79,2,FALSE)/VLOOKUP($D223,'Merit calculation'!$B$48:$I$52,7,FALSE)/VLOOKUP($E223,'Merit calculation'!$B$67:$I$73,7,FALSE)/VLOOKUP($F223,'Merit calculation'!$B$90:$I$103,7,FALSE)/energyContentH2))</f>
        <v>0</v>
      </c>
      <c r="U223">
        <v>0</v>
      </c>
      <c r="V223">
        <v>0</v>
      </c>
      <c r="W223">
        <f>IFERROR(VLOOKUP($S223,'TA database'!$I$146:$J$193,2,FALSE),0)</f>
        <v>0</v>
      </c>
      <c r="X223">
        <f ca="1">IFERROR(VLOOKUP($S223,'TA database'!$I$200:$J$271,2,FALSE),0)</f>
        <v>0</v>
      </c>
      <c r="Y223">
        <f t="shared" ca="1" si="462"/>
        <v>0</v>
      </c>
      <c r="Z223" t="str">
        <f t="shared" si="463"/>
        <v>BIO_GSF_MED_C   →   C_GAS_STRG   →   ONSITE_USE   →   H2_FC_PWR</v>
      </c>
      <c r="AA223" t="str">
        <f t="shared" si="464"/>
        <v>Onsite / Back-up power</v>
      </c>
      <c r="AB223" t="str">
        <f t="shared" si="465"/>
        <v>CO2 emissions</v>
      </c>
      <c r="AC223">
        <f t="shared" ca="1" si="466"/>
        <v>0</v>
      </c>
      <c r="AD223">
        <v>164</v>
      </c>
      <c r="AE223" t="str">
        <f>IF(AND(ISNUMBER(SEARCH(O223,4)),ISNUMBER(SEARCH('(4) FCH pathway assessment'!$B$16,AB223)),ISNUMBER(SEARCH('(4) FCH pathway assessment'!$B$10,AA223))),AD223,"")</f>
        <v/>
      </c>
      <c r="AF223" t="str">
        <f t="shared" si="368"/>
        <v/>
      </c>
      <c r="AG223" t="str">
        <f>VLOOKUP(C223,Assumptions!$B$116:$C$162,2,FALSE)</f>
        <v>BIO_GSF_MED_C</v>
      </c>
      <c r="AH223" t="str">
        <f>VLOOKUP(D223,Assumptions!$B$116:$C$162,2,FALSE)</f>
        <v>C_GAS_STRG</v>
      </c>
      <c r="AI223" t="str">
        <f>VLOOKUP(E223,Assumptions!$B$116:$C$162,2,FALSE)</f>
        <v>ONSITE_USE</v>
      </c>
      <c r="AJ223" t="str">
        <f>VLOOKUP(F223,Assumptions!$B$116:$C$162,2,FALSE)</f>
        <v>H2_FC_PWR</v>
      </c>
    </row>
    <row r="224" spans="2:36" x14ac:dyDescent="0.25">
      <c r="B224" t="s">
        <v>117</v>
      </c>
      <c r="C224" t="s">
        <v>54</v>
      </c>
      <c r="D224" t="s">
        <v>155</v>
      </c>
      <c r="E224" t="s">
        <v>157</v>
      </c>
      <c r="F224" t="s">
        <v>164</v>
      </c>
      <c r="G224" t="s">
        <v>126</v>
      </c>
      <c r="H224" t="s">
        <v>433</v>
      </c>
      <c r="I224" t="s">
        <v>32</v>
      </c>
      <c r="J224" t="s">
        <v>329</v>
      </c>
      <c r="K224">
        <f t="shared" si="453"/>
        <v>0</v>
      </c>
      <c r="L224">
        <f t="shared" si="454"/>
        <v>1</v>
      </c>
      <c r="M224">
        <f t="shared" si="455"/>
        <v>0</v>
      </c>
      <c r="N224">
        <f t="shared" si="456"/>
        <v>1</v>
      </c>
      <c r="O224">
        <f t="shared" si="457"/>
        <v>2</v>
      </c>
      <c r="P224" t="str">
        <f t="shared" si="458"/>
        <v>Medium centralized biomass gasification w/ CCS-CO2 emissions</v>
      </c>
      <c r="Q224" t="str">
        <f t="shared" si="459"/>
        <v>Central gas storage-CO2 emissions</v>
      </c>
      <c r="R224" t="str">
        <f t="shared" si="460"/>
        <v>Blending in natural gas pipeline-CO2 emissions</v>
      </c>
      <c r="S224" t="str">
        <f t="shared" si="461"/>
        <v>Prime power H2 fuel cell-CO2 emissions</v>
      </c>
      <c r="T224">
        <f ca="1">IF(timePeriod="2020-30",(VLOOKUP($P224,'TA database'!$I$8:$J$79,2,FALSE)/VLOOKUP($D224,'Merit calculation'!$B$48:$I$52,5,FALSE)/VLOOKUP($E224,'Merit calculation'!$B$67:$I$73,5,FALSE)/VLOOKUP($F224,'Merit calculation'!$B$90:$I$103,5,FALSE)/energyContentH2),(VLOOKUP($P224,'TA database'!$I$8:$J$79,2,FALSE)/VLOOKUP($D224,'Merit calculation'!$B$48:$I$52,7,FALSE)/VLOOKUP($E224,'Merit calculation'!$B$67:$I$73,7,FALSE)/VLOOKUP($F224,'Merit calculation'!$B$90:$I$103,7,FALSE)/energyContentH2))</f>
        <v>-0.24561726689386265</v>
      </c>
      <c r="U224">
        <v>0</v>
      </c>
      <c r="V224">
        <v>0</v>
      </c>
      <c r="W224">
        <f>IFERROR(VLOOKUP($S224,'TA database'!$I$146:$J$193,2,FALSE),0)</f>
        <v>0</v>
      </c>
      <c r="X224">
        <f ca="1">IFERROR(VLOOKUP($S224,'TA database'!$I$200:$J$271,2,FALSE),0)</f>
        <v>0</v>
      </c>
      <c r="Y224">
        <f t="shared" ca="1" si="462"/>
        <v>-0.88422216081790561</v>
      </c>
      <c r="Z224" t="str">
        <f t="shared" si="463"/>
        <v>BIO_GSF_CCS_MED_C   →   C_GAS_STRG   →   H2_BLND_NG_P   →   H2_FC_PWR</v>
      </c>
      <c r="AA224" t="str">
        <f t="shared" si="464"/>
        <v>Onsite / Back-up power</v>
      </c>
      <c r="AB224" t="str">
        <f t="shared" si="465"/>
        <v>CO2 emissions</v>
      </c>
      <c r="AC224">
        <f t="shared" ca="1" si="466"/>
        <v>-0.88422216081790561</v>
      </c>
      <c r="AD224">
        <v>165</v>
      </c>
      <c r="AE224" t="str">
        <f>IF(AND(ISNUMBER(SEARCH(O224,4)),ISNUMBER(SEARCH('(4) FCH pathway assessment'!$B$16,AB224)),ISNUMBER(SEARCH('(4) FCH pathway assessment'!$B$10,AA224))),AD224,"")</f>
        <v/>
      </c>
      <c r="AF224" t="str">
        <f t="shared" si="368"/>
        <v/>
      </c>
      <c r="AG224" t="str">
        <f>VLOOKUP(C224,Assumptions!$B$116:$C$162,2,FALSE)</f>
        <v>BIO_GSF_CCS_MED_C</v>
      </c>
      <c r="AH224" t="str">
        <f>VLOOKUP(D224,Assumptions!$B$116:$C$162,2,FALSE)</f>
        <v>C_GAS_STRG</v>
      </c>
      <c r="AI224" t="str">
        <f>VLOOKUP(E224,Assumptions!$B$116:$C$162,2,FALSE)</f>
        <v>H2_BLND_NG_P</v>
      </c>
      <c r="AJ224" t="str">
        <f>VLOOKUP(F224,Assumptions!$B$116:$C$162,2,FALSE)</f>
        <v>H2_FC_PWR</v>
      </c>
    </row>
    <row r="225" spans="2:36" x14ac:dyDescent="0.25">
      <c r="B225" t="s">
        <v>117</v>
      </c>
      <c r="C225" t="s">
        <v>54</v>
      </c>
      <c r="D225" t="s">
        <v>155</v>
      </c>
      <c r="E225" t="s">
        <v>122</v>
      </c>
      <c r="F225" t="s">
        <v>164</v>
      </c>
      <c r="G225" t="s">
        <v>126</v>
      </c>
      <c r="H225" t="s">
        <v>433</v>
      </c>
      <c r="I225" t="s">
        <v>32</v>
      </c>
      <c r="J225" t="s">
        <v>329</v>
      </c>
      <c r="K225">
        <f t="shared" si="453"/>
        <v>0</v>
      </c>
      <c r="L225">
        <f t="shared" si="454"/>
        <v>1</v>
      </c>
      <c r="M225">
        <f t="shared" si="455"/>
        <v>1</v>
      </c>
      <c r="N225">
        <f t="shared" si="456"/>
        <v>1</v>
      </c>
      <c r="O225">
        <f t="shared" si="457"/>
        <v>3</v>
      </c>
      <c r="P225" t="str">
        <f t="shared" si="458"/>
        <v>Medium centralized biomass gasification w/ CCS-CO2 emissions</v>
      </c>
      <c r="Q225" t="str">
        <f t="shared" si="459"/>
        <v>Central gas storage-CO2 emissions</v>
      </c>
      <c r="R225" t="str">
        <f t="shared" si="460"/>
        <v>Hydrogen transmission &amp; distribution pipeline-CO2 emissions</v>
      </c>
      <c r="S225" t="str">
        <f t="shared" si="461"/>
        <v>Prime power H2 fuel cell-CO2 emissions</v>
      </c>
      <c r="T225">
        <f ca="1">IF(timePeriod="2020-30",(VLOOKUP($P225,'TA database'!$I$8:$J$79,2,FALSE)/VLOOKUP($D225,'Merit calculation'!$B$48:$I$52,5,FALSE)/VLOOKUP($E225,'Merit calculation'!$B$67:$I$73,5,FALSE)/VLOOKUP($F225,'Merit calculation'!$B$90:$I$103,5,FALSE)/energyContentH2),(VLOOKUP($P225,'TA database'!$I$8:$J$79,2,FALSE)/VLOOKUP($D225,'Merit calculation'!$B$48:$I$52,7,FALSE)/VLOOKUP($E225,'Merit calculation'!$B$67:$I$73,7,FALSE)/VLOOKUP($F225,'Merit calculation'!$B$90:$I$103,7,FALSE)/energyContentH2))</f>
        <v>-0.24561726689386265</v>
      </c>
      <c r="U225">
        <v>0</v>
      </c>
      <c r="V225">
        <v>0</v>
      </c>
      <c r="W225">
        <f>IFERROR(VLOOKUP($S225,'TA database'!$I$146:$J$193,2,FALSE),0)</f>
        <v>0</v>
      </c>
      <c r="X225">
        <f ca="1">IFERROR(VLOOKUP($S225,'TA database'!$I$200:$J$271,2,FALSE),0)</f>
        <v>0</v>
      </c>
      <c r="Y225">
        <f t="shared" ca="1" si="462"/>
        <v>-0.88422216081790561</v>
      </c>
      <c r="Z225" t="str">
        <f t="shared" si="463"/>
        <v>BIO_GSF_CCS_MED_C   →   C_GAS_STRG   →   H2_T&amp;D_P   →   H2_FC_PWR</v>
      </c>
      <c r="AA225" t="str">
        <f t="shared" si="464"/>
        <v>Onsite / Back-up power</v>
      </c>
      <c r="AB225" t="str">
        <f t="shared" si="465"/>
        <v>CO2 emissions</v>
      </c>
      <c r="AC225">
        <f t="shared" ca="1" si="466"/>
        <v>-0.88422216081790561</v>
      </c>
      <c r="AD225">
        <v>166</v>
      </c>
      <c r="AE225" t="str">
        <f>IF(AND(ISNUMBER(SEARCH(O225,4)),ISNUMBER(SEARCH('(4) FCH pathway assessment'!$B$16,AB225)),ISNUMBER(SEARCH('(4) FCH pathway assessment'!$B$10,AA225))),AD225,"")</f>
        <v/>
      </c>
      <c r="AF225" t="str">
        <f t="shared" si="368"/>
        <v/>
      </c>
      <c r="AG225" t="str">
        <f>VLOOKUP(C225,Assumptions!$B$116:$C$162,2,FALSE)</f>
        <v>BIO_GSF_CCS_MED_C</v>
      </c>
      <c r="AH225" t="str">
        <f>VLOOKUP(D225,Assumptions!$B$116:$C$162,2,FALSE)</f>
        <v>C_GAS_STRG</v>
      </c>
      <c r="AI225" t="str">
        <f>VLOOKUP(E225,Assumptions!$B$116:$C$162,2,FALSE)</f>
        <v>H2_T&amp;D_P</v>
      </c>
      <c r="AJ225" t="str">
        <f>VLOOKUP(F225,Assumptions!$B$116:$C$162,2,FALSE)</f>
        <v>H2_FC_PWR</v>
      </c>
    </row>
    <row r="226" spans="2:36" x14ac:dyDescent="0.25">
      <c r="B226" t="s">
        <v>117</v>
      </c>
      <c r="C226" t="s">
        <v>54</v>
      </c>
      <c r="D226" t="s">
        <v>155</v>
      </c>
      <c r="E226" t="s">
        <v>66</v>
      </c>
      <c r="F226" t="s">
        <v>164</v>
      </c>
      <c r="G226" t="s">
        <v>126</v>
      </c>
      <c r="H226" t="s">
        <v>433</v>
      </c>
      <c r="I226" t="s">
        <v>32</v>
      </c>
      <c r="J226" t="s">
        <v>329</v>
      </c>
      <c r="K226">
        <f t="shared" si="453"/>
        <v>0</v>
      </c>
      <c r="L226">
        <f t="shared" si="454"/>
        <v>1</v>
      </c>
      <c r="M226">
        <f t="shared" si="455"/>
        <v>1</v>
      </c>
      <c r="N226">
        <f t="shared" si="456"/>
        <v>1</v>
      </c>
      <c r="O226">
        <f t="shared" si="457"/>
        <v>3</v>
      </c>
      <c r="P226" t="str">
        <f t="shared" si="458"/>
        <v>Medium centralized biomass gasification w/ CCS-CO2 emissions</v>
      </c>
      <c r="Q226" t="str">
        <f t="shared" si="459"/>
        <v>Central gas storage-CO2 emissions</v>
      </c>
      <c r="R226" t="str">
        <f t="shared" si="460"/>
        <v>Onsite-CO2 emissions</v>
      </c>
      <c r="S226" t="str">
        <f t="shared" si="461"/>
        <v>Prime power H2 fuel cell-CO2 emissions</v>
      </c>
      <c r="T226">
        <f ca="1">IF(timePeriod="2020-30",(VLOOKUP($P226,'TA database'!$I$8:$J$79,2,FALSE)/VLOOKUP($D226,'Merit calculation'!$B$48:$I$52,5,FALSE)/VLOOKUP($E226,'Merit calculation'!$B$67:$I$73,5,FALSE)/VLOOKUP($F226,'Merit calculation'!$B$90:$I$103,5,FALSE)/energyContentH2),(VLOOKUP($P226,'TA database'!$I$8:$J$79,2,FALSE)/VLOOKUP($D226,'Merit calculation'!$B$48:$I$52,7,FALSE)/VLOOKUP($E226,'Merit calculation'!$B$67:$I$73,7,FALSE)/VLOOKUP($F226,'Merit calculation'!$B$90:$I$103,7,FALSE)/energyContentH2))</f>
        <v>-0.24316109422492402</v>
      </c>
      <c r="U226">
        <v>0</v>
      </c>
      <c r="V226">
        <v>0</v>
      </c>
      <c r="W226">
        <f>IFERROR(VLOOKUP($S226,'TA database'!$I$146:$J$193,2,FALSE),0)</f>
        <v>0</v>
      </c>
      <c r="X226">
        <f ca="1">IFERROR(VLOOKUP($S226,'TA database'!$I$200:$J$271,2,FALSE),0)</f>
        <v>0</v>
      </c>
      <c r="Y226">
        <f t="shared" ca="1" si="462"/>
        <v>-0.87537993920972645</v>
      </c>
      <c r="Z226" t="str">
        <f t="shared" si="463"/>
        <v>BIO_GSF_CCS_MED_C   →   C_GAS_STRG   →   ONSITE_USE   →   H2_FC_PWR</v>
      </c>
      <c r="AA226" t="str">
        <f t="shared" si="464"/>
        <v>Onsite / Back-up power</v>
      </c>
      <c r="AB226" t="str">
        <f t="shared" si="465"/>
        <v>CO2 emissions</v>
      </c>
      <c r="AC226">
        <f t="shared" ca="1" si="466"/>
        <v>-0.87537993920972645</v>
      </c>
      <c r="AD226">
        <v>167</v>
      </c>
      <c r="AE226" t="str">
        <f>IF(AND(ISNUMBER(SEARCH(O226,4)),ISNUMBER(SEARCH('(4) FCH pathway assessment'!$B$16,AB226)),ISNUMBER(SEARCH('(4) FCH pathway assessment'!$B$10,AA226))),AD226,"")</f>
        <v/>
      </c>
      <c r="AF226" t="str">
        <f t="shared" si="368"/>
        <v/>
      </c>
      <c r="AG226" t="str">
        <f>VLOOKUP(C226,Assumptions!$B$116:$C$162,2,FALSE)</f>
        <v>BIO_GSF_CCS_MED_C</v>
      </c>
      <c r="AH226" t="str">
        <f>VLOOKUP(D226,Assumptions!$B$116:$C$162,2,FALSE)</f>
        <v>C_GAS_STRG</v>
      </c>
      <c r="AI226" t="str">
        <f>VLOOKUP(E226,Assumptions!$B$116:$C$162,2,FALSE)</f>
        <v>ONSITE_USE</v>
      </c>
      <c r="AJ226" t="str">
        <f>VLOOKUP(F226,Assumptions!$B$116:$C$162,2,FALSE)</f>
        <v>H2_FC_PWR</v>
      </c>
    </row>
    <row r="227" spans="2:36" x14ac:dyDescent="0.25">
      <c r="B227" t="s">
        <v>117</v>
      </c>
      <c r="C227" t="s">
        <v>55</v>
      </c>
      <c r="D227" s="60" t="s">
        <v>130</v>
      </c>
      <c r="E227" t="s">
        <v>66</v>
      </c>
      <c r="F227" t="s">
        <v>164</v>
      </c>
      <c r="G227" t="s">
        <v>126</v>
      </c>
      <c r="H227" t="s">
        <v>433</v>
      </c>
      <c r="I227" t="s">
        <v>32</v>
      </c>
      <c r="J227" t="s">
        <v>329</v>
      </c>
      <c r="K227">
        <f t="shared" ref="K227:K231" si="467">SUMPRODUCT(($C$7:$C$18=$C227)*($D$6:$H$6=$D227)*($D$7:$H$18))</f>
        <v>0</v>
      </c>
      <c r="L227">
        <f t="shared" ref="L227:L231" si="468">SUMPRODUCT(($C$19:$C$23=$D227)*($I$6:$O$6=$E227)*($I$19:$O$23))</f>
        <v>1</v>
      </c>
      <c r="M227">
        <f t="shared" ref="M227:M231" si="469">SUMPRODUCT(($C$24:$C$30=$E227)*($P$6:$AI$6=$F227)*($P$24:$AI$30))</f>
        <v>1</v>
      </c>
      <c r="N227">
        <f t="shared" ref="N227:N231" si="470">SUMPRODUCT(($C$31:$C$50=$F227)*($AJ$6:$AM$6=$G227)*($AJ$31:$AM$50))</f>
        <v>1</v>
      </c>
      <c r="O227">
        <f t="shared" ref="O227:O231" si="471">K227+L227+M227+N227</f>
        <v>3</v>
      </c>
      <c r="P227" t="str">
        <f t="shared" ref="P227:P231" si="472">CONCATENATE(C227,"-",J227)</f>
        <v>Small decentralized biomass gasification-CO2 emissions</v>
      </c>
      <c r="Q227" t="str">
        <f t="shared" ref="Q227:Q231" si="473">CONCATENATE(D227,"-",J227)</f>
        <v>Distributed gas storage-CO2 emissions</v>
      </c>
      <c r="R227" t="str">
        <f t="shared" ref="R227:R231" si="474">CONCATENATE(E227,"-",J227)</f>
        <v>Onsite-CO2 emissions</v>
      </c>
      <c r="S227" t="str">
        <f t="shared" ref="S227:S231" si="475">CONCATENATE(F227,"-",J227)</f>
        <v>Prime power H2 fuel cell-CO2 emissions</v>
      </c>
      <c r="T227">
        <f ca="1">IF(timePeriod="2020-30",(VLOOKUP($P227,'TA database'!$I$8:$J$79,2,FALSE)/VLOOKUP($D227,'Merit calculation'!$B$48:$I$52,5,FALSE)/VLOOKUP($E227,'Merit calculation'!$B$67:$I$73,5,FALSE)/VLOOKUP($F227,'Merit calculation'!$B$90:$I$103,5,FALSE)/energyContentH2),(VLOOKUP($P227,'TA database'!$I$8:$J$79,2,FALSE)/VLOOKUP($D227,'Merit calculation'!$B$48:$I$52,7,FALSE)/VLOOKUP($E227,'Merit calculation'!$B$67:$I$73,7,FALSE)/VLOOKUP($F227,'Merit calculation'!$B$90:$I$103,7,FALSE)/energyContentH2))</f>
        <v>0</v>
      </c>
      <c r="U227">
        <v>0</v>
      </c>
      <c r="V227">
        <v>0</v>
      </c>
      <c r="W227">
        <f>IFERROR(VLOOKUP($S227,'TA database'!$I$146:$J$193,2,FALSE),0)</f>
        <v>0</v>
      </c>
      <c r="X227">
        <f ca="1">IFERROR(VLOOKUP($S227,'TA database'!$I$200:$J$271,2,FALSE),0)</f>
        <v>0</v>
      </c>
      <c r="Y227">
        <f t="shared" ref="Y227:Y231" ca="1" si="476">IF($W227=0,T227*3.6+X227,T227+W227)</f>
        <v>0</v>
      </c>
      <c r="Z227" t="str">
        <f t="shared" ref="Z227:Z231" si="477">CONCATENATE(AG227,"   →   ",AH227,"   →   ",AI227,"   →   ",AJ227)</f>
        <v>BIO_GSF_SML_D   →   D_GAS_STRG   →   ONSITE_USE   →   H2_FC_PWR</v>
      </c>
      <c r="AA227" t="str">
        <f t="shared" ref="AA227:AA231" si="478">G227</f>
        <v>Onsite / Back-up power</v>
      </c>
      <c r="AB227" t="str">
        <f t="shared" ref="AB227:AB231" si="479">J227</f>
        <v>CO2 emissions</v>
      </c>
      <c r="AC227">
        <f t="shared" ref="AC227:AC231" ca="1" si="480">Y227</f>
        <v>0</v>
      </c>
      <c r="AD227">
        <v>168</v>
      </c>
      <c r="AE227" t="str">
        <f>IF(AND(ISNUMBER(SEARCH(O227,4)),ISNUMBER(SEARCH('(4) FCH pathway assessment'!$B$16,AB227)),ISNUMBER(SEARCH('(4) FCH pathway assessment'!$B$10,AA227))),AD227,"")</f>
        <v/>
      </c>
      <c r="AF227" t="str">
        <f t="shared" si="368"/>
        <v/>
      </c>
      <c r="AG227" t="str">
        <f>VLOOKUP(C227,Assumptions!$B$116:$C$162,2,FALSE)</f>
        <v>BIO_GSF_SML_D</v>
      </c>
      <c r="AH227" t="str">
        <f>VLOOKUP(D227,Assumptions!$B$116:$C$162,2,FALSE)</f>
        <v>D_GAS_STRG</v>
      </c>
      <c r="AI227" t="str">
        <f>VLOOKUP(E227,Assumptions!$B$116:$C$162,2,FALSE)</f>
        <v>ONSITE_USE</v>
      </c>
      <c r="AJ227" t="str">
        <f>VLOOKUP(F227,Assumptions!$B$116:$C$162,2,FALSE)</f>
        <v>H2_FC_PWR</v>
      </c>
    </row>
    <row r="228" spans="2:36" x14ac:dyDescent="0.25">
      <c r="B228" t="s">
        <v>117</v>
      </c>
      <c r="C228" t="s">
        <v>56</v>
      </c>
      <c r="D228" t="s">
        <v>62</v>
      </c>
      <c r="E228" t="s">
        <v>157</v>
      </c>
      <c r="F228" t="s">
        <v>164</v>
      </c>
      <c r="G228" t="s">
        <v>126</v>
      </c>
      <c r="H228" t="s">
        <v>433</v>
      </c>
      <c r="I228" t="s">
        <v>32</v>
      </c>
      <c r="J228" t="s">
        <v>329</v>
      </c>
      <c r="K228">
        <f t="shared" si="467"/>
        <v>0</v>
      </c>
      <c r="L228">
        <f t="shared" si="468"/>
        <v>0</v>
      </c>
      <c r="M228">
        <f t="shared" si="469"/>
        <v>0</v>
      </c>
      <c r="N228">
        <f t="shared" si="470"/>
        <v>1</v>
      </c>
      <c r="O228">
        <f t="shared" si="471"/>
        <v>1</v>
      </c>
      <c r="P228" t="str">
        <f t="shared" si="472"/>
        <v>Large centralized biomass steam reforming -CO2 emissions</v>
      </c>
      <c r="Q228" t="str">
        <f t="shared" si="473"/>
        <v>Underground storage-CO2 emissions</v>
      </c>
      <c r="R228" t="str">
        <f t="shared" si="474"/>
        <v>Blending in natural gas pipeline-CO2 emissions</v>
      </c>
      <c r="S228" t="str">
        <f t="shared" si="475"/>
        <v>Prime power H2 fuel cell-CO2 emissions</v>
      </c>
      <c r="T228">
        <f ca="1">IF(timePeriod="2020-30",(VLOOKUP($P228,'TA database'!$I$8:$J$79,2,FALSE)/VLOOKUP($D228,'Merit calculation'!$B$48:$I$52,5,FALSE)/VLOOKUP($E228,'Merit calculation'!$B$67:$I$73,5,FALSE)/VLOOKUP($F228,'Merit calculation'!$B$90:$I$103,5,FALSE)/energyContentH2),(VLOOKUP($P228,'TA database'!$I$8:$J$79,2,FALSE)/VLOOKUP($D228,'Merit calculation'!$B$48:$I$52,7,FALSE)/VLOOKUP($E228,'Merit calculation'!$B$67:$I$73,7,FALSE)/VLOOKUP($F228,'Merit calculation'!$B$90:$I$103,7,FALSE)/energyContentH2))</f>
        <v>0</v>
      </c>
      <c r="U228">
        <v>0</v>
      </c>
      <c r="V228">
        <v>0</v>
      </c>
      <c r="W228">
        <f>IFERROR(VLOOKUP($S228,'TA database'!$I$146:$J$193,2,FALSE),0)</f>
        <v>0</v>
      </c>
      <c r="X228">
        <f ca="1">IFERROR(VLOOKUP($S228,'TA database'!$I$200:$J$271,2,FALSE),0)</f>
        <v>0</v>
      </c>
      <c r="Y228">
        <f t="shared" ca="1" si="476"/>
        <v>0</v>
      </c>
      <c r="Z228" t="str">
        <f t="shared" si="477"/>
        <v>BIO_SR_LRG_C   →   C_UNDRGRND_STRG   →   H2_BLND_NG_P   →   H2_FC_PWR</v>
      </c>
      <c r="AA228" t="str">
        <f t="shared" si="478"/>
        <v>Onsite / Back-up power</v>
      </c>
      <c r="AB228" t="str">
        <f t="shared" si="479"/>
        <v>CO2 emissions</v>
      </c>
      <c r="AC228">
        <f t="shared" ca="1" si="480"/>
        <v>0</v>
      </c>
      <c r="AD228">
        <v>169</v>
      </c>
      <c r="AE228" t="str">
        <f>IF(AND(ISNUMBER(SEARCH(O228,4)),ISNUMBER(SEARCH('(4) FCH pathway assessment'!$B$16,AB228)),ISNUMBER(SEARCH('(4) FCH pathway assessment'!$B$10,AA228))),AD228,"")</f>
        <v/>
      </c>
      <c r="AF228" t="str">
        <f t="shared" si="368"/>
        <v/>
      </c>
      <c r="AG228" t="str">
        <f>VLOOKUP(C228,Assumptions!$B$116:$C$162,2,FALSE)</f>
        <v>BIO_SR_LRG_C</v>
      </c>
      <c r="AH228" t="str">
        <f>VLOOKUP(D228,Assumptions!$B$116:$C$162,2,FALSE)</f>
        <v>C_UNDRGRND_STRG</v>
      </c>
      <c r="AI228" t="str">
        <f>VLOOKUP(E228,Assumptions!$B$116:$C$162,2,FALSE)</f>
        <v>H2_BLND_NG_P</v>
      </c>
      <c r="AJ228" t="str">
        <f>VLOOKUP(F228,Assumptions!$B$116:$C$162,2,FALSE)</f>
        <v>H2_FC_PWR</v>
      </c>
    </row>
    <row r="229" spans="2:36" x14ac:dyDescent="0.25">
      <c r="B229" t="s">
        <v>117</v>
      </c>
      <c r="C229" t="s">
        <v>56</v>
      </c>
      <c r="D229" t="s">
        <v>62</v>
      </c>
      <c r="E229" t="s">
        <v>122</v>
      </c>
      <c r="F229" t="s">
        <v>164</v>
      </c>
      <c r="G229" t="s">
        <v>126</v>
      </c>
      <c r="H229" t="s">
        <v>433</v>
      </c>
      <c r="I229" t="s">
        <v>32</v>
      </c>
      <c r="J229" t="s">
        <v>329</v>
      </c>
      <c r="K229">
        <f t="shared" si="467"/>
        <v>0</v>
      </c>
      <c r="L229">
        <f t="shared" si="468"/>
        <v>0</v>
      </c>
      <c r="M229">
        <f t="shared" si="469"/>
        <v>1</v>
      </c>
      <c r="N229">
        <f t="shared" si="470"/>
        <v>1</v>
      </c>
      <c r="O229">
        <f t="shared" si="471"/>
        <v>2</v>
      </c>
      <c r="P229" t="str">
        <f t="shared" si="472"/>
        <v>Large centralized biomass steam reforming -CO2 emissions</v>
      </c>
      <c r="Q229" t="str">
        <f t="shared" si="473"/>
        <v>Underground storage-CO2 emissions</v>
      </c>
      <c r="R229" t="str">
        <f t="shared" si="474"/>
        <v>Hydrogen transmission &amp; distribution pipeline-CO2 emissions</v>
      </c>
      <c r="S229" t="str">
        <f t="shared" si="475"/>
        <v>Prime power H2 fuel cell-CO2 emissions</v>
      </c>
      <c r="T229">
        <f ca="1">IF(timePeriod="2020-30",(VLOOKUP($P229,'TA database'!$I$8:$J$79,2,FALSE)/VLOOKUP($D229,'Merit calculation'!$B$48:$I$52,5,FALSE)/VLOOKUP($E229,'Merit calculation'!$B$67:$I$73,5,FALSE)/VLOOKUP($F229,'Merit calculation'!$B$90:$I$103,5,FALSE)/energyContentH2),(VLOOKUP($P229,'TA database'!$I$8:$J$79,2,FALSE)/VLOOKUP($D229,'Merit calculation'!$B$48:$I$52,7,FALSE)/VLOOKUP($E229,'Merit calculation'!$B$67:$I$73,7,FALSE)/VLOOKUP($F229,'Merit calculation'!$B$90:$I$103,7,FALSE)/energyContentH2))</f>
        <v>0</v>
      </c>
      <c r="U229">
        <v>0</v>
      </c>
      <c r="V229">
        <v>0</v>
      </c>
      <c r="W229">
        <f>IFERROR(VLOOKUP($S229,'TA database'!$I$146:$J$193,2,FALSE),0)</f>
        <v>0</v>
      </c>
      <c r="X229">
        <f ca="1">IFERROR(VLOOKUP($S229,'TA database'!$I$200:$J$271,2,FALSE),0)</f>
        <v>0</v>
      </c>
      <c r="Y229">
        <f t="shared" ca="1" si="476"/>
        <v>0</v>
      </c>
      <c r="Z229" t="str">
        <f t="shared" si="477"/>
        <v>BIO_SR_LRG_C   →   C_UNDRGRND_STRG   →   H2_T&amp;D_P   →   H2_FC_PWR</v>
      </c>
      <c r="AA229" t="str">
        <f t="shared" si="478"/>
        <v>Onsite / Back-up power</v>
      </c>
      <c r="AB229" t="str">
        <f t="shared" si="479"/>
        <v>CO2 emissions</v>
      </c>
      <c r="AC229">
        <f t="shared" ca="1" si="480"/>
        <v>0</v>
      </c>
      <c r="AD229">
        <v>170</v>
      </c>
      <c r="AE229" t="str">
        <f>IF(AND(ISNUMBER(SEARCH(O229,4)),ISNUMBER(SEARCH('(4) FCH pathway assessment'!$B$16,AB229)),ISNUMBER(SEARCH('(4) FCH pathway assessment'!$B$10,AA229))),AD229,"")</f>
        <v/>
      </c>
      <c r="AF229" t="str">
        <f t="shared" si="368"/>
        <v/>
      </c>
      <c r="AG229" t="str">
        <f>VLOOKUP(C229,Assumptions!$B$116:$C$162,2,FALSE)</f>
        <v>BIO_SR_LRG_C</v>
      </c>
      <c r="AH229" t="str">
        <f>VLOOKUP(D229,Assumptions!$B$116:$C$162,2,FALSE)</f>
        <v>C_UNDRGRND_STRG</v>
      </c>
      <c r="AI229" t="str">
        <f>VLOOKUP(E229,Assumptions!$B$116:$C$162,2,FALSE)</f>
        <v>H2_T&amp;D_P</v>
      </c>
      <c r="AJ229" t="str">
        <f>VLOOKUP(F229,Assumptions!$B$116:$C$162,2,FALSE)</f>
        <v>H2_FC_PWR</v>
      </c>
    </row>
    <row r="230" spans="2:36" x14ac:dyDescent="0.25">
      <c r="B230" t="s">
        <v>117</v>
      </c>
      <c r="C230" t="s">
        <v>56</v>
      </c>
      <c r="D230" t="s">
        <v>62</v>
      </c>
      <c r="E230" t="s">
        <v>66</v>
      </c>
      <c r="F230" t="s">
        <v>164</v>
      </c>
      <c r="G230" t="s">
        <v>126</v>
      </c>
      <c r="H230" t="s">
        <v>433</v>
      </c>
      <c r="I230" t="s">
        <v>32</v>
      </c>
      <c r="J230" t="s">
        <v>329</v>
      </c>
      <c r="K230">
        <f t="shared" si="467"/>
        <v>0</v>
      </c>
      <c r="L230">
        <f t="shared" si="468"/>
        <v>0</v>
      </c>
      <c r="M230">
        <f t="shared" si="469"/>
        <v>1</v>
      </c>
      <c r="N230">
        <f t="shared" si="470"/>
        <v>1</v>
      </c>
      <c r="O230">
        <f t="shared" si="471"/>
        <v>2</v>
      </c>
      <c r="P230" t="str">
        <f t="shared" si="472"/>
        <v>Large centralized biomass steam reforming -CO2 emissions</v>
      </c>
      <c r="Q230" t="str">
        <f t="shared" si="473"/>
        <v>Underground storage-CO2 emissions</v>
      </c>
      <c r="R230" t="str">
        <f t="shared" si="474"/>
        <v>Onsite-CO2 emissions</v>
      </c>
      <c r="S230" t="str">
        <f t="shared" si="475"/>
        <v>Prime power H2 fuel cell-CO2 emissions</v>
      </c>
      <c r="T230">
        <f ca="1">IF(timePeriod="2020-30",(VLOOKUP($P230,'TA database'!$I$8:$J$79,2,FALSE)/VLOOKUP($D230,'Merit calculation'!$B$48:$I$52,5,FALSE)/VLOOKUP($E230,'Merit calculation'!$B$67:$I$73,5,FALSE)/VLOOKUP($F230,'Merit calculation'!$B$90:$I$103,5,FALSE)/energyContentH2),(VLOOKUP($P230,'TA database'!$I$8:$J$79,2,FALSE)/VLOOKUP($D230,'Merit calculation'!$B$48:$I$52,7,FALSE)/VLOOKUP($E230,'Merit calculation'!$B$67:$I$73,7,FALSE)/VLOOKUP($F230,'Merit calculation'!$B$90:$I$103,7,FALSE)/energyContentH2))</f>
        <v>0</v>
      </c>
      <c r="U230">
        <v>0</v>
      </c>
      <c r="V230">
        <v>0</v>
      </c>
      <c r="W230">
        <f>IFERROR(VLOOKUP($S230,'TA database'!$I$146:$J$193,2,FALSE),0)</f>
        <v>0</v>
      </c>
      <c r="X230">
        <f ca="1">IFERROR(VLOOKUP($S230,'TA database'!$I$200:$J$271,2,FALSE),0)</f>
        <v>0</v>
      </c>
      <c r="Y230">
        <f t="shared" ca="1" si="476"/>
        <v>0</v>
      </c>
      <c r="Z230" t="str">
        <f t="shared" si="477"/>
        <v>BIO_SR_LRG_C   →   C_UNDRGRND_STRG   →   ONSITE_USE   →   H2_FC_PWR</v>
      </c>
      <c r="AA230" t="str">
        <f t="shared" si="478"/>
        <v>Onsite / Back-up power</v>
      </c>
      <c r="AB230" t="str">
        <f t="shared" si="479"/>
        <v>CO2 emissions</v>
      </c>
      <c r="AC230">
        <f t="shared" ca="1" si="480"/>
        <v>0</v>
      </c>
      <c r="AD230">
        <v>171</v>
      </c>
      <c r="AE230" t="str">
        <f>IF(AND(ISNUMBER(SEARCH(O230,4)),ISNUMBER(SEARCH('(4) FCH pathway assessment'!$B$16,AB230)),ISNUMBER(SEARCH('(4) FCH pathway assessment'!$B$10,AA230))),AD230,"")</f>
        <v/>
      </c>
      <c r="AF230" t="str">
        <f t="shared" si="368"/>
        <v/>
      </c>
      <c r="AG230" t="str">
        <f>VLOOKUP(C230,Assumptions!$B$116:$C$162,2,FALSE)</f>
        <v>BIO_SR_LRG_C</v>
      </c>
      <c r="AH230" t="str">
        <f>VLOOKUP(D230,Assumptions!$B$116:$C$162,2,FALSE)</f>
        <v>C_UNDRGRND_STRG</v>
      </c>
      <c r="AI230" t="str">
        <f>VLOOKUP(E230,Assumptions!$B$116:$C$162,2,FALSE)</f>
        <v>ONSITE_USE</v>
      </c>
      <c r="AJ230" t="str">
        <f>VLOOKUP(F230,Assumptions!$B$116:$C$162,2,FALSE)</f>
        <v>H2_FC_PWR</v>
      </c>
    </row>
    <row r="231" spans="2:36" x14ac:dyDescent="0.25">
      <c r="B231" t="s">
        <v>117</v>
      </c>
      <c r="C231" t="s">
        <v>56</v>
      </c>
      <c r="D231" s="61" t="s">
        <v>63</v>
      </c>
      <c r="E231" t="s">
        <v>122</v>
      </c>
      <c r="F231" t="s">
        <v>164</v>
      </c>
      <c r="G231" t="s">
        <v>126</v>
      </c>
      <c r="H231" t="s">
        <v>433</v>
      </c>
      <c r="I231" t="s">
        <v>32</v>
      </c>
      <c r="J231" t="s">
        <v>329</v>
      </c>
      <c r="K231">
        <f t="shared" si="467"/>
        <v>0</v>
      </c>
      <c r="L231">
        <f t="shared" si="468"/>
        <v>1</v>
      </c>
      <c r="M231">
        <f t="shared" si="469"/>
        <v>1</v>
      </c>
      <c r="N231">
        <f t="shared" si="470"/>
        <v>1</v>
      </c>
      <c r="O231">
        <f t="shared" si="471"/>
        <v>3</v>
      </c>
      <c r="P231" t="str">
        <f t="shared" si="472"/>
        <v>Large centralized biomass steam reforming -CO2 emissions</v>
      </c>
      <c r="Q231" t="str">
        <f t="shared" si="473"/>
        <v>No storage-CO2 emissions</v>
      </c>
      <c r="R231" t="str">
        <f t="shared" si="474"/>
        <v>Hydrogen transmission &amp; distribution pipeline-CO2 emissions</v>
      </c>
      <c r="S231" t="str">
        <f t="shared" si="475"/>
        <v>Prime power H2 fuel cell-CO2 emissions</v>
      </c>
      <c r="T231">
        <f ca="1">IF(timePeriod="2020-30",(VLOOKUP($P231,'TA database'!$I$8:$J$79,2,FALSE)/VLOOKUP($D231,'Merit calculation'!$B$48:$I$52,5,FALSE)/VLOOKUP($E231,'Merit calculation'!$B$67:$I$73,5,FALSE)/VLOOKUP($F231,'Merit calculation'!$B$90:$I$103,5,FALSE)/energyContentH2),(VLOOKUP($P231,'TA database'!$I$8:$J$79,2,FALSE)/VLOOKUP($D231,'Merit calculation'!$B$48:$I$52,7,FALSE)/VLOOKUP($E231,'Merit calculation'!$B$67:$I$73,7,FALSE)/VLOOKUP($F231,'Merit calculation'!$B$90:$I$103,7,FALSE)/energyContentH2))</f>
        <v>0</v>
      </c>
      <c r="U231">
        <v>0</v>
      </c>
      <c r="V231">
        <v>0</v>
      </c>
      <c r="W231">
        <f>IFERROR(VLOOKUP($S231,'TA database'!$I$146:$J$193,2,FALSE),0)</f>
        <v>0</v>
      </c>
      <c r="X231">
        <f ca="1">IFERROR(VLOOKUP($S231,'TA database'!$I$200:$J$271,2,FALSE),0)</f>
        <v>0</v>
      </c>
      <c r="Y231">
        <f t="shared" ca="1" si="476"/>
        <v>0</v>
      </c>
      <c r="Z231" t="str">
        <f t="shared" si="477"/>
        <v>BIO_SR_LRG_C   →   NO_STRG   →   H2_T&amp;D_P   →   H2_FC_PWR</v>
      </c>
      <c r="AA231" t="str">
        <f t="shared" si="478"/>
        <v>Onsite / Back-up power</v>
      </c>
      <c r="AB231" t="str">
        <f t="shared" si="479"/>
        <v>CO2 emissions</v>
      </c>
      <c r="AC231">
        <f t="shared" ca="1" si="480"/>
        <v>0</v>
      </c>
      <c r="AD231">
        <v>172</v>
      </c>
      <c r="AE231" t="str">
        <f>IF(AND(ISNUMBER(SEARCH(O231,4)),ISNUMBER(SEARCH('(4) FCH pathway assessment'!$B$16,AB231)),ISNUMBER(SEARCH('(4) FCH pathway assessment'!$B$10,AA231))),AD231,"")</f>
        <v/>
      </c>
      <c r="AF231" t="str">
        <f t="shared" si="368"/>
        <v/>
      </c>
      <c r="AG231" t="str">
        <f>VLOOKUP(C231,Assumptions!$B$116:$C$162,2,FALSE)</f>
        <v>BIO_SR_LRG_C</v>
      </c>
      <c r="AH231" t="str">
        <f>VLOOKUP(D231,Assumptions!$B$116:$C$162,2,FALSE)</f>
        <v>NO_STRG</v>
      </c>
      <c r="AI231" t="str">
        <f>VLOOKUP(E231,Assumptions!$B$116:$C$162,2,FALSE)</f>
        <v>H2_T&amp;D_P</v>
      </c>
      <c r="AJ231" t="str">
        <f>VLOOKUP(F231,Assumptions!$B$116:$C$162,2,FALSE)</f>
        <v>H2_FC_PWR</v>
      </c>
    </row>
    <row r="232" spans="2:36" x14ac:dyDescent="0.25">
      <c r="B232" t="s">
        <v>112</v>
      </c>
      <c r="C232" t="s">
        <v>49</v>
      </c>
      <c r="D232" t="s">
        <v>62</v>
      </c>
      <c r="E232" t="s">
        <v>157</v>
      </c>
      <c r="F232" t="s">
        <v>164</v>
      </c>
      <c r="G232" t="s">
        <v>126</v>
      </c>
      <c r="H232" t="s">
        <v>433</v>
      </c>
      <c r="I232" t="s">
        <v>32</v>
      </c>
      <c r="J232" t="s">
        <v>329</v>
      </c>
      <c r="K232">
        <f t="shared" ref="K232:K240" si="481">SUMPRODUCT(($C$7:$C$18=$C232)*($D$6:$H$6=$D232)*($D$7:$H$18))</f>
        <v>1</v>
      </c>
      <c r="L232">
        <f t="shared" ref="L232:L240" si="482">SUMPRODUCT(($C$19:$C$23=$D232)*($I$6:$O$6=$E232)*($I$19:$O$23))</f>
        <v>0</v>
      </c>
      <c r="M232">
        <f t="shared" ref="M232:M240" si="483">SUMPRODUCT(($C$24:$C$30=$E232)*($P$6:$AI$6=$F232)*($P$24:$AI$30))</f>
        <v>0</v>
      </c>
      <c r="N232">
        <f t="shared" ref="N232:N240" si="484">SUMPRODUCT(($C$31:$C$50=$F232)*($AJ$6:$AM$6=$G232)*($AJ$31:$AM$50))</f>
        <v>1</v>
      </c>
      <c r="O232">
        <f t="shared" ref="O232:O240" si="485">K232+L232+M232+N232</f>
        <v>2</v>
      </c>
      <c r="P232" t="str">
        <f t="shared" ref="P232:P240" si="486">CONCATENATE(C232,"-",J232)</f>
        <v>Large centralized electrolysis-CO2 emissions</v>
      </c>
      <c r="Q232" t="str">
        <f t="shared" ref="Q232:Q240" si="487">CONCATENATE(D232,"-",J232)</f>
        <v>Underground storage-CO2 emissions</v>
      </c>
      <c r="R232" t="str">
        <f t="shared" ref="R232:R240" si="488">CONCATENATE(E232,"-",J232)</f>
        <v>Blending in natural gas pipeline-CO2 emissions</v>
      </c>
      <c r="S232" t="str">
        <f t="shared" ref="S232:S240" si="489">CONCATENATE(F232,"-",J232)</f>
        <v>Prime power H2 fuel cell-CO2 emissions</v>
      </c>
      <c r="T232">
        <f ca="1">IF(timePeriod="2020-30",(VLOOKUP($P232,'TA database'!$I$8:$J$79,2,FALSE)/VLOOKUP($D232,'Merit calculation'!$B$48:$I$52,5,FALSE)/VLOOKUP($E232,'Merit calculation'!$B$67:$I$73,5,FALSE)/VLOOKUP($F232,'Merit calculation'!$B$90:$I$103,5,FALSE)/energyContentH2),(VLOOKUP($P232,'TA database'!$I$8:$J$79,2,FALSE)/VLOOKUP($D232,'Merit calculation'!$B$48:$I$52,7,FALSE)/VLOOKUP($E232,'Merit calculation'!$B$67:$I$73,7,FALSE)/VLOOKUP($F232,'Merit calculation'!$B$90:$I$103,7,FALSE)/energyContentH2))</f>
        <v>3.3500921020721074E-2</v>
      </c>
      <c r="U232">
        <v>0</v>
      </c>
      <c r="V232">
        <v>0</v>
      </c>
      <c r="W232">
        <f>IFERROR(VLOOKUP($S232,'TA database'!$I$146:$J$193,2,FALSE),0)</f>
        <v>0</v>
      </c>
      <c r="X232">
        <f ca="1">IFERROR(VLOOKUP($S232,'TA database'!$I$200:$J$271,2,FALSE),0)</f>
        <v>0</v>
      </c>
      <c r="Y232">
        <f t="shared" ref="Y232:Y240" ca="1" si="490">IF($W232=0,T232*3.6+X232,T232+W232)</f>
        <v>0.12060331567459587</v>
      </c>
      <c r="Z232" t="str">
        <f t="shared" ref="Z232:Z240" si="491">CONCATENATE(AG232,"   →   ",AH232,"   →   ",AI232,"   →   ",AJ232)</f>
        <v>ELCTRLYZ_LRG_C   →   C_UNDRGRND_STRG   →   H2_BLND_NG_P   →   H2_FC_PWR</v>
      </c>
      <c r="AA232" t="str">
        <f t="shared" ref="AA232:AA240" si="492">G232</f>
        <v>Onsite / Back-up power</v>
      </c>
      <c r="AB232" t="str">
        <f t="shared" ref="AB232:AB240" si="493">J232</f>
        <v>CO2 emissions</v>
      </c>
      <c r="AC232">
        <f t="shared" ref="AC232:AC240" ca="1" si="494">Y232</f>
        <v>0.12060331567459587</v>
      </c>
      <c r="AD232">
        <v>173</v>
      </c>
      <c r="AE232" t="str">
        <f>IF(AND(ISNUMBER(SEARCH(O232,4)),ISNUMBER(SEARCH('(4) FCH pathway assessment'!$B$16,AB232)),ISNUMBER(SEARCH('(4) FCH pathway assessment'!$B$10,AA232))),AD232,"")</f>
        <v/>
      </c>
      <c r="AF232" t="str">
        <f t="shared" si="368"/>
        <v/>
      </c>
      <c r="AG232" t="str">
        <f>VLOOKUP(C232,Assumptions!$B$116:$C$162,2,FALSE)</f>
        <v>ELCTRLYZ_LRG_C</v>
      </c>
      <c r="AH232" t="str">
        <f>VLOOKUP(D232,Assumptions!$B$116:$C$162,2,FALSE)</f>
        <v>C_UNDRGRND_STRG</v>
      </c>
      <c r="AI232" t="str">
        <f>VLOOKUP(E232,Assumptions!$B$116:$C$162,2,FALSE)</f>
        <v>H2_BLND_NG_P</v>
      </c>
      <c r="AJ232" t="str">
        <f>VLOOKUP(F232,Assumptions!$B$116:$C$162,2,FALSE)</f>
        <v>H2_FC_PWR</v>
      </c>
    </row>
    <row r="233" spans="2:36" x14ac:dyDescent="0.25">
      <c r="B233" t="s">
        <v>112</v>
      </c>
      <c r="C233" t="s">
        <v>49</v>
      </c>
      <c r="D233" t="s">
        <v>62</v>
      </c>
      <c r="E233" t="s">
        <v>122</v>
      </c>
      <c r="F233" t="s">
        <v>164</v>
      </c>
      <c r="G233" t="s">
        <v>126</v>
      </c>
      <c r="H233" t="s">
        <v>433</v>
      </c>
      <c r="I233" t="s">
        <v>32</v>
      </c>
      <c r="J233" t="s">
        <v>329</v>
      </c>
      <c r="K233">
        <f t="shared" si="481"/>
        <v>1</v>
      </c>
      <c r="L233">
        <f t="shared" si="482"/>
        <v>0</v>
      </c>
      <c r="M233">
        <f t="shared" si="483"/>
        <v>1</v>
      </c>
      <c r="N233">
        <f t="shared" si="484"/>
        <v>1</v>
      </c>
      <c r="O233">
        <f t="shared" si="485"/>
        <v>3</v>
      </c>
      <c r="P233" t="str">
        <f t="shared" si="486"/>
        <v>Large centralized electrolysis-CO2 emissions</v>
      </c>
      <c r="Q233" t="str">
        <f t="shared" si="487"/>
        <v>Underground storage-CO2 emissions</v>
      </c>
      <c r="R233" t="str">
        <f t="shared" si="488"/>
        <v>Hydrogen transmission &amp; distribution pipeline-CO2 emissions</v>
      </c>
      <c r="S233" t="str">
        <f t="shared" si="489"/>
        <v>Prime power H2 fuel cell-CO2 emissions</v>
      </c>
      <c r="T233">
        <f ca="1">IF(timePeriod="2020-30",(VLOOKUP($P233,'TA database'!$I$8:$J$79,2,FALSE)/VLOOKUP($D233,'Merit calculation'!$B$48:$I$52,5,FALSE)/VLOOKUP($E233,'Merit calculation'!$B$67:$I$73,5,FALSE)/VLOOKUP($F233,'Merit calculation'!$B$90:$I$103,5,FALSE)/energyContentH2),(VLOOKUP($P233,'TA database'!$I$8:$J$79,2,FALSE)/VLOOKUP($D233,'Merit calculation'!$B$48:$I$52,7,FALSE)/VLOOKUP($E233,'Merit calculation'!$B$67:$I$73,7,FALSE)/VLOOKUP($F233,'Merit calculation'!$B$90:$I$103,7,FALSE)/energyContentH2))</f>
        <v>3.3500921020721074E-2</v>
      </c>
      <c r="U233">
        <v>0</v>
      </c>
      <c r="V233">
        <v>0</v>
      </c>
      <c r="W233">
        <f>IFERROR(VLOOKUP($S233,'TA database'!$I$146:$J$193,2,FALSE),0)</f>
        <v>0</v>
      </c>
      <c r="X233">
        <f ca="1">IFERROR(VLOOKUP($S233,'TA database'!$I$200:$J$271,2,FALSE),0)</f>
        <v>0</v>
      </c>
      <c r="Y233">
        <f t="shared" ca="1" si="490"/>
        <v>0.12060331567459587</v>
      </c>
      <c r="Z233" t="str">
        <f t="shared" si="491"/>
        <v>ELCTRLYZ_LRG_C   →   C_UNDRGRND_STRG   →   H2_T&amp;D_P   →   H2_FC_PWR</v>
      </c>
      <c r="AA233" t="str">
        <f t="shared" si="492"/>
        <v>Onsite / Back-up power</v>
      </c>
      <c r="AB233" t="str">
        <f t="shared" si="493"/>
        <v>CO2 emissions</v>
      </c>
      <c r="AC233">
        <f t="shared" ca="1" si="494"/>
        <v>0.12060331567459587</v>
      </c>
      <c r="AD233">
        <v>174</v>
      </c>
      <c r="AE233" t="str">
        <f>IF(AND(ISNUMBER(SEARCH(O233,4)),ISNUMBER(SEARCH('(4) FCH pathway assessment'!$B$16,AB233)),ISNUMBER(SEARCH('(4) FCH pathway assessment'!$B$10,AA233))),AD233,"")</f>
        <v/>
      </c>
      <c r="AF233" t="str">
        <f t="shared" si="368"/>
        <v/>
      </c>
      <c r="AG233" t="str">
        <f>VLOOKUP(C233,Assumptions!$B$116:$C$162,2,FALSE)</f>
        <v>ELCTRLYZ_LRG_C</v>
      </c>
      <c r="AH233" t="str">
        <f>VLOOKUP(D233,Assumptions!$B$116:$C$162,2,FALSE)</f>
        <v>C_UNDRGRND_STRG</v>
      </c>
      <c r="AI233" t="str">
        <f>VLOOKUP(E233,Assumptions!$B$116:$C$162,2,FALSE)</f>
        <v>H2_T&amp;D_P</v>
      </c>
      <c r="AJ233" t="str">
        <f>VLOOKUP(F233,Assumptions!$B$116:$C$162,2,FALSE)</f>
        <v>H2_FC_PWR</v>
      </c>
    </row>
    <row r="234" spans="2:36" x14ac:dyDescent="0.25">
      <c r="B234" t="s">
        <v>112</v>
      </c>
      <c r="C234" t="s">
        <v>49</v>
      </c>
      <c r="D234" t="s">
        <v>62</v>
      </c>
      <c r="E234" t="s">
        <v>66</v>
      </c>
      <c r="F234" t="s">
        <v>164</v>
      </c>
      <c r="G234" t="s">
        <v>126</v>
      </c>
      <c r="H234" t="s">
        <v>433</v>
      </c>
      <c r="I234" t="s">
        <v>32</v>
      </c>
      <c r="J234" t="s">
        <v>329</v>
      </c>
      <c r="K234">
        <f t="shared" si="481"/>
        <v>1</v>
      </c>
      <c r="L234">
        <f t="shared" si="482"/>
        <v>0</v>
      </c>
      <c r="M234">
        <f t="shared" si="483"/>
        <v>1</v>
      </c>
      <c r="N234">
        <f t="shared" si="484"/>
        <v>1</v>
      </c>
      <c r="O234">
        <f t="shared" si="485"/>
        <v>3</v>
      </c>
      <c r="P234" t="str">
        <f t="shared" si="486"/>
        <v>Large centralized electrolysis-CO2 emissions</v>
      </c>
      <c r="Q234" t="str">
        <f t="shared" si="487"/>
        <v>Underground storage-CO2 emissions</v>
      </c>
      <c r="R234" t="str">
        <f t="shared" si="488"/>
        <v>Onsite-CO2 emissions</v>
      </c>
      <c r="S234" t="str">
        <f t="shared" si="489"/>
        <v>Prime power H2 fuel cell-CO2 emissions</v>
      </c>
      <c r="T234">
        <f ca="1">IF(timePeriod="2020-30",(VLOOKUP($P234,'TA database'!$I$8:$J$79,2,FALSE)/VLOOKUP($D234,'Merit calculation'!$B$48:$I$52,5,FALSE)/VLOOKUP($E234,'Merit calculation'!$B$67:$I$73,5,FALSE)/VLOOKUP($F234,'Merit calculation'!$B$90:$I$103,5,FALSE)/energyContentH2),(VLOOKUP($P234,'TA database'!$I$8:$J$79,2,FALSE)/VLOOKUP($D234,'Merit calculation'!$B$48:$I$52,7,FALSE)/VLOOKUP($E234,'Merit calculation'!$B$67:$I$73,7,FALSE)/VLOOKUP($F234,'Merit calculation'!$B$90:$I$103,7,FALSE)/energyContentH2))</f>
        <v>3.3165911810513857E-2</v>
      </c>
      <c r="U234">
        <v>0</v>
      </c>
      <c r="V234">
        <v>0</v>
      </c>
      <c r="W234">
        <f>IFERROR(VLOOKUP($S234,'TA database'!$I$146:$J$193,2,FALSE),0)</f>
        <v>0</v>
      </c>
      <c r="X234">
        <f ca="1">IFERROR(VLOOKUP($S234,'TA database'!$I$200:$J$271,2,FALSE),0)</f>
        <v>0</v>
      </c>
      <c r="Y234">
        <f t="shared" ca="1" si="490"/>
        <v>0.11939728251784988</v>
      </c>
      <c r="Z234" t="str">
        <f t="shared" si="491"/>
        <v>ELCTRLYZ_LRG_C   →   C_UNDRGRND_STRG   →   ONSITE_USE   →   H2_FC_PWR</v>
      </c>
      <c r="AA234" t="str">
        <f t="shared" si="492"/>
        <v>Onsite / Back-up power</v>
      </c>
      <c r="AB234" t="str">
        <f t="shared" si="493"/>
        <v>CO2 emissions</v>
      </c>
      <c r="AC234">
        <f t="shared" ca="1" si="494"/>
        <v>0.11939728251784988</v>
      </c>
      <c r="AD234">
        <v>175</v>
      </c>
      <c r="AE234" t="str">
        <f>IF(AND(ISNUMBER(SEARCH(O234,4)),ISNUMBER(SEARCH('(4) FCH pathway assessment'!$B$16,AB234)),ISNUMBER(SEARCH('(4) FCH pathway assessment'!$B$10,AA234))),AD234,"")</f>
        <v/>
      </c>
      <c r="AF234" t="str">
        <f t="shared" si="368"/>
        <v/>
      </c>
      <c r="AG234" t="str">
        <f>VLOOKUP(C234,Assumptions!$B$116:$C$162,2,FALSE)</f>
        <v>ELCTRLYZ_LRG_C</v>
      </c>
      <c r="AH234" t="str">
        <f>VLOOKUP(D234,Assumptions!$B$116:$C$162,2,FALSE)</f>
        <v>C_UNDRGRND_STRG</v>
      </c>
      <c r="AI234" t="str">
        <f>VLOOKUP(E234,Assumptions!$B$116:$C$162,2,FALSE)</f>
        <v>ONSITE_USE</v>
      </c>
      <c r="AJ234" t="str">
        <f>VLOOKUP(F234,Assumptions!$B$116:$C$162,2,FALSE)</f>
        <v>H2_FC_PWR</v>
      </c>
    </row>
    <row r="235" spans="2:36" x14ac:dyDescent="0.25">
      <c r="B235" t="s">
        <v>112</v>
      </c>
      <c r="C235" t="s">
        <v>49</v>
      </c>
      <c r="D235" t="s">
        <v>155</v>
      </c>
      <c r="E235" t="s">
        <v>157</v>
      </c>
      <c r="F235" t="s">
        <v>164</v>
      </c>
      <c r="G235" t="s">
        <v>126</v>
      </c>
      <c r="H235" t="s">
        <v>433</v>
      </c>
      <c r="I235" t="s">
        <v>32</v>
      </c>
      <c r="J235" t="s">
        <v>329</v>
      </c>
      <c r="K235">
        <f t="shared" si="481"/>
        <v>1</v>
      </c>
      <c r="L235">
        <f t="shared" si="482"/>
        <v>1</v>
      </c>
      <c r="M235">
        <f t="shared" si="483"/>
        <v>0</v>
      </c>
      <c r="N235">
        <f t="shared" si="484"/>
        <v>1</v>
      </c>
      <c r="O235">
        <f t="shared" si="485"/>
        <v>3</v>
      </c>
      <c r="P235" t="str">
        <f t="shared" si="486"/>
        <v>Large centralized electrolysis-CO2 emissions</v>
      </c>
      <c r="Q235" t="str">
        <f t="shared" si="487"/>
        <v>Central gas storage-CO2 emissions</v>
      </c>
      <c r="R235" t="str">
        <f t="shared" si="488"/>
        <v>Blending in natural gas pipeline-CO2 emissions</v>
      </c>
      <c r="S235" t="str">
        <f t="shared" si="489"/>
        <v>Prime power H2 fuel cell-CO2 emissions</v>
      </c>
      <c r="T235">
        <f ca="1">IF(timePeriod="2020-30",(VLOOKUP($P235,'TA database'!$I$8:$J$79,2,FALSE)/VLOOKUP($D235,'Merit calculation'!$B$48:$I$52,5,FALSE)/VLOOKUP($E235,'Merit calculation'!$B$67:$I$73,5,FALSE)/VLOOKUP($F235,'Merit calculation'!$B$90:$I$103,5,FALSE)/energyContentH2),(VLOOKUP($P235,'TA database'!$I$8:$J$79,2,FALSE)/VLOOKUP($D235,'Merit calculation'!$B$48:$I$52,7,FALSE)/VLOOKUP($E235,'Merit calculation'!$B$67:$I$73,7,FALSE)/VLOOKUP($F235,'Merit calculation'!$B$90:$I$103,7,FALSE)/energyContentH2))</f>
        <v>3.3842767153585578E-2</v>
      </c>
      <c r="U235">
        <v>0</v>
      </c>
      <c r="V235">
        <v>0</v>
      </c>
      <c r="W235">
        <f>IFERROR(VLOOKUP($S235,'TA database'!$I$146:$J$193,2,FALSE),0)</f>
        <v>0</v>
      </c>
      <c r="X235">
        <f ca="1">IFERROR(VLOOKUP($S235,'TA database'!$I$200:$J$271,2,FALSE),0)</f>
        <v>0</v>
      </c>
      <c r="Y235">
        <f t="shared" ca="1" si="490"/>
        <v>0.12183396175290809</v>
      </c>
      <c r="Z235" t="str">
        <f t="shared" si="491"/>
        <v>ELCTRLYZ_LRG_C   →   C_GAS_STRG   →   H2_BLND_NG_P   →   H2_FC_PWR</v>
      </c>
      <c r="AA235" t="str">
        <f t="shared" si="492"/>
        <v>Onsite / Back-up power</v>
      </c>
      <c r="AB235" t="str">
        <f t="shared" si="493"/>
        <v>CO2 emissions</v>
      </c>
      <c r="AC235">
        <f t="shared" ca="1" si="494"/>
        <v>0.12183396175290809</v>
      </c>
      <c r="AD235">
        <v>176</v>
      </c>
      <c r="AE235" t="str">
        <f>IF(AND(ISNUMBER(SEARCH(O235,4)),ISNUMBER(SEARCH('(4) FCH pathway assessment'!$B$16,AB235)),ISNUMBER(SEARCH('(4) FCH pathway assessment'!$B$10,AA235))),AD235,"")</f>
        <v/>
      </c>
      <c r="AF235" t="str">
        <f t="shared" si="368"/>
        <v/>
      </c>
      <c r="AG235" t="str">
        <f>VLOOKUP(C235,Assumptions!$B$116:$C$162,2,FALSE)</f>
        <v>ELCTRLYZ_LRG_C</v>
      </c>
      <c r="AH235" t="str">
        <f>VLOOKUP(D235,Assumptions!$B$116:$C$162,2,FALSE)</f>
        <v>C_GAS_STRG</v>
      </c>
      <c r="AI235" t="str">
        <f>VLOOKUP(E235,Assumptions!$B$116:$C$162,2,FALSE)</f>
        <v>H2_BLND_NG_P</v>
      </c>
      <c r="AJ235" t="str">
        <f>VLOOKUP(F235,Assumptions!$B$116:$C$162,2,FALSE)</f>
        <v>H2_FC_PWR</v>
      </c>
    </row>
    <row r="236" spans="2:36" x14ac:dyDescent="0.25">
      <c r="B236" t="s">
        <v>112</v>
      </c>
      <c r="C236" t="s">
        <v>49</v>
      </c>
      <c r="D236" t="s">
        <v>155</v>
      </c>
      <c r="E236" t="s">
        <v>122</v>
      </c>
      <c r="F236" t="s">
        <v>164</v>
      </c>
      <c r="G236" t="s">
        <v>126</v>
      </c>
      <c r="H236" t="s">
        <v>433</v>
      </c>
      <c r="I236" t="s">
        <v>32</v>
      </c>
      <c r="J236" t="s">
        <v>329</v>
      </c>
      <c r="K236">
        <f t="shared" si="481"/>
        <v>1</v>
      </c>
      <c r="L236">
        <f t="shared" si="482"/>
        <v>1</v>
      </c>
      <c r="M236">
        <f t="shared" si="483"/>
        <v>1</v>
      </c>
      <c r="N236">
        <f t="shared" si="484"/>
        <v>1</v>
      </c>
      <c r="O236">
        <f t="shared" si="485"/>
        <v>4</v>
      </c>
      <c r="P236" t="str">
        <f t="shared" si="486"/>
        <v>Large centralized electrolysis-CO2 emissions</v>
      </c>
      <c r="Q236" t="str">
        <f t="shared" si="487"/>
        <v>Central gas storage-CO2 emissions</v>
      </c>
      <c r="R236" t="str">
        <f t="shared" si="488"/>
        <v>Hydrogen transmission &amp; distribution pipeline-CO2 emissions</v>
      </c>
      <c r="S236" t="str">
        <f t="shared" si="489"/>
        <v>Prime power H2 fuel cell-CO2 emissions</v>
      </c>
      <c r="T236">
        <f ca="1">IF(timePeriod="2020-30",(VLOOKUP($P236,'TA database'!$I$8:$J$79,2,FALSE)/VLOOKUP($D236,'Merit calculation'!$B$48:$I$52,5,FALSE)/VLOOKUP($E236,'Merit calculation'!$B$67:$I$73,5,FALSE)/VLOOKUP($F236,'Merit calculation'!$B$90:$I$103,5,FALSE)/energyContentH2),(VLOOKUP($P236,'TA database'!$I$8:$J$79,2,FALSE)/VLOOKUP($D236,'Merit calculation'!$B$48:$I$52,7,FALSE)/VLOOKUP($E236,'Merit calculation'!$B$67:$I$73,7,FALSE)/VLOOKUP($F236,'Merit calculation'!$B$90:$I$103,7,FALSE)/energyContentH2))</f>
        <v>3.3842767153585578E-2</v>
      </c>
      <c r="U236">
        <v>0</v>
      </c>
      <c r="V236">
        <v>0</v>
      </c>
      <c r="W236">
        <f>IFERROR(VLOOKUP($S236,'TA database'!$I$146:$J$193,2,FALSE),0)</f>
        <v>0</v>
      </c>
      <c r="X236">
        <f ca="1">IFERROR(VLOOKUP($S236,'TA database'!$I$200:$J$271,2,FALSE),0)</f>
        <v>0</v>
      </c>
      <c r="Y236">
        <f t="shared" ca="1" si="490"/>
        <v>0.12183396175290809</v>
      </c>
      <c r="Z236" t="str">
        <f t="shared" si="491"/>
        <v>ELCTRLYZ_LRG_C   →   C_GAS_STRG   →   H2_T&amp;D_P   →   H2_FC_PWR</v>
      </c>
      <c r="AA236" t="str">
        <f t="shared" si="492"/>
        <v>Onsite / Back-up power</v>
      </c>
      <c r="AB236" t="str">
        <f t="shared" si="493"/>
        <v>CO2 emissions</v>
      </c>
      <c r="AC236">
        <f t="shared" ca="1" si="494"/>
        <v>0.12183396175290809</v>
      </c>
      <c r="AD236">
        <v>177</v>
      </c>
      <c r="AE236" t="str">
        <f>IF(AND(ISNUMBER(SEARCH(O236,4)),ISNUMBER(SEARCH('(4) FCH pathway assessment'!$B$16,AB236)),ISNUMBER(SEARCH('(4) FCH pathway assessment'!$B$10,AA236))),AD236,"")</f>
        <v/>
      </c>
      <c r="AF236" t="str">
        <f t="shared" si="368"/>
        <v/>
      </c>
      <c r="AG236" t="str">
        <f>VLOOKUP(C236,Assumptions!$B$116:$C$162,2,FALSE)</f>
        <v>ELCTRLYZ_LRG_C</v>
      </c>
      <c r="AH236" t="str">
        <f>VLOOKUP(D236,Assumptions!$B$116:$C$162,2,FALSE)</f>
        <v>C_GAS_STRG</v>
      </c>
      <c r="AI236" t="str">
        <f>VLOOKUP(E236,Assumptions!$B$116:$C$162,2,FALSE)</f>
        <v>H2_T&amp;D_P</v>
      </c>
      <c r="AJ236" t="str">
        <f>VLOOKUP(F236,Assumptions!$B$116:$C$162,2,FALSE)</f>
        <v>H2_FC_PWR</v>
      </c>
    </row>
    <row r="237" spans="2:36" x14ac:dyDescent="0.25">
      <c r="B237" t="s">
        <v>112</v>
      </c>
      <c r="C237" t="s">
        <v>49</v>
      </c>
      <c r="D237" t="s">
        <v>155</v>
      </c>
      <c r="E237" t="s">
        <v>66</v>
      </c>
      <c r="F237" t="s">
        <v>164</v>
      </c>
      <c r="G237" t="s">
        <v>126</v>
      </c>
      <c r="H237" t="s">
        <v>433</v>
      </c>
      <c r="I237" t="s">
        <v>32</v>
      </c>
      <c r="J237" t="s">
        <v>329</v>
      </c>
      <c r="K237">
        <f t="shared" si="481"/>
        <v>1</v>
      </c>
      <c r="L237">
        <f t="shared" si="482"/>
        <v>1</v>
      </c>
      <c r="M237">
        <f t="shared" si="483"/>
        <v>1</v>
      </c>
      <c r="N237">
        <f t="shared" si="484"/>
        <v>1</v>
      </c>
      <c r="O237">
        <f t="shared" si="485"/>
        <v>4</v>
      </c>
      <c r="P237" t="str">
        <f t="shared" si="486"/>
        <v>Large centralized electrolysis-CO2 emissions</v>
      </c>
      <c r="Q237" t="str">
        <f t="shared" si="487"/>
        <v>Central gas storage-CO2 emissions</v>
      </c>
      <c r="R237" t="str">
        <f t="shared" si="488"/>
        <v>Onsite-CO2 emissions</v>
      </c>
      <c r="S237" t="str">
        <f t="shared" si="489"/>
        <v>Prime power H2 fuel cell-CO2 emissions</v>
      </c>
      <c r="T237">
        <f ca="1">IF(timePeriod="2020-30",(VLOOKUP($P237,'TA database'!$I$8:$J$79,2,FALSE)/VLOOKUP($D237,'Merit calculation'!$B$48:$I$52,5,FALSE)/VLOOKUP($E237,'Merit calculation'!$B$67:$I$73,5,FALSE)/VLOOKUP($F237,'Merit calculation'!$B$90:$I$103,5,FALSE)/energyContentH2),(VLOOKUP($P237,'TA database'!$I$8:$J$79,2,FALSE)/VLOOKUP($D237,'Merit calculation'!$B$48:$I$52,7,FALSE)/VLOOKUP($E237,'Merit calculation'!$B$67:$I$73,7,FALSE)/VLOOKUP($F237,'Merit calculation'!$B$90:$I$103,7,FALSE)/energyContentH2))</f>
        <v>3.3504339482049714E-2</v>
      </c>
      <c r="U237">
        <v>0</v>
      </c>
      <c r="V237">
        <v>0</v>
      </c>
      <c r="W237">
        <f>IFERROR(VLOOKUP($S237,'TA database'!$I$146:$J$193,2,FALSE),0)</f>
        <v>0</v>
      </c>
      <c r="X237">
        <f ca="1">IFERROR(VLOOKUP($S237,'TA database'!$I$200:$J$271,2,FALSE),0)</f>
        <v>0</v>
      </c>
      <c r="Y237">
        <f t="shared" ca="1" si="490"/>
        <v>0.12061562213537898</v>
      </c>
      <c r="Z237" t="str">
        <f t="shared" si="491"/>
        <v>ELCTRLYZ_LRG_C   →   C_GAS_STRG   →   ONSITE_USE   →   H2_FC_PWR</v>
      </c>
      <c r="AA237" t="str">
        <f t="shared" si="492"/>
        <v>Onsite / Back-up power</v>
      </c>
      <c r="AB237" t="str">
        <f t="shared" si="493"/>
        <v>CO2 emissions</v>
      </c>
      <c r="AC237">
        <f t="shared" ca="1" si="494"/>
        <v>0.12061562213537898</v>
      </c>
      <c r="AD237">
        <v>178</v>
      </c>
      <c r="AE237" t="str">
        <f>IF(AND(ISNUMBER(SEARCH(O237,4)),ISNUMBER(SEARCH('(4) FCH pathway assessment'!$B$16,AB237)),ISNUMBER(SEARCH('(4) FCH pathway assessment'!$B$10,AA237))),AD237,"")</f>
        <v/>
      </c>
      <c r="AF237" t="str">
        <f t="shared" si="368"/>
        <v/>
      </c>
      <c r="AG237" t="str">
        <f>VLOOKUP(C237,Assumptions!$B$116:$C$162,2,FALSE)</f>
        <v>ELCTRLYZ_LRG_C</v>
      </c>
      <c r="AH237" t="str">
        <f>VLOOKUP(D237,Assumptions!$B$116:$C$162,2,FALSE)</f>
        <v>C_GAS_STRG</v>
      </c>
      <c r="AI237" t="str">
        <f>VLOOKUP(E237,Assumptions!$B$116:$C$162,2,FALSE)</f>
        <v>ONSITE_USE</v>
      </c>
      <c r="AJ237" t="str">
        <f>VLOOKUP(F237,Assumptions!$B$116:$C$162,2,FALSE)</f>
        <v>H2_FC_PWR</v>
      </c>
    </row>
    <row r="238" spans="2:36" x14ac:dyDescent="0.25">
      <c r="B238" t="s">
        <v>112</v>
      </c>
      <c r="C238" t="s">
        <v>51</v>
      </c>
      <c r="D238" t="s">
        <v>155</v>
      </c>
      <c r="E238" t="s">
        <v>157</v>
      </c>
      <c r="F238" t="s">
        <v>164</v>
      </c>
      <c r="G238" t="s">
        <v>126</v>
      </c>
      <c r="H238" t="s">
        <v>433</v>
      </c>
      <c r="I238" t="s">
        <v>32</v>
      </c>
      <c r="J238" t="s">
        <v>329</v>
      </c>
      <c r="K238">
        <f t="shared" si="481"/>
        <v>1</v>
      </c>
      <c r="L238">
        <f t="shared" si="482"/>
        <v>1</v>
      </c>
      <c r="M238">
        <f t="shared" si="483"/>
        <v>0</v>
      </c>
      <c r="N238">
        <f t="shared" si="484"/>
        <v>1</v>
      </c>
      <c r="O238">
        <f t="shared" si="485"/>
        <v>3</v>
      </c>
      <c r="P238" t="str">
        <f t="shared" si="486"/>
        <v>Medium centralized electrolysis-CO2 emissions</v>
      </c>
      <c r="Q238" t="str">
        <f t="shared" si="487"/>
        <v>Central gas storage-CO2 emissions</v>
      </c>
      <c r="R238" t="str">
        <f t="shared" si="488"/>
        <v>Blending in natural gas pipeline-CO2 emissions</v>
      </c>
      <c r="S238" t="str">
        <f t="shared" si="489"/>
        <v>Prime power H2 fuel cell-CO2 emissions</v>
      </c>
      <c r="T238">
        <f ca="1">IF(timePeriod="2020-30",(VLOOKUP($P238,'TA database'!$I$8:$J$79,2,FALSE)/VLOOKUP($D238,'Merit calculation'!$B$48:$I$52,5,FALSE)/VLOOKUP($E238,'Merit calculation'!$B$67:$I$73,5,FALSE)/VLOOKUP($F238,'Merit calculation'!$B$90:$I$103,5,FALSE)/energyContentH2),(VLOOKUP($P238,'TA database'!$I$8:$J$79,2,FALSE)/VLOOKUP($D238,'Merit calculation'!$B$48:$I$52,7,FALSE)/VLOOKUP($E238,'Merit calculation'!$B$67:$I$73,7,FALSE)/VLOOKUP($F238,'Merit calculation'!$B$90:$I$103,7,FALSE)/energyContentH2))</f>
        <v>3.3842767153585578E-2</v>
      </c>
      <c r="U238">
        <v>0</v>
      </c>
      <c r="V238">
        <v>0</v>
      </c>
      <c r="W238">
        <f>IFERROR(VLOOKUP($S238,'TA database'!$I$146:$J$193,2,FALSE),0)</f>
        <v>0</v>
      </c>
      <c r="X238">
        <f ca="1">IFERROR(VLOOKUP($S238,'TA database'!$I$200:$J$271,2,FALSE),0)</f>
        <v>0</v>
      </c>
      <c r="Y238">
        <f t="shared" ca="1" si="490"/>
        <v>0.12183396175290809</v>
      </c>
      <c r="Z238" t="str">
        <f t="shared" si="491"/>
        <v>ELCTRLYZ_MED_C   →   C_GAS_STRG   →   H2_BLND_NG_P   →   H2_FC_PWR</v>
      </c>
      <c r="AA238" t="str">
        <f t="shared" si="492"/>
        <v>Onsite / Back-up power</v>
      </c>
      <c r="AB238" t="str">
        <f t="shared" si="493"/>
        <v>CO2 emissions</v>
      </c>
      <c r="AC238">
        <f t="shared" ca="1" si="494"/>
        <v>0.12183396175290809</v>
      </c>
      <c r="AD238">
        <v>179</v>
      </c>
      <c r="AE238" t="str">
        <f>IF(AND(ISNUMBER(SEARCH(O238,4)),ISNUMBER(SEARCH('(4) FCH pathway assessment'!$B$16,AB238)),ISNUMBER(SEARCH('(4) FCH pathway assessment'!$B$10,AA238))),AD238,"")</f>
        <v/>
      </c>
      <c r="AF238" t="str">
        <f t="shared" si="368"/>
        <v/>
      </c>
      <c r="AG238" t="str">
        <f>VLOOKUP(C238,Assumptions!$B$116:$C$162,2,FALSE)</f>
        <v>ELCTRLYZ_MED_C</v>
      </c>
      <c r="AH238" t="str">
        <f>VLOOKUP(D238,Assumptions!$B$116:$C$162,2,FALSE)</f>
        <v>C_GAS_STRG</v>
      </c>
      <c r="AI238" t="str">
        <f>VLOOKUP(E238,Assumptions!$B$116:$C$162,2,FALSE)</f>
        <v>H2_BLND_NG_P</v>
      </c>
      <c r="AJ238" t="str">
        <f>VLOOKUP(F238,Assumptions!$B$116:$C$162,2,FALSE)</f>
        <v>H2_FC_PWR</v>
      </c>
    </row>
    <row r="239" spans="2:36" x14ac:dyDescent="0.25">
      <c r="B239" t="s">
        <v>112</v>
      </c>
      <c r="C239" t="s">
        <v>51</v>
      </c>
      <c r="D239" t="s">
        <v>155</v>
      </c>
      <c r="E239" t="s">
        <v>122</v>
      </c>
      <c r="F239" t="s">
        <v>164</v>
      </c>
      <c r="G239" t="s">
        <v>126</v>
      </c>
      <c r="H239" t="s">
        <v>433</v>
      </c>
      <c r="I239" t="s">
        <v>32</v>
      </c>
      <c r="J239" t="s">
        <v>329</v>
      </c>
      <c r="K239">
        <f t="shared" si="481"/>
        <v>1</v>
      </c>
      <c r="L239">
        <f t="shared" si="482"/>
        <v>1</v>
      </c>
      <c r="M239">
        <f t="shared" si="483"/>
        <v>1</v>
      </c>
      <c r="N239">
        <f t="shared" si="484"/>
        <v>1</v>
      </c>
      <c r="O239">
        <f t="shared" si="485"/>
        <v>4</v>
      </c>
      <c r="P239" t="str">
        <f t="shared" si="486"/>
        <v>Medium centralized electrolysis-CO2 emissions</v>
      </c>
      <c r="Q239" t="str">
        <f t="shared" si="487"/>
        <v>Central gas storage-CO2 emissions</v>
      </c>
      <c r="R239" t="str">
        <f t="shared" si="488"/>
        <v>Hydrogen transmission &amp; distribution pipeline-CO2 emissions</v>
      </c>
      <c r="S239" t="str">
        <f t="shared" si="489"/>
        <v>Prime power H2 fuel cell-CO2 emissions</v>
      </c>
      <c r="T239">
        <f ca="1">IF(timePeriod="2020-30",(VLOOKUP($P239,'TA database'!$I$8:$J$79,2,FALSE)/VLOOKUP($D239,'Merit calculation'!$B$48:$I$52,5,FALSE)/VLOOKUP($E239,'Merit calculation'!$B$67:$I$73,5,FALSE)/VLOOKUP($F239,'Merit calculation'!$B$90:$I$103,5,FALSE)/energyContentH2),(VLOOKUP($P239,'TA database'!$I$8:$J$79,2,FALSE)/VLOOKUP($D239,'Merit calculation'!$B$48:$I$52,7,FALSE)/VLOOKUP($E239,'Merit calculation'!$B$67:$I$73,7,FALSE)/VLOOKUP($F239,'Merit calculation'!$B$90:$I$103,7,FALSE)/energyContentH2))</f>
        <v>3.3842767153585578E-2</v>
      </c>
      <c r="U239">
        <v>0</v>
      </c>
      <c r="V239">
        <v>0</v>
      </c>
      <c r="W239">
        <f>IFERROR(VLOOKUP($S239,'TA database'!$I$146:$J$193,2,FALSE),0)</f>
        <v>0</v>
      </c>
      <c r="X239">
        <f ca="1">IFERROR(VLOOKUP($S239,'TA database'!$I$200:$J$271,2,FALSE),0)</f>
        <v>0</v>
      </c>
      <c r="Y239">
        <f t="shared" ca="1" si="490"/>
        <v>0.12183396175290809</v>
      </c>
      <c r="Z239" t="str">
        <f t="shared" si="491"/>
        <v>ELCTRLYZ_MED_C   →   C_GAS_STRG   →   H2_T&amp;D_P   →   H2_FC_PWR</v>
      </c>
      <c r="AA239" t="str">
        <f t="shared" si="492"/>
        <v>Onsite / Back-up power</v>
      </c>
      <c r="AB239" t="str">
        <f t="shared" si="493"/>
        <v>CO2 emissions</v>
      </c>
      <c r="AC239">
        <f t="shared" ca="1" si="494"/>
        <v>0.12183396175290809</v>
      </c>
      <c r="AD239">
        <v>180</v>
      </c>
      <c r="AE239" t="str">
        <f>IF(AND(ISNUMBER(SEARCH(O239,4)),ISNUMBER(SEARCH('(4) FCH pathway assessment'!$B$16,AB239)),ISNUMBER(SEARCH('(4) FCH pathway assessment'!$B$10,AA239))),AD239,"")</f>
        <v/>
      </c>
      <c r="AF239" t="str">
        <f t="shared" si="368"/>
        <v/>
      </c>
      <c r="AG239" t="str">
        <f>VLOOKUP(C239,Assumptions!$B$116:$C$162,2,FALSE)</f>
        <v>ELCTRLYZ_MED_C</v>
      </c>
      <c r="AH239" t="str">
        <f>VLOOKUP(D239,Assumptions!$B$116:$C$162,2,FALSE)</f>
        <v>C_GAS_STRG</v>
      </c>
      <c r="AI239" t="str">
        <f>VLOOKUP(E239,Assumptions!$B$116:$C$162,2,FALSE)</f>
        <v>H2_T&amp;D_P</v>
      </c>
      <c r="AJ239" t="str">
        <f>VLOOKUP(F239,Assumptions!$B$116:$C$162,2,FALSE)</f>
        <v>H2_FC_PWR</v>
      </c>
    </row>
    <row r="240" spans="2:36" x14ac:dyDescent="0.25">
      <c r="B240" t="s">
        <v>112</v>
      </c>
      <c r="C240" t="s">
        <v>51</v>
      </c>
      <c r="D240" t="s">
        <v>155</v>
      </c>
      <c r="E240" t="s">
        <v>66</v>
      </c>
      <c r="F240" t="s">
        <v>164</v>
      </c>
      <c r="G240" t="s">
        <v>126</v>
      </c>
      <c r="H240" t="s">
        <v>433</v>
      </c>
      <c r="I240" t="s">
        <v>32</v>
      </c>
      <c r="J240" t="s">
        <v>329</v>
      </c>
      <c r="K240">
        <f t="shared" si="481"/>
        <v>1</v>
      </c>
      <c r="L240">
        <f t="shared" si="482"/>
        <v>1</v>
      </c>
      <c r="M240">
        <f t="shared" si="483"/>
        <v>1</v>
      </c>
      <c r="N240">
        <f t="shared" si="484"/>
        <v>1</v>
      </c>
      <c r="O240">
        <f t="shared" si="485"/>
        <v>4</v>
      </c>
      <c r="P240" t="str">
        <f t="shared" si="486"/>
        <v>Medium centralized electrolysis-CO2 emissions</v>
      </c>
      <c r="Q240" t="str">
        <f t="shared" si="487"/>
        <v>Central gas storage-CO2 emissions</v>
      </c>
      <c r="R240" t="str">
        <f t="shared" si="488"/>
        <v>Onsite-CO2 emissions</v>
      </c>
      <c r="S240" t="str">
        <f t="shared" si="489"/>
        <v>Prime power H2 fuel cell-CO2 emissions</v>
      </c>
      <c r="T240">
        <f ca="1">IF(timePeriod="2020-30",(VLOOKUP($P240,'TA database'!$I$8:$J$79,2,FALSE)/VLOOKUP($D240,'Merit calculation'!$B$48:$I$52,5,FALSE)/VLOOKUP($E240,'Merit calculation'!$B$67:$I$73,5,FALSE)/VLOOKUP($F240,'Merit calculation'!$B$90:$I$103,5,FALSE)/energyContentH2),(VLOOKUP($P240,'TA database'!$I$8:$J$79,2,FALSE)/VLOOKUP($D240,'Merit calculation'!$B$48:$I$52,7,FALSE)/VLOOKUP($E240,'Merit calculation'!$B$67:$I$73,7,FALSE)/VLOOKUP($F240,'Merit calculation'!$B$90:$I$103,7,FALSE)/energyContentH2))</f>
        <v>3.3504339482049714E-2</v>
      </c>
      <c r="U240">
        <v>0</v>
      </c>
      <c r="V240">
        <v>0</v>
      </c>
      <c r="W240">
        <f>IFERROR(VLOOKUP($S240,'TA database'!$I$146:$J$193,2,FALSE),0)</f>
        <v>0</v>
      </c>
      <c r="X240">
        <f ca="1">IFERROR(VLOOKUP($S240,'TA database'!$I$200:$J$271,2,FALSE),0)</f>
        <v>0</v>
      </c>
      <c r="Y240">
        <f t="shared" ca="1" si="490"/>
        <v>0.12061562213537898</v>
      </c>
      <c r="Z240" t="str">
        <f t="shared" si="491"/>
        <v>ELCTRLYZ_MED_C   →   C_GAS_STRG   →   ONSITE_USE   →   H2_FC_PWR</v>
      </c>
      <c r="AA240" t="str">
        <f t="shared" si="492"/>
        <v>Onsite / Back-up power</v>
      </c>
      <c r="AB240" t="str">
        <f t="shared" si="493"/>
        <v>CO2 emissions</v>
      </c>
      <c r="AC240">
        <f t="shared" ca="1" si="494"/>
        <v>0.12061562213537898</v>
      </c>
      <c r="AD240">
        <v>181</v>
      </c>
      <c r="AE240" t="str">
        <f>IF(AND(ISNUMBER(SEARCH(O240,4)),ISNUMBER(SEARCH('(4) FCH pathway assessment'!$B$16,AB240)),ISNUMBER(SEARCH('(4) FCH pathway assessment'!$B$10,AA240))),AD240,"")</f>
        <v/>
      </c>
      <c r="AF240" t="str">
        <f t="shared" si="368"/>
        <v/>
      </c>
      <c r="AG240" t="str">
        <f>VLOOKUP(C240,Assumptions!$B$116:$C$162,2,FALSE)</f>
        <v>ELCTRLYZ_MED_C</v>
      </c>
      <c r="AH240" t="str">
        <f>VLOOKUP(D240,Assumptions!$B$116:$C$162,2,FALSE)</f>
        <v>C_GAS_STRG</v>
      </c>
      <c r="AI240" t="str">
        <f>VLOOKUP(E240,Assumptions!$B$116:$C$162,2,FALSE)</f>
        <v>ONSITE_USE</v>
      </c>
      <c r="AJ240" t="str">
        <f>VLOOKUP(F240,Assumptions!$B$116:$C$162,2,FALSE)</f>
        <v>H2_FC_PWR</v>
      </c>
    </row>
    <row r="241" spans="2:36" x14ac:dyDescent="0.25">
      <c r="B241" t="s">
        <v>112</v>
      </c>
      <c r="C241" t="s">
        <v>52</v>
      </c>
      <c r="D241" s="60" t="s">
        <v>130</v>
      </c>
      <c r="E241" t="s">
        <v>66</v>
      </c>
      <c r="F241" t="s">
        <v>164</v>
      </c>
      <c r="G241" t="s">
        <v>126</v>
      </c>
      <c r="H241" t="s">
        <v>433</v>
      </c>
      <c r="I241" t="s">
        <v>32</v>
      </c>
      <c r="J241" t="s">
        <v>329</v>
      </c>
      <c r="K241">
        <f t="shared" ref="K241:K244" si="495">SUMPRODUCT(($C$7:$C$18=$C241)*($D$6:$H$6=$D241)*($D$7:$H$18))</f>
        <v>1</v>
      </c>
      <c r="L241">
        <f t="shared" ref="L241:L244" si="496">SUMPRODUCT(($C$19:$C$23=$D241)*($I$6:$O$6=$E241)*($I$19:$O$23))</f>
        <v>1</v>
      </c>
      <c r="M241">
        <f t="shared" ref="M241:M244" si="497">SUMPRODUCT(($C$24:$C$30=$E241)*($P$6:$AI$6=$F241)*($P$24:$AI$30))</f>
        <v>1</v>
      </c>
      <c r="N241">
        <f t="shared" ref="N241:N244" si="498">SUMPRODUCT(($C$31:$C$50=$F241)*($AJ$6:$AM$6=$G241)*($AJ$31:$AM$50))</f>
        <v>1</v>
      </c>
      <c r="O241">
        <f t="shared" ref="O241:O244" si="499">K241+L241+M241+N241</f>
        <v>4</v>
      </c>
      <c r="P241" t="str">
        <f t="shared" ref="P241:P244" si="500">CONCATENATE(C241,"-",J241)</f>
        <v>Small decentralized electrolysis-CO2 emissions</v>
      </c>
      <c r="Q241" t="str">
        <f t="shared" ref="Q241:Q244" si="501">CONCATENATE(D241,"-",J241)</f>
        <v>Distributed gas storage-CO2 emissions</v>
      </c>
      <c r="R241" t="str">
        <f t="shared" ref="R241:R244" si="502">CONCATENATE(E241,"-",J241)</f>
        <v>Onsite-CO2 emissions</v>
      </c>
      <c r="S241" t="str">
        <f t="shared" ref="S241:S244" si="503">CONCATENATE(F241,"-",J241)</f>
        <v>Prime power H2 fuel cell-CO2 emissions</v>
      </c>
      <c r="T241">
        <f ca="1">IF(timePeriod="2020-30",(VLOOKUP($P241,'TA database'!$I$8:$J$79,2,FALSE)/VLOOKUP($D241,'Merit calculation'!$B$48:$I$52,5,FALSE)/VLOOKUP($E241,'Merit calculation'!$B$67:$I$73,5,FALSE)/VLOOKUP($F241,'Merit calculation'!$B$90:$I$103,5,FALSE)/energyContentH2),(VLOOKUP($P241,'TA database'!$I$8:$J$79,2,FALSE)/VLOOKUP($D241,'Merit calculation'!$B$48:$I$52,7,FALSE)/VLOOKUP($E241,'Merit calculation'!$B$67:$I$73,7,FALSE)/VLOOKUP($F241,'Merit calculation'!$B$90:$I$103,7,FALSE)/energyContentH2))</f>
        <v>3.3504339482049714E-2</v>
      </c>
      <c r="U241">
        <v>0</v>
      </c>
      <c r="V241">
        <v>0</v>
      </c>
      <c r="W241">
        <f>IFERROR(VLOOKUP($S241,'TA database'!$I$146:$J$193,2,FALSE),0)</f>
        <v>0</v>
      </c>
      <c r="X241">
        <f ca="1">IFERROR(VLOOKUP($S241,'TA database'!$I$200:$J$271,2,FALSE),0)</f>
        <v>0</v>
      </c>
      <c r="Y241">
        <f t="shared" ref="Y241:Y244" ca="1" si="504">IF($W241=0,T241*3.6+X241,T241+W241)</f>
        <v>0.12061562213537898</v>
      </c>
      <c r="Z241" t="str">
        <f t="shared" ref="Z241:Z244" si="505">CONCATENATE(AG241,"   →   ",AH241,"   →   ",AI241,"   →   ",AJ241)</f>
        <v>ELCTRLYZ_SML_D   →   D_GAS_STRG   →   ONSITE_USE   →   H2_FC_PWR</v>
      </c>
      <c r="AA241" t="str">
        <f t="shared" ref="AA241:AA244" si="506">G241</f>
        <v>Onsite / Back-up power</v>
      </c>
      <c r="AB241" t="str">
        <f t="shared" ref="AB241:AB244" si="507">J241</f>
        <v>CO2 emissions</v>
      </c>
      <c r="AC241">
        <f t="shared" ref="AC241:AC244" ca="1" si="508">Y241</f>
        <v>0.12061562213537898</v>
      </c>
      <c r="AD241">
        <v>182</v>
      </c>
      <c r="AE241" t="str">
        <f>IF(AND(ISNUMBER(SEARCH(O241,4)),ISNUMBER(SEARCH('(4) FCH pathway assessment'!$B$16,AB241)),ISNUMBER(SEARCH('(4) FCH pathway assessment'!$B$10,AA241))),AD241,"")</f>
        <v/>
      </c>
      <c r="AF241" t="str">
        <f t="shared" si="368"/>
        <v/>
      </c>
      <c r="AG241" t="str">
        <f>VLOOKUP(C241,Assumptions!$B$116:$C$162,2,FALSE)</f>
        <v>ELCTRLYZ_SML_D</v>
      </c>
      <c r="AH241" t="str">
        <f>VLOOKUP(D241,Assumptions!$B$116:$C$162,2,FALSE)</f>
        <v>D_GAS_STRG</v>
      </c>
      <c r="AI241" t="str">
        <f>VLOOKUP(E241,Assumptions!$B$116:$C$162,2,FALSE)</f>
        <v>ONSITE_USE</v>
      </c>
      <c r="AJ241" t="str">
        <f>VLOOKUP(F241,Assumptions!$B$116:$C$162,2,FALSE)</f>
        <v>H2_FC_PWR</v>
      </c>
    </row>
    <row r="242" spans="2:36" x14ac:dyDescent="0.25">
      <c r="B242" t="s">
        <v>127</v>
      </c>
      <c r="C242" t="s">
        <v>57</v>
      </c>
      <c r="D242" t="s">
        <v>62</v>
      </c>
      <c r="E242" t="s">
        <v>157</v>
      </c>
      <c r="F242" t="s">
        <v>164</v>
      </c>
      <c r="G242" t="s">
        <v>126</v>
      </c>
      <c r="H242" t="s">
        <v>433</v>
      </c>
      <c r="I242" t="s">
        <v>32</v>
      </c>
      <c r="J242" t="s">
        <v>329</v>
      </c>
      <c r="K242">
        <f t="shared" si="495"/>
        <v>1</v>
      </c>
      <c r="L242">
        <f t="shared" si="496"/>
        <v>0</v>
      </c>
      <c r="M242">
        <f t="shared" si="497"/>
        <v>0</v>
      </c>
      <c r="N242">
        <f t="shared" si="498"/>
        <v>1</v>
      </c>
      <c r="O242">
        <f t="shared" si="499"/>
        <v>2</v>
      </c>
      <c r="P242" t="str">
        <f t="shared" si="500"/>
        <v>Large centralized natural gas steam reforming-CO2 emissions</v>
      </c>
      <c r="Q242" t="str">
        <f t="shared" si="501"/>
        <v>Underground storage-CO2 emissions</v>
      </c>
      <c r="R242" t="str">
        <f t="shared" si="502"/>
        <v>Blending in natural gas pipeline-CO2 emissions</v>
      </c>
      <c r="S242" t="str">
        <f t="shared" si="503"/>
        <v>Prime power H2 fuel cell-CO2 emissions</v>
      </c>
      <c r="T242">
        <f ca="1">IF(timePeriod="2020-30",(VLOOKUP($P242,'TA database'!$I$8:$J$79,2,FALSE)/VLOOKUP($D242,'Merit calculation'!$B$48:$I$52,5,FALSE)/VLOOKUP($E242,'Merit calculation'!$B$67:$I$73,5,FALSE)/VLOOKUP($F242,'Merit calculation'!$B$90:$I$103,5,FALSE)/energyContentH2),(VLOOKUP($P242,'TA database'!$I$8:$J$79,2,FALSE)/VLOOKUP($D242,'Merit calculation'!$B$48:$I$52,7,FALSE)/VLOOKUP($E242,'Merit calculation'!$B$67:$I$73,7,FALSE)/VLOOKUP($F242,'Merit calculation'!$B$90:$I$103,7,FALSE)/energyContentH2))</f>
        <v>0.13531692018689653</v>
      </c>
      <c r="U242">
        <v>0</v>
      </c>
      <c r="V242">
        <v>0</v>
      </c>
      <c r="W242">
        <f>IFERROR(VLOOKUP($S242,'TA database'!$I$146:$J$193,2,FALSE),0)</f>
        <v>0</v>
      </c>
      <c r="X242">
        <f ca="1">IFERROR(VLOOKUP($S242,'TA database'!$I$200:$J$271,2,FALSE),0)</f>
        <v>0</v>
      </c>
      <c r="Y242">
        <f t="shared" ca="1" si="504"/>
        <v>0.48714091267282755</v>
      </c>
      <c r="Z242" t="str">
        <f t="shared" si="505"/>
        <v>NG_SR_LRG_C   →   C_UNDRGRND_STRG   →   H2_BLND_NG_P   →   H2_FC_PWR</v>
      </c>
      <c r="AA242" t="str">
        <f t="shared" si="506"/>
        <v>Onsite / Back-up power</v>
      </c>
      <c r="AB242" t="str">
        <f t="shared" si="507"/>
        <v>CO2 emissions</v>
      </c>
      <c r="AC242">
        <f t="shared" ca="1" si="508"/>
        <v>0.48714091267282755</v>
      </c>
      <c r="AD242">
        <v>183</v>
      </c>
      <c r="AE242" t="str">
        <f>IF(AND(ISNUMBER(SEARCH(O242,4)),ISNUMBER(SEARCH('(4) FCH pathway assessment'!$B$16,AB242)),ISNUMBER(SEARCH('(4) FCH pathway assessment'!$B$10,AA242))),AD242,"")</f>
        <v/>
      </c>
      <c r="AF242" t="str">
        <f t="shared" si="368"/>
        <v/>
      </c>
      <c r="AG242" t="str">
        <f>VLOOKUP(C242,Assumptions!$B$116:$C$162,2,FALSE)</f>
        <v>NG_SR_LRG_C</v>
      </c>
      <c r="AH242" t="str">
        <f>VLOOKUP(D242,Assumptions!$B$116:$C$162,2,FALSE)</f>
        <v>C_UNDRGRND_STRG</v>
      </c>
      <c r="AI242" t="str">
        <f>VLOOKUP(E242,Assumptions!$B$116:$C$162,2,FALSE)</f>
        <v>H2_BLND_NG_P</v>
      </c>
      <c r="AJ242" t="str">
        <f>VLOOKUP(F242,Assumptions!$B$116:$C$162,2,FALSE)</f>
        <v>H2_FC_PWR</v>
      </c>
    </row>
    <row r="243" spans="2:36" x14ac:dyDescent="0.25">
      <c r="B243" t="s">
        <v>127</v>
      </c>
      <c r="C243" t="s">
        <v>57</v>
      </c>
      <c r="D243" t="s">
        <v>62</v>
      </c>
      <c r="E243" t="s">
        <v>122</v>
      </c>
      <c r="F243" t="s">
        <v>164</v>
      </c>
      <c r="G243" t="s">
        <v>126</v>
      </c>
      <c r="H243" t="s">
        <v>433</v>
      </c>
      <c r="I243" t="s">
        <v>32</v>
      </c>
      <c r="J243" t="s">
        <v>329</v>
      </c>
      <c r="K243">
        <f t="shared" si="495"/>
        <v>1</v>
      </c>
      <c r="L243">
        <f t="shared" si="496"/>
        <v>0</v>
      </c>
      <c r="M243">
        <f t="shared" si="497"/>
        <v>1</v>
      </c>
      <c r="N243">
        <f t="shared" si="498"/>
        <v>1</v>
      </c>
      <c r="O243">
        <f t="shared" si="499"/>
        <v>3</v>
      </c>
      <c r="P243" t="str">
        <f t="shared" si="500"/>
        <v>Large centralized natural gas steam reforming-CO2 emissions</v>
      </c>
      <c r="Q243" t="str">
        <f t="shared" si="501"/>
        <v>Underground storage-CO2 emissions</v>
      </c>
      <c r="R243" t="str">
        <f t="shared" si="502"/>
        <v>Hydrogen transmission &amp; distribution pipeline-CO2 emissions</v>
      </c>
      <c r="S243" t="str">
        <f t="shared" si="503"/>
        <v>Prime power H2 fuel cell-CO2 emissions</v>
      </c>
      <c r="T243">
        <f ca="1">IF(timePeriod="2020-30",(VLOOKUP($P243,'TA database'!$I$8:$J$79,2,FALSE)/VLOOKUP($D243,'Merit calculation'!$B$48:$I$52,5,FALSE)/VLOOKUP($E243,'Merit calculation'!$B$67:$I$73,5,FALSE)/VLOOKUP($F243,'Merit calculation'!$B$90:$I$103,5,FALSE)/energyContentH2),(VLOOKUP($P243,'TA database'!$I$8:$J$79,2,FALSE)/VLOOKUP($D243,'Merit calculation'!$B$48:$I$52,7,FALSE)/VLOOKUP($E243,'Merit calculation'!$B$67:$I$73,7,FALSE)/VLOOKUP($F243,'Merit calculation'!$B$90:$I$103,7,FALSE)/energyContentH2))</f>
        <v>0.13531692018689653</v>
      </c>
      <c r="U243">
        <v>0</v>
      </c>
      <c r="V243">
        <v>0</v>
      </c>
      <c r="W243">
        <f>IFERROR(VLOOKUP($S243,'TA database'!$I$146:$J$193,2,FALSE),0)</f>
        <v>0</v>
      </c>
      <c r="X243">
        <f ca="1">IFERROR(VLOOKUP($S243,'TA database'!$I$200:$J$271,2,FALSE),0)</f>
        <v>0</v>
      </c>
      <c r="Y243">
        <f t="shared" ca="1" si="504"/>
        <v>0.48714091267282755</v>
      </c>
      <c r="Z243" t="str">
        <f t="shared" si="505"/>
        <v>NG_SR_LRG_C   →   C_UNDRGRND_STRG   →   H2_T&amp;D_P   →   H2_FC_PWR</v>
      </c>
      <c r="AA243" t="str">
        <f t="shared" si="506"/>
        <v>Onsite / Back-up power</v>
      </c>
      <c r="AB243" t="str">
        <f t="shared" si="507"/>
        <v>CO2 emissions</v>
      </c>
      <c r="AC243">
        <f t="shared" ca="1" si="508"/>
        <v>0.48714091267282755</v>
      </c>
      <c r="AD243">
        <v>184</v>
      </c>
      <c r="AE243" t="str">
        <f>IF(AND(ISNUMBER(SEARCH(O243,4)),ISNUMBER(SEARCH('(4) FCH pathway assessment'!$B$16,AB243)),ISNUMBER(SEARCH('(4) FCH pathway assessment'!$B$10,AA243))),AD243,"")</f>
        <v/>
      </c>
      <c r="AF243" t="str">
        <f t="shared" si="368"/>
        <v/>
      </c>
      <c r="AG243" t="str">
        <f>VLOOKUP(C243,Assumptions!$B$116:$C$162,2,FALSE)</f>
        <v>NG_SR_LRG_C</v>
      </c>
      <c r="AH243" t="str">
        <f>VLOOKUP(D243,Assumptions!$B$116:$C$162,2,FALSE)</f>
        <v>C_UNDRGRND_STRG</v>
      </c>
      <c r="AI243" t="str">
        <f>VLOOKUP(E243,Assumptions!$B$116:$C$162,2,FALSE)</f>
        <v>H2_T&amp;D_P</v>
      </c>
      <c r="AJ243" t="str">
        <f>VLOOKUP(F243,Assumptions!$B$116:$C$162,2,FALSE)</f>
        <v>H2_FC_PWR</v>
      </c>
    </row>
    <row r="244" spans="2:36" x14ac:dyDescent="0.25">
      <c r="B244" t="s">
        <v>127</v>
      </c>
      <c r="C244" t="s">
        <v>57</v>
      </c>
      <c r="D244" t="s">
        <v>62</v>
      </c>
      <c r="E244" t="s">
        <v>66</v>
      </c>
      <c r="F244" t="s">
        <v>164</v>
      </c>
      <c r="G244" t="s">
        <v>126</v>
      </c>
      <c r="H244" t="s">
        <v>433</v>
      </c>
      <c r="I244" t="s">
        <v>32</v>
      </c>
      <c r="J244" t="s">
        <v>329</v>
      </c>
      <c r="K244">
        <f t="shared" si="495"/>
        <v>1</v>
      </c>
      <c r="L244">
        <f t="shared" si="496"/>
        <v>0</v>
      </c>
      <c r="M244">
        <f t="shared" si="497"/>
        <v>1</v>
      </c>
      <c r="N244">
        <f t="shared" si="498"/>
        <v>1</v>
      </c>
      <c r="O244">
        <f t="shared" si="499"/>
        <v>3</v>
      </c>
      <c r="P244" t="str">
        <f t="shared" si="500"/>
        <v>Large centralized natural gas steam reforming-CO2 emissions</v>
      </c>
      <c r="Q244" t="str">
        <f t="shared" si="501"/>
        <v>Underground storage-CO2 emissions</v>
      </c>
      <c r="R244" t="str">
        <f t="shared" si="502"/>
        <v>Onsite-CO2 emissions</v>
      </c>
      <c r="S244" t="str">
        <f t="shared" si="503"/>
        <v>Prime power H2 fuel cell-CO2 emissions</v>
      </c>
      <c r="T244">
        <f ca="1">IF(timePeriod="2020-30",(VLOOKUP($P244,'TA database'!$I$8:$J$79,2,FALSE)/VLOOKUP($D244,'Merit calculation'!$B$48:$I$52,5,FALSE)/VLOOKUP($E244,'Merit calculation'!$B$67:$I$73,5,FALSE)/VLOOKUP($F244,'Merit calculation'!$B$90:$I$103,5,FALSE)/energyContentH2),(VLOOKUP($P244,'TA database'!$I$8:$J$79,2,FALSE)/VLOOKUP($D244,'Merit calculation'!$B$48:$I$52,7,FALSE)/VLOOKUP($E244,'Merit calculation'!$B$67:$I$73,7,FALSE)/VLOOKUP($F244,'Merit calculation'!$B$90:$I$103,7,FALSE)/energyContentH2))</f>
        <v>0.13396375098502758</v>
      </c>
      <c r="U244">
        <v>0</v>
      </c>
      <c r="V244">
        <v>0</v>
      </c>
      <c r="W244">
        <f>IFERROR(VLOOKUP($S244,'TA database'!$I$146:$J$193,2,FALSE),0)</f>
        <v>0</v>
      </c>
      <c r="X244">
        <f ca="1">IFERROR(VLOOKUP($S244,'TA database'!$I$200:$J$271,2,FALSE),0)</f>
        <v>0</v>
      </c>
      <c r="Y244">
        <f t="shared" ca="1" si="504"/>
        <v>0.48226950354609932</v>
      </c>
      <c r="Z244" t="str">
        <f t="shared" si="505"/>
        <v>NG_SR_LRG_C   →   C_UNDRGRND_STRG   →   ONSITE_USE   →   H2_FC_PWR</v>
      </c>
      <c r="AA244" t="str">
        <f t="shared" si="506"/>
        <v>Onsite / Back-up power</v>
      </c>
      <c r="AB244" t="str">
        <f t="shared" si="507"/>
        <v>CO2 emissions</v>
      </c>
      <c r="AC244">
        <f t="shared" ca="1" si="508"/>
        <v>0.48226950354609932</v>
      </c>
      <c r="AD244">
        <v>185</v>
      </c>
      <c r="AE244" t="str">
        <f>IF(AND(ISNUMBER(SEARCH(O244,4)),ISNUMBER(SEARCH('(4) FCH pathway assessment'!$B$16,AB244)),ISNUMBER(SEARCH('(4) FCH pathway assessment'!$B$10,AA244))),AD244,"")</f>
        <v/>
      </c>
      <c r="AF244" t="str">
        <f t="shared" si="368"/>
        <v/>
      </c>
      <c r="AG244" t="str">
        <f>VLOOKUP(C244,Assumptions!$B$116:$C$162,2,FALSE)</f>
        <v>NG_SR_LRG_C</v>
      </c>
      <c r="AH244" t="str">
        <f>VLOOKUP(D244,Assumptions!$B$116:$C$162,2,FALSE)</f>
        <v>C_UNDRGRND_STRG</v>
      </c>
      <c r="AI244" t="str">
        <f>VLOOKUP(E244,Assumptions!$B$116:$C$162,2,FALSE)</f>
        <v>ONSITE_USE</v>
      </c>
      <c r="AJ244" t="str">
        <f>VLOOKUP(F244,Assumptions!$B$116:$C$162,2,FALSE)</f>
        <v>H2_FC_PWR</v>
      </c>
    </row>
    <row r="245" spans="2:36" x14ac:dyDescent="0.25">
      <c r="B245" t="s">
        <v>127</v>
      </c>
      <c r="C245" t="s">
        <v>57</v>
      </c>
      <c r="D245" s="61" t="s">
        <v>63</v>
      </c>
      <c r="E245" t="s">
        <v>122</v>
      </c>
      <c r="F245" t="s">
        <v>164</v>
      </c>
      <c r="G245" t="s">
        <v>126</v>
      </c>
      <c r="H245" t="s">
        <v>433</v>
      </c>
      <c r="I245" t="s">
        <v>32</v>
      </c>
      <c r="J245" t="s">
        <v>329</v>
      </c>
      <c r="K245">
        <f t="shared" ref="K245:K248" si="509">SUMPRODUCT(($C$7:$C$18=$C245)*($D$6:$H$6=$D245)*($D$7:$H$18))</f>
        <v>1</v>
      </c>
      <c r="L245">
        <f t="shared" ref="L245:L248" si="510">SUMPRODUCT(($C$19:$C$23=$D245)*($I$6:$O$6=$E245)*($I$19:$O$23))</f>
        <v>1</v>
      </c>
      <c r="M245">
        <f t="shared" ref="M245:M248" si="511">SUMPRODUCT(($C$24:$C$30=$E245)*($P$6:$AI$6=$F245)*($P$24:$AI$30))</f>
        <v>1</v>
      </c>
      <c r="N245">
        <f t="shared" ref="N245:N248" si="512">SUMPRODUCT(($C$31:$C$50=$F245)*($AJ$6:$AM$6=$G245)*($AJ$31:$AM$50))</f>
        <v>1</v>
      </c>
      <c r="O245">
        <f t="shared" ref="O245:O248" si="513">K245+L245+M245+N245</f>
        <v>4</v>
      </c>
      <c r="P245" t="str">
        <f t="shared" ref="P245:P248" si="514">CONCATENATE(C245,"-",J245)</f>
        <v>Large centralized natural gas steam reforming-CO2 emissions</v>
      </c>
      <c r="Q245" t="str">
        <f t="shared" ref="Q245:Q248" si="515">CONCATENATE(D245,"-",J245)</f>
        <v>No storage-CO2 emissions</v>
      </c>
      <c r="R245" t="str">
        <f t="shared" ref="R245:R248" si="516">CONCATENATE(E245,"-",J245)</f>
        <v>Hydrogen transmission &amp; distribution pipeline-CO2 emissions</v>
      </c>
      <c r="S245" t="str">
        <f t="shared" ref="S245:S248" si="517">CONCATENATE(F245,"-",J245)</f>
        <v>Prime power H2 fuel cell-CO2 emissions</v>
      </c>
      <c r="T245">
        <f ca="1">IF(timePeriod="2020-30",(VLOOKUP($P245,'TA database'!$I$8:$J$79,2,FALSE)/VLOOKUP($D245,'Merit calculation'!$B$48:$I$52,5,FALSE)/VLOOKUP($E245,'Merit calculation'!$B$67:$I$73,5,FALSE)/VLOOKUP($F245,'Merit calculation'!$B$90:$I$103,5,FALSE)/energyContentH2),(VLOOKUP($P245,'TA database'!$I$8:$J$79,2,FALSE)/VLOOKUP($D245,'Merit calculation'!$B$48:$I$52,7,FALSE)/VLOOKUP($E245,'Merit calculation'!$B$67:$I$73,7,FALSE)/VLOOKUP($F245,'Merit calculation'!$B$90:$I$103,7,FALSE)/energyContentH2))</f>
        <v>0.13396375098502758</v>
      </c>
      <c r="U245">
        <v>0</v>
      </c>
      <c r="V245">
        <v>0</v>
      </c>
      <c r="W245">
        <f>IFERROR(VLOOKUP($S245,'TA database'!$I$146:$J$193,2,FALSE),0)</f>
        <v>0</v>
      </c>
      <c r="X245">
        <f ca="1">IFERROR(VLOOKUP($S245,'TA database'!$I$200:$J$271,2,FALSE),0)</f>
        <v>0</v>
      </c>
      <c r="Y245">
        <f t="shared" ref="Y245:Y248" ca="1" si="518">IF($W245=0,T245*3.6+X245,T245+W245)</f>
        <v>0.48226950354609932</v>
      </c>
      <c r="Z245" t="str">
        <f t="shared" ref="Z245:Z248" si="519">CONCATENATE(AG245,"   →   ",AH245,"   →   ",AI245,"   →   ",AJ245)</f>
        <v>NG_SR_LRG_C   →   NO_STRG   →   H2_T&amp;D_P   →   H2_FC_PWR</v>
      </c>
      <c r="AA245" t="str">
        <f t="shared" ref="AA245:AA248" si="520">G245</f>
        <v>Onsite / Back-up power</v>
      </c>
      <c r="AB245" t="str">
        <f t="shared" ref="AB245:AB248" si="521">J245</f>
        <v>CO2 emissions</v>
      </c>
      <c r="AC245">
        <f t="shared" ref="AC245:AC248" ca="1" si="522">Y245</f>
        <v>0.48226950354609932</v>
      </c>
      <c r="AD245">
        <v>186</v>
      </c>
      <c r="AE245" t="str">
        <f>IF(AND(ISNUMBER(SEARCH(O245,4)),ISNUMBER(SEARCH('(4) FCH pathway assessment'!$B$16,AB245)),ISNUMBER(SEARCH('(4) FCH pathway assessment'!$B$10,AA245))),AD245,"")</f>
        <v/>
      </c>
      <c r="AF245" t="str">
        <f t="shared" si="368"/>
        <v/>
      </c>
      <c r="AG245" t="str">
        <f>VLOOKUP(C245,Assumptions!$B$116:$C$162,2,FALSE)</f>
        <v>NG_SR_LRG_C</v>
      </c>
      <c r="AH245" t="str">
        <f>VLOOKUP(D245,Assumptions!$B$116:$C$162,2,FALSE)</f>
        <v>NO_STRG</v>
      </c>
      <c r="AI245" t="str">
        <f>VLOOKUP(E245,Assumptions!$B$116:$C$162,2,FALSE)</f>
        <v>H2_T&amp;D_P</v>
      </c>
      <c r="AJ245" t="str">
        <f>VLOOKUP(F245,Assumptions!$B$116:$C$162,2,FALSE)</f>
        <v>H2_FC_PWR</v>
      </c>
    </row>
    <row r="246" spans="2:36" x14ac:dyDescent="0.25">
      <c r="B246" t="s">
        <v>127</v>
      </c>
      <c r="C246" t="s">
        <v>58</v>
      </c>
      <c r="D246" t="s">
        <v>155</v>
      </c>
      <c r="E246" t="s">
        <v>157</v>
      </c>
      <c r="F246" t="s">
        <v>164</v>
      </c>
      <c r="G246" t="s">
        <v>126</v>
      </c>
      <c r="H246" t="s">
        <v>433</v>
      </c>
      <c r="I246" t="s">
        <v>32</v>
      </c>
      <c r="J246" t="s">
        <v>329</v>
      </c>
      <c r="K246">
        <f t="shared" si="509"/>
        <v>1</v>
      </c>
      <c r="L246">
        <f t="shared" si="510"/>
        <v>1</v>
      </c>
      <c r="M246">
        <f t="shared" si="511"/>
        <v>0</v>
      </c>
      <c r="N246">
        <f t="shared" si="512"/>
        <v>1</v>
      </c>
      <c r="O246">
        <f t="shared" si="513"/>
        <v>3</v>
      </c>
      <c r="P246" t="str">
        <f t="shared" si="514"/>
        <v>Small centralized natural gas steam reforming-CO2 emissions</v>
      </c>
      <c r="Q246" t="str">
        <f t="shared" si="515"/>
        <v>Central gas storage-CO2 emissions</v>
      </c>
      <c r="R246" t="str">
        <f t="shared" si="516"/>
        <v>Blending in natural gas pipeline-CO2 emissions</v>
      </c>
      <c r="S246" t="str">
        <f t="shared" si="517"/>
        <v>Prime power H2 fuel cell-CO2 emissions</v>
      </c>
      <c r="T246">
        <f ca="1">IF(timePeriod="2020-30",(VLOOKUP($P246,'TA database'!$I$8:$J$79,2,FALSE)/VLOOKUP($D246,'Merit calculation'!$B$48:$I$52,5,FALSE)/VLOOKUP($E246,'Merit calculation'!$B$67:$I$73,5,FALSE)/VLOOKUP($F246,'Merit calculation'!$B$90:$I$103,5,FALSE)/energyContentH2),(VLOOKUP($P246,'TA database'!$I$8:$J$79,2,FALSE)/VLOOKUP($D246,'Merit calculation'!$B$48:$I$52,7,FALSE)/VLOOKUP($E246,'Merit calculation'!$B$67:$I$73,7,FALSE)/VLOOKUP($F246,'Merit calculation'!$B$90:$I$103,7,FALSE)/energyContentH2))</f>
        <v>0.13669770508676285</v>
      </c>
      <c r="U246">
        <v>0</v>
      </c>
      <c r="V246">
        <v>0</v>
      </c>
      <c r="W246">
        <f>IFERROR(VLOOKUP($S246,'TA database'!$I$146:$J$193,2,FALSE),0)</f>
        <v>0</v>
      </c>
      <c r="X246">
        <f ca="1">IFERROR(VLOOKUP($S246,'TA database'!$I$200:$J$271,2,FALSE),0)</f>
        <v>0</v>
      </c>
      <c r="Y246">
        <f t="shared" ca="1" si="518"/>
        <v>0.49211173831234628</v>
      </c>
      <c r="Z246" t="str">
        <f t="shared" si="519"/>
        <v>NG_SR_SML_C   →   C_GAS_STRG   →   H2_BLND_NG_P   →   H2_FC_PWR</v>
      </c>
      <c r="AA246" t="str">
        <f t="shared" si="520"/>
        <v>Onsite / Back-up power</v>
      </c>
      <c r="AB246" t="str">
        <f t="shared" si="521"/>
        <v>CO2 emissions</v>
      </c>
      <c r="AC246">
        <f t="shared" ca="1" si="522"/>
        <v>0.49211173831234628</v>
      </c>
      <c r="AD246">
        <v>187</v>
      </c>
      <c r="AE246" t="str">
        <f>IF(AND(ISNUMBER(SEARCH(O246,4)),ISNUMBER(SEARCH('(4) FCH pathway assessment'!$B$16,AB246)),ISNUMBER(SEARCH('(4) FCH pathway assessment'!$B$10,AA246))),AD246,"")</f>
        <v/>
      </c>
      <c r="AF246" t="str">
        <f t="shared" si="368"/>
        <v/>
      </c>
      <c r="AG246" t="str">
        <f>VLOOKUP(C246,Assumptions!$B$116:$C$162,2,FALSE)</f>
        <v>NG_SR_SML_C</v>
      </c>
      <c r="AH246" t="str">
        <f>VLOOKUP(D246,Assumptions!$B$116:$C$162,2,FALSE)</f>
        <v>C_GAS_STRG</v>
      </c>
      <c r="AI246" t="str">
        <f>VLOOKUP(E246,Assumptions!$B$116:$C$162,2,FALSE)</f>
        <v>H2_BLND_NG_P</v>
      </c>
      <c r="AJ246" t="str">
        <f>VLOOKUP(F246,Assumptions!$B$116:$C$162,2,FALSE)</f>
        <v>H2_FC_PWR</v>
      </c>
    </row>
    <row r="247" spans="2:36" x14ac:dyDescent="0.25">
      <c r="B247" t="s">
        <v>127</v>
      </c>
      <c r="C247" t="s">
        <v>58</v>
      </c>
      <c r="D247" t="s">
        <v>155</v>
      </c>
      <c r="E247" t="s">
        <v>122</v>
      </c>
      <c r="F247" t="s">
        <v>164</v>
      </c>
      <c r="G247" t="s">
        <v>126</v>
      </c>
      <c r="H247" t="s">
        <v>433</v>
      </c>
      <c r="I247" t="s">
        <v>32</v>
      </c>
      <c r="J247" t="s">
        <v>329</v>
      </c>
      <c r="K247">
        <f t="shared" si="509"/>
        <v>1</v>
      </c>
      <c r="L247">
        <f t="shared" si="510"/>
        <v>1</v>
      </c>
      <c r="M247">
        <f t="shared" si="511"/>
        <v>1</v>
      </c>
      <c r="N247">
        <f t="shared" si="512"/>
        <v>1</v>
      </c>
      <c r="O247">
        <f t="shared" si="513"/>
        <v>4</v>
      </c>
      <c r="P247" t="str">
        <f t="shared" si="514"/>
        <v>Small centralized natural gas steam reforming-CO2 emissions</v>
      </c>
      <c r="Q247" t="str">
        <f t="shared" si="515"/>
        <v>Central gas storage-CO2 emissions</v>
      </c>
      <c r="R247" t="str">
        <f t="shared" si="516"/>
        <v>Hydrogen transmission &amp; distribution pipeline-CO2 emissions</v>
      </c>
      <c r="S247" t="str">
        <f t="shared" si="517"/>
        <v>Prime power H2 fuel cell-CO2 emissions</v>
      </c>
      <c r="T247">
        <f ca="1">IF(timePeriod="2020-30",(VLOOKUP($P247,'TA database'!$I$8:$J$79,2,FALSE)/VLOOKUP($D247,'Merit calculation'!$B$48:$I$52,5,FALSE)/VLOOKUP($E247,'Merit calculation'!$B$67:$I$73,5,FALSE)/VLOOKUP($F247,'Merit calculation'!$B$90:$I$103,5,FALSE)/energyContentH2),(VLOOKUP($P247,'TA database'!$I$8:$J$79,2,FALSE)/VLOOKUP($D247,'Merit calculation'!$B$48:$I$52,7,FALSE)/VLOOKUP($E247,'Merit calculation'!$B$67:$I$73,7,FALSE)/VLOOKUP($F247,'Merit calculation'!$B$90:$I$103,7,FALSE)/energyContentH2))</f>
        <v>0.13669770508676285</v>
      </c>
      <c r="U247">
        <v>0</v>
      </c>
      <c r="V247">
        <v>0</v>
      </c>
      <c r="W247">
        <f>IFERROR(VLOOKUP($S247,'TA database'!$I$146:$J$193,2,FALSE),0)</f>
        <v>0</v>
      </c>
      <c r="X247">
        <f ca="1">IFERROR(VLOOKUP($S247,'TA database'!$I$200:$J$271,2,FALSE),0)</f>
        <v>0</v>
      </c>
      <c r="Y247">
        <f t="shared" ca="1" si="518"/>
        <v>0.49211173831234628</v>
      </c>
      <c r="Z247" t="str">
        <f t="shared" si="519"/>
        <v>NG_SR_SML_C   →   C_GAS_STRG   →   H2_T&amp;D_P   →   H2_FC_PWR</v>
      </c>
      <c r="AA247" t="str">
        <f t="shared" si="520"/>
        <v>Onsite / Back-up power</v>
      </c>
      <c r="AB247" t="str">
        <f t="shared" si="521"/>
        <v>CO2 emissions</v>
      </c>
      <c r="AC247">
        <f t="shared" ca="1" si="522"/>
        <v>0.49211173831234628</v>
      </c>
      <c r="AD247">
        <v>188</v>
      </c>
      <c r="AE247" t="str">
        <f>IF(AND(ISNUMBER(SEARCH(O247,4)),ISNUMBER(SEARCH('(4) FCH pathway assessment'!$B$16,AB247)),ISNUMBER(SEARCH('(4) FCH pathway assessment'!$B$10,AA247))),AD247,"")</f>
        <v/>
      </c>
      <c r="AF247" t="str">
        <f t="shared" si="368"/>
        <v/>
      </c>
      <c r="AG247" t="str">
        <f>VLOOKUP(C247,Assumptions!$B$116:$C$162,2,FALSE)</f>
        <v>NG_SR_SML_C</v>
      </c>
      <c r="AH247" t="str">
        <f>VLOOKUP(D247,Assumptions!$B$116:$C$162,2,FALSE)</f>
        <v>C_GAS_STRG</v>
      </c>
      <c r="AI247" t="str">
        <f>VLOOKUP(E247,Assumptions!$B$116:$C$162,2,FALSE)</f>
        <v>H2_T&amp;D_P</v>
      </c>
      <c r="AJ247" t="str">
        <f>VLOOKUP(F247,Assumptions!$B$116:$C$162,2,FALSE)</f>
        <v>H2_FC_PWR</v>
      </c>
    </row>
    <row r="248" spans="2:36" x14ac:dyDescent="0.25">
      <c r="B248" t="s">
        <v>127</v>
      </c>
      <c r="C248" t="s">
        <v>58</v>
      </c>
      <c r="D248" t="s">
        <v>155</v>
      </c>
      <c r="E248" t="s">
        <v>66</v>
      </c>
      <c r="F248" t="s">
        <v>164</v>
      </c>
      <c r="G248" t="s">
        <v>126</v>
      </c>
      <c r="H248" t="s">
        <v>433</v>
      </c>
      <c r="I248" t="s">
        <v>32</v>
      </c>
      <c r="J248" t="s">
        <v>329</v>
      </c>
      <c r="K248">
        <f t="shared" si="509"/>
        <v>1</v>
      </c>
      <c r="L248">
        <f t="shared" si="510"/>
        <v>1</v>
      </c>
      <c r="M248">
        <f t="shared" si="511"/>
        <v>1</v>
      </c>
      <c r="N248">
        <f t="shared" si="512"/>
        <v>1</v>
      </c>
      <c r="O248">
        <f t="shared" si="513"/>
        <v>4</v>
      </c>
      <c r="P248" t="str">
        <f t="shared" si="514"/>
        <v>Small centralized natural gas steam reforming-CO2 emissions</v>
      </c>
      <c r="Q248" t="str">
        <f t="shared" si="515"/>
        <v>Central gas storage-CO2 emissions</v>
      </c>
      <c r="R248" t="str">
        <f t="shared" si="516"/>
        <v>Onsite-CO2 emissions</v>
      </c>
      <c r="S248" t="str">
        <f t="shared" si="517"/>
        <v>Prime power H2 fuel cell-CO2 emissions</v>
      </c>
      <c r="T248">
        <f ca="1">IF(timePeriod="2020-30",(VLOOKUP($P248,'TA database'!$I$8:$J$79,2,FALSE)/VLOOKUP($D248,'Merit calculation'!$B$48:$I$52,5,FALSE)/VLOOKUP($E248,'Merit calculation'!$B$67:$I$73,5,FALSE)/VLOOKUP($F248,'Merit calculation'!$B$90:$I$103,5,FALSE)/energyContentH2),(VLOOKUP($P248,'TA database'!$I$8:$J$79,2,FALSE)/VLOOKUP($D248,'Merit calculation'!$B$48:$I$52,7,FALSE)/VLOOKUP($E248,'Merit calculation'!$B$67:$I$73,7,FALSE)/VLOOKUP($F248,'Merit calculation'!$B$90:$I$103,7,FALSE)/energyContentH2))</f>
        <v>0.13533072803589521</v>
      </c>
      <c r="U248">
        <v>0</v>
      </c>
      <c r="V248">
        <v>0</v>
      </c>
      <c r="W248">
        <f>IFERROR(VLOOKUP($S248,'TA database'!$I$146:$J$193,2,FALSE),0)</f>
        <v>0</v>
      </c>
      <c r="X248">
        <f ca="1">IFERROR(VLOOKUP($S248,'TA database'!$I$200:$J$271,2,FALSE),0)</f>
        <v>0</v>
      </c>
      <c r="Y248">
        <f t="shared" ca="1" si="518"/>
        <v>0.48719062092922277</v>
      </c>
      <c r="Z248" t="str">
        <f t="shared" si="519"/>
        <v>NG_SR_SML_C   →   C_GAS_STRG   →   ONSITE_USE   →   H2_FC_PWR</v>
      </c>
      <c r="AA248" t="str">
        <f t="shared" si="520"/>
        <v>Onsite / Back-up power</v>
      </c>
      <c r="AB248" t="str">
        <f t="shared" si="521"/>
        <v>CO2 emissions</v>
      </c>
      <c r="AC248">
        <f t="shared" ca="1" si="522"/>
        <v>0.48719062092922277</v>
      </c>
      <c r="AD248">
        <v>189</v>
      </c>
      <c r="AE248" t="str">
        <f>IF(AND(ISNUMBER(SEARCH(O248,4)),ISNUMBER(SEARCH('(4) FCH pathway assessment'!$B$16,AB248)),ISNUMBER(SEARCH('(4) FCH pathway assessment'!$B$10,AA248))),AD248,"")</f>
        <v/>
      </c>
      <c r="AF248" t="str">
        <f t="shared" si="368"/>
        <v/>
      </c>
      <c r="AG248" t="str">
        <f>VLOOKUP(C248,Assumptions!$B$116:$C$162,2,FALSE)</f>
        <v>NG_SR_SML_C</v>
      </c>
      <c r="AH248" t="str">
        <f>VLOOKUP(D248,Assumptions!$B$116:$C$162,2,FALSE)</f>
        <v>C_GAS_STRG</v>
      </c>
      <c r="AI248" t="str">
        <f>VLOOKUP(E248,Assumptions!$B$116:$C$162,2,FALSE)</f>
        <v>ONSITE_USE</v>
      </c>
      <c r="AJ248" t="str">
        <f>VLOOKUP(F248,Assumptions!$B$116:$C$162,2,FALSE)</f>
        <v>H2_FC_PWR</v>
      </c>
    </row>
    <row r="249" spans="2:36" x14ac:dyDescent="0.25">
      <c r="B249" t="s">
        <v>127</v>
      </c>
      <c r="C249" t="s">
        <v>59</v>
      </c>
      <c r="D249" s="60" t="s">
        <v>130</v>
      </c>
      <c r="E249" t="s">
        <v>66</v>
      </c>
      <c r="F249" t="s">
        <v>164</v>
      </c>
      <c r="G249" t="s">
        <v>126</v>
      </c>
      <c r="H249" t="s">
        <v>433</v>
      </c>
      <c r="I249" t="s">
        <v>32</v>
      </c>
      <c r="J249" t="s">
        <v>329</v>
      </c>
      <c r="K249">
        <f t="shared" ref="K249:K250" si="523">SUMPRODUCT(($C$7:$C$18=$C249)*($D$6:$H$6=$D249)*($D$7:$H$18))</f>
        <v>1</v>
      </c>
      <c r="L249">
        <f t="shared" ref="L249:L250" si="524">SUMPRODUCT(($C$19:$C$23=$D249)*($I$6:$O$6=$E249)*($I$19:$O$23))</f>
        <v>1</v>
      </c>
      <c r="M249">
        <f t="shared" ref="M249:M250" si="525">SUMPRODUCT(($C$24:$C$30=$E249)*($P$6:$AI$6=$F249)*($P$24:$AI$30))</f>
        <v>1</v>
      </c>
      <c r="N249">
        <f t="shared" ref="N249:N250" si="526">SUMPRODUCT(($C$31:$C$50=$F249)*($AJ$6:$AM$6=$G249)*($AJ$31:$AM$50))</f>
        <v>1</v>
      </c>
      <c r="O249">
        <f t="shared" ref="O249:O250" si="527">K249+L249+M249+N249</f>
        <v>4</v>
      </c>
      <c r="P249" t="str">
        <f t="shared" ref="P249:P250" si="528">CONCATENATE(C249,"-",J249)</f>
        <v>Medium decentralized natural gas steam reforming-CO2 emissions</v>
      </c>
      <c r="Q249" t="str">
        <f t="shared" ref="Q249:Q250" si="529">CONCATENATE(D249,"-",J249)</f>
        <v>Distributed gas storage-CO2 emissions</v>
      </c>
      <c r="R249" t="str">
        <f t="shared" ref="R249:R250" si="530">CONCATENATE(E249,"-",J249)</f>
        <v>Onsite-CO2 emissions</v>
      </c>
      <c r="S249" t="str">
        <f t="shared" ref="S249:S250" si="531">CONCATENATE(F249,"-",J249)</f>
        <v>Prime power H2 fuel cell-CO2 emissions</v>
      </c>
      <c r="T249">
        <f ca="1">IF(timePeriod="2020-30",(VLOOKUP($P249,'TA database'!$I$8:$J$79,2,FALSE)/VLOOKUP($D249,'Merit calculation'!$B$48:$I$52,5,FALSE)/VLOOKUP($E249,'Merit calculation'!$B$67:$I$73,5,FALSE)/VLOOKUP($F249,'Merit calculation'!$B$90:$I$103,5,FALSE)/energyContentH2),(VLOOKUP($P249,'TA database'!$I$8:$J$79,2,FALSE)/VLOOKUP($D249,'Merit calculation'!$B$48:$I$52,7,FALSE)/VLOOKUP($E249,'Merit calculation'!$B$67:$I$73,7,FALSE)/VLOOKUP($F249,'Merit calculation'!$B$90:$I$103,7,FALSE)/energyContentH2))</f>
        <v>0.14162518050268103</v>
      </c>
      <c r="U249">
        <v>0</v>
      </c>
      <c r="V249">
        <v>0</v>
      </c>
      <c r="W249">
        <f>IFERROR(VLOOKUP($S249,'TA database'!$I$146:$J$193,2,FALSE),0)</f>
        <v>0</v>
      </c>
      <c r="X249">
        <f ca="1">IFERROR(VLOOKUP($S249,'TA database'!$I$200:$J$271,2,FALSE),0)</f>
        <v>0</v>
      </c>
      <c r="Y249">
        <f t="shared" ref="Y249:Y250" ca="1" si="532">IF($W249=0,T249*3.6+X249,T249+W249)</f>
        <v>0.50985064980965167</v>
      </c>
      <c r="Z249" t="str">
        <f t="shared" ref="Z249:Z250" si="533">CONCATENATE(AG249,"   →   ",AH249,"   →   ",AI249,"   →   ",AJ249)</f>
        <v>NG_SR_MED_D   →   D_GAS_STRG   →   ONSITE_USE   →   H2_FC_PWR</v>
      </c>
      <c r="AA249" t="str">
        <f t="shared" ref="AA249:AA250" si="534">G249</f>
        <v>Onsite / Back-up power</v>
      </c>
      <c r="AB249" t="str">
        <f t="shared" ref="AB249:AB250" si="535">J249</f>
        <v>CO2 emissions</v>
      </c>
      <c r="AC249">
        <f t="shared" ref="AC249:AC250" ca="1" si="536">Y249</f>
        <v>0.50985064980965167</v>
      </c>
      <c r="AD249">
        <v>190</v>
      </c>
      <c r="AE249" t="str">
        <f>IF(AND(ISNUMBER(SEARCH(O249,4)),ISNUMBER(SEARCH('(4) FCH pathway assessment'!$B$16,AB249)),ISNUMBER(SEARCH('(4) FCH pathway assessment'!$B$10,AA249))),AD249,"")</f>
        <v/>
      </c>
      <c r="AF249" t="str">
        <f t="shared" si="368"/>
        <v/>
      </c>
      <c r="AG249" t="str">
        <f>VLOOKUP(C249,Assumptions!$B$116:$C$162,2,FALSE)</f>
        <v>NG_SR_MED_D</v>
      </c>
      <c r="AH249" t="str">
        <f>VLOOKUP(D249,Assumptions!$B$116:$C$162,2,FALSE)</f>
        <v>D_GAS_STRG</v>
      </c>
      <c r="AI249" t="str">
        <f>VLOOKUP(E249,Assumptions!$B$116:$C$162,2,FALSE)</f>
        <v>ONSITE_USE</v>
      </c>
      <c r="AJ249" t="str">
        <f>VLOOKUP(F249,Assumptions!$B$116:$C$162,2,FALSE)</f>
        <v>H2_FC_PWR</v>
      </c>
    </row>
    <row r="250" spans="2:36" x14ac:dyDescent="0.25">
      <c r="B250" t="s">
        <v>127</v>
      </c>
      <c r="C250" t="s">
        <v>60</v>
      </c>
      <c r="D250" s="60" t="s">
        <v>130</v>
      </c>
      <c r="E250" t="s">
        <v>66</v>
      </c>
      <c r="F250" t="s">
        <v>164</v>
      </c>
      <c r="G250" t="s">
        <v>126</v>
      </c>
      <c r="H250" t="s">
        <v>433</v>
      </c>
      <c r="I250" t="s">
        <v>32</v>
      </c>
      <c r="J250" t="s">
        <v>329</v>
      </c>
      <c r="K250">
        <f t="shared" si="523"/>
        <v>1</v>
      </c>
      <c r="L250">
        <f t="shared" si="524"/>
        <v>1</v>
      </c>
      <c r="M250">
        <f t="shared" si="525"/>
        <v>1</v>
      </c>
      <c r="N250">
        <f t="shared" si="526"/>
        <v>1</v>
      </c>
      <c r="O250">
        <f t="shared" si="527"/>
        <v>4</v>
      </c>
      <c r="P250" t="str">
        <f t="shared" si="528"/>
        <v>Small decentralized natural gas steam reforming-CO2 emissions</v>
      </c>
      <c r="Q250" t="str">
        <f t="shared" si="529"/>
        <v>Distributed gas storage-CO2 emissions</v>
      </c>
      <c r="R250" t="str">
        <f t="shared" si="530"/>
        <v>Onsite-CO2 emissions</v>
      </c>
      <c r="S250" t="str">
        <f t="shared" si="531"/>
        <v>Prime power H2 fuel cell-CO2 emissions</v>
      </c>
      <c r="T250">
        <f ca="1">IF(timePeriod="2020-30",(VLOOKUP($P250,'TA database'!$I$8:$J$79,2,FALSE)/VLOOKUP($D250,'Merit calculation'!$B$48:$I$52,5,FALSE)/VLOOKUP($E250,'Merit calculation'!$B$67:$I$73,5,FALSE)/VLOOKUP($F250,'Merit calculation'!$B$90:$I$103,5,FALSE)/energyContentH2),(VLOOKUP($P250,'TA database'!$I$8:$J$79,2,FALSE)/VLOOKUP($D250,'Merit calculation'!$B$48:$I$52,7,FALSE)/VLOOKUP($E250,'Merit calculation'!$B$67:$I$73,7,FALSE)/VLOOKUP($F250,'Merit calculation'!$B$90:$I$103,7,FALSE)/energyContentH2))</f>
        <v>0.13533072803589521</v>
      </c>
      <c r="U250">
        <v>0</v>
      </c>
      <c r="V250">
        <v>0</v>
      </c>
      <c r="W250">
        <f>IFERROR(VLOOKUP($S250,'TA database'!$I$146:$J$193,2,FALSE),0)</f>
        <v>0</v>
      </c>
      <c r="X250">
        <f ca="1">IFERROR(VLOOKUP($S250,'TA database'!$I$200:$J$271,2,FALSE),0)</f>
        <v>0</v>
      </c>
      <c r="Y250">
        <f t="shared" ca="1" si="532"/>
        <v>0.48719062092922277</v>
      </c>
      <c r="Z250" t="str">
        <f t="shared" si="533"/>
        <v>NG_SR_SML_D   →   D_GAS_STRG   →   ONSITE_USE   →   H2_FC_PWR</v>
      </c>
      <c r="AA250" t="str">
        <f t="shared" si="534"/>
        <v>Onsite / Back-up power</v>
      </c>
      <c r="AB250" t="str">
        <f t="shared" si="535"/>
        <v>CO2 emissions</v>
      </c>
      <c r="AC250">
        <f t="shared" ca="1" si="536"/>
        <v>0.48719062092922277</v>
      </c>
      <c r="AD250">
        <v>191</v>
      </c>
      <c r="AE250" t="str">
        <f>IF(AND(ISNUMBER(SEARCH(O250,4)),ISNUMBER(SEARCH('(4) FCH pathway assessment'!$B$16,AB250)),ISNUMBER(SEARCH('(4) FCH pathway assessment'!$B$10,AA250))),AD250,"")</f>
        <v/>
      </c>
      <c r="AF250" t="str">
        <f t="shared" si="368"/>
        <v/>
      </c>
      <c r="AG250" t="str">
        <f>VLOOKUP(C250,Assumptions!$B$116:$C$162,2,FALSE)</f>
        <v>NG_SR_SML_D</v>
      </c>
      <c r="AH250" t="str">
        <f>VLOOKUP(D250,Assumptions!$B$116:$C$162,2,FALSE)</f>
        <v>D_GAS_STRG</v>
      </c>
      <c r="AI250" t="str">
        <f>VLOOKUP(E250,Assumptions!$B$116:$C$162,2,FALSE)</f>
        <v>ONSITE_USE</v>
      </c>
      <c r="AJ250" t="str">
        <f>VLOOKUP(F250,Assumptions!$B$116:$C$162,2,FALSE)</f>
        <v>H2_FC_PWR</v>
      </c>
    </row>
    <row r="251" spans="2:36" x14ac:dyDescent="0.25">
      <c r="B251" t="s">
        <v>117</v>
      </c>
      <c r="C251" t="s">
        <v>53</v>
      </c>
      <c r="D251" t="s">
        <v>155</v>
      </c>
      <c r="E251" t="s">
        <v>65</v>
      </c>
      <c r="F251" t="s">
        <v>165</v>
      </c>
      <c r="G251" t="s">
        <v>126</v>
      </c>
      <c r="H251" t="s">
        <v>433</v>
      </c>
      <c r="I251" t="s">
        <v>32</v>
      </c>
      <c r="J251" t="s">
        <v>329</v>
      </c>
      <c r="K251">
        <f t="shared" ref="K251" si="537">SUMPRODUCT(($C$7:$C$18=$C251)*($D$6:$H$6=$D251)*($D$7:$H$18))</f>
        <v>0</v>
      </c>
      <c r="L251">
        <f t="shared" ref="L251" si="538">SUMPRODUCT(($C$19:$C$23=$D251)*($I$6:$O$6=$E251)*($I$19:$O$23))</f>
        <v>1</v>
      </c>
      <c r="M251">
        <f t="shared" ref="M251" si="539">SUMPRODUCT(($C$24:$C$30=$E251)*($P$6:$AI$6=$F251)*($P$24:$AI$30))</f>
        <v>0</v>
      </c>
      <c r="N251">
        <f t="shared" ref="N251" si="540">SUMPRODUCT(($C$31:$C$50=$F251)*($AJ$6:$AM$6=$G251)*($AJ$31:$AM$50))</f>
        <v>1</v>
      </c>
      <c r="O251">
        <f t="shared" ref="O251" si="541">K251+L251+M251+N251</f>
        <v>2</v>
      </c>
      <c r="P251" t="str">
        <f t="shared" ref="P251" si="542">CONCATENATE(C251,"-",J251)</f>
        <v>Medium centralized biomass gasification-CO2 emissions</v>
      </c>
      <c r="Q251" t="str">
        <f t="shared" ref="Q251" si="543">CONCATENATE(D251,"-",J251)</f>
        <v>Central gas storage-CO2 emissions</v>
      </c>
      <c r="R251" t="str">
        <f t="shared" ref="R251" si="544">CONCATENATE(E251,"-",J251)</f>
        <v>Methanation-CO2 emissions</v>
      </c>
      <c r="S251" t="str">
        <f t="shared" ref="S251" si="545">CONCATENATE(F251,"-",J251)</f>
        <v>Prime power natural gas fuel cell-CO2 emissions</v>
      </c>
      <c r="T251">
        <f ca="1">IF(timePeriod="2020-30",(VLOOKUP($P251,'TA database'!$I$8:$J$79,2,FALSE)/VLOOKUP($D251,'Merit calculation'!$B$48:$I$52,5,FALSE)/VLOOKUP($E251,'Merit calculation'!$B$67:$I$73,5,FALSE)/VLOOKUP($F251,'Merit calculation'!$B$90:$I$103,5,FALSE)/energyContentH2),(VLOOKUP($P251,'TA database'!$I$8:$J$79,2,FALSE)/VLOOKUP($D251,'Merit calculation'!$B$48:$I$52,7,FALSE)/VLOOKUP($E251,'Merit calculation'!$B$67:$I$73,7,FALSE)/VLOOKUP($F251,'Merit calculation'!$B$90:$I$103,7,FALSE)/energyContentH2))</f>
        <v>0</v>
      </c>
      <c r="U251">
        <v>0</v>
      </c>
      <c r="V251">
        <v>0</v>
      </c>
      <c r="W251">
        <f>IFERROR(VLOOKUP($S251,'TA database'!$I$146:$J$193,2,FALSE),0)</f>
        <v>0</v>
      </c>
      <c r="X251">
        <f ca="1">IFERROR(VLOOKUP($S251,'TA database'!$I$200:$J$271,2,FALSE),0)</f>
        <v>0.4297021276595745</v>
      </c>
      <c r="Y251">
        <f t="shared" ref="Y251" ca="1" si="546">IF($W251=0,T251*3.6+X251,T251+W251)</f>
        <v>0.4297021276595745</v>
      </c>
      <c r="Z251" t="str">
        <f t="shared" ref="Z251" si="547">CONCATENATE(AG251,"   →   ",AH251,"   →   ",AI251,"   →   ",AJ251)</f>
        <v>BIO_GSF_MED_C   →   C_GAS_STRG   →   METHANATION   →   NG_FC_PWR</v>
      </c>
      <c r="AA251" t="str">
        <f t="shared" ref="AA251" si="548">G251</f>
        <v>Onsite / Back-up power</v>
      </c>
      <c r="AB251" t="str">
        <f t="shared" ref="AB251" si="549">J251</f>
        <v>CO2 emissions</v>
      </c>
      <c r="AC251">
        <f t="shared" ref="AC251" ca="1" si="550">Y251</f>
        <v>0.4297021276595745</v>
      </c>
      <c r="AD251">
        <v>192</v>
      </c>
      <c r="AE251" t="str">
        <f>IF(AND(ISNUMBER(SEARCH(O251,4)),ISNUMBER(SEARCH('(4) FCH pathway assessment'!$B$16,AB251)),ISNUMBER(SEARCH('(4) FCH pathway assessment'!$B$10,AA251))),AD251,"")</f>
        <v/>
      </c>
      <c r="AF251" t="str">
        <f t="shared" si="368"/>
        <v/>
      </c>
      <c r="AG251" t="str">
        <f>VLOOKUP(C251,Assumptions!$B$116:$C$162,2,FALSE)</f>
        <v>BIO_GSF_MED_C</v>
      </c>
      <c r="AH251" t="str">
        <f>VLOOKUP(D251,Assumptions!$B$116:$C$162,2,FALSE)</f>
        <v>C_GAS_STRG</v>
      </c>
      <c r="AI251" t="str">
        <f>VLOOKUP(E251,Assumptions!$B$116:$C$162,2,FALSE)</f>
        <v>METHANATION</v>
      </c>
      <c r="AJ251" t="str">
        <f>VLOOKUP(F251,Assumptions!$B$116:$C$162,2,FALSE)</f>
        <v>NG_FC_PWR</v>
      </c>
    </row>
    <row r="252" spans="2:36" x14ac:dyDescent="0.25">
      <c r="B252" t="s">
        <v>117</v>
      </c>
      <c r="C252" t="s">
        <v>54</v>
      </c>
      <c r="D252" t="s">
        <v>155</v>
      </c>
      <c r="E252" t="s">
        <v>65</v>
      </c>
      <c r="F252" t="s">
        <v>165</v>
      </c>
      <c r="G252" t="s">
        <v>126</v>
      </c>
      <c r="H252" t="s">
        <v>433</v>
      </c>
      <c r="I252" t="s">
        <v>32</v>
      </c>
      <c r="J252" t="s">
        <v>329</v>
      </c>
      <c r="K252">
        <f t="shared" ref="K252" si="551">SUMPRODUCT(($C$7:$C$18=$C252)*($D$6:$H$6=$D252)*($D$7:$H$18))</f>
        <v>0</v>
      </c>
      <c r="L252">
        <f t="shared" ref="L252" si="552">SUMPRODUCT(($C$19:$C$23=$D252)*($I$6:$O$6=$E252)*($I$19:$O$23))</f>
        <v>1</v>
      </c>
      <c r="M252">
        <f t="shared" ref="M252" si="553">SUMPRODUCT(($C$24:$C$30=$E252)*($P$6:$AI$6=$F252)*($P$24:$AI$30))</f>
        <v>0</v>
      </c>
      <c r="N252">
        <f t="shared" ref="N252" si="554">SUMPRODUCT(($C$31:$C$50=$F252)*($AJ$6:$AM$6=$G252)*($AJ$31:$AM$50))</f>
        <v>1</v>
      </c>
      <c r="O252">
        <f t="shared" ref="O252" si="555">K252+L252+M252+N252</f>
        <v>2</v>
      </c>
      <c r="P252" t="str">
        <f t="shared" ref="P252" si="556">CONCATENATE(C252,"-",J252)</f>
        <v>Medium centralized biomass gasification w/ CCS-CO2 emissions</v>
      </c>
      <c r="Q252" t="str">
        <f t="shared" ref="Q252" si="557">CONCATENATE(D252,"-",J252)</f>
        <v>Central gas storage-CO2 emissions</v>
      </c>
      <c r="R252" t="str">
        <f t="shared" ref="R252" si="558">CONCATENATE(E252,"-",J252)</f>
        <v>Methanation-CO2 emissions</v>
      </c>
      <c r="S252" t="str">
        <f t="shared" ref="S252" si="559">CONCATENATE(F252,"-",J252)</f>
        <v>Prime power natural gas fuel cell-CO2 emissions</v>
      </c>
      <c r="T252">
        <f ca="1">IF(timePeriod="2020-30",(VLOOKUP($P252,'TA database'!$I$8:$J$79,2,FALSE)/VLOOKUP($D252,'Merit calculation'!$B$48:$I$52,5,FALSE)/VLOOKUP($E252,'Merit calculation'!$B$67:$I$73,5,FALSE)/VLOOKUP($F252,'Merit calculation'!$B$90:$I$103,5,FALSE)/energyContentH2),(VLOOKUP($P252,'TA database'!$I$8:$J$79,2,FALSE)/VLOOKUP($D252,'Merit calculation'!$B$48:$I$52,7,FALSE)/VLOOKUP($E252,'Merit calculation'!$B$67:$I$73,7,FALSE)/VLOOKUP($F252,'Merit calculation'!$B$90:$I$103,7,FALSE)/energyContentH2))</f>
        <v>-0.30395136778115506</v>
      </c>
      <c r="U252">
        <v>0</v>
      </c>
      <c r="V252">
        <v>0</v>
      </c>
      <c r="W252">
        <f>IFERROR(VLOOKUP($S252,'TA database'!$I$146:$J$193,2,FALSE),0)</f>
        <v>0</v>
      </c>
      <c r="X252">
        <f ca="1">IFERROR(VLOOKUP($S252,'TA database'!$I$200:$J$271,2,FALSE),0)</f>
        <v>0.4297021276595745</v>
      </c>
      <c r="Y252">
        <f t="shared" ref="Y252" ca="1" si="560">IF($W252=0,T252*3.6+X252,T252+W252)</f>
        <v>-0.66452279635258371</v>
      </c>
      <c r="Z252" t="str">
        <f t="shared" ref="Z252" si="561">CONCATENATE(AG252,"   →   ",AH252,"   →   ",AI252,"   →   ",AJ252)</f>
        <v>BIO_GSF_CCS_MED_C   →   C_GAS_STRG   →   METHANATION   →   NG_FC_PWR</v>
      </c>
      <c r="AA252" t="str">
        <f t="shared" ref="AA252" si="562">G252</f>
        <v>Onsite / Back-up power</v>
      </c>
      <c r="AB252" t="str">
        <f t="shared" ref="AB252" si="563">J252</f>
        <v>CO2 emissions</v>
      </c>
      <c r="AC252">
        <f t="shared" ref="AC252" ca="1" si="564">Y252</f>
        <v>-0.66452279635258371</v>
      </c>
      <c r="AD252">
        <v>193</v>
      </c>
      <c r="AE252" t="str">
        <f>IF(AND(ISNUMBER(SEARCH(O252,4)),ISNUMBER(SEARCH('(4) FCH pathway assessment'!$B$16,AB252)),ISNUMBER(SEARCH('(4) FCH pathway assessment'!$B$10,AA252))),AD252,"")</f>
        <v/>
      </c>
      <c r="AF252" t="str">
        <f t="shared" ref="AF252:AF315" si="565">IFERROR(SMALL($AE$60:$AE$1991,AD252),"")</f>
        <v/>
      </c>
      <c r="AG252" t="str">
        <f>VLOOKUP(C252,Assumptions!$B$116:$C$162,2,FALSE)</f>
        <v>BIO_GSF_CCS_MED_C</v>
      </c>
      <c r="AH252" t="str">
        <f>VLOOKUP(D252,Assumptions!$B$116:$C$162,2,FALSE)</f>
        <v>C_GAS_STRG</v>
      </c>
      <c r="AI252" t="str">
        <f>VLOOKUP(E252,Assumptions!$B$116:$C$162,2,FALSE)</f>
        <v>METHANATION</v>
      </c>
      <c r="AJ252" t="str">
        <f>VLOOKUP(F252,Assumptions!$B$116:$C$162,2,FALSE)</f>
        <v>NG_FC_PWR</v>
      </c>
    </row>
    <row r="253" spans="2:36" x14ac:dyDescent="0.25">
      <c r="B253" t="s">
        <v>117</v>
      </c>
      <c r="C253" t="s">
        <v>56</v>
      </c>
      <c r="D253" t="s">
        <v>62</v>
      </c>
      <c r="E253" t="s">
        <v>65</v>
      </c>
      <c r="F253" t="s">
        <v>165</v>
      </c>
      <c r="G253" t="s">
        <v>126</v>
      </c>
      <c r="H253" t="s">
        <v>433</v>
      </c>
      <c r="I253" t="s">
        <v>32</v>
      </c>
      <c r="J253" t="s">
        <v>329</v>
      </c>
      <c r="K253">
        <f t="shared" ref="K253:K255" si="566">SUMPRODUCT(($C$7:$C$18=$C253)*($D$6:$H$6=$D253)*($D$7:$H$18))</f>
        <v>0</v>
      </c>
      <c r="L253">
        <f t="shared" ref="L253:L255" si="567">SUMPRODUCT(($C$19:$C$23=$D253)*($I$6:$O$6=$E253)*($I$19:$O$23))</f>
        <v>0</v>
      </c>
      <c r="M253">
        <f t="shared" ref="M253:M255" si="568">SUMPRODUCT(($C$24:$C$30=$E253)*($P$6:$AI$6=$F253)*($P$24:$AI$30))</f>
        <v>0</v>
      </c>
      <c r="N253">
        <f t="shared" ref="N253:N255" si="569">SUMPRODUCT(($C$31:$C$50=$F253)*($AJ$6:$AM$6=$G253)*($AJ$31:$AM$50))</f>
        <v>1</v>
      </c>
      <c r="O253">
        <f t="shared" ref="O253:O255" si="570">K253+L253+M253+N253</f>
        <v>1</v>
      </c>
      <c r="P253" t="str">
        <f t="shared" ref="P253:P255" si="571">CONCATENATE(C253,"-",J253)</f>
        <v>Large centralized biomass steam reforming -CO2 emissions</v>
      </c>
      <c r="Q253" t="str">
        <f t="shared" ref="Q253:Q255" si="572">CONCATENATE(D253,"-",J253)</f>
        <v>Underground storage-CO2 emissions</v>
      </c>
      <c r="R253" t="str">
        <f t="shared" ref="R253:R255" si="573">CONCATENATE(E253,"-",J253)</f>
        <v>Methanation-CO2 emissions</v>
      </c>
      <c r="S253" t="str">
        <f t="shared" ref="S253:S255" si="574">CONCATENATE(F253,"-",J253)</f>
        <v>Prime power natural gas fuel cell-CO2 emissions</v>
      </c>
      <c r="T253">
        <f ca="1">IF(timePeriod="2020-30",(VLOOKUP($P253,'TA database'!$I$8:$J$79,2,FALSE)/VLOOKUP($D253,'Merit calculation'!$B$48:$I$52,5,FALSE)/VLOOKUP($E253,'Merit calculation'!$B$67:$I$73,5,FALSE)/VLOOKUP($F253,'Merit calculation'!$B$90:$I$103,5,FALSE)/energyContentH2),(VLOOKUP($P253,'TA database'!$I$8:$J$79,2,FALSE)/VLOOKUP($D253,'Merit calculation'!$B$48:$I$52,7,FALSE)/VLOOKUP($E253,'Merit calculation'!$B$67:$I$73,7,FALSE)/VLOOKUP($F253,'Merit calculation'!$B$90:$I$103,7,FALSE)/energyContentH2))</f>
        <v>0</v>
      </c>
      <c r="U253">
        <v>0</v>
      </c>
      <c r="V253">
        <v>0</v>
      </c>
      <c r="W253">
        <f>IFERROR(VLOOKUP($S253,'TA database'!$I$146:$J$193,2,FALSE),0)</f>
        <v>0</v>
      </c>
      <c r="X253">
        <f ca="1">IFERROR(VLOOKUP($S253,'TA database'!$I$200:$J$271,2,FALSE),0)</f>
        <v>0.4297021276595745</v>
      </c>
      <c r="Y253">
        <f t="shared" ref="Y253:Y255" ca="1" si="575">IF($W253=0,T253*3.6+X253,T253+W253)</f>
        <v>0.4297021276595745</v>
      </c>
      <c r="Z253" t="str">
        <f t="shared" ref="Z253:Z255" si="576">CONCATENATE(AG253,"   →   ",AH253,"   →   ",AI253,"   →   ",AJ253)</f>
        <v>BIO_SR_LRG_C   →   C_UNDRGRND_STRG   →   METHANATION   →   NG_FC_PWR</v>
      </c>
      <c r="AA253" t="str">
        <f t="shared" ref="AA253:AA255" si="577">G253</f>
        <v>Onsite / Back-up power</v>
      </c>
      <c r="AB253" t="str">
        <f t="shared" ref="AB253:AB255" si="578">J253</f>
        <v>CO2 emissions</v>
      </c>
      <c r="AC253">
        <f t="shared" ref="AC253:AC255" ca="1" si="579">Y253</f>
        <v>0.4297021276595745</v>
      </c>
      <c r="AD253">
        <v>194</v>
      </c>
      <c r="AE253" t="str">
        <f>IF(AND(ISNUMBER(SEARCH(O253,4)),ISNUMBER(SEARCH('(4) FCH pathway assessment'!$B$16,AB253)),ISNUMBER(SEARCH('(4) FCH pathway assessment'!$B$10,AA253))),AD253,"")</f>
        <v/>
      </c>
      <c r="AF253" t="str">
        <f t="shared" si="565"/>
        <v/>
      </c>
      <c r="AG253" t="str">
        <f>VLOOKUP(C253,Assumptions!$B$116:$C$162,2,FALSE)</f>
        <v>BIO_SR_LRG_C</v>
      </c>
      <c r="AH253" t="str">
        <f>VLOOKUP(D253,Assumptions!$B$116:$C$162,2,FALSE)</f>
        <v>C_UNDRGRND_STRG</v>
      </c>
      <c r="AI253" t="str">
        <f>VLOOKUP(E253,Assumptions!$B$116:$C$162,2,FALSE)</f>
        <v>METHANATION</v>
      </c>
      <c r="AJ253" t="str">
        <f>VLOOKUP(F253,Assumptions!$B$116:$C$162,2,FALSE)</f>
        <v>NG_FC_PWR</v>
      </c>
    </row>
    <row r="254" spans="2:36" x14ac:dyDescent="0.25">
      <c r="B254" t="s">
        <v>112</v>
      </c>
      <c r="C254" t="s">
        <v>49</v>
      </c>
      <c r="D254" t="s">
        <v>62</v>
      </c>
      <c r="E254" t="s">
        <v>65</v>
      </c>
      <c r="F254" t="s">
        <v>165</v>
      </c>
      <c r="G254" t="s">
        <v>126</v>
      </c>
      <c r="H254" t="s">
        <v>433</v>
      </c>
      <c r="I254" t="s">
        <v>32</v>
      </c>
      <c r="J254" t="s">
        <v>329</v>
      </c>
      <c r="K254">
        <f t="shared" si="566"/>
        <v>1</v>
      </c>
      <c r="L254">
        <f t="shared" si="567"/>
        <v>0</v>
      </c>
      <c r="M254">
        <f t="shared" si="568"/>
        <v>0</v>
      </c>
      <c r="N254">
        <f t="shared" si="569"/>
        <v>1</v>
      </c>
      <c r="O254">
        <f t="shared" si="570"/>
        <v>2</v>
      </c>
      <c r="P254" t="str">
        <f t="shared" si="571"/>
        <v>Large centralized electrolysis-CO2 emissions</v>
      </c>
      <c r="Q254" t="str">
        <f t="shared" si="572"/>
        <v>Underground storage-CO2 emissions</v>
      </c>
      <c r="R254" t="str">
        <f t="shared" si="573"/>
        <v>Methanation-CO2 emissions</v>
      </c>
      <c r="S254" t="str">
        <f t="shared" si="574"/>
        <v>Prime power natural gas fuel cell-CO2 emissions</v>
      </c>
      <c r="T254">
        <f ca="1">IF(timePeriod="2020-30",(VLOOKUP($P254,'TA database'!$I$8:$J$79,2,FALSE)/VLOOKUP($D254,'Merit calculation'!$B$48:$I$52,5,FALSE)/VLOOKUP($E254,'Merit calculation'!$B$67:$I$73,5,FALSE)/VLOOKUP($F254,'Merit calculation'!$B$90:$I$103,5,FALSE)/energyContentH2),(VLOOKUP($P254,'TA database'!$I$8:$J$79,2,FALSE)/VLOOKUP($D254,'Merit calculation'!$B$48:$I$52,7,FALSE)/VLOOKUP($E254,'Merit calculation'!$B$67:$I$73,7,FALSE)/VLOOKUP($F254,'Merit calculation'!$B$90:$I$103,7,FALSE)/energyContentH2))</f>
        <v>4.1457389763142317E-2</v>
      </c>
      <c r="U254">
        <v>0</v>
      </c>
      <c r="V254">
        <v>0</v>
      </c>
      <c r="W254">
        <f>IFERROR(VLOOKUP($S254,'TA database'!$I$146:$J$193,2,FALSE),0)</f>
        <v>0</v>
      </c>
      <c r="X254">
        <f ca="1">IFERROR(VLOOKUP($S254,'TA database'!$I$200:$J$271,2,FALSE),0)</f>
        <v>0.4297021276595745</v>
      </c>
      <c r="Y254">
        <f t="shared" ca="1" si="575"/>
        <v>0.5789487308068868</v>
      </c>
      <c r="Z254" t="str">
        <f t="shared" si="576"/>
        <v>ELCTRLYZ_LRG_C   →   C_UNDRGRND_STRG   →   METHANATION   →   NG_FC_PWR</v>
      </c>
      <c r="AA254" t="str">
        <f t="shared" si="577"/>
        <v>Onsite / Back-up power</v>
      </c>
      <c r="AB254" t="str">
        <f t="shared" si="578"/>
        <v>CO2 emissions</v>
      </c>
      <c r="AC254">
        <f t="shared" ca="1" si="579"/>
        <v>0.5789487308068868</v>
      </c>
      <c r="AD254">
        <v>195</v>
      </c>
      <c r="AE254" t="str">
        <f>IF(AND(ISNUMBER(SEARCH(O254,4)),ISNUMBER(SEARCH('(4) FCH pathway assessment'!$B$16,AB254)),ISNUMBER(SEARCH('(4) FCH pathway assessment'!$B$10,AA254))),AD254,"")</f>
        <v/>
      </c>
      <c r="AF254" t="str">
        <f t="shared" si="565"/>
        <v/>
      </c>
      <c r="AG254" t="str">
        <f>VLOOKUP(C254,Assumptions!$B$116:$C$162,2,FALSE)</f>
        <v>ELCTRLYZ_LRG_C</v>
      </c>
      <c r="AH254" t="str">
        <f>VLOOKUP(D254,Assumptions!$B$116:$C$162,2,FALSE)</f>
        <v>C_UNDRGRND_STRG</v>
      </c>
      <c r="AI254" t="str">
        <f>VLOOKUP(E254,Assumptions!$B$116:$C$162,2,FALSE)</f>
        <v>METHANATION</v>
      </c>
      <c r="AJ254" t="str">
        <f>VLOOKUP(F254,Assumptions!$B$116:$C$162,2,FALSE)</f>
        <v>NG_FC_PWR</v>
      </c>
    </row>
    <row r="255" spans="2:36" x14ac:dyDescent="0.25">
      <c r="B255" t="s">
        <v>112</v>
      </c>
      <c r="C255" t="s">
        <v>49</v>
      </c>
      <c r="D255" t="s">
        <v>155</v>
      </c>
      <c r="E255" t="s">
        <v>65</v>
      </c>
      <c r="F255" t="s">
        <v>165</v>
      </c>
      <c r="G255" t="s">
        <v>126</v>
      </c>
      <c r="H255" t="s">
        <v>433</v>
      </c>
      <c r="I255" t="s">
        <v>32</v>
      </c>
      <c r="J255" t="s">
        <v>329</v>
      </c>
      <c r="K255">
        <f t="shared" si="566"/>
        <v>1</v>
      </c>
      <c r="L255">
        <f t="shared" si="567"/>
        <v>1</v>
      </c>
      <c r="M255">
        <f t="shared" si="568"/>
        <v>0</v>
      </c>
      <c r="N255">
        <f t="shared" si="569"/>
        <v>1</v>
      </c>
      <c r="O255">
        <f t="shared" si="570"/>
        <v>3</v>
      </c>
      <c r="P255" t="str">
        <f t="shared" si="571"/>
        <v>Large centralized electrolysis-CO2 emissions</v>
      </c>
      <c r="Q255" t="str">
        <f t="shared" si="572"/>
        <v>Central gas storage-CO2 emissions</v>
      </c>
      <c r="R255" t="str">
        <f t="shared" si="573"/>
        <v>Methanation-CO2 emissions</v>
      </c>
      <c r="S255" t="str">
        <f t="shared" si="574"/>
        <v>Prime power natural gas fuel cell-CO2 emissions</v>
      </c>
      <c r="T255">
        <f ca="1">IF(timePeriod="2020-30",(VLOOKUP($P255,'TA database'!$I$8:$J$79,2,FALSE)/VLOOKUP($D255,'Merit calculation'!$B$48:$I$52,5,FALSE)/VLOOKUP($E255,'Merit calculation'!$B$67:$I$73,5,FALSE)/VLOOKUP($F255,'Merit calculation'!$B$90:$I$103,5,FALSE)/energyContentH2),(VLOOKUP($P255,'TA database'!$I$8:$J$79,2,FALSE)/VLOOKUP($D255,'Merit calculation'!$B$48:$I$52,7,FALSE)/VLOOKUP($E255,'Merit calculation'!$B$67:$I$73,7,FALSE)/VLOOKUP($F255,'Merit calculation'!$B$90:$I$103,7,FALSE)/energyContentH2))</f>
        <v>4.1880424352562146E-2</v>
      </c>
      <c r="U255">
        <v>0</v>
      </c>
      <c r="V255">
        <v>0</v>
      </c>
      <c r="W255">
        <f>IFERROR(VLOOKUP($S255,'TA database'!$I$146:$J$193,2,FALSE),0)</f>
        <v>0</v>
      </c>
      <c r="X255">
        <f ca="1">IFERROR(VLOOKUP($S255,'TA database'!$I$200:$J$271,2,FALSE),0)</f>
        <v>0.4297021276595745</v>
      </c>
      <c r="Y255">
        <f t="shared" ca="1" si="575"/>
        <v>0.58047165532879819</v>
      </c>
      <c r="Z255" t="str">
        <f t="shared" si="576"/>
        <v>ELCTRLYZ_LRG_C   →   C_GAS_STRG   →   METHANATION   →   NG_FC_PWR</v>
      </c>
      <c r="AA255" t="str">
        <f t="shared" si="577"/>
        <v>Onsite / Back-up power</v>
      </c>
      <c r="AB255" t="str">
        <f t="shared" si="578"/>
        <v>CO2 emissions</v>
      </c>
      <c r="AC255">
        <f t="shared" ca="1" si="579"/>
        <v>0.58047165532879819</v>
      </c>
      <c r="AD255">
        <v>196</v>
      </c>
      <c r="AE255" t="str">
        <f>IF(AND(ISNUMBER(SEARCH(O255,4)),ISNUMBER(SEARCH('(4) FCH pathway assessment'!$B$16,AB255)),ISNUMBER(SEARCH('(4) FCH pathway assessment'!$B$10,AA255))),AD255,"")</f>
        <v/>
      </c>
      <c r="AF255" t="str">
        <f t="shared" si="565"/>
        <v/>
      </c>
      <c r="AG255" t="str">
        <f>VLOOKUP(C255,Assumptions!$B$116:$C$162,2,FALSE)</f>
        <v>ELCTRLYZ_LRG_C</v>
      </c>
      <c r="AH255" t="str">
        <f>VLOOKUP(D255,Assumptions!$B$116:$C$162,2,FALSE)</f>
        <v>C_GAS_STRG</v>
      </c>
      <c r="AI255" t="str">
        <f>VLOOKUP(E255,Assumptions!$B$116:$C$162,2,FALSE)</f>
        <v>METHANATION</v>
      </c>
      <c r="AJ255" t="str">
        <f>VLOOKUP(F255,Assumptions!$B$116:$C$162,2,FALSE)</f>
        <v>NG_FC_PWR</v>
      </c>
    </row>
    <row r="256" spans="2:36" x14ac:dyDescent="0.25">
      <c r="B256" t="s">
        <v>112</v>
      </c>
      <c r="C256" t="s">
        <v>51</v>
      </c>
      <c r="D256" t="s">
        <v>155</v>
      </c>
      <c r="E256" t="s">
        <v>65</v>
      </c>
      <c r="F256" t="s">
        <v>165</v>
      </c>
      <c r="G256" t="s">
        <v>126</v>
      </c>
      <c r="H256" t="s">
        <v>433</v>
      </c>
      <c r="I256" t="s">
        <v>32</v>
      </c>
      <c r="J256" t="s">
        <v>329</v>
      </c>
      <c r="K256">
        <f t="shared" ref="K256" si="580">SUMPRODUCT(($C$7:$C$18=$C256)*($D$6:$H$6=$D256)*($D$7:$H$18))</f>
        <v>1</v>
      </c>
      <c r="L256">
        <f t="shared" ref="L256" si="581">SUMPRODUCT(($C$19:$C$23=$D256)*($I$6:$O$6=$E256)*($I$19:$O$23))</f>
        <v>1</v>
      </c>
      <c r="M256">
        <f t="shared" ref="M256" si="582">SUMPRODUCT(($C$24:$C$30=$E256)*($P$6:$AI$6=$F256)*($P$24:$AI$30))</f>
        <v>0</v>
      </c>
      <c r="N256">
        <f t="shared" ref="N256" si="583">SUMPRODUCT(($C$31:$C$50=$F256)*($AJ$6:$AM$6=$G256)*($AJ$31:$AM$50))</f>
        <v>1</v>
      </c>
      <c r="O256">
        <f t="shared" ref="O256" si="584">K256+L256+M256+N256</f>
        <v>3</v>
      </c>
      <c r="P256" t="str">
        <f t="shared" ref="P256" si="585">CONCATENATE(C256,"-",J256)</f>
        <v>Medium centralized electrolysis-CO2 emissions</v>
      </c>
      <c r="Q256" t="str">
        <f t="shared" ref="Q256" si="586">CONCATENATE(D256,"-",J256)</f>
        <v>Central gas storage-CO2 emissions</v>
      </c>
      <c r="R256" t="str">
        <f t="shared" ref="R256" si="587">CONCATENATE(E256,"-",J256)</f>
        <v>Methanation-CO2 emissions</v>
      </c>
      <c r="S256" t="str">
        <f t="shared" ref="S256" si="588">CONCATENATE(F256,"-",J256)</f>
        <v>Prime power natural gas fuel cell-CO2 emissions</v>
      </c>
      <c r="T256">
        <f ca="1">IF(timePeriod="2020-30",(VLOOKUP($P256,'TA database'!$I$8:$J$79,2,FALSE)/VLOOKUP($D256,'Merit calculation'!$B$48:$I$52,5,FALSE)/VLOOKUP($E256,'Merit calculation'!$B$67:$I$73,5,FALSE)/VLOOKUP($F256,'Merit calculation'!$B$90:$I$103,5,FALSE)/energyContentH2),(VLOOKUP($P256,'TA database'!$I$8:$J$79,2,FALSE)/VLOOKUP($D256,'Merit calculation'!$B$48:$I$52,7,FALSE)/VLOOKUP($E256,'Merit calculation'!$B$67:$I$73,7,FALSE)/VLOOKUP($F256,'Merit calculation'!$B$90:$I$103,7,FALSE)/energyContentH2))</f>
        <v>4.1880424352562146E-2</v>
      </c>
      <c r="U256">
        <v>0</v>
      </c>
      <c r="V256">
        <v>0</v>
      </c>
      <c r="W256">
        <f>IFERROR(VLOOKUP($S256,'TA database'!$I$146:$J$193,2,FALSE),0)</f>
        <v>0</v>
      </c>
      <c r="X256">
        <f ca="1">IFERROR(VLOOKUP($S256,'TA database'!$I$200:$J$271,2,FALSE),0)</f>
        <v>0.4297021276595745</v>
      </c>
      <c r="Y256">
        <f t="shared" ref="Y256" ca="1" si="589">IF($W256=0,T256*3.6+X256,T256+W256)</f>
        <v>0.58047165532879819</v>
      </c>
      <c r="Z256" t="str">
        <f t="shared" ref="Z256" si="590">CONCATENATE(AG256,"   →   ",AH256,"   →   ",AI256,"   →   ",AJ256)</f>
        <v>ELCTRLYZ_MED_C   →   C_GAS_STRG   →   METHANATION   →   NG_FC_PWR</v>
      </c>
      <c r="AA256" t="str">
        <f t="shared" ref="AA256" si="591">G256</f>
        <v>Onsite / Back-up power</v>
      </c>
      <c r="AB256" t="str">
        <f t="shared" ref="AB256" si="592">J256</f>
        <v>CO2 emissions</v>
      </c>
      <c r="AC256">
        <f t="shared" ref="AC256" ca="1" si="593">Y256</f>
        <v>0.58047165532879819</v>
      </c>
      <c r="AD256">
        <v>197</v>
      </c>
      <c r="AE256" t="str">
        <f>IF(AND(ISNUMBER(SEARCH(O256,4)),ISNUMBER(SEARCH('(4) FCH pathway assessment'!$B$16,AB256)),ISNUMBER(SEARCH('(4) FCH pathway assessment'!$B$10,AA256))),AD256,"")</f>
        <v/>
      </c>
      <c r="AF256" t="str">
        <f t="shared" si="565"/>
        <v/>
      </c>
      <c r="AG256" t="str">
        <f>VLOOKUP(C256,Assumptions!$B$116:$C$162,2,FALSE)</f>
        <v>ELCTRLYZ_MED_C</v>
      </c>
      <c r="AH256" t="str">
        <f>VLOOKUP(D256,Assumptions!$B$116:$C$162,2,FALSE)</f>
        <v>C_GAS_STRG</v>
      </c>
      <c r="AI256" t="str">
        <f>VLOOKUP(E256,Assumptions!$B$116:$C$162,2,FALSE)</f>
        <v>METHANATION</v>
      </c>
      <c r="AJ256" t="str">
        <f>VLOOKUP(F256,Assumptions!$B$116:$C$162,2,FALSE)</f>
        <v>NG_FC_PWR</v>
      </c>
    </row>
    <row r="257" spans="2:36" x14ac:dyDescent="0.25">
      <c r="B257" t="s">
        <v>127</v>
      </c>
      <c r="C257" t="s">
        <v>57</v>
      </c>
      <c r="D257" t="s">
        <v>62</v>
      </c>
      <c r="E257" t="s">
        <v>65</v>
      </c>
      <c r="F257" t="s">
        <v>165</v>
      </c>
      <c r="G257" t="s">
        <v>126</v>
      </c>
      <c r="H257" t="s">
        <v>433</v>
      </c>
      <c r="I257" t="s">
        <v>32</v>
      </c>
      <c r="J257" t="s">
        <v>329</v>
      </c>
      <c r="K257">
        <f t="shared" ref="K257" si="594">SUMPRODUCT(($C$7:$C$18=$C257)*($D$6:$H$6=$D257)*($D$7:$H$18))</f>
        <v>1</v>
      </c>
      <c r="L257">
        <f t="shared" ref="L257" si="595">SUMPRODUCT(($C$19:$C$23=$D257)*($I$6:$O$6=$E257)*($I$19:$O$23))</f>
        <v>0</v>
      </c>
      <c r="M257">
        <f t="shared" ref="M257" si="596">SUMPRODUCT(($C$24:$C$30=$E257)*($P$6:$AI$6=$F257)*($P$24:$AI$30))</f>
        <v>0</v>
      </c>
      <c r="N257">
        <f t="shared" ref="N257" si="597">SUMPRODUCT(($C$31:$C$50=$F257)*($AJ$6:$AM$6=$G257)*($AJ$31:$AM$50))</f>
        <v>1</v>
      </c>
      <c r="O257">
        <f t="shared" ref="O257" si="598">K257+L257+M257+N257</f>
        <v>2</v>
      </c>
      <c r="P257" t="str">
        <f t="shared" ref="P257" si="599">CONCATENATE(C257,"-",J257)</f>
        <v>Large centralized natural gas steam reforming-CO2 emissions</v>
      </c>
      <c r="Q257" t="str">
        <f t="shared" ref="Q257" si="600">CONCATENATE(D257,"-",J257)</f>
        <v>Underground storage-CO2 emissions</v>
      </c>
      <c r="R257" t="str">
        <f t="shared" ref="R257" si="601">CONCATENATE(E257,"-",J257)</f>
        <v>Methanation-CO2 emissions</v>
      </c>
      <c r="S257" t="str">
        <f t="shared" ref="S257" si="602">CONCATENATE(F257,"-",J257)</f>
        <v>Prime power natural gas fuel cell-CO2 emissions</v>
      </c>
      <c r="T257">
        <f ca="1">IF(timePeriod="2020-30",(VLOOKUP($P257,'TA database'!$I$8:$J$79,2,FALSE)/VLOOKUP($D257,'Merit calculation'!$B$48:$I$52,5,FALSE)/VLOOKUP($E257,'Merit calculation'!$B$67:$I$73,5,FALSE)/VLOOKUP($F257,'Merit calculation'!$B$90:$I$103,5,FALSE)/energyContentH2),(VLOOKUP($P257,'TA database'!$I$8:$J$79,2,FALSE)/VLOOKUP($D257,'Merit calculation'!$B$48:$I$52,7,FALSE)/VLOOKUP($E257,'Merit calculation'!$B$67:$I$73,7,FALSE)/VLOOKUP($F257,'Merit calculation'!$B$90:$I$103,7,FALSE)/energyContentH2))</f>
        <v>0.16745468873128447</v>
      </c>
      <c r="U257">
        <v>0</v>
      </c>
      <c r="V257">
        <v>0</v>
      </c>
      <c r="W257">
        <f>IFERROR(VLOOKUP($S257,'TA database'!$I$146:$J$193,2,FALSE),0)</f>
        <v>0</v>
      </c>
      <c r="X257">
        <f ca="1">IFERROR(VLOOKUP($S257,'TA database'!$I$200:$J$271,2,FALSE),0)</f>
        <v>0.4297021276595745</v>
      </c>
      <c r="Y257">
        <f t="shared" ref="Y257" ca="1" si="603">IF($W257=0,T257*3.6+X257,T257+W257)</f>
        <v>1.0325390070921987</v>
      </c>
      <c r="Z257" t="str">
        <f t="shared" ref="Z257" si="604">CONCATENATE(AG257,"   →   ",AH257,"   →   ",AI257,"   →   ",AJ257)</f>
        <v>NG_SR_LRG_C   →   C_UNDRGRND_STRG   →   METHANATION   →   NG_FC_PWR</v>
      </c>
      <c r="AA257" t="str">
        <f t="shared" ref="AA257" si="605">G257</f>
        <v>Onsite / Back-up power</v>
      </c>
      <c r="AB257" t="str">
        <f t="shared" ref="AB257" si="606">J257</f>
        <v>CO2 emissions</v>
      </c>
      <c r="AC257">
        <f t="shared" ref="AC257" ca="1" si="607">Y257</f>
        <v>1.0325390070921987</v>
      </c>
      <c r="AD257">
        <v>198</v>
      </c>
      <c r="AE257" t="str">
        <f>IF(AND(ISNUMBER(SEARCH(O257,4)),ISNUMBER(SEARCH('(4) FCH pathway assessment'!$B$16,AB257)),ISNUMBER(SEARCH('(4) FCH pathway assessment'!$B$10,AA257))),AD257,"")</f>
        <v/>
      </c>
      <c r="AF257" t="str">
        <f t="shared" si="565"/>
        <v/>
      </c>
      <c r="AG257" t="str">
        <f>VLOOKUP(C257,Assumptions!$B$116:$C$162,2,FALSE)</f>
        <v>NG_SR_LRG_C</v>
      </c>
      <c r="AH257" t="str">
        <f>VLOOKUP(D257,Assumptions!$B$116:$C$162,2,FALSE)</f>
        <v>C_UNDRGRND_STRG</v>
      </c>
      <c r="AI257" t="str">
        <f>VLOOKUP(E257,Assumptions!$B$116:$C$162,2,FALSE)</f>
        <v>METHANATION</v>
      </c>
      <c r="AJ257" t="str">
        <f>VLOOKUP(F257,Assumptions!$B$116:$C$162,2,FALSE)</f>
        <v>NG_FC_PWR</v>
      </c>
    </row>
    <row r="258" spans="2:36" x14ac:dyDescent="0.25">
      <c r="B258" t="s">
        <v>127</v>
      </c>
      <c r="C258" t="s">
        <v>58</v>
      </c>
      <c r="D258" t="s">
        <v>155</v>
      </c>
      <c r="E258" t="s">
        <v>65</v>
      </c>
      <c r="F258" t="s">
        <v>165</v>
      </c>
      <c r="G258" t="s">
        <v>126</v>
      </c>
      <c r="H258" t="s">
        <v>433</v>
      </c>
      <c r="I258" t="s">
        <v>32</v>
      </c>
      <c r="J258" t="s">
        <v>329</v>
      </c>
      <c r="K258">
        <f t="shared" ref="K258" si="608">SUMPRODUCT(($C$7:$C$18=$C258)*($D$6:$H$6=$D258)*($D$7:$H$18))</f>
        <v>1</v>
      </c>
      <c r="L258">
        <f t="shared" ref="L258" si="609">SUMPRODUCT(($C$19:$C$23=$D258)*($I$6:$O$6=$E258)*($I$19:$O$23))</f>
        <v>1</v>
      </c>
      <c r="M258">
        <f t="shared" ref="M258" si="610">SUMPRODUCT(($C$24:$C$30=$E258)*($P$6:$AI$6=$F258)*($P$24:$AI$30))</f>
        <v>0</v>
      </c>
      <c r="N258">
        <f t="shared" ref="N258" si="611">SUMPRODUCT(($C$31:$C$50=$F258)*($AJ$6:$AM$6=$G258)*($AJ$31:$AM$50))</f>
        <v>1</v>
      </c>
      <c r="O258">
        <f t="shared" ref="O258" si="612">K258+L258+M258+N258</f>
        <v>3</v>
      </c>
      <c r="P258" t="str">
        <f t="shared" ref="P258" si="613">CONCATENATE(C258,"-",J258)</f>
        <v>Small centralized natural gas steam reforming-CO2 emissions</v>
      </c>
      <c r="Q258" t="str">
        <f t="shared" ref="Q258" si="614">CONCATENATE(D258,"-",J258)</f>
        <v>Central gas storage-CO2 emissions</v>
      </c>
      <c r="R258" t="str">
        <f t="shared" ref="R258" si="615">CONCATENATE(E258,"-",J258)</f>
        <v>Methanation-CO2 emissions</v>
      </c>
      <c r="S258" t="str">
        <f t="shared" ref="S258" si="616">CONCATENATE(F258,"-",J258)</f>
        <v>Prime power natural gas fuel cell-CO2 emissions</v>
      </c>
      <c r="T258">
        <f ca="1">IF(timePeriod="2020-30",(VLOOKUP($P258,'TA database'!$I$8:$J$79,2,FALSE)/VLOOKUP($D258,'Merit calculation'!$B$48:$I$52,5,FALSE)/VLOOKUP($E258,'Merit calculation'!$B$67:$I$73,5,FALSE)/VLOOKUP($F258,'Merit calculation'!$B$90:$I$103,5,FALSE)/energyContentH2),(VLOOKUP($P258,'TA database'!$I$8:$J$79,2,FALSE)/VLOOKUP($D258,'Merit calculation'!$B$48:$I$52,7,FALSE)/VLOOKUP($E258,'Merit calculation'!$B$67:$I$73,7,FALSE)/VLOOKUP($F258,'Merit calculation'!$B$90:$I$103,7,FALSE)/energyContentH2))</f>
        <v>0.16916341004486901</v>
      </c>
      <c r="U258">
        <v>0</v>
      </c>
      <c r="V258">
        <v>0</v>
      </c>
      <c r="W258">
        <f>IFERROR(VLOOKUP($S258,'TA database'!$I$146:$J$193,2,FALSE),0)</f>
        <v>0</v>
      </c>
      <c r="X258">
        <f ca="1">IFERROR(VLOOKUP($S258,'TA database'!$I$200:$J$271,2,FALSE),0)</f>
        <v>0.4297021276595745</v>
      </c>
      <c r="Y258">
        <f t="shared" ref="Y258" ca="1" si="617">IF($W258=0,T258*3.6+X258,T258+W258)</f>
        <v>1.0386904038211031</v>
      </c>
      <c r="Z258" t="str">
        <f t="shared" ref="Z258" si="618">CONCATENATE(AG258,"   →   ",AH258,"   →   ",AI258,"   →   ",AJ258)</f>
        <v>NG_SR_SML_C   →   C_GAS_STRG   →   METHANATION   →   NG_FC_PWR</v>
      </c>
      <c r="AA258" t="str">
        <f t="shared" ref="AA258" si="619">G258</f>
        <v>Onsite / Back-up power</v>
      </c>
      <c r="AB258" t="str">
        <f t="shared" ref="AB258" si="620">J258</f>
        <v>CO2 emissions</v>
      </c>
      <c r="AC258">
        <f t="shared" ref="AC258" ca="1" si="621">Y258</f>
        <v>1.0386904038211031</v>
      </c>
      <c r="AD258">
        <v>199</v>
      </c>
      <c r="AE258" t="str">
        <f>IF(AND(ISNUMBER(SEARCH(O258,4)),ISNUMBER(SEARCH('(4) FCH pathway assessment'!$B$16,AB258)),ISNUMBER(SEARCH('(4) FCH pathway assessment'!$B$10,AA258))),AD258,"")</f>
        <v/>
      </c>
      <c r="AF258" t="str">
        <f t="shared" si="565"/>
        <v/>
      </c>
      <c r="AG258" t="str">
        <f>VLOOKUP(C258,Assumptions!$B$116:$C$162,2,FALSE)</f>
        <v>NG_SR_SML_C</v>
      </c>
      <c r="AH258" t="str">
        <f>VLOOKUP(D258,Assumptions!$B$116:$C$162,2,FALSE)</f>
        <v>C_GAS_STRG</v>
      </c>
      <c r="AI258" t="str">
        <f>VLOOKUP(E258,Assumptions!$B$116:$C$162,2,FALSE)</f>
        <v>METHANATION</v>
      </c>
      <c r="AJ258" t="str">
        <f>VLOOKUP(F258,Assumptions!$B$116:$C$162,2,FALSE)</f>
        <v>NG_FC_PWR</v>
      </c>
    </row>
    <row r="259" spans="2:36" x14ac:dyDescent="0.25">
      <c r="B259" t="s">
        <v>127</v>
      </c>
      <c r="C259" t="s">
        <v>174</v>
      </c>
      <c r="D259" s="61" t="s">
        <v>177</v>
      </c>
      <c r="E259" t="s">
        <v>180</v>
      </c>
      <c r="F259" t="s">
        <v>165</v>
      </c>
      <c r="G259" t="s">
        <v>126</v>
      </c>
      <c r="H259" t="s">
        <v>433</v>
      </c>
      <c r="I259" t="s">
        <v>32</v>
      </c>
      <c r="J259" t="s">
        <v>329</v>
      </c>
      <c r="K259">
        <f t="shared" ref="K259:K267" si="622">SUMPRODUCT(($C$7:$C$18=$C259)*($D$6:$H$6=$D259)*($D$7:$H$18))</f>
        <v>1</v>
      </c>
      <c r="L259">
        <f t="shared" ref="L259:L267" si="623">SUMPRODUCT(($C$19:$C$23=$D259)*($I$6:$O$6=$E259)*($I$19:$O$23))</f>
        <v>1</v>
      </c>
      <c r="M259">
        <f t="shared" ref="M259:M267" si="624">SUMPRODUCT(($C$24:$C$30=$E259)*($P$6:$AI$6=$F259)*($P$24:$AI$30))</f>
        <v>1</v>
      </c>
      <c r="N259">
        <f t="shared" ref="N259:N267" si="625">SUMPRODUCT(($C$31:$C$50=$F259)*($AJ$6:$AM$6=$G259)*($AJ$31:$AM$50))</f>
        <v>1</v>
      </c>
      <c r="O259">
        <f t="shared" ref="O259:O267" si="626">K259+L259+M259+N259</f>
        <v>4</v>
      </c>
      <c r="P259" t="str">
        <f t="shared" ref="P259:P267" si="627">CONCATENATE(C259,"-",J259)</f>
        <v>Natural gas production-CO2 emissions</v>
      </c>
      <c r="Q259" t="str">
        <f t="shared" ref="Q259:Q267" si="628">CONCATENATE(D259,"-",J259)</f>
        <v>Natural gas storage-CO2 emissions</v>
      </c>
      <c r="R259" t="str">
        <f t="shared" ref="R259:R267" si="629">CONCATENATE(E259,"-",J259)</f>
        <v>Natural gas transport-CO2 emissions</v>
      </c>
      <c r="S259" t="str">
        <f t="shared" ref="S259:S267" si="630">CONCATENATE(F259,"-",J259)</f>
        <v>Prime power natural gas fuel cell-CO2 emissions</v>
      </c>
      <c r="T259">
        <f ca="1">IF(timePeriod="2020-30",(VLOOKUP($P259,'TA database'!$I$8:$J$79,2,FALSE)/VLOOKUP($D259,'Merit calculation'!$B$48:$I$52,5,FALSE)/VLOOKUP($E259,'Merit calculation'!$B$67:$I$73,5,FALSE)/VLOOKUP($F259,'Merit calculation'!$B$90:$I$103,5,FALSE)/energyContentH2),(VLOOKUP($P259,'TA database'!$I$8:$J$79,2,FALSE)/VLOOKUP($D259,'Merit calculation'!$B$48:$I$52,7,FALSE)/VLOOKUP($E259,'Merit calculation'!$B$67:$I$73,7,FALSE)/VLOOKUP($F259,'Merit calculation'!$B$90:$I$103,7,FALSE)/energyContentH2))</f>
        <v>0</v>
      </c>
      <c r="U259">
        <v>0</v>
      </c>
      <c r="V259">
        <v>0</v>
      </c>
      <c r="W259">
        <f>IFERROR(VLOOKUP($S259,'TA database'!$I$146:$J$193,2,FALSE),0)</f>
        <v>0</v>
      </c>
      <c r="X259">
        <f ca="1">IFERROR(VLOOKUP($S259,'TA database'!$I$200:$J$271,2,FALSE),0)</f>
        <v>0.4297021276595745</v>
      </c>
      <c r="Y259">
        <f t="shared" ref="Y259:Y267" ca="1" si="631">IF($W259=0,T259*3.6+X259,T259+W259)</f>
        <v>0.4297021276595745</v>
      </c>
      <c r="Z259" t="str">
        <f t="shared" ref="Z259:Z267" si="632">CONCATENATE(AG259,"   →   ",AH259,"   →   ",AI259,"   →   ",AJ259)</f>
        <v>[NG_PROD]   →   [NG_STRG]   →   [NG_TRNSP]   →   NG_FC_PWR</v>
      </c>
      <c r="AA259" t="str">
        <f t="shared" ref="AA259:AA267" si="633">G259</f>
        <v>Onsite / Back-up power</v>
      </c>
      <c r="AB259" t="str">
        <f t="shared" ref="AB259:AB267" si="634">J259</f>
        <v>CO2 emissions</v>
      </c>
      <c r="AC259">
        <f t="shared" ref="AC259:AC267" ca="1" si="635">Y259</f>
        <v>0.4297021276595745</v>
      </c>
      <c r="AD259">
        <v>200</v>
      </c>
      <c r="AE259" t="str">
        <f>IF(AND(ISNUMBER(SEARCH(O259,4)),ISNUMBER(SEARCH('(4) FCH pathway assessment'!$B$16,AB259)),ISNUMBER(SEARCH('(4) FCH pathway assessment'!$B$10,AA259))),AD259,"")</f>
        <v/>
      </c>
      <c r="AF259" t="str">
        <f t="shared" si="565"/>
        <v/>
      </c>
      <c r="AG259" t="str">
        <f>VLOOKUP(C259,Assumptions!$B$116:$C$162,2,FALSE)</f>
        <v>[NG_PROD]</v>
      </c>
      <c r="AH259" t="str">
        <f>VLOOKUP(D259,Assumptions!$B$116:$C$162,2,FALSE)</f>
        <v>[NG_STRG]</v>
      </c>
      <c r="AI259" t="str">
        <f>VLOOKUP(E259,Assumptions!$B$116:$C$162,2,FALSE)</f>
        <v>[NG_TRNSP]</v>
      </c>
      <c r="AJ259" t="str">
        <f>VLOOKUP(F259,Assumptions!$B$116:$C$162,2,FALSE)</f>
        <v>NG_FC_PWR</v>
      </c>
    </row>
    <row r="260" spans="2:36" x14ac:dyDescent="0.25">
      <c r="B260" t="s">
        <v>117</v>
      </c>
      <c r="C260" t="s">
        <v>53</v>
      </c>
      <c r="D260" t="s">
        <v>155</v>
      </c>
      <c r="E260" t="s">
        <v>157</v>
      </c>
      <c r="F260" t="s">
        <v>552</v>
      </c>
      <c r="G260" t="s">
        <v>132</v>
      </c>
      <c r="H260" t="s">
        <v>434</v>
      </c>
      <c r="I260" t="s">
        <v>32</v>
      </c>
      <c r="J260" t="s">
        <v>329</v>
      </c>
      <c r="K260">
        <f t="shared" si="622"/>
        <v>0</v>
      </c>
      <c r="L260">
        <f t="shared" si="623"/>
        <v>1</v>
      </c>
      <c r="M260">
        <f t="shared" si="624"/>
        <v>0</v>
      </c>
      <c r="N260">
        <f t="shared" si="625"/>
        <v>1</v>
      </c>
      <c r="O260">
        <f t="shared" si="626"/>
        <v>2</v>
      </c>
      <c r="P260" t="str">
        <f t="shared" si="627"/>
        <v>Medium centralized biomass gasification-CO2 emissions</v>
      </c>
      <c r="Q260" t="str">
        <f t="shared" si="628"/>
        <v>Central gas storage-CO2 emissions</v>
      </c>
      <c r="R260" t="str">
        <f t="shared" si="629"/>
        <v>Blending in natural gas pipeline-CO2 emissions</v>
      </c>
      <c r="S260" t="str">
        <f t="shared" si="630"/>
        <v>District-CHP with H2 fuel cell (heat)-CO2 emissions</v>
      </c>
      <c r="T260">
        <f ca="1">IF(timePeriod="2020-30",(VLOOKUP($P260,'TA database'!$I$8:$J$79,2,FALSE)/VLOOKUP($D260,'Merit calculation'!$B$48:$I$52,5,FALSE)/VLOOKUP($E260,'Merit calculation'!$B$67:$I$73,5,FALSE)/VLOOKUP($F260,'Merit calculation'!$B$90:$I$103,5,FALSE)/energyContentH2),(VLOOKUP($P260,'TA database'!$I$8:$J$79,2,FALSE)/VLOOKUP($D260,'Merit calculation'!$B$48:$I$52,7,FALSE)/VLOOKUP($E260,'Merit calculation'!$B$67:$I$73,7,FALSE)/VLOOKUP($F260,'Merit calculation'!$B$90:$I$103,7,FALSE)/energyContentH2))</f>
        <v>0</v>
      </c>
      <c r="U260">
        <v>0</v>
      </c>
      <c r="V260">
        <v>0</v>
      </c>
      <c r="W260">
        <f ca="1">IFERROR(VLOOKUP($S260,'TA database'!$I$146:$J$193,2,FALSE),0)</f>
        <v>0</v>
      </c>
      <c r="X260">
        <f>IFERROR(VLOOKUP($S260,'TA database'!$I$200:$J$271,2,FALSE),0)</f>
        <v>0</v>
      </c>
      <c r="Y260">
        <f t="shared" ca="1" si="631"/>
        <v>0</v>
      </c>
      <c r="Z260" t="str">
        <f t="shared" si="632"/>
        <v>BIO_GSF_MED_C   →   C_GAS_STRG   →   H2_BLND_NG_P   →   H2_FC_DCHP_HEAT</v>
      </c>
      <c r="AA260" t="str">
        <f t="shared" si="633"/>
        <v>Building heat</v>
      </c>
      <c r="AB260" t="str">
        <f t="shared" si="634"/>
        <v>CO2 emissions</v>
      </c>
      <c r="AC260">
        <f t="shared" ca="1" si="635"/>
        <v>0</v>
      </c>
      <c r="AD260">
        <v>201</v>
      </c>
      <c r="AE260" t="str">
        <f>IF(AND(ISNUMBER(SEARCH(O260,4)),ISNUMBER(SEARCH('(4) FCH pathway assessment'!$B$16,AB260)),ISNUMBER(SEARCH('(4) FCH pathway assessment'!$B$10,AA260))),AD260,"")</f>
        <v/>
      </c>
      <c r="AF260" t="str">
        <f t="shared" si="565"/>
        <v/>
      </c>
      <c r="AG260" t="str">
        <f>VLOOKUP(C260,Assumptions!$B$116:$C$162,2,FALSE)</f>
        <v>BIO_GSF_MED_C</v>
      </c>
      <c r="AH260" t="str">
        <f>VLOOKUP(D260,Assumptions!$B$116:$C$162,2,FALSE)</f>
        <v>C_GAS_STRG</v>
      </c>
      <c r="AI260" t="str">
        <f>VLOOKUP(E260,Assumptions!$B$116:$C$162,2,FALSE)</f>
        <v>H2_BLND_NG_P</v>
      </c>
      <c r="AJ260" t="str">
        <f>VLOOKUP(F260,Assumptions!$B$116:$C$162,2,FALSE)</f>
        <v>H2_FC_DCHP_HEAT</v>
      </c>
    </row>
    <row r="261" spans="2:36" x14ac:dyDescent="0.25">
      <c r="B261" t="s">
        <v>117</v>
      </c>
      <c r="C261" t="s">
        <v>53</v>
      </c>
      <c r="D261" t="s">
        <v>155</v>
      </c>
      <c r="E261" t="s">
        <v>122</v>
      </c>
      <c r="F261" t="s">
        <v>552</v>
      </c>
      <c r="G261" t="s">
        <v>132</v>
      </c>
      <c r="H261" t="s">
        <v>434</v>
      </c>
      <c r="I261" t="s">
        <v>32</v>
      </c>
      <c r="J261" t="s">
        <v>329</v>
      </c>
      <c r="K261">
        <f t="shared" si="622"/>
        <v>0</v>
      </c>
      <c r="L261">
        <f t="shared" si="623"/>
        <v>1</v>
      </c>
      <c r="M261">
        <f t="shared" si="624"/>
        <v>1</v>
      </c>
      <c r="N261">
        <f t="shared" si="625"/>
        <v>1</v>
      </c>
      <c r="O261">
        <f t="shared" si="626"/>
        <v>3</v>
      </c>
      <c r="P261" t="str">
        <f t="shared" si="627"/>
        <v>Medium centralized biomass gasification-CO2 emissions</v>
      </c>
      <c r="Q261" t="str">
        <f t="shared" si="628"/>
        <v>Central gas storage-CO2 emissions</v>
      </c>
      <c r="R261" t="str">
        <f t="shared" si="629"/>
        <v>Hydrogen transmission &amp; distribution pipeline-CO2 emissions</v>
      </c>
      <c r="S261" t="str">
        <f t="shared" si="630"/>
        <v>District-CHP with H2 fuel cell (heat)-CO2 emissions</v>
      </c>
      <c r="T261">
        <f ca="1">IF(timePeriod="2020-30",(VLOOKUP($P261,'TA database'!$I$8:$J$79,2,FALSE)/VLOOKUP($D261,'Merit calculation'!$B$48:$I$52,5,FALSE)/VLOOKUP($E261,'Merit calculation'!$B$67:$I$73,5,FALSE)/VLOOKUP($F261,'Merit calculation'!$B$90:$I$103,5,FALSE)/energyContentH2),(VLOOKUP($P261,'TA database'!$I$8:$J$79,2,FALSE)/VLOOKUP($D261,'Merit calculation'!$B$48:$I$52,7,FALSE)/VLOOKUP($E261,'Merit calculation'!$B$67:$I$73,7,FALSE)/VLOOKUP($F261,'Merit calculation'!$B$90:$I$103,7,FALSE)/energyContentH2))</f>
        <v>0</v>
      </c>
      <c r="U261">
        <v>0</v>
      </c>
      <c r="V261">
        <v>0</v>
      </c>
      <c r="W261">
        <f ca="1">IFERROR(VLOOKUP($S261,'TA database'!$I$146:$J$193,2,FALSE),0)</f>
        <v>0</v>
      </c>
      <c r="X261">
        <f>IFERROR(VLOOKUP($S261,'TA database'!$I$200:$J$271,2,FALSE),0)</f>
        <v>0</v>
      </c>
      <c r="Y261">
        <f t="shared" ca="1" si="631"/>
        <v>0</v>
      </c>
      <c r="Z261" t="str">
        <f t="shared" si="632"/>
        <v>BIO_GSF_MED_C   →   C_GAS_STRG   →   H2_T&amp;D_P   →   H2_FC_DCHP_HEAT</v>
      </c>
      <c r="AA261" t="str">
        <f t="shared" si="633"/>
        <v>Building heat</v>
      </c>
      <c r="AB261" t="str">
        <f t="shared" si="634"/>
        <v>CO2 emissions</v>
      </c>
      <c r="AC261">
        <f t="shared" ca="1" si="635"/>
        <v>0</v>
      </c>
      <c r="AD261">
        <v>202</v>
      </c>
      <c r="AE261" t="str">
        <f>IF(AND(ISNUMBER(SEARCH(O261,4)),ISNUMBER(SEARCH('(4) FCH pathway assessment'!$B$16,AB261)),ISNUMBER(SEARCH('(4) FCH pathway assessment'!$B$10,AA261))),AD261,"")</f>
        <v/>
      </c>
      <c r="AF261" t="str">
        <f t="shared" si="565"/>
        <v/>
      </c>
      <c r="AG261" t="str">
        <f>VLOOKUP(C261,Assumptions!$B$116:$C$162,2,FALSE)</f>
        <v>BIO_GSF_MED_C</v>
      </c>
      <c r="AH261" t="str">
        <f>VLOOKUP(D261,Assumptions!$B$116:$C$162,2,FALSE)</f>
        <v>C_GAS_STRG</v>
      </c>
      <c r="AI261" t="str">
        <f>VLOOKUP(E261,Assumptions!$B$116:$C$162,2,FALSE)</f>
        <v>H2_T&amp;D_P</v>
      </c>
      <c r="AJ261" t="str">
        <f>VLOOKUP(F261,Assumptions!$B$116:$C$162,2,FALSE)</f>
        <v>H2_FC_DCHP_HEAT</v>
      </c>
    </row>
    <row r="262" spans="2:36" x14ac:dyDescent="0.25">
      <c r="B262" t="s">
        <v>117</v>
      </c>
      <c r="C262" t="s">
        <v>53</v>
      </c>
      <c r="D262" t="s">
        <v>155</v>
      </c>
      <c r="E262" t="s">
        <v>116</v>
      </c>
      <c r="F262" t="s">
        <v>552</v>
      </c>
      <c r="G262" t="s">
        <v>132</v>
      </c>
      <c r="H262" t="s">
        <v>434</v>
      </c>
      <c r="I262" t="s">
        <v>32</v>
      </c>
      <c r="J262" t="s">
        <v>329</v>
      </c>
      <c r="K262">
        <f t="shared" si="622"/>
        <v>0</v>
      </c>
      <c r="L262">
        <f t="shared" si="623"/>
        <v>1</v>
      </c>
      <c r="M262">
        <f t="shared" si="624"/>
        <v>1</v>
      </c>
      <c r="N262">
        <f t="shared" si="625"/>
        <v>1</v>
      </c>
      <c r="O262">
        <f t="shared" si="626"/>
        <v>3</v>
      </c>
      <c r="P262" t="str">
        <f t="shared" si="627"/>
        <v>Medium centralized biomass gasification-CO2 emissions</v>
      </c>
      <c r="Q262" t="str">
        <f t="shared" si="628"/>
        <v>Central gas storage-CO2 emissions</v>
      </c>
      <c r="R262" t="str">
        <f t="shared" si="629"/>
        <v>Liquid hydrogen truck-CO2 emissions</v>
      </c>
      <c r="S262" t="str">
        <f t="shared" si="630"/>
        <v>District-CHP with H2 fuel cell (heat)-CO2 emissions</v>
      </c>
      <c r="T262">
        <f ca="1">IF(timePeriod="2020-30",(VLOOKUP($P262,'TA database'!$I$8:$J$79,2,FALSE)/VLOOKUP($D262,'Merit calculation'!$B$48:$I$52,5,FALSE)/VLOOKUP($E262,'Merit calculation'!$B$67:$I$73,5,FALSE)/VLOOKUP($F262,'Merit calculation'!$B$90:$I$103,5,FALSE)/energyContentH2),(VLOOKUP($P262,'TA database'!$I$8:$J$79,2,FALSE)/VLOOKUP($D262,'Merit calculation'!$B$48:$I$52,7,FALSE)/VLOOKUP($E262,'Merit calculation'!$B$67:$I$73,7,FALSE)/VLOOKUP($F262,'Merit calculation'!$B$90:$I$103,7,FALSE)/energyContentH2))</f>
        <v>0</v>
      </c>
      <c r="U262">
        <v>0</v>
      </c>
      <c r="V262">
        <v>0</v>
      </c>
      <c r="W262">
        <f ca="1">IFERROR(VLOOKUP($S262,'TA database'!$I$146:$J$193,2,FALSE),0)</f>
        <v>0</v>
      </c>
      <c r="X262">
        <f>IFERROR(VLOOKUP($S262,'TA database'!$I$200:$J$271,2,FALSE),0)</f>
        <v>0</v>
      </c>
      <c r="Y262">
        <f t="shared" ca="1" si="631"/>
        <v>0</v>
      </c>
      <c r="Z262" t="str">
        <f t="shared" si="632"/>
        <v>BIO_GSF_MED_C   →   C_GAS_STRG   →   LQ_TRUCK   →   H2_FC_DCHP_HEAT</v>
      </c>
      <c r="AA262" t="str">
        <f t="shared" si="633"/>
        <v>Building heat</v>
      </c>
      <c r="AB262" t="str">
        <f t="shared" si="634"/>
        <v>CO2 emissions</v>
      </c>
      <c r="AC262">
        <f t="shared" ca="1" si="635"/>
        <v>0</v>
      </c>
      <c r="AD262">
        <v>203</v>
      </c>
      <c r="AE262" t="str">
        <f>IF(AND(ISNUMBER(SEARCH(O262,4)),ISNUMBER(SEARCH('(4) FCH pathway assessment'!$B$16,AB262)),ISNUMBER(SEARCH('(4) FCH pathway assessment'!$B$10,AA262))),AD262,"")</f>
        <v/>
      </c>
      <c r="AF262" t="str">
        <f t="shared" si="565"/>
        <v/>
      </c>
      <c r="AG262" t="str">
        <f>VLOOKUP(C262,Assumptions!$B$116:$C$162,2,FALSE)</f>
        <v>BIO_GSF_MED_C</v>
      </c>
      <c r="AH262" t="str">
        <f>VLOOKUP(D262,Assumptions!$B$116:$C$162,2,FALSE)</f>
        <v>C_GAS_STRG</v>
      </c>
      <c r="AI262" t="str">
        <f>VLOOKUP(E262,Assumptions!$B$116:$C$162,2,FALSE)</f>
        <v>LQ_TRUCK</v>
      </c>
      <c r="AJ262" t="str">
        <f>VLOOKUP(F262,Assumptions!$B$116:$C$162,2,FALSE)</f>
        <v>H2_FC_DCHP_HEAT</v>
      </c>
    </row>
    <row r="263" spans="2:36" x14ac:dyDescent="0.25">
      <c r="B263" t="s">
        <v>117</v>
      </c>
      <c r="C263" t="s">
        <v>53</v>
      </c>
      <c r="D263" t="s">
        <v>155</v>
      </c>
      <c r="E263" t="s">
        <v>66</v>
      </c>
      <c r="F263" t="s">
        <v>552</v>
      </c>
      <c r="G263" t="s">
        <v>132</v>
      </c>
      <c r="H263" t="s">
        <v>434</v>
      </c>
      <c r="I263" t="s">
        <v>32</v>
      </c>
      <c r="J263" t="s">
        <v>329</v>
      </c>
      <c r="K263">
        <f t="shared" si="622"/>
        <v>0</v>
      </c>
      <c r="L263">
        <f t="shared" si="623"/>
        <v>1</v>
      </c>
      <c r="M263">
        <f t="shared" si="624"/>
        <v>1</v>
      </c>
      <c r="N263">
        <f t="shared" si="625"/>
        <v>1</v>
      </c>
      <c r="O263">
        <f t="shared" si="626"/>
        <v>3</v>
      </c>
      <c r="P263" t="str">
        <f t="shared" si="627"/>
        <v>Medium centralized biomass gasification-CO2 emissions</v>
      </c>
      <c r="Q263" t="str">
        <f t="shared" si="628"/>
        <v>Central gas storage-CO2 emissions</v>
      </c>
      <c r="R263" t="str">
        <f t="shared" si="629"/>
        <v>Onsite-CO2 emissions</v>
      </c>
      <c r="S263" t="str">
        <f t="shared" si="630"/>
        <v>District-CHP with H2 fuel cell (heat)-CO2 emissions</v>
      </c>
      <c r="T263">
        <f ca="1">IF(timePeriod="2020-30",(VLOOKUP($P263,'TA database'!$I$8:$J$79,2,FALSE)/VLOOKUP($D263,'Merit calculation'!$B$48:$I$52,5,FALSE)/VLOOKUP($E263,'Merit calculation'!$B$67:$I$73,5,FALSE)/VLOOKUP($F263,'Merit calculation'!$B$90:$I$103,5,FALSE)/energyContentH2),(VLOOKUP($P263,'TA database'!$I$8:$J$79,2,FALSE)/VLOOKUP($D263,'Merit calculation'!$B$48:$I$52,7,FALSE)/VLOOKUP($E263,'Merit calculation'!$B$67:$I$73,7,FALSE)/VLOOKUP($F263,'Merit calculation'!$B$90:$I$103,7,FALSE)/energyContentH2))</f>
        <v>0</v>
      </c>
      <c r="U263">
        <v>0</v>
      </c>
      <c r="V263">
        <v>0</v>
      </c>
      <c r="W263">
        <f ca="1">IFERROR(VLOOKUP($S263,'TA database'!$I$146:$J$193,2,FALSE),0)</f>
        <v>0</v>
      </c>
      <c r="X263">
        <f>IFERROR(VLOOKUP($S263,'TA database'!$I$200:$J$271,2,FALSE),0)</f>
        <v>0</v>
      </c>
      <c r="Y263">
        <f t="shared" ca="1" si="631"/>
        <v>0</v>
      </c>
      <c r="Z263" t="str">
        <f t="shared" si="632"/>
        <v>BIO_GSF_MED_C   →   C_GAS_STRG   →   ONSITE_USE   →   H2_FC_DCHP_HEAT</v>
      </c>
      <c r="AA263" t="str">
        <f t="shared" si="633"/>
        <v>Building heat</v>
      </c>
      <c r="AB263" t="str">
        <f t="shared" si="634"/>
        <v>CO2 emissions</v>
      </c>
      <c r="AC263">
        <f t="shared" ca="1" si="635"/>
        <v>0</v>
      </c>
      <c r="AD263">
        <v>204</v>
      </c>
      <c r="AE263" t="str">
        <f>IF(AND(ISNUMBER(SEARCH(O263,4)),ISNUMBER(SEARCH('(4) FCH pathway assessment'!$B$16,AB263)),ISNUMBER(SEARCH('(4) FCH pathway assessment'!$B$10,AA263))),AD263,"")</f>
        <v/>
      </c>
      <c r="AF263" t="str">
        <f t="shared" si="565"/>
        <v/>
      </c>
      <c r="AG263" t="str">
        <f>VLOOKUP(C263,Assumptions!$B$116:$C$162,2,FALSE)</f>
        <v>BIO_GSF_MED_C</v>
      </c>
      <c r="AH263" t="str">
        <f>VLOOKUP(D263,Assumptions!$B$116:$C$162,2,FALSE)</f>
        <v>C_GAS_STRG</v>
      </c>
      <c r="AI263" t="str">
        <f>VLOOKUP(E263,Assumptions!$B$116:$C$162,2,FALSE)</f>
        <v>ONSITE_USE</v>
      </c>
      <c r="AJ263" t="str">
        <f>VLOOKUP(F263,Assumptions!$B$116:$C$162,2,FALSE)</f>
        <v>H2_FC_DCHP_HEAT</v>
      </c>
    </row>
    <row r="264" spans="2:36" x14ac:dyDescent="0.25">
      <c r="B264" t="s">
        <v>117</v>
      </c>
      <c r="C264" t="s">
        <v>54</v>
      </c>
      <c r="D264" t="s">
        <v>155</v>
      </c>
      <c r="E264" t="s">
        <v>157</v>
      </c>
      <c r="F264" t="s">
        <v>552</v>
      </c>
      <c r="G264" t="s">
        <v>132</v>
      </c>
      <c r="H264" t="s">
        <v>434</v>
      </c>
      <c r="I264" t="s">
        <v>32</v>
      </c>
      <c r="J264" t="s">
        <v>329</v>
      </c>
      <c r="K264">
        <f t="shared" si="622"/>
        <v>0</v>
      </c>
      <c r="L264">
        <f t="shared" si="623"/>
        <v>1</v>
      </c>
      <c r="M264">
        <f t="shared" si="624"/>
        <v>0</v>
      </c>
      <c r="N264">
        <f t="shared" si="625"/>
        <v>1</v>
      </c>
      <c r="O264">
        <f t="shared" si="626"/>
        <v>2</v>
      </c>
      <c r="P264" t="str">
        <f t="shared" si="627"/>
        <v>Medium centralized biomass gasification w/ CCS-CO2 emissions</v>
      </c>
      <c r="Q264" t="str">
        <f t="shared" si="628"/>
        <v>Central gas storage-CO2 emissions</v>
      </c>
      <c r="R264" t="str">
        <f t="shared" si="629"/>
        <v>Blending in natural gas pipeline-CO2 emissions</v>
      </c>
      <c r="S264" t="str">
        <f t="shared" si="630"/>
        <v>District-CHP with H2 fuel cell (heat)-CO2 emissions</v>
      </c>
      <c r="T264">
        <f ca="1">IF(timePeriod="2020-30",(VLOOKUP($P264,'TA database'!$I$8:$J$79,2,FALSE)/VLOOKUP($D264,'Merit calculation'!$B$48:$I$52,5,FALSE)/VLOOKUP($E264,'Merit calculation'!$B$67:$I$73,5,FALSE)/VLOOKUP($F264,'Merit calculation'!$B$90:$I$103,5,FALSE)/energyContentH2),(VLOOKUP($P264,'TA database'!$I$8:$J$79,2,FALSE)/VLOOKUP($D264,'Merit calculation'!$B$48:$I$52,7,FALSE)/VLOOKUP($E264,'Merit calculation'!$B$67:$I$73,7,FALSE)/VLOOKUP($F264,'Merit calculation'!$B$90:$I$103,7,FALSE)/energyContentH2))</f>
        <v>-0.151894888736994</v>
      </c>
      <c r="U264">
        <v>0</v>
      </c>
      <c r="V264">
        <v>0</v>
      </c>
      <c r="W264">
        <f ca="1">IFERROR(VLOOKUP($S264,'TA database'!$I$146:$J$193,2,FALSE),0)</f>
        <v>0</v>
      </c>
      <c r="X264">
        <f>IFERROR(VLOOKUP($S264,'TA database'!$I$200:$J$271,2,FALSE),0)</f>
        <v>0</v>
      </c>
      <c r="Y264">
        <f t="shared" ca="1" si="631"/>
        <v>-0.54682159945317843</v>
      </c>
      <c r="Z264" t="str">
        <f t="shared" si="632"/>
        <v>BIO_GSF_CCS_MED_C   →   C_GAS_STRG   →   H2_BLND_NG_P   →   H2_FC_DCHP_HEAT</v>
      </c>
      <c r="AA264" t="str">
        <f t="shared" si="633"/>
        <v>Building heat</v>
      </c>
      <c r="AB264" t="str">
        <f t="shared" si="634"/>
        <v>CO2 emissions</v>
      </c>
      <c r="AC264">
        <f t="shared" ca="1" si="635"/>
        <v>-0.54682159945317843</v>
      </c>
      <c r="AD264">
        <v>205</v>
      </c>
      <c r="AE264" t="str">
        <f>IF(AND(ISNUMBER(SEARCH(O264,4)),ISNUMBER(SEARCH('(4) FCH pathway assessment'!$B$16,AB264)),ISNUMBER(SEARCH('(4) FCH pathway assessment'!$B$10,AA264))),AD264,"")</f>
        <v/>
      </c>
      <c r="AF264" t="str">
        <f t="shared" si="565"/>
        <v/>
      </c>
      <c r="AG264" t="str">
        <f>VLOOKUP(C264,Assumptions!$B$116:$C$162,2,FALSE)</f>
        <v>BIO_GSF_CCS_MED_C</v>
      </c>
      <c r="AH264" t="str">
        <f>VLOOKUP(D264,Assumptions!$B$116:$C$162,2,FALSE)</f>
        <v>C_GAS_STRG</v>
      </c>
      <c r="AI264" t="str">
        <f>VLOOKUP(E264,Assumptions!$B$116:$C$162,2,FALSE)</f>
        <v>H2_BLND_NG_P</v>
      </c>
      <c r="AJ264" t="str">
        <f>VLOOKUP(F264,Assumptions!$B$116:$C$162,2,FALSE)</f>
        <v>H2_FC_DCHP_HEAT</v>
      </c>
    </row>
    <row r="265" spans="2:36" x14ac:dyDescent="0.25">
      <c r="B265" t="s">
        <v>117</v>
      </c>
      <c r="C265" t="s">
        <v>54</v>
      </c>
      <c r="D265" t="s">
        <v>155</v>
      </c>
      <c r="E265" t="s">
        <v>122</v>
      </c>
      <c r="F265" t="s">
        <v>552</v>
      </c>
      <c r="G265" t="s">
        <v>132</v>
      </c>
      <c r="H265" t="s">
        <v>434</v>
      </c>
      <c r="I265" t="s">
        <v>32</v>
      </c>
      <c r="J265" t="s">
        <v>329</v>
      </c>
      <c r="K265">
        <f t="shared" si="622"/>
        <v>0</v>
      </c>
      <c r="L265">
        <f t="shared" si="623"/>
        <v>1</v>
      </c>
      <c r="M265">
        <f t="shared" si="624"/>
        <v>1</v>
      </c>
      <c r="N265">
        <f t="shared" si="625"/>
        <v>1</v>
      </c>
      <c r="O265">
        <f t="shared" si="626"/>
        <v>3</v>
      </c>
      <c r="P265" t="str">
        <f t="shared" si="627"/>
        <v>Medium centralized biomass gasification w/ CCS-CO2 emissions</v>
      </c>
      <c r="Q265" t="str">
        <f t="shared" si="628"/>
        <v>Central gas storage-CO2 emissions</v>
      </c>
      <c r="R265" t="str">
        <f t="shared" si="629"/>
        <v>Hydrogen transmission &amp; distribution pipeline-CO2 emissions</v>
      </c>
      <c r="S265" t="str">
        <f t="shared" si="630"/>
        <v>District-CHP with H2 fuel cell (heat)-CO2 emissions</v>
      </c>
      <c r="T265">
        <f ca="1">IF(timePeriod="2020-30",(VLOOKUP($P265,'TA database'!$I$8:$J$79,2,FALSE)/VLOOKUP($D265,'Merit calculation'!$B$48:$I$52,5,FALSE)/VLOOKUP($E265,'Merit calculation'!$B$67:$I$73,5,FALSE)/VLOOKUP($F265,'Merit calculation'!$B$90:$I$103,5,FALSE)/energyContentH2),(VLOOKUP($P265,'TA database'!$I$8:$J$79,2,FALSE)/VLOOKUP($D265,'Merit calculation'!$B$48:$I$52,7,FALSE)/VLOOKUP($E265,'Merit calculation'!$B$67:$I$73,7,FALSE)/VLOOKUP($F265,'Merit calculation'!$B$90:$I$103,7,FALSE)/energyContentH2))</f>
        <v>-0.151894888736994</v>
      </c>
      <c r="U265">
        <v>0</v>
      </c>
      <c r="V265">
        <v>0</v>
      </c>
      <c r="W265">
        <f ca="1">IFERROR(VLOOKUP($S265,'TA database'!$I$146:$J$193,2,FALSE),0)</f>
        <v>0</v>
      </c>
      <c r="X265">
        <f>IFERROR(VLOOKUP($S265,'TA database'!$I$200:$J$271,2,FALSE),0)</f>
        <v>0</v>
      </c>
      <c r="Y265">
        <f t="shared" ca="1" si="631"/>
        <v>-0.54682159945317843</v>
      </c>
      <c r="Z265" t="str">
        <f t="shared" si="632"/>
        <v>BIO_GSF_CCS_MED_C   →   C_GAS_STRG   →   H2_T&amp;D_P   →   H2_FC_DCHP_HEAT</v>
      </c>
      <c r="AA265" t="str">
        <f t="shared" si="633"/>
        <v>Building heat</v>
      </c>
      <c r="AB265" t="str">
        <f t="shared" si="634"/>
        <v>CO2 emissions</v>
      </c>
      <c r="AC265">
        <f t="shared" ca="1" si="635"/>
        <v>-0.54682159945317843</v>
      </c>
      <c r="AD265">
        <v>206</v>
      </c>
      <c r="AE265" t="str">
        <f>IF(AND(ISNUMBER(SEARCH(O265,4)),ISNUMBER(SEARCH('(4) FCH pathway assessment'!$B$16,AB265)),ISNUMBER(SEARCH('(4) FCH pathway assessment'!$B$10,AA265))),AD265,"")</f>
        <v/>
      </c>
      <c r="AF265" t="str">
        <f t="shared" si="565"/>
        <v/>
      </c>
      <c r="AG265" t="str">
        <f>VLOOKUP(C265,Assumptions!$B$116:$C$162,2,FALSE)</f>
        <v>BIO_GSF_CCS_MED_C</v>
      </c>
      <c r="AH265" t="str">
        <f>VLOOKUP(D265,Assumptions!$B$116:$C$162,2,FALSE)</f>
        <v>C_GAS_STRG</v>
      </c>
      <c r="AI265" t="str">
        <f>VLOOKUP(E265,Assumptions!$B$116:$C$162,2,FALSE)</f>
        <v>H2_T&amp;D_P</v>
      </c>
      <c r="AJ265" t="str">
        <f>VLOOKUP(F265,Assumptions!$B$116:$C$162,2,FALSE)</f>
        <v>H2_FC_DCHP_HEAT</v>
      </c>
    </row>
    <row r="266" spans="2:36" x14ac:dyDescent="0.25">
      <c r="B266" t="s">
        <v>117</v>
      </c>
      <c r="C266" t="s">
        <v>54</v>
      </c>
      <c r="D266" t="s">
        <v>155</v>
      </c>
      <c r="E266" t="s">
        <v>116</v>
      </c>
      <c r="F266" t="s">
        <v>552</v>
      </c>
      <c r="G266" t="s">
        <v>132</v>
      </c>
      <c r="H266" t="s">
        <v>434</v>
      </c>
      <c r="I266" t="s">
        <v>32</v>
      </c>
      <c r="J266" t="s">
        <v>329</v>
      </c>
      <c r="K266">
        <f t="shared" si="622"/>
        <v>0</v>
      </c>
      <c r="L266">
        <f t="shared" si="623"/>
        <v>1</v>
      </c>
      <c r="M266">
        <f t="shared" si="624"/>
        <v>1</v>
      </c>
      <c r="N266">
        <f t="shared" si="625"/>
        <v>1</v>
      </c>
      <c r="O266">
        <f t="shared" si="626"/>
        <v>3</v>
      </c>
      <c r="P266" t="str">
        <f t="shared" si="627"/>
        <v>Medium centralized biomass gasification w/ CCS-CO2 emissions</v>
      </c>
      <c r="Q266" t="str">
        <f t="shared" si="628"/>
        <v>Central gas storage-CO2 emissions</v>
      </c>
      <c r="R266" t="str">
        <f t="shared" si="629"/>
        <v>Liquid hydrogen truck-CO2 emissions</v>
      </c>
      <c r="S266" t="str">
        <f t="shared" si="630"/>
        <v>District-CHP with H2 fuel cell (heat)-CO2 emissions</v>
      </c>
      <c r="T266">
        <f ca="1">IF(timePeriod="2020-30",(VLOOKUP($P266,'TA database'!$I$8:$J$79,2,FALSE)/VLOOKUP($D266,'Merit calculation'!$B$48:$I$52,5,FALSE)/VLOOKUP($E266,'Merit calculation'!$B$67:$I$73,5,FALSE)/VLOOKUP($F266,'Merit calculation'!$B$90:$I$103,5,FALSE)/energyContentH2),(VLOOKUP($P266,'TA database'!$I$8:$J$79,2,FALSE)/VLOOKUP($D266,'Merit calculation'!$B$48:$I$52,7,FALSE)/VLOOKUP($E266,'Merit calculation'!$B$67:$I$73,7,FALSE)/VLOOKUP($F266,'Merit calculation'!$B$90:$I$103,7,FALSE)/energyContentH2))</f>
        <v>-0.17546784113141664</v>
      </c>
      <c r="U266">
        <v>0</v>
      </c>
      <c r="V266">
        <v>0</v>
      </c>
      <c r="W266">
        <f ca="1">IFERROR(VLOOKUP($S266,'TA database'!$I$146:$J$193,2,FALSE),0)</f>
        <v>0</v>
      </c>
      <c r="X266">
        <f>IFERROR(VLOOKUP($S266,'TA database'!$I$200:$J$271,2,FALSE),0)</f>
        <v>0</v>
      </c>
      <c r="Y266">
        <f t="shared" ca="1" si="631"/>
        <v>-0.63168422807309987</v>
      </c>
      <c r="Z266" t="str">
        <f t="shared" si="632"/>
        <v>BIO_GSF_CCS_MED_C   →   C_GAS_STRG   →   LQ_TRUCK   →   H2_FC_DCHP_HEAT</v>
      </c>
      <c r="AA266" t="str">
        <f t="shared" si="633"/>
        <v>Building heat</v>
      </c>
      <c r="AB266" t="str">
        <f t="shared" si="634"/>
        <v>CO2 emissions</v>
      </c>
      <c r="AC266">
        <f t="shared" ca="1" si="635"/>
        <v>-0.63168422807309987</v>
      </c>
      <c r="AD266">
        <v>207</v>
      </c>
      <c r="AE266" t="str">
        <f>IF(AND(ISNUMBER(SEARCH(O266,4)),ISNUMBER(SEARCH('(4) FCH pathway assessment'!$B$16,AB266)),ISNUMBER(SEARCH('(4) FCH pathway assessment'!$B$10,AA266))),AD266,"")</f>
        <v/>
      </c>
      <c r="AF266" t="str">
        <f t="shared" si="565"/>
        <v/>
      </c>
      <c r="AG266" t="str">
        <f>VLOOKUP(C266,Assumptions!$B$116:$C$162,2,FALSE)</f>
        <v>BIO_GSF_CCS_MED_C</v>
      </c>
      <c r="AH266" t="str">
        <f>VLOOKUP(D266,Assumptions!$B$116:$C$162,2,FALSE)</f>
        <v>C_GAS_STRG</v>
      </c>
      <c r="AI266" t="str">
        <f>VLOOKUP(E266,Assumptions!$B$116:$C$162,2,FALSE)</f>
        <v>LQ_TRUCK</v>
      </c>
      <c r="AJ266" t="str">
        <f>VLOOKUP(F266,Assumptions!$B$116:$C$162,2,FALSE)</f>
        <v>H2_FC_DCHP_HEAT</v>
      </c>
    </row>
    <row r="267" spans="2:36" x14ac:dyDescent="0.25">
      <c r="B267" t="s">
        <v>117</v>
      </c>
      <c r="C267" t="s">
        <v>54</v>
      </c>
      <c r="D267" t="s">
        <v>155</v>
      </c>
      <c r="E267" t="s">
        <v>66</v>
      </c>
      <c r="F267" t="s">
        <v>552</v>
      </c>
      <c r="G267" t="s">
        <v>132</v>
      </c>
      <c r="H267" t="s">
        <v>434</v>
      </c>
      <c r="I267" t="s">
        <v>32</v>
      </c>
      <c r="J267" t="s">
        <v>329</v>
      </c>
      <c r="K267">
        <f t="shared" si="622"/>
        <v>0</v>
      </c>
      <c r="L267">
        <f t="shared" si="623"/>
        <v>1</v>
      </c>
      <c r="M267">
        <f t="shared" si="624"/>
        <v>1</v>
      </c>
      <c r="N267">
        <f t="shared" si="625"/>
        <v>1</v>
      </c>
      <c r="O267">
        <f t="shared" si="626"/>
        <v>3</v>
      </c>
      <c r="P267" t="str">
        <f t="shared" si="627"/>
        <v>Medium centralized biomass gasification w/ CCS-CO2 emissions</v>
      </c>
      <c r="Q267" t="str">
        <f t="shared" si="628"/>
        <v>Central gas storage-CO2 emissions</v>
      </c>
      <c r="R267" t="str">
        <f t="shared" si="629"/>
        <v>Onsite-CO2 emissions</v>
      </c>
      <c r="S267" t="str">
        <f t="shared" si="630"/>
        <v>District-CHP with H2 fuel cell (heat)-CO2 emissions</v>
      </c>
      <c r="T267">
        <f ca="1">IF(timePeriod="2020-30",(VLOOKUP($P267,'TA database'!$I$8:$J$79,2,FALSE)/VLOOKUP($D267,'Merit calculation'!$B$48:$I$52,5,FALSE)/VLOOKUP($E267,'Merit calculation'!$B$67:$I$73,5,FALSE)/VLOOKUP($F267,'Merit calculation'!$B$90:$I$103,5,FALSE)/energyContentH2),(VLOOKUP($P267,'TA database'!$I$8:$J$79,2,FALSE)/VLOOKUP($D267,'Merit calculation'!$B$48:$I$52,7,FALSE)/VLOOKUP($E267,'Merit calculation'!$B$67:$I$73,7,FALSE)/VLOOKUP($F267,'Merit calculation'!$B$90:$I$103,7,FALSE)/energyContentH2))</f>
        <v>-0.15037593984962402</v>
      </c>
      <c r="U267">
        <v>0</v>
      </c>
      <c r="V267">
        <v>0</v>
      </c>
      <c r="W267">
        <f ca="1">IFERROR(VLOOKUP($S267,'TA database'!$I$146:$J$193,2,FALSE),0)</f>
        <v>0</v>
      </c>
      <c r="X267">
        <f>IFERROR(VLOOKUP($S267,'TA database'!$I$200:$J$271,2,FALSE),0)</f>
        <v>0</v>
      </c>
      <c r="Y267">
        <f t="shared" ca="1" si="631"/>
        <v>-0.54135338345864648</v>
      </c>
      <c r="Z267" t="str">
        <f t="shared" si="632"/>
        <v>BIO_GSF_CCS_MED_C   →   C_GAS_STRG   →   ONSITE_USE   →   H2_FC_DCHP_HEAT</v>
      </c>
      <c r="AA267" t="str">
        <f t="shared" si="633"/>
        <v>Building heat</v>
      </c>
      <c r="AB267" t="str">
        <f t="shared" si="634"/>
        <v>CO2 emissions</v>
      </c>
      <c r="AC267">
        <f t="shared" ca="1" si="635"/>
        <v>-0.54135338345864648</v>
      </c>
      <c r="AD267">
        <v>208</v>
      </c>
      <c r="AE267" t="str">
        <f>IF(AND(ISNUMBER(SEARCH(O267,4)),ISNUMBER(SEARCH('(4) FCH pathway assessment'!$B$16,AB267)),ISNUMBER(SEARCH('(4) FCH pathway assessment'!$B$10,AA267))),AD267,"")</f>
        <v/>
      </c>
      <c r="AF267" t="str">
        <f t="shared" si="565"/>
        <v/>
      </c>
      <c r="AG267" t="str">
        <f>VLOOKUP(C267,Assumptions!$B$116:$C$162,2,FALSE)</f>
        <v>BIO_GSF_CCS_MED_C</v>
      </c>
      <c r="AH267" t="str">
        <f>VLOOKUP(D267,Assumptions!$B$116:$C$162,2,FALSE)</f>
        <v>C_GAS_STRG</v>
      </c>
      <c r="AI267" t="str">
        <f>VLOOKUP(E267,Assumptions!$B$116:$C$162,2,FALSE)</f>
        <v>ONSITE_USE</v>
      </c>
      <c r="AJ267" t="str">
        <f>VLOOKUP(F267,Assumptions!$B$116:$C$162,2,FALSE)</f>
        <v>H2_FC_DCHP_HEAT</v>
      </c>
    </row>
    <row r="268" spans="2:36" x14ac:dyDescent="0.25">
      <c r="B268" t="s">
        <v>117</v>
      </c>
      <c r="C268" t="s">
        <v>55</v>
      </c>
      <c r="D268" s="60" t="s">
        <v>130</v>
      </c>
      <c r="E268" t="s">
        <v>66</v>
      </c>
      <c r="F268" t="s">
        <v>552</v>
      </c>
      <c r="G268" t="s">
        <v>132</v>
      </c>
      <c r="H268" t="s">
        <v>434</v>
      </c>
      <c r="I268" t="s">
        <v>32</v>
      </c>
      <c r="J268" t="s">
        <v>329</v>
      </c>
      <c r="K268">
        <f t="shared" ref="K268:K272" si="636">SUMPRODUCT(($C$7:$C$18=$C268)*($D$6:$H$6=$D268)*($D$7:$H$18))</f>
        <v>0</v>
      </c>
      <c r="L268">
        <f t="shared" ref="L268:L272" si="637">SUMPRODUCT(($C$19:$C$23=$D268)*($I$6:$O$6=$E268)*($I$19:$O$23))</f>
        <v>1</v>
      </c>
      <c r="M268">
        <f t="shared" ref="M268:M272" si="638">SUMPRODUCT(($C$24:$C$30=$E268)*($P$6:$AI$6=$F268)*($P$24:$AI$30))</f>
        <v>1</v>
      </c>
      <c r="N268">
        <f t="shared" ref="N268:N272" si="639">SUMPRODUCT(($C$31:$C$50=$F268)*($AJ$6:$AM$6=$G268)*($AJ$31:$AM$50))</f>
        <v>1</v>
      </c>
      <c r="O268">
        <f t="shared" ref="O268:O272" si="640">K268+L268+M268+N268</f>
        <v>3</v>
      </c>
      <c r="P268" t="str">
        <f t="shared" ref="P268:P272" si="641">CONCATENATE(C268,"-",J268)</f>
        <v>Small decentralized biomass gasification-CO2 emissions</v>
      </c>
      <c r="Q268" t="str">
        <f t="shared" ref="Q268:Q272" si="642">CONCATENATE(D268,"-",J268)</f>
        <v>Distributed gas storage-CO2 emissions</v>
      </c>
      <c r="R268" t="str">
        <f t="shared" ref="R268:R272" si="643">CONCATENATE(E268,"-",J268)</f>
        <v>Onsite-CO2 emissions</v>
      </c>
      <c r="S268" t="str">
        <f t="shared" ref="S268:S272" si="644">CONCATENATE(F268,"-",J268)</f>
        <v>District-CHP with H2 fuel cell (heat)-CO2 emissions</v>
      </c>
      <c r="T268">
        <f ca="1">IF(timePeriod="2020-30",(VLOOKUP($P268,'TA database'!$I$8:$J$79,2,FALSE)/VLOOKUP($D268,'Merit calculation'!$B$48:$I$52,5,FALSE)/VLOOKUP($E268,'Merit calculation'!$B$67:$I$73,5,FALSE)/VLOOKUP($F268,'Merit calculation'!$B$90:$I$103,5,FALSE)/energyContentH2),(VLOOKUP($P268,'TA database'!$I$8:$J$79,2,FALSE)/VLOOKUP($D268,'Merit calculation'!$B$48:$I$52,7,FALSE)/VLOOKUP($E268,'Merit calculation'!$B$67:$I$73,7,FALSE)/VLOOKUP($F268,'Merit calculation'!$B$90:$I$103,7,FALSE)/energyContentH2))</f>
        <v>0</v>
      </c>
      <c r="U268">
        <v>0</v>
      </c>
      <c r="V268">
        <v>0</v>
      </c>
      <c r="W268">
        <f ca="1">IFERROR(VLOOKUP($S268,'TA database'!$I$146:$J$193,2,FALSE),0)</f>
        <v>0</v>
      </c>
      <c r="X268">
        <f>IFERROR(VLOOKUP($S268,'TA database'!$I$200:$J$271,2,FALSE),0)</f>
        <v>0</v>
      </c>
      <c r="Y268">
        <f t="shared" ref="Y268:Y272" ca="1" si="645">IF($W268=0,T268*3.6+X268,T268+W268)</f>
        <v>0</v>
      </c>
      <c r="Z268" t="str">
        <f t="shared" ref="Z268:Z272" si="646">CONCATENATE(AG268,"   →   ",AH268,"   →   ",AI268,"   →   ",AJ268)</f>
        <v>BIO_GSF_SML_D   →   D_GAS_STRG   →   ONSITE_USE   →   H2_FC_DCHP_HEAT</v>
      </c>
      <c r="AA268" t="str">
        <f t="shared" ref="AA268:AA272" si="647">G268</f>
        <v>Building heat</v>
      </c>
      <c r="AB268" t="str">
        <f t="shared" ref="AB268:AB272" si="648">J268</f>
        <v>CO2 emissions</v>
      </c>
      <c r="AC268">
        <f t="shared" ref="AC268:AC272" ca="1" si="649">Y268</f>
        <v>0</v>
      </c>
      <c r="AD268">
        <v>209</v>
      </c>
      <c r="AE268" t="str">
        <f>IF(AND(ISNUMBER(SEARCH(O268,4)),ISNUMBER(SEARCH('(4) FCH pathway assessment'!$B$16,AB268)),ISNUMBER(SEARCH('(4) FCH pathway assessment'!$B$10,AA268))),AD268,"")</f>
        <v/>
      </c>
      <c r="AF268" t="str">
        <f t="shared" si="565"/>
        <v/>
      </c>
      <c r="AG268" t="str">
        <f>VLOOKUP(C268,Assumptions!$B$116:$C$162,2,FALSE)</f>
        <v>BIO_GSF_SML_D</v>
      </c>
      <c r="AH268" t="str">
        <f>VLOOKUP(D268,Assumptions!$B$116:$C$162,2,FALSE)</f>
        <v>D_GAS_STRG</v>
      </c>
      <c r="AI268" t="str">
        <f>VLOOKUP(E268,Assumptions!$B$116:$C$162,2,FALSE)</f>
        <v>ONSITE_USE</v>
      </c>
      <c r="AJ268" t="str">
        <f>VLOOKUP(F268,Assumptions!$B$116:$C$162,2,FALSE)</f>
        <v>H2_FC_DCHP_HEAT</v>
      </c>
    </row>
    <row r="269" spans="2:36" x14ac:dyDescent="0.25">
      <c r="B269" t="s">
        <v>117</v>
      </c>
      <c r="C269" t="s">
        <v>56</v>
      </c>
      <c r="D269" t="s">
        <v>62</v>
      </c>
      <c r="E269" t="s">
        <v>157</v>
      </c>
      <c r="F269" t="s">
        <v>552</v>
      </c>
      <c r="G269" t="s">
        <v>132</v>
      </c>
      <c r="H269" t="s">
        <v>434</v>
      </c>
      <c r="I269" t="s">
        <v>32</v>
      </c>
      <c r="J269" t="s">
        <v>329</v>
      </c>
      <c r="K269">
        <f t="shared" si="636"/>
        <v>0</v>
      </c>
      <c r="L269">
        <f t="shared" si="637"/>
        <v>0</v>
      </c>
      <c r="M269">
        <f t="shared" si="638"/>
        <v>0</v>
      </c>
      <c r="N269">
        <f t="shared" si="639"/>
        <v>1</v>
      </c>
      <c r="O269">
        <f t="shared" si="640"/>
        <v>1</v>
      </c>
      <c r="P269" t="str">
        <f t="shared" si="641"/>
        <v>Large centralized biomass steam reforming -CO2 emissions</v>
      </c>
      <c r="Q269" t="str">
        <f t="shared" si="642"/>
        <v>Underground storage-CO2 emissions</v>
      </c>
      <c r="R269" t="str">
        <f t="shared" si="643"/>
        <v>Blending in natural gas pipeline-CO2 emissions</v>
      </c>
      <c r="S269" t="str">
        <f t="shared" si="644"/>
        <v>District-CHP with H2 fuel cell (heat)-CO2 emissions</v>
      </c>
      <c r="T269">
        <f ca="1">IF(timePeriod="2020-30",(VLOOKUP($P269,'TA database'!$I$8:$J$79,2,FALSE)/VLOOKUP($D269,'Merit calculation'!$B$48:$I$52,5,FALSE)/VLOOKUP($E269,'Merit calculation'!$B$67:$I$73,5,FALSE)/VLOOKUP($F269,'Merit calculation'!$B$90:$I$103,5,FALSE)/energyContentH2),(VLOOKUP($P269,'TA database'!$I$8:$J$79,2,FALSE)/VLOOKUP($D269,'Merit calculation'!$B$48:$I$52,7,FALSE)/VLOOKUP($E269,'Merit calculation'!$B$67:$I$73,7,FALSE)/VLOOKUP($F269,'Merit calculation'!$B$90:$I$103,7,FALSE)/energyContentH2))</f>
        <v>0</v>
      </c>
      <c r="U269">
        <v>0</v>
      </c>
      <c r="V269">
        <v>0</v>
      </c>
      <c r="W269">
        <f ca="1">IFERROR(VLOOKUP($S269,'TA database'!$I$146:$J$193,2,FALSE),0)</f>
        <v>0</v>
      </c>
      <c r="X269">
        <f>IFERROR(VLOOKUP($S269,'TA database'!$I$200:$J$271,2,FALSE),0)</f>
        <v>0</v>
      </c>
      <c r="Y269">
        <f t="shared" ca="1" si="645"/>
        <v>0</v>
      </c>
      <c r="Z269" t="str">
        <f t="shared" si="646"/>
        <v>BIO_SR_LRG_C   →   C_UNDRGRND_STRG   →   H2_BLND_NG_P   →   H2_FC_DCHP_HEAT</v>
      </c>
      <c r="AA269" t="str">
        <f t="shared" si="647"/>
        <v>Building heat</v>
      </c>
      <c r="AB269" t="str">
        <f t="shared" si="648"/>
        <v>CO2 emissions</v>
      </c>
      <c r="AC269">
        <f t="shared" ca="1" si="649"/>
        <v>0</v>
      </c>
      <c r="AD269">
        <v>210</v>
      </c>
      <c r="AE269" t="str">
        <f>IF(AND(ISNUMBER(SEARCH(O269,4)),ISNUMBER(SEARCH('(4) FCH pathway assessment'!$B$16,AB269)),ISNUMBER(SEARCH('(4) FCH pathway assessment'!$B$10,AA269))),AD269,"")</f>
        <v/>
      </c>
      <c r="AF269" t="str">
        <f t="shared" si="565"/>
        <v/>
      </c>
      <c r="AG269" t="str">
        <f>VLOOKUP(C269,Assumptions!$B$116:$C$162,2,FALSE)</f>
        <v>BIO_SR_LRG_C</v>
      </c>
      <c r="AH269" t="str">
        <f>VLOOKUP(D269,Assumptions!$B$116:$C$162,2,FALSE)</f>
        <v>C_UNDRGRND_STRG</v>
      </c>
      <c r="AI269" t="str">
        <f>VLOOKUP(E269,Assumptions!$B$116:$C$162,2,FALSE)</f>
        <v>H2_BLND_NG_P</v>
      </c>
      <c r="AJ269" t="str">
        <f>VLOOKUP(F269,Assumptions!$B$116:$C$162,2,FALSE)</f>
        <v>H2_FC_DCHP_HEAT</v>
      </c>
    </row>
    <row r="270" spans="2:36" x14ac:dyDescent="0.25">
      <c r="B270" t="s">
        <v>117</v>
      </c>
      <c r="C270" t="s">
        <v>56</v>
      </c>
      <c r="D270" t="s">
        <v>62</v>
      </c>
      <c r="E270" t="s">
        <v>122</v>
      </c>
      <c r="F270" t="s">
        <v>552</v>
      </c>
      <c r="G270" t="s">
        <v>132</v>
      </c>
      <c r="H270" t="s">
        <v>434</v>
      </c>
      <c r="I270" t="s">
        <v>32</v>
      </c>
      <c r="J270" t="s">
        <v>329</v>
      </c>
      <c r="K270">
        <f t="shared" si="636"/>
        <v>0</v>
      </c>
      <c r="L270">
        <f t="shared" si="637"/>
        <v>0</v>
      </c>
      <c r="M270">
        <f t="shared" si="638"/>
        <v>1</v>
      </c>
      <c r="N270">
        <f t="shared" si="639"/>
        <v>1</v>
      </c>
      <c r="O270">
        <f t="shared" si="640"/>
        <v>2</v>
      </c>
      <c r="P270" t="str">
        <f t="shared" si="641"/>
        <v>Large centralized biomass steam reforming -CO2 emissions</v>
      </c>
      <c r="Q270" t="str">
        <f t="shared" si="642"/>
        <v>Underground storage-CO2 emissions</v>
      </c>
      <c r="R270" t="str">
        <f t="shared" si="643"/>
        <v>Hydrogen transmission &amp; distribution pipeline-CO2 emissions</v>
      </c>
      <c r="S270" t="str">
        <f t="shared" si="644"/>
        <v>District-CHP with H2 fuel cell (heat)-CO2 emissions</v>
      </c>
      <c r="T270">
        <f ca="1">IF(timePeriod="2020-30",(VLOOKUP($P270,'TA database'!$I$8:$J$79,2,FALSE)/VLOOKUP($D270,'Merit calculation'!$B$48:$I$52,5,FALSE)/VLOOKUP($E270,'Merit calculation'!$B$67:$I$73,5,FALSE)/VLOOKUP($F270,'Merit calculation'!$B$90:$I$103,5,FALSE)/energyContentH2),(VLOOKUP($P270,'TA database'!$I$8:$J$79,2,FALSE)/VLOOKUP($D270,'Merit calculation'!$B$48:$I$52,7,FALSE)/VLOOKUP($E270,'Merit calculation'!$B$67:$I$73,7,FALSE)/VLOOKUP($F270,'Merit calculation'!$B$90:$I$103,7,FALSE)/energyContentH2))</f>
        <v>0</v>
      </c>
      <c r="U270">
        <v>0</v>
      </c>
      <c r="V270">
        <v>0</v>
      </c>
      <c r="W270">
        <f ca="1">IFERROR(VLOOKUP($S270,'TA database'!$I$146:$J$193,2,FALSE),0)</f>
        <v>0</v>
      </c>
      <c r="X270">
        <f>IFERROR(VLOOKUP($S270,'TA database'!$I$200:$J$271,2,FALSE),0)</f>
        <v>0</v>
      </c>
      <c r="Y270">
        <f t="shared" ca="1" si="645"/>
        <v>0</v>
      </c>
      <c r="Z270" t="str">
        <f t="shared" si="646"/>
        <v>BIO_SR_LRG_C   →   C_UNDRGRND_STRG   →   H2_T&amp;D_P   →   H2_FC_DCHP_HEAT</v>
      </c>
      <c r="AA270" t="str">
        <f t="shared" si="647"/>
        <v>Building heat</v>
      </c>
      <c r="AB270" t="str">
        <f t="shared" si="648"/>
        <v>CO2 emissions</v>
      </c>
      <c r="AC270">
        <f t="shared" ca="1" si="649"/>
        <v>0</v>
      </c>
      <c r="AD270">
        <v>211</v>
      </c>
      <c r="AE270" t="str">
        <f>IF(AND(ISNUMBER(SEARCH(O270,4)),ISNUMBER(SEARCH('(4) FCH pathway assessment'!$B$16,AB270)),ISNUMBER(SEARCH('(4) FCH pathway assessment'!$B$10,AA270))),AD270,"")</f>
        <v/>
      </c>
      <c r="AF270" t="str">
        <f t="shared" si="565"/>
        <v/>
      </c>
      <c r="AG270" t="str">
        <f>VLOOKUP(C270,Assumptions!$B$116:$C$162,2,FALSE)</f>
        <v>BIO_SR_LRG_C</v>
      </c>
      <c r="AH270" t="str">
        <f>VLOOKUP(D270,Assumptions!$B$116:$C$162,2,FALSE)</f>
        <v>C_UNDRGRND_STRG</v>
      </c>
      <c r="AI270" t="str">
        <f>VLOOKUP(E270,Assumptions!$B$116:$C$162,2,FALSE)</f>
        <v>H2_T&amp;D_P</v>
      </c>
      <c r="AJ270" t="str">
        <f>VLOOKUP(F270,Assumptions!$B$116:$C$162,2,FALSE)</f>
        <v>H2_FC_DCHP_HEAT</v>
      </c>
    </row>
    <row r="271" spans="2:36" x14ac:dyDescent="0.25">
      <c r="B271" t="s">
        <v>117</v>
      </c>
      <c r="C271" t="s">
        <v>56</v>
      </c>
      <c r="D271" t="s">
        <v>62</v>
      </c>
      <c r="E271" t="s">
        <v>116</v>
      </c>
      <c r="F271" t="s">
        <v>552</v>
      </c>
      <c r="G271" t="s">
        <v>132</v>
      </c>
      <c r="H271" t="s">
        <v>434</v>
      </c>
      <c r="I271" t="s">
        <v>32</v>
      </c>
      <c r="J271" t="s">
        <v>329</v>
      </c>
      <c r="K271">
        <f t="shared" si="636"/>
        <v>0</v>
      </c>
      <c r="L271">
        <f t="shared" si="637"/>
        <v>0</v>
      </c>
      <c r="M271">
        <f t="shared" si="638"/>
        <v>1</v>
      </c>
      <c r="N271">
        <f t="shared" si="639"/>
        <v>1</v>
      </c>
      <c r="O271">
        <f t="shared" si="640"/>
        <v>2</v>
      </c>
      <c r="P271" t="str">
        <f t="shared" si="641"/>
        <v>Large centralized biomass steam reforming -CO2 emissions</v>
      </c>
      <c r="Q271" t="str">
        <f t="shared" si="642"/>
        <v>Underground storage-CO2 emissions</v>
      </c>
      <c r="R271" t="str">
        <f t="shared" si="643"/>
        <v>Liquid hydrogen truck-CO2 emissions</v>
      </c>
      <c r="S271" t="str">
        <f t="shared" si="644"/>
        <v>District-CHP with H2 fuel cell (heat)-CO2 emissions</v>
      </c>
      <c r="T271">
        <f ca="1">IF(timePeriod="2020-30",(VLOOKUP($P271,'TA database'!$I$8:$J$79,2,FALSE)/VLOOKUP($D271,'Merit calculation'!$B$48:$I$52,5,FALSE)/VLOOKUP($E271,'Merit calculation'!$B$67:$I$73,5,FALSE)/VLOOKUP($F271,'Merit calculation'!$B$90:$I$103,5,FALSE)/energyContentH2),(VLOOKUP($P271,'TA database'!$I$8:$J$79,2,FALSE)/VLOOKUP($D271,'Merit calculation'!$B$48:$I$52,7,FALSE)/VLOOKUP($E271,'Merit calculation'!$B$67:$I$73,7,FALSE)/VLOOKUP($F271,'Merit calculation'!$B$90:$I$103,7,FALSE)/energyContentH2))</f>
        <v>0</v>
      </c>
      <c r="U271">
        <v>0</v>
      </c>
      <c r="V271">
        <v>0</v>
      </c>
      <c r="W271">
        <f ca="1">IFERROR(VLOOKUP($S271,'TA database'!$I$146:$J$193,2,FALSE),0)</f>
        <v>0</v>
      </c>
      <c r="X271">
        <f>IFERROR(VLOOKUP($S271,'TA database'!$I$200:$J$271,2,FALSE),0)</f>
        <v>0</v>
      </c>
      <c r="Y271">
        <f t="shared" ca="1" si="645"/>
        <v>0</v>
      </c>
      <c r="Z271" t="str">
        <f t="shared" si="646"/>
        <v>BIO_SR_LRG_C   →   C_UNDRGRND_STRG   →   LQ_TRUCK   →   H2_FC_DCHP_HEAT</v>
      </c>
      <c r="AA271" t="str">
        <f t="shared" si="647"/>
        <v>Building heat</v>
      </c>
      <c r="AB271" t="str">
        <f t="shared" si="648"/>
        <v>CO2 emissions</v>
      </c>
      <c r="AC271">
        <f t="shared" ca="1" si="649"/>
        <v>0</v>
      </c>
      <c r="AD271">
        <v>212</v>
      </c>
      <c r="AE271" t="str">
        <f>IF(AND(ISNUMBER(SEARCH(O271,4)),ISNUMBER(SEARCH('(4) FCH pathway assessment'!$B$16,AB271)),ISNUMBER(SEARCH('(4) FCH pathway assessment'!$B$10,AA271))),AD271,"")</f>
        <v/>
      </c>
      <c r="AF271" t="str">
        <f t="shared" si="565"/>
        <v/>
      </c>
      <c r="AG271" t="str">
        <f>VLOOKUP(C271,Assumptions!$B$116:$C$162,2,FALSE)</f>
        <v>BIO_SR_LRG_C</v>
      </c>
      <c r="AH271" t="str">
        <f>VLOOKUP(D271,Assumptions!$B$116:$C$162,2,FALSE)</f>
        <v>C_UNDRGRND_STRG</v>
      </c>
      <c r="AI271" t="str">
        <f>VLOOKUP(E271,Assumptions!$B$116:$C$162,2,FALSE)</f>
        <v>LQ_TRUCK</v>
      </c>
      <c r="AJ271" t="str">
        <f>VLOOKUP(F271,Assumptions!$B$116:$C$162,2,FALSE)</f>
        <v>H2_FC_DCHP_HEAT</v>
      </c>
    </row>
    <row r="272" spans="2:36" x14ac:dyDescent="0.25">
      <c r="B272" t="s">
        <v>117</v>
      </c>
      <c r="C272" t="s">
        <v>56</v>
      </c>
      <c r="D272" t="s">
        <v>62</v>
      </c>
      <c r="E272" t="s">
        <v>66</v>
      </c>
      <c r="F272" t="s">
        <v>552</v>
      </c>
      <c r="G272" t="s">
        <v>132</v>
      </c>
      <c r="H272" t="s">
        <v>434</v>
      </c>
      <c r="I272" t="s">
        <v>32</v>
      </c>
      <c r="J272" t="s">
        <v>329</v>
      </c>
      <c r="K272">
        <f t="shared" si="636"/>
        <v>0</v>
      </c>
      <c r="L272">
        <f t="shared" si="637"/>
        <v>0</v>
      </c>
      <c r="M272">
        <f t="shared" si="638"/>
        <v>1</v>
      </c>
      <c r="N272">
        <f t="shared" si="639"/>
        <v>1</v>
      </c>
      <c r="O272">
        <f t="shared" si="640"/>
        <v>2</v>
      </c>
      <c r="P272" t="str">
        <f t="shared" si="641"/>
        <v>Large centralized biomass steam reforming -CO2 emissions</v>
      </c>
      <c r="Q272" t="str">
        <f t="shared" si="642"/>
        <v>Underground storage-CO2 emissions</v>
      </c>
      <c r="R272" t="str">
        <f t="shared" si="643"/>
        <v>Onsite-CO2 emissions</v>
      </c>
      <c r="S272" t="str">
        <f t="shared" si="644"/>
        <v>District-CHP with H2 fuel cell (heat)-CO2 emissions</v>
      </c>
      <c r="T272">
        <f ca="1">IF(timePeriod="2020-30",(VLOOKUP($P272,'TA database'!$I$8:$J$79,2,FALSE)/VLOOKUP($D272,'Merit calculation'!$B$48:$I$52,5,FALSE)/VLOOKUP($E272,'Merit calculation'!$B$67:$I$73,5,FALSE)/VLOOKUP($F272,'Merit calculation'!$B$90:$I$103,5,FALSE)/energyContentH2),(VLOOKUP($P272,'TA database'!$I$8:$J$79,2,FALSE)/VLOOKUP($D272,'Merit calculation'!$B$48:$I$52,7,FALSE)/VLOOKUP($E272,'Merit calculation'!$B$67:$I$73,7,FALSE)/VLOOKUP($F272,'Merit calculation'!$B$90:$I$103,7,FALSE)/energyContentH2))</f>
        <v>0</v>
      </c>
      <c r="U272">
        <v>0</v>
      </c>
      <c r="V272">
        <v>0</v>
      </c>
      <c r="W272">
        <f ca="1">IFERROR(VLOOKUP($S272,'TA database'!$I$146:$J$193,2,FALSE),0)</f>
        <v>0</v>
      </c>
      <c r="X272">
        <f>IFERROR(VLOOKUP($S272,'TA database'!$I$200:$J$271,2,FALSE),0)</f>
        <v>0</v>
      </c>
      <c r="Y272">
        <f t="shared" ca="1" si="645"/>
        <v>0</v>
      </c>
      <c r="Z272" t="str">
        <f t="shared" si="646"/>
        <v>BIO_SR_LRG_C   →   C_UNDRGRND_STRG   →   ONSITE_USE   →   H2_FC_DCHP_HEAT</v>
      </c>
      <c r="AA272" t="str">
        <f t="shared" si="647"/>
        <v>Building heat</v>
      </c>
      <c r="AB272" t="str">
        <f t="shared" si="648"/>
        <v>CO2 emissions</v>
      </c>
      <c r="AC272">
        <f t="shared" ca="1" si="649"/>
        <v>0</v>
      </c>
      <c r="AD272">
        <v>213</v>
      </c>
      <c r="AE272" t="str">
        <f>IF(AND(ISNUMBER(SEARCH(O272,4)),ISNUMBER(SEARCH('(4) FCH pathway assessment'!$B$16,AB272)),ISNUMBER(SEARCH('(4) FCH pathway assessment'!$B$10,AA272))),AD272,"")</f>
        <v/>
      </c>
      <c r="AF272" t="str">
        <f t="shared" si="565"/>
        <v/>
      </c>
      <c r="AG272" t="str">
        <f>VLOOKUP(C272,Assumptions!$B$116:$C$162,2,FALSE)</f>
        <v>BIO_SR_LRG_C</v>
      </c>
      <c r="AH272" t="str">
        <f>VLOOKUP(D272,Assumptions!$B$116:$C$162,2,FALSE)</f>
        <v>C_UNDRGRND_STRG</v>
      </c>
      <c r="AI272" t="str">
        <f>VLOOKUP(E272,Assumptions!$B$116:$C$162,2,FALSE)</f>
        <v>ONSITE_USE</v>
      </c>
      <c r="AJ272" t="str">
        <f>VLOOKUP(F272,Assumptions!$B$116:$C$162,2,FALSE)</f>
        <v>H2_FC_DCHP_HEAT</v>
      </c>
    </row>
    <row r="273" spans="2:36" x14ac:dyDescent="0.25">
      <c r="B273" t="s">
        <v>117</v>
      </c>
      <c r="C273" t="s">
        <v>56</v>
      </c>
      <c r="D273" s="61" t="s">
        <v>63</v>
      </c>
      <c r="E273" t="s">
        <v>122</v>
      </c>
      <c r="F273" t="s">
        <v>552</v>
      </c>
      <c r="G273" t="s">
        <v>132</v>
      </c>
      <c r="H273" t="s">
        <v>434</v>
      </c>
      <c r="I273" t="s">
        <v>32</v>
      </c>
      <c r="J273" t="s">
        <v>329</v>
      </c>
      <c r="K273">
        <f t="shared" ref="K273:K285" si="650">SUMPRODUCT(($C$7:$C$18=$C273)*($D$6:$H$6=$D273)*($D$7:$H$18))</f>
        <v>0</v>
      </c>
      <c r="L273">
        <f t="shared" ref="L273:L285" si="651">SUMPRODUCT(($C$19:$C$23=$D273)*($I$6:$O$6=$E273)*($I$19:$O$23))</f>
        <v>1</v>
      </c>
      <c r="M273">
        <f t="shared" ref="M273:M285" si="652">SUMPRODUCT(($C$24:$C$30=$E273)*($P$6:$AI$6=$F273)*($P$24:$AI$30))</f>
        <v>1</v>
      </c>
      <c r="N273">
        <f t="shared" ref="N273:N285" si="653">SUMPRODUCT(($C$31:$C$50=$F273)*($AJ$6:$AM$6=$G273)*($AJ$31:$AM$50))</f>
        <v>1</v>
      </c>
      <c r="O273">
        <f t="shared" ref="O273:O285" si="654">K273+L273+M273+N273</f>
        <v>3</v>
      </c>
      <c r="P273" t="str">
        <f t="shared" ref="P273:P285" si="655">CONCATENATE(C273,"-",J273)</f>
        <v>Large centralized biomass steam reforming -CO2 emissions</v>
      </c>
      <c r="Q273" t="str">
        <f t="shared" ref="Q273:Q285" si="656">CONCATENATE(D273,"-",J273)</f>
        <v>No storage-CO2 emissions</v>
      </c>
      <c r="R273" t="str">
        <f t="shared" ref="R273:R285" si="657">CONCATENATE(E273,"-",J273)</f>
        <v>Hydrogen transmission &amp; distribution pipeline-CO2 emissions</v>
      </c>
      <c r="S273" t="str">
        <f t="shared" ref="S273:S285" si="658">CONCATENATE(F273,"-",J273)</f>
        <v>District-CHP with H2 fuel cell (heat)-CO2 emissions</v>
      </c>
      <c r="T273">
        <f ca="1">IF(timePeriod="2020-30",(VLOOKUP($P273,'TA database'!$I$8:$J$79,2,FALSE)/VLOOKUP($D273,'Merit calculation'!$B$48:$I$52,5,FALSE)/VLOOKUP($E273,'Merit calculation'!$B$67:$I$73,5,FALSE)/VLOOKUP($F273,'Merit calculation'!$B$90:$I$103,5,FALSE)/energyContentH2),(VLOOKUP($P273,'TA database'!$I$8:$J$79,2,FALSE)/VLOOKUP($D273,'Merit calculation'!$B$48:$I$52,7,FALSE)/VLOOKUP($E273,'Merit calculation'!$B$67:$I$73,7,FALSE)/VLOOKUP($F273,'Merit calculation'!$B$90:$I$103,7,FALSE)/energyContentH2))</f>
        <v>0</v>
      </c>
      <c r="U273">
        <v>0</v>
      </c>
      <c r="V273">
        <v>0</v>
      </c>
      <c r="W273">
        <f ca="1">IFERROR(VLOOKUP($S273,'TA database'!$I$146:$J$193,2,FALSE),0)</f>
        <v>0</v>
      </c>
      <c r="X273">
        <f>IFERROR(VLOOKUP($S273,'TA database'!$I$200:$J$271,2,FALSE),0)</f>
        <v>0</v>
      </c>
      <c r="Y273">
        <f t="shared" ref="Y273:Y285" ca="1" si="659">IF($W273=0,T273*3.6+X273,T273+W273)</f>
        <v>0</v>
      </c>
      <c r="Z273" t="str">
        <f t="shared" ref="Z273:Z285" si="660">CONCATENATE(AG273,"   →   ",AH273,"   →   ",AI273,"   →   ",AJ273)</f>
        <v>BIO_SR_LRG_C   →   NO_STRG   →   H2_T&amp;D_P   →   H2_FC_DCHP_HEAT</v>
      </c>
      <c r="AA273" t="str">
        <f t="shared" ref="AA273:AA285" si="661">G273</f>
        <v>Building heat</v>
      </c>
      <c r="AB273" t="str">
        <f t="shared" ref="AB273:AB285" si="662">J273</f>
        <v>CO2 emissions</v>
      </c>
      <c r="AC273">
        <f t="shared" ref="AC273:AC285" ca="1" si="663">Y273</f>
        <v>0</v>
      </c>
      <c r="AD273">
        <v>214</v>
      </c>
      <c r="AE273" t="str">
        <f>IF(AND(ISNUMBER(SEARCH(O273,4)),ISNUMBER(SEARCH('(4) FCH pathway assessment'!$B$16,AB273)),ISNUMBER(SEARCH('(4) FCH pathway assessment'!$B$10,AA273))),AD273,"")</f>
        <v/>
      </c>
      <c r="AF273" t="str">
        <f t="shared" si="565"/>
        <v/>
      </c>
      <c r="AG273" t="str">
        <f>VLOOKUP(C273,Assumptions!$B$116:$C$162,2,FALSE)</f>
        <v>BIO_SR_LRG_C</v>
      </c>
      <c r="AH273" t="str">
        <f>VLOOKUP(D273,Assumptions!$B$116:$C$162,2,FALSE)</f>
        <v>NO_STRG</v>
      </c>
      <c r="AI273" t="str">
        <f>VLOOKUP(E273,Assumptions!$B$116:$C$162,2,FALSE)</f>
        <v>H2_T&amp;D_P</v>
      </c>
      <c r="AJ273" t="str">
        <f>VLOOKUP(F273,Assumptions!$B$116:$C$162,2,FALSE)</f>
        <v>H2_FC_DCHP_HEAT</v>
      </c>
    </row>
    <row r="274" spans="2:36" x14ac:dyDescent="0.25">
      <c r="B274" t="s">
        <v>112</v>
      </c>
      <c r="C274" t="s">
        <v>49</v>
      </c>
      <c r="D274" t="s">
        <v>62</v>
      </c>
      <c r="E274" t="s">
        <v>157</v>
      </c>
      <c r="F274" t="s">
        <v>552</v>
      </c>
      <c r="G274" t="s">
        <v>132</v>
      </c>
      <c r="H274" t="s">
        <v>434</v>
      </c>
      <c r="I274" t="s">
        <v>32</v>
      </c>
      <c r="J274" t="s">
        <v>329</v>
      </c>
      <c r="K274">
        <f t="shared" si="650"/>
        <v>1</v>
      </c>
      <c r="L274">
        <f t="shared" si="651"/>
        <v>0</v>
      </c>
      <c r="M274">
        <f t="shared" si="652"/>
        <v>0</v>
      </c>
      <c r="N274">
        <f t="shared" si="653"/>
        <v>1</v>
      </c>
      <c r="O274">
        <f t="shared" si="654"/>
        <v>2</v>
      </c>
      <c r="P274" t="str">
        <f t="shared" si="655"/>
        <v>Large centralized electrolysis-CO2 emissions</v>
      </c>
      <c r="Q274" t="str">
        <f t="shared" si="656"/>
        <v>Underground storage-CO2 emissions</v>
      </c>
      <c r="R274" t="str">
        <f t="shared" si="657"/>
        <v>Blending in natural gas pipeline-CO2 emissions</v>
      </c>
      <c r="S274" t="str">
        <f t="shared" si="658"/>
        <v>District-CHP with H2 fuel cell (heat)-CO2 emissions</v>
      </c>
      <c r="T274">
        <f ca="1">IF(timePeriod="2020-30",(VLOOKUP($P274,'TA database'!$I$8:$J$79,2,FALSE)/VLOOKUP($D274,'Merit calculation'!$B$48:$I$52,5,FALSE)/VLOOKUP($E274,'Merit calculation'!$B$67:$I$73,5,FALSE)/VLOOKUP($F274,'Merit calculation'!$B$90:$I$103,5,FALSE)/energyContentH2),(VLOOKUP($P274,'TA database'!$I$8:$J$79,2,FALSE)/VLOOKUP($D274,'Merit calculation'!$B$48:$I$52,7,FALSE)/VLOOKUP($E274,'Merit calculation'!$B$67:$I$73,7,FALSE)/VLOOKUP($F274,'Merit calculation'!$B$90:$I$103,7,FALSE)/energyContentH2))</f>
        <v>2.0717674841761714E-2</v>
      </c>
      <c r="U274">
        <v>0</v>
      </c>
      <c r="V274">
        <v>0</v>
      </c>
      <c r="W274">
        <f ca="1">IFERROR(VLOOKUP($S274,'TA database'!$I$146:$J$193,2,FALSE),0)</f>
        <v>0</v>
      </c>
      <c r="X274">
        <f>IFERROR(VLOOKUP($S274,'TA database'!$I$200:$J$271,2,FALSE),0)</f>
        <v>0</v>
      </c>
      <c r="Y274">
        <f t="shared" ca="1" si="659"/>
        <v>7.4583629430342177E-2</v>
      </c>
      <c r="Z274" t="str">
        <f t="shared" si="660"/>
        <v>ELCTRLYZ_LRG_C   →   C_UNDRGRND_STRG   →   H2_BLND_NG_P   →   H2_FC_DCHP_HEAT</v>
      </c>
      <c r="AA274" t="str">
        <f t="shared" si="661"/>
        <v>Building heat</v>
      </c>
      <c r="AB274" t="str">
        <f t="shared" si="662"/>
        <v>CO2 emissions</v>
      </c>
      <c r="AC274">
        <f t="shared" ca="1" si="663"/>
        <v>7.4583629430342177E-2</v>
      </c>
      <c r="AD274">
        <v>215</v>
      </c>
      <c r="AE274" t="str">
        <f>IF(AND(ISNUMBER(SEARCH(O274,4)),ISNUMBER(SEARCH('(4) FCH pathway assessment'!$B$16,AB274)),ISNUMBER(SEARCH('(4) FCH pathway assessment'!$B$10,AA274))),AD274,"")</f>
        <v/>
      </c>
      <c r="AF274" t="str">
        <f t="shared" si="565"/>
        <v/>
      </c>
      <c r="AG274" t="str">
        <f>VLOOKUP(C274,Assumptions!$B$116:$C$162,2,FALSE)</f>
        <v>ELCTRLYZ_LRG_C</v>
      </c>
      <c r="AH274" t="str">
        <f>VLOOKUP(D274,Assumptions!$B$116:$C$162,2,FALSE)</f>
        <v>C_UNDRGRND_STRG</v>
      </c>
      <c r="AI274" t="str">
        <f>VLOOKUP(E274,Assumptions!$B$116:$C$162,2,FALSE)</f>
        <v>H2_BLND_NG_P</v>
      </c>
      <c r="AJ274" t="str">
        <f>VLOOKUP(F274,Assumptions!$B$116:$C$162,2,FALSE)</f>
        <v>H2_FC_DCHP_HEAT</v>
      </c>
    </row>
    <row r="275" spans="2:36" x14ac:dyDescent="0.25">
      <c r="B275" t="s">
        <v>112</v>
      </c>
      <c r="C275" t="s">
        <v>49</v>
      </c>
      <c r="D275" t="s">
        <v>62</v>
      </c>
      <c r="E275" t="s">
        <v>122</v>
      </c>
      <c r="F275" t="s">
        <v>552</v>
      </c>
      <c r="G275" t="s">
        <v>132</v>
      </c>
      <c r="H275" t="s">
        <v>434</v>
      </c>
      <c r="I275" t="s">
        <v>32</v>
      </c>
      <c r="J275" t="s">
        <v>329</v>
      </c>
      <c r="K275">
        <f t="shared" si="650"/>
        <v>1</v>
      </c>
      <c r="L275">
        <f t="shared" si="651"/>
        <v>0</v>
      </c>
      <c r="M275">
        <f t="shared" si="652"/>
        <v>1</v>
      </c>
      <c r="N275">
        <f t="shared" si="653"/>
        <v>1</v>
      </c>
      <c r="O275">
        <f t="shared" si="654"/>
        <v>3</v>
      </c>
      <c r="P275" t="str">
        <f t="shared" si="655"/>
        <v>Large centralized electrolysis-CO2 emissions</v>
      </c>
      <c r="Q275" t="str">
        <f t="shared" si="656"/>
        <v>Underground storage-CO2 emissions</v>
      </c>
      <c r="R275" t="str">
        <f t="shared" si="657"/>
        <v>Hydrogen transmission &amp; distribution pipeline-CO2 emissions</v>
      </c>
      <c r="S275" t="str">
        <f t="shared" si="658"/>
        <v>District-CHP with H2 fuel cell (heat)-CO2 emissions</v>
      </c>
      <c r="T275">
        <f ca="1">IF(timePeriod="2020-30",(VLOOKUP($P275,'TA database'!$I$8:$J$79,2,FALSE)/VLOOKUP($D275,'Merit calculation'!$B$48:$I$52,5,FALSE)/VLOOKUP($E275,'Merit calculation'!$B$67:$I$73,5,FALSE)/VLOOKUP($F275,'Merit calculation'!$B$90:$I$103,5,FALSE)/energyContentH2),(VLOOKUP($P275,'TA database'!$I$8:$J$79,2,FALSE)/VLOOKUP($D275,'Merit calculation'!$B$48:$I$52,7,FALSE)/VLOOKUP($E275,'Merit calculation'!$B$67:$I$73,7,FALSE)/VLOOKUP($F275,'Merit calculation'!$B$90:$I$103,7,FALSE)/energyContentH2))</f>
        <v>2.0717674841761714E-2</v>
      </c>
      <c r="U275">
        <v>0</v>
      </c>
      <c r="V275">
        <v>0</v>
      </c>
      <c r="W275">
        <f ca="1">IFERROR(VLOOKUP($S275,'TA database'!$I$146:$J$193,2,FALSE),0)</f>
        <v>0</v>
      </c>
      <c r="X275">
        <f>IFERROR(VLOOKUP($S275,'TA database'!$I$200:$J$271,2,FALSE),0)</f>
        <v>0</v>
      </c>
      <c r="Y275">
        <f t="shared" ca="1" si="659"/>
        <v>7.4583629430342177E-2</v>
      </c>
      <c r="Z275" t="str">
        <f t="shared" si="660"/>
        <v>ELCTRLYZ_LRG_C   →   C_UNDRGRND_STRG   →   H2_T&amp;D_P   →   H2_FC_DCHP_HEAT</v>
      </c>
      <c r="AA275" t="str">
        <f t="shared" si="661"/>
        <v>Building heat</v>
      </c>
      <c r="AB275" t="str">
        <f t="shared" si="662"/>
        <v>CO2 emissions</v>
      </c>
      <c r="AC275">
        <f t="shared" ca="1" si="663"/>
        <v>7.4583629430342177E-2</v>
      </c>
      <c r="AD275">
        <v>216</v>
      </c>
      <c r="AE275" t="str">
        <f>IF(AND(ISNUMBER(SEARCH(O275,4)),ISNUMBER(SEARCH('(4) FCH pathway assessment'!$B$16,AB275)),ISNUMBER(SEARCH('(4) FCH pathway assessment'!$B$10,AA275))),AD275,"")</f>
        <v/>
      </c>
      <c r="AF275" t="str">
        <f t="shared" si="565"/>
        <v/>
      </c>
      <c r="AG275" t="str">
        <f>VLOOKUP(C275,Assumptions!$B$116:$C$162,2,FALSE)</f>
        <v>ELCTRLYZ_LRG_C</v>
      </c>
      <c r="AH275" t="str">
        <f>VLOOKUP(D275,Assumptions!$B$116:$C$162,2,FALSE)</f>
        <v>C_UNDRGRND_STRG</v>
      </c>
      <c r="AI275" t="str">
        <f>VLOOKUP(E275,Assumptions!$B$116:$C$162,2,FALSE)</f>
        <v>H2_T&amp;D_P</v>
      </c>
      <c r="AJ275" t="str">
        <f>VLOOKUP(F275,Assumptions!$B$116:$C$162,2,FALSE)</f>
        <v>H2_FC_DCHP_HEAT</v>
      </c>
    </row>
    <row r="276" spans="2:36" x14ac:dyDescent="0.25">
      <c r="B276" t="s">
        <v>112</v>
      </c>
      <c r="C276" t="s">
        <v>49</v>
      </c>
      <c r="D276" t="s">
        <v>62</v>
      </c>
      <c r="E276" t="s">
        <v>116</v>
      </c>
      <c r="F276" t="s">
        <v>552</v>
      </c>
      <c r="G276" t="s">
        <v>132</v>
      </c>
      <c r="H276" t="s">
        <v>434</v>
      </c>
      <c r="I276" t="s">
        <v>32</v>
      </c>
      <c r="J276" t="s">
        <v>329</v>
      </c>
      <c r="K276">
        <f t="shared" si="650"/>
        <v>1</v>
      </c>
      <c r="L276">
        <f t="shared" si="651"/>
        <v>0</v>
      </c>
      <c r="M276">
        <f t="shared" si="652"/>
        <v>1</v>
      </c>
      <c r="N276">
        <f t="shared" si="653"/>
        <v>1</v>
      </c>
      <c r="O276">
        <f t="shared" si="654"/>
        <v>3</v>
      </c>
      <c r="P276" t="str">
        <f t="shared" si="655"/>
        <v>Large centralized electrolysis-CO2 emissions</v>
      </c>
      <c r="Q276" t="str">
        <f t="shared" si="656"/>
        <v>Underground storage-CO2 emissions</v>
      </c>
      <c r="R276" t="str">
        <f t="shared" si="657"/>
        <v>Liquid hydrogen truck-CO2 emissions</v>
      </c>
      <c r="S276" t="str">
        <f t="shared" si="658"/>
        <v>District-CHP with H2 fuel cell (heat)-CO2 emissions</v>
      </c>
      <c r="T276">
        <f ca="1">IF(timePeriod="2020-30",(VLOOKUP($P276,'TA database'!$I$8:$J$79,2,FALSE)/VLOOKUP($D276,'Merit calculation'!$B$48:$I$52,5,FALSE)/VLOOKUP($E276,'Merit calculation'!$B$67:$I$73,5,FALSE)/VLOOKUP($F276,'Merit calculation'!$B$90:$I$103,5,FALSE)/energyContentH2),(VLOOKUP($P276,'TA database'!$I$8:$J$79,2,FALSE)/VLOOKUP($D276,'Merit calculation'!$B$48:$I$52,7,FALSE)/VLOOKUP($E276,'Merit calculation'!$B$67:$I$73,7,FALSE)/VLOOKUP($F276,'Merit calculation'!$B$90:$I$103,7,FALSE)/energyContentH2))</f>
        <v>2.393290325944469E-2</v>
      </c>
      <c r="U276">
        <v>0</v>
      </c>
      <c r="V276">
        <v>0</v>
      </c>
      <c r="W276">
        <f ca="1">IFERROR(VLOOKUP($S276,'TA database'!$I$146:$J$193,2,FALSE),0)</f>
        <v>0</v>
      </c>
      <c r="X276">
        <f>IFERROR(VLOOKUP($S276,'TA database'!$I$200:$J$271,2,FALSE),0)</f>
        <v>0</v>
      </c>
      <c r="Y276">
        <f t="shared" ca="1" si="659"/>
        <v>8.6158451734000885E-2</v>
      </c>
      <c r="Z276" t="str">
        <f t="shared" si="660"/>
        <v>ELCTRLYZ_LRG_C   →   C_UNDRGRND_STRG   →   LQ_TRUCK   →   H2_FC_DCHP_HEAT</v>
      </c>
      <c r="AA276" t="str">
        <f t="shared" si="661"/>
        <v>Building heat</v>
      </c>
      <c r="AB276" t="str">
        <f t="shared" si="662"/>
        <v>CO2 emissions</v>
      </c>
      <c r="AC276">
        <f t="shared" ca="1" si="663"/>
        <v>8.6158451734000885E-2</v>
      </c>
      <c r="AD276">
        <v>217</v>
      </c>
      <c r="AE276" t="str">
        <f>IF(AND(ISNUMBER(SEARCH(O276,4)),ISNUMBER(SEARCH('(4) FCH pathway assessment'!$B$16,AB276)),ISNUMBER(SEARCH('(4) FCH pathway assessment'!$B$10,AA276))),AD276,"")</f>
        <v/>
      </c>
      <c r="AF276" t="str">
        <f t="shared" si="565"/>
        <v/>
      </c>
      <c r="AG276" t="str">
        <f>VLOOKUP(C276,Assumptions!$B$116:$C$162,2,FALSE)</f>
        <v>ELCTRLYZ_LRG_C</v>
      </c>
      <c r="AH276" t="str">
        <f>VLOOKUP(D276,Assumptions!$B$116:$C$162,2,FALSE)</f>
        <v>C_UNDRGRND_STRG</v>
      </c>
      <c r="AI276" t="str">
        <f>VLOOKUP(E276,Assumptions!$B$116:$C$162,2,FALSE)</f>
        <v>LQ_TRUCK</v>
      </c>
      <c r="AJ276" t="str">
        <f>VLOOKUP(F276,Assumptions!$B$116:$C$162,2,FALSE)</f>
        <v>H2_FC_DCHP_HEAT</v>
      </c>
    </row>
    <row r="277" spans="2:36" x14ac:dyDescent="0.25">
      <c r="B277" t="s">
        <v>112</v>
      </c>
      <c r="C277" t="s">
        <v>49</v>
      </c>
      <c r="D277" t="s">
        <v>62</v>
      </c>
      <c r="E277" t="s">
        <v>66</v>
      </c>
      <c r="F277" t="s">
        <v>552</v>
      </c>
      <c r="G277" t="s">
        <v>132</v>
      </c>
      <c r="H277" t="s">
        <v>434</v>
      </c>
      <c r="I277" t="s">
        <v>32</v>
      </c>
      <c r="J277" t="s">
        <v>329</v>
      </c>
      <c r="K277">
        <f t="shared" si="650"/>
        <v>1</v>
      </c>
      <c r="L277">
        <f t="shared" si="651"/>
        <v>0</v>
      </c>
      <c r="M277">
        <f t="shared" si="652"/>
        <v>1</v>
      </c>
      <c r="N277">
        <f t="shared" si="653"/>
        <v>1</v>
      </c>
      <c r="O277">
        <f t="shared" si="654"/>
        <v>3</v>
      </c>
      <c r="P277" t="str">
        <f t="shared" si="655"/>
        <v>Large centralized electrolysis-CO2 emissions</v>
      </c>
      <c r="Q277" t="str">
        <f t="shared" si="656"/>
        <v>Underground storage-CO2 emissions</v>
      </c>
      <c r="R277" t="str">
        <f t="shared" si="657"/>
        <v>Onsite-CO2 emissions</v>
      </c>
      <c r="S277" t="str">
        <f t="shared" si="658"/>
        <v>District-CHP with H2 fuel cell (heat)-CO2 emissions</v>
      </c>
      <c r="T277">
        <f ca="1">IF(timePeriod="2020-30",(VLOOKUP($P277,'TA database'!$I$8:$J$79,2,FALSE)/VLOOKUP($D277,'Merit calculation'!$B$48:$I$52,5,FALSE)/VLOOKUP($E277,'Merit calculation'!$B$67:$I$73,5,FALSE)/VLOOKUP($F277,'Merit calculation'!$B$90:$I$103,5,FALSE)/energyContentH2),(VLOOKUP($P277,'TA database'!$I$8:$J$79,2,FALSE)/VLOOKUP($D277,'Merit calculation'!$B$48:$I$52,7,FALSE)/VLOOKUP($E277,'Merit calculation'!$B$67:$I$73,7,FALSE)/VLOOKUP($F277,'Merit calculation'!$B$90:$I$103,7,FALSE)/energyContentH2))</f>
        <v>2.0510498093344095E-2</v>
      </c>
      <c r="U277">
        <v>0</v>
      </c>
      <c r="V277">
        <v>0</v>
      </c>
      <c r="W277">
        <f ca="1">IFERROR(VLOOKUP($S277,'TA database'!$I$146:$J$193,2,FALSE),0)</f>
        <v>0</v>
      </c>
      <c r="X277">
        <f>IFERROR(VLOOKUP($S277,'TA database'!$I$200:$J$271,2,FALSE),0)</f>
        <v>0</v>
      </c>
      <c r="Y277">
        <f t="shared" ca="1" si="659"/>
        <v>7.3837793136038748E-2</v>
      </c>
      <c r="Z277" t="str">
        <f t="shared" si="660"/>
        <v>ELCTRLYZ_LRG_C   →   C_UNDRGRND_STRG   →   ONSITE_USE   →   H2_FC_DCHP_HEAT</v>
      </c>
      <c r="AA277" t="str">
        <f t="shared" si="661"/>
        <v>Building heat</v>
      </c>
      <c r="AB277" t="str">
        <f t="shared" si="662"/>
        <v>CO2 emissions</v>
      </c>
      <c r="AC277">
        <f t="shared" ca="1" si="663"/>
        <v>7.3837793136038748E-2</v>
      </c>
      <c r="AD277">
        <v>218</v>
      </c>
      <c r="AE277" t="str">
        <f>IF(AND(ISNUMBER(SEARCH(O277,4)),ISNUMBER(SEARCH('(4) FCH pathway assessment'!$B$16,AB277)),ISNUMBER(SEARCH('(4) FCH pathway assessment'!$B$10,AA277))),AD277,"")</f>
        <v/>
      </c>
      <c r="AF277" t="str">
        <f t="shared" si="565"/>
        <v/>
      </c>
      <c r="AG277" t="str">
        <f>VLOOKUP(C277,Assumptions!$B$116:$C$162,2,FALSE)</f>
        <v>ELCTRLYZ_LRG_C</v>
      </c>
      <c r="AH277" t="str">
        <f>VLOOKUP(D277,Assumptions!$B$116:$C$162,2,FALSE)</f>
        <v>C_UNDRGRND_STRG</v>
      </c>
      <c r="AI277" t="str">
        <f>VLOOKUP(E277,Assumptions!$B$116:$C$162,2,FALSE)</f>
        <v>ONSITE_USE</v>
      </c>
      <c r="AJ277" t="str">
        <f>VLOOKUP(F277,Assumptions!$B$116:$C$162,2,FALSE)</f>
        <v>H2_FC_DCHP_HEAT</v>
      </c>
    </row>
    <row r="278" spans="2:36" x14ac:dyDescent="0.25">
      <c r="B278" t="s">
        <v>112</v>
      </c>
      <c r="C278" t="s">
        <v>49</v>
      </c>
      <c r="D278" t="s">
        <v>155</v>
      </c>
      <c r="E278" t="s">
        <v>157</v>
      </c>
      <c r="F278" t="s">
        <v>552</v>
      </c>
      <c r="G278" t="s">
        <v>132</v>
      </c>
      <c r="H278" t="s">
        <v>434</v>
      </c>
      <c r="I278" t="s">
        <v>32</v>
      </c>
      <c r="J278" t="s">
        <v>329</v>
      </c>
      <c r="K278">
        <f t="shared" si="650"/>
        <v>1</v>
      </c>
      <c r="L278">
        <f t="shared" si="651"/>
        <v>1</v>
      </c>
      <c r="M278">
        <f t="shared" si="652"/>
        <v>0</v>
      </c>
      <c r="N278">
        <f t="shared" si="653"/>
        <v>1</v>
      </c>
      <c r="O278">
        <f t="shared" si="654"/>
        <v>3</v>
      </c>
      <c r="P278" t="str">
        <f t="shared" si="655"/>
        <v>Large centralized electrolysis-CO2 emissions</v>
      </c>
      <c r="Q278" t="str">
        <f t="shared" si="656"/>
        <v>Central gas storage-CO2 emissions</v>
      </c>
      <c r="R278" t="str">
        <f t="shared" si="657"/>
        <v>Blending in natural gas pipeline-CO2 emissions</v>
      </c>
      <c r="S278" t="str">
        <f t="shared" si="658"/>
        <v>District-CHP with H2 fuel cell (heat)-CO2 emissions</v>
      </c>
      <c r="T278">
        <f ca="1">IF(timePeriod="2020-30",(VLOOKUP($P278,'TA database'!$I$8:$J$79,2,FALSE)/VLOOKUP($D278,'Merit calculation'!$B$48:$I$52,5,FALSE)/VLOOKUP($E278,'Merit calculation'!$B$67:$I$73,5,FALSE)/VLOOKUP($F278,'Merit calculation'!$B$90:$I$103,5,FALSE)/energyContentH2),(VLOOKUP($P278,'TA database'!$I$8:$J$79,2,FALSE)/VLOOKUP($D278,'Merit calculation'!$B$48:$I$52,7,FALSE)/VLOOKUP($E278,'Merit calculation'!$B$67:$I$73,7,FALSE)/VLOOKUP($F278,'Merit calculation'!$B$90:$I$103,7,FALSE)/energyContentH2))</f>
        <v>2.0929079687085815E-2</v>
      </c>
      <c r="U278">
        <v>0</v>
      </c>
      <c r="V278">
        <v>0</v>
      </c>
      <c r="W278">
        <f ca="1">IFERROR(VLOOKUP($S278,'TA database'!$I$146:$J$193,2,FALSE),0)</f>
        <v>0</v>
      </c>
      <c r="X278">
        <f>IFERROR(VLOOKUP($S278,'TA database'!$I$200:$J$271,2,FALSE),0)</f>
        <v>0</v>
      </c>
      <c r="Y278">
        <f t="shared" ca="1" si="659"/>
        <v>7.534468687350894E-2</v>
      </c>
      <c r="Z278" t="str">
        <f t="shared" si="660"/>
        <v>ELCTRLYZ_LRG_C   →   C_GAS_STRG   →   H2_BLND_NG_P   →   H2_FC_DCHP_HEAT</v>
      </c>
      <c r="AA278" t="str">
        <f t="shared" si="661"/>
        <v>Building heat</v>
      </c>
      <c r="AB278" t="str">
        <f t="shared" si="662"/>
        <v>CO2 emissions</v>
      </c>
      <c r="AC278">
        <f t="shared" ca="1" si="663"/>
        <v>7.534468687350894E-2</v>
      </c>
      <c r="AD278">
        <v>219</v>
      </c>
      <c r="AE278" t="str">
        <f>IF(AND(ISNUMBER(SEARCH(O278,4)),ISNUMBER(SEARCH('(4) FCH pathway assessment'!$B$16,AB278)),ISNUMBER(SEARCH('(4) FCH pathway assessment'!$B$10,AA278))),AD278,"")</f>
        <v/>
      </c>
      <c r="AF278" t="str">
        <f t="shared" si="565"/>
        <v/>
      </c>
      <c r="AG278" t="str">
        <f>VLOOKUP(C278,Assumptions!$B$116:$C$162,2,FALSE)</f>
        <v>ELCTRLYZ_LRG_C</v>
      </c>
      <c r="AH278" t="str">
        <f>VLOOKUP(D278,Assumptions!$B$116:$C$162,2,FALSE)</f>
        <v>C_GAS_STRG</v>
      </c>
      <c r="AI278" t="str">
        <f>VLOOKUP(E278,Assumptions!$B$116:$C$162,2,FALSE)</f>
        <v>H2_BLND_NG_P</v>
      </c>
      <c r="AJ278" t="str">
        <f>VLOOKUP(F278,Assumptions!$B$116:$C$162,2,FALSE)</f>
        <v>H2_FC_DCHP_HEAT</v>
      </c>
    </row>
    <row r="279" spans="2:36" x14ac:dyDescent="0.25">
      <c r="B279" t="s">
        <v>112</v>
      </c>
      <c r="C279" t="s">
        <v>49</v>
      </c>
      <c r="D279" t="s">
        <v>155</v>
      </c>
      <c r="E279" t="s">
        <v>122</v>
      </c>
      <c r="F279" t="s">
        <v>552</v>
      </c>
      <c r="G279" t="s">
        <v>132</v>
      </c>
      <c r="H279" t="s">
        <v>434</v>
      </c>
      <c r="I279" t="s">
        <v>32</v>
      </c>
      <c r="J279" t="s">
        <v>329</v>
      </c>
      <c r="K279">
        <f t="shared" si="650"/>
        <v>1</v>
      </c>
      <c r="L279">
        <f t="shared" si="651"/>
        <v>1</v>
      </c>
      <c r="M279">
        <f t="shared" si="652"/>
        <v>1</v>
      </c>
      <c r="N279">
        <f t="shared" si="653"/>
        <v>1</v>
      </c>
      <c r="O279">
        <f t="shared" si="654"/>
        <v>4</v>
      </c>
      <c r="P279" t="str">
        <f t="shared" si="655"/>
        <v>Large centralized electrolysis-CO2 emissions</v>
      </c>
      <c r="Q279" t="str">
        <f t="shared" si="656"/>
        <v>Central gas storage-CO2 emissions</v>
      </c>
      <c r="R279" t="str">
        <f t="shared" si="657"/>
        <v>Hydrogen transmission &amp; distribution pipeline-CO2 emissions</v>
      </c>
      <c r="S279" t="str">
        <f t="shared" si="658"/>
        <v>District-CHP with H2 fuel cell (heat)-CO2 emissions</v>
      </c>
      <c r="T279">
        <f ca="1">IF(timePeriod="2020-30",(VLOOKUP($P279,'TA database'!$I$8:$J$79,2,FALSE)/VLOOKUP($D279,'Merit calculation'!$B$48:$I$52,5,FALSE)/VLOOKUP($E279,'Merit calculation'!$B$67:$I$73,5,FALSE)/VLOOKUP($F279,'Merit calculation'!$B$90:$I$103,5,FALSE)/energyContentH2),(VLOOKUP($P279,'TA database'!$I$8:$J$79,2,FALSE)/VLOOKUP($D279,'Merit calculation'!$B$48:$I$52,7,FALSE)/VLOOKUP($E279,'Merit calculation'!$B$67:$I$73,7,FALSE)/VLOOKUP($F279,'Merit calculation'!$B$90:$I$103,7,FALSE)/energyContentH2))</f>
        <v>2.0929079687085815E-2</v>
      </c>
      <c r="U279">
        <v>0</v>
      </c>
      <c r="V279">
        <v>0</v>
      </c>
      <c r="W279">
        <f ca="1">IFERROR(VLOOKUP($S279,'TA database'!$I$146:$J$193,2,FALSE),0)</f>
        <v>0</v>
      </c>
      <c r="X279">
        <f>IFERROR(VLOOKUP($S279,'TA database'!$I$200:$J$271,2,FALSE),0)</f>
        <v>0</v>
      </c>
      <c r="Y279">
        <f t="shared" ca="1" si="659"/>
        <v>7.534468687350894E-2</v>
      </c>
      <c r="Z279" t="str">
        <f t="shared" si="660"/>
        <v>ELCTRLYZ_LRG_C   →   C_GAS_STRG   →   H2_T&amp;D_P   →   H2_FC_DCHP_HEAT</v>
      </c>
      <c r="AA279" t="str">
        <f t="shared" si="661"/>
        <v>Building heat</v>
      </c>
      <c r="AB279" t="str">
        <f t="shared" si="662"/>
        <v>CO2 emissions</v>
      </c>
      <c r="AC279">
        <f t="shared" ca="1" si="663"/>
        <v>7.534468687350894E-2</v>
      </c>
      <c r="AD279">
        <v>220</v>
      </c>
      <c r="AE279" t="str">
        <f>IF(AND(ISNUMBER(SEARCH(O279,4)),ISNUMBER(SEARCH('(4) FCH pathway assessment'!$B$16,AB279)),ISNUMBER(SEARCH('(4) FCH pathway assessment'!$B$10,AA279))),AD279,"")</f>
        <v/>
      </c>
      <c r="AF279" t="str">
        <f t="shared" si="565"/>
        <v/>
      </c>
      <c r="AG279" t="str">
        <f>VLOOKUP(C279,Assumptions!$B$116:$C$162,2,FALSE)</f>
        <v>ELCTRLYZ_LRG_C</v>
      </c>
      <c r="AH279" t="str">
        <f>VLOOKUP(D279,Assumptions!$B$116:$C$162,2,FALSE)</f>
        <v>C_GAS_STRG</v>
      </c>
      <c r="AI279" t="str">
        <f>VLOOKUP(E279,Assumptions!$B$116:$C$162,2,FALSE)</f>
        <v>H2_T&amp;D_P</v>
      </c>
      <c r="AJ279" t="str">
        <f>VLOOKUP(F279,Assumptions!$B$116:$C$162,2,FALSE)</f>
        <v>H2_FC_DCHP_HEAT</v>
      </c>
    </row>
    <row r="280" spans="2:36" x14ac:dyDescent="0.25">
      <c r="B280" t="s">
        <v>112</v>
      </c>
      <c r="C280" t="s">
        <v>49</v>
      </c>
      <c r="D280" t="s">
        <v>155</v>
      </c>
      <c r="E280" t="s">
        <v>116</v>
      </c>
      <c r="F280" t="s">
        <v>552</v>
      </c>
      <c r="G280" t="s">
        <v>132</v>
      </c>
      <c r="H280" t="s">
        <v>434</v>
      </c>
      <c r="I280" t="s">
        <v>32</v>
      </c>
      <c r="J280" t="s">
        <v>329</v>
      </c>
      <c r="K280">
        <f t="shared" si="650"/>
        <v>1</v>
      </c>
      <c r="L280">
        <f t="shared" si="651"/>
        <v>1</v>
      </c>
      <c r="M280">
        <f t="shared" si="652"/>
        <v>1</v>
      </c>
      <c r="N280">
        <f t="shared" si="653"/>
        <v>1</v>
      </c>
      <c r="O280">
        <f t="shared" si="654"/>
        <v>4</v>
      </c>
      <c r="P280" t="str">
        <f t="shared" si="655"/>
        <v>Large centralized electrolysis-CO2 emissions</v>
      </c>
      <c r="Q280" t="str">
        <f t="shared" si="656"/>
        <v>Central gas storage-CO2 emissions</v>
      </c>
      <c r="R280" t="str">
        <f t="shared" si="657"/>
        <v>Liquid hydrogen truck-CO2 emissions</v>
      </c>
      <c r="S280" t="str">
        <f t="shared" si="658"/>
        <v>District-CHP with H2 fuel cell (heat)-CO2 emissions</v>
      </c>
      <c r="T280">
        <f ca="1">IF(timePeriod="2020-30",(VLOOKUP($P280,'TA database'!$I$8:$J$79,2,FALSE)/VLOOKUP($D280,'Merit calculation'!$B$48:$I$52,5,FALSE)/VLOOKUP($E280,'Merit calculation'!$B$67:$I$73,5,FALSE)/VLOOKUP($F280,'Merit calculation'!$B$90:$I$103,5,FALSE)/energyContentH2),(VLOOKUP($P280,'TA database'!$I$8:$J$79,2,FALSE)/VLOOKUP($D280,'Merit calculation'!$B$48:$I$52,7,FALSE)/VLOOKUP($E280,'Merit calculation'!$B$67:$I$73,7,FALSE)/VLOOKUP($F280,'Merit calculation'!$B$90:$I$103,7,FALSE)/energyContentH2))</f>
        <v>2.4177116558010452E-2</v>
      </c>
      <c r="U280">
        <v>0</v>
      </c>
      <c r="V280">
        <v>0</v>
      </c>
      <c r="W280">
        <f ca="1">IFERROR(VLOOKUP($S280,'TA database'!$I$146:$J$193,2,FALSE),0)</f>
        <v>0</v>
      </c>
      <c r="X280">
        <f>IFERROR(VLOOKUP($S280,'TA database'!$I$200:$J$271,2,FALSE),0)</f>
        <v>0</v>
      </c>
      <c r="Y280">
        <f t="shared" ca="1" si="659"/>
        <v>8.703761960883763E-2</v>
      </c>
      <c r="Z280" t="str">
        <f t="shared" si="660"/>
        <v>ELCTRLYZ_LRG_C   →   C_GAS_STRG   →   LQ_TRUCK   →   H2_FC_DCHP_HEAT</v>
      </c>
      <c r="AA280" t="str">
        <f t="shared" si="661"/>
        <v>Building heat</v>
      </c>
      <c r="AB280" t="str">
        <f t="shared" si="662"/>
        <v>CO2 emissions</v>
      </c>
      <c r="AC280">
        <f t="shared" ca="1" si="663"/>
        <v>8.703761960883763E-2</v>
      </c>
      <c r="AD280">
        <v>221</v>
      </c>
      <c r="AE280" t="str">
        <f>IF(AND(ISNUMBER(SEARCH(O280,4)),ISNUMBER(SEARCH('(4) FCH pathway assessment'!$B$16,AB280)),ISNUMBER(SEARCH('(4) FCH pathway assessment'!$B$10,AA280))),AD280,"")</f>
        <v/>
      </c>
      <c r="AF280" t="str">
        <f t="shared" si="565"/>
        <v/>
      </c>
      <c r="AG280" t="str">
        <f>VLOOKUP(C280,Assumptions!$B$116:$C$162,2,FALSE)</f>
        <v>ELCTRLYZ_LRG_C</v>
      </c>
      <c r="AH280" t="str">
        <f>VLOOKUP(D280,Assumptions!$B$116:$C$162,2,FALSE)</f>
        <v>C_GAS_STRG</v>
      </c>
      <c r="AI280" t="str">
        <f>VLOOKUP(E280,Assumptions!$B$116:$C$162,2,FALSE)</f>
        <v>LQ_TRUCK</v>
      </c>
      <c r="AJ280" t="str">
        <f>VLOOKUP(F280,Assumptions!$B$116:$C$162,2,FALSE)</f>
        <v>H2_FC_DCHP_HEAT</v>
      </c>
    </row>
    <row r="281" spans="2:36" x14ac:dyDescent="0.25">
      <c r="B281" t="s">
        <v>112</v>
      </c>
      <c r="C281" t="s">
        <v>49</v>
      </c>
      <c r="D281" t="s">
        <v>155</v>
      </c>
      <c r="E281" t="s">
        <v>66</v>
      </c>
      <c r="F281" t="s">
        <v>552</v>
      </c>
      <c r="G281" t="s">
        <v>132</v>
      </c>
      <c r="H281" t="s">
        <v>434</v>
      </c>
      <c r="I281" t="s">
        <v>32</v>
      </c>
      <c r="J281" t="s">
        <v>329</v>
      </c>
      <c r="K281">
        <f t="shared" si="650"/>
        <v>1</v>
      </c>
      <c r="L281">
        <f t="shared" si="651"/>
        <v>1</v>
      </c>
      <c r="M281">
        <f t="shared" si="652"/>
        <v>1</v>
      </c>
      <c r="N281">
        <f t="shared" si="653"/>
        <v>1</v>
      </c>
      <c r="O281">
        <f t="shared" si="654"/>
        <v>4</v>
      </c>
      <c r="P281" t="str">
        <f t="shared" si="655"/>
        <v>Large centralized electrolysis-CO2 emissions</v>
      </c>
      <c r="Q281" t="str">
        <f t="shared" si="656"/>
        <v>Central gas storage-CO2 emissions</v>
      </c>
      <c r="R281" t="str">
        <f t="shared" si="657"/>
        <v>Onsite-CO2 emissions</v>
      </c>
      <c r="S281" t="str">
        <f t="shared" si="658"/>
        <v>District-CHP with H2 fuel cell (heat)-CO2 emissions</v>
      </c>
      <c r="T281">
        <f ca="1">IF(timePeriod="2020-30",(VLOOKUP($P281,'TA database'!$I$8:$J$79,2,FALSE)/VLOOKUP($D281,'Merit calculation'!$B$48:$I$52,5,FALSE)/VLOOKUP($E281,'Merit calculation'!$B$67:$I$73,5,FALSE)/VLOOKUP($F281,'Merit calculation'!$B$90:$I$103,5,FALSE)/energyContentH2),(VLOOKUP($P281,'TA database'!$I$8:$J$79,2,FALSE)/VLOOKUP($D281,'Merit calculation'!$B$48:$I$52,7,FALSE)/VLOOKUP($E281,'Merit calculation'!$B$67:$I$73,7,FALSE)/VLOOKUP($F281,'Merit calculation'!$B$90:$I$103,7,FALSE)/energyContentH2))</f>
        <v>2.0719788890214957E-2</v>
      </c>
      <c r="U281">
        <v>0</v>
      </c>
      <c r="V281">
        <v>0</v>
      </c>
      <c r="W281">
        <f ca="1">IFERROR(VLOOKUP($S281,'TA database'!$I$146:$J$193,2,FALSE),0)</f>
        <v>0</v>
      </c>
      <c r="X281">
        <f>IFERROR(VLOOKUP($S281,'TA database'!$I$200:$J$271,2,FALSE),0)</f>
        <v>0</v>
      </c>
      <c r="Y281">
        <f t="shared" ca="1" si="659"/>
        <v>7.4591240004773851E-2</v>
      </c>
      <c r="Z281" t="str">
        <f t="shared" si="660"/>
        <v>ELCTRLYZ_LRG_C   →   C_GAS_STRG   →   ONSITE_USE   →   H2_FC_DCHP_HEAT</v>
      </c>
      <c r="AA281" t="str">
        <f t="shared" si="661"/>
        <v>Building heat</v>
      </c>
      <c r="AB281" t="str">
        <f t="shared" si="662"/>
        <v>CO2 emissions</v>
      </c>
      <c r="AC281">
        <f t="shared" ca="1" si="663"/>
        <v>7.4591240004773851E-2</v>
      </c>
      <c r="AD281">
        <v>222</v>
      </c>
      <c r="AE281" t="str">
        <f>IF(AND(ISNUMBER(SEARCH(O281,4)),ISNUMBER(SEARCH('(4) FCH pathway assessment'!$B$16,AB281)),ISNUMBER(SEARCH('(4) FCH pathway assessment'!$B$10,AA281))),AD281,"")</f>
        <v/>
      </c>
      <c r="AF281" t="str">
        <f t="shared" si="565"/>
        <v/>
      </c>
      <c r="AG281" t="str">
        <f>VLOOKUP(C281,Assumptions!$B$116:$C$162,2,FALSE)</f>
        <v>ELCTRLYZ_LRG_C</v>
      </c>
      <c r="AH281" t="str">
        <f>VLOOKUP(D281,Assumptions!$B$116:$C$162,2,FALSE)</f>
        <v>C_GAS_STRG</v>
      </c>
      <c r="AI281" t="str">
        <f>VLOOKUP(E281,Assumptions!$B$116:$C$162,2,FALSE)</f>
        <v>ONSITE_USE</v>
      </c>
      <c r="AJ281" t="str">
        <f>VLOOKUP(F281,Assumptions!$B$116:$C$162,2,FALSE)</f>
        <v>H2_FC_DCHP_HEAT</v>
      </c>
    </row>
    <row r="282" spans="2:36" x14ac:dyDescent="0.25">
      <c r="B282" t="s">
        <v>112</v>
      </c>
      <c r="C282" t="s">
        <v>51</v>
      </c>
      <c r="D282" t="s">
        <v>155</v>
      </c>
      <c r="E282" t="s">
        <v>157</v>
      </c>
      <c r="F282" t="s">
        <v>552</v>
      </c>
      <c r="G282" t="s">
        <v>132</v>
      </c>
      <c r="H282" t="s">
        <v>434</v>
      </c>
      <c r="I282" t="s">
        <v>32</v>
      </c>
      <c r="J282" t="s">
        <v>329</v>
      </c>
      <c r="K282">
        <f t="shared" si="650"/>
        <v>1</v>
      </c>
      <c r="L282">
        <f t="shared" si="651"/>
        <v>1</v>
      </c>
      <c r="M282">
        <f t="shared" si="652"/>
        <v>0</v>
      </c>
      <c r="N282">
        <f t="shared" si="653"/>
        <v>1</v>
      </c>
      <c r="O282">
        <f t="shared" si="654"/>
        <v>3</v>
      </c>
      <c r="P282" t="str">
        <f t="shared" si="655"/>
        <v>Medium centralized electrolysis-CO2 emissions</v>
      </c>
      <c r="Q282" t="str">
        <f t="shared" si="656"/>
        <v>Central gas storage-CO2 emissions</v>
      </c>
      <c r="R282" t="str">
        <f t="shared" si="657"/>
        <v>Blending in natural gas pipeline-CO2 emissions</v>
      </c>
      <c r="S282" t="str">
        <f t="shared" si="658"/>
        <v>District-CHP with H2 fuel cell (heat)-CO2 emissions</v>
      </c>
      <c r="T282">
        <f ca="1">IF(timePeriod="2020-30",(VLOOKUP($P282,'TA database'!$I$8:$J$79,2,FALSE)/VLOOKUP($D282,'Merit calculation'!$B$48:$I$52,5,FALSE)/VLOOKUP($E282,'Merit calculation'!$B$67:$I$73,5,FALSE)/VLOOKUP($F282,'Merit calculation'!$B$90:$I$103,5,FALSE)/energyContentH2),(VLOOKUP($P282,'TA database'!$I$8:$J$79,2,FALSE)/VLOOKUP($D282,'Merit calculation'!$B$48:$I$52,7,FALSE)/VLOOKUP($E282,'Merit calculation'!$B$67:$I$73,7,FALSE)/VLOOKUP($F282,'Merit calculation'!$B$90:$I$103,7,FALSE)/energyContentH2))</f>
        <v>2.0929079687085815E-2</v>
      </c>
      <c r="U282">
        <v>0</v>
      </c>
      <c r="V282">
        <v>0</v>
      </c>
      <c r="W282">
        <f ca="1">IFERROR(VLOOKUP($S282,'TA database'!$I$146:$J$193,2,FALSE),0)</f>
        <v>0</v>
      </c>
      <c r="X282">
        <f>IFERROR(VLOOKUP($S282,'TA database'!$I$200:$J$271,2,FALSE),0)</f>
        <v>0</v>
      </c>
      <c r="Y282">
        <f t="shared" ca="1" si="659"/>
        <v>7.534468687350894E-2</v>
      </c>
      <c r="Z282" t="str">
        <f t="shared" si="660"/>
        <v>ELCTRLYZ_MED_C   →   C_GAS_STRG   →   H2_BLND_NG_P   →   H2_FC_DCHP_HEAT</v>
      </c>
      <c r="AA282" t="str">
        <f t="shared" si="661"/>
        <v>Building heat</v>
      </c>
      <c r="AB282" t="str">
        <f t="shared" si="662"/>
        <v>CO2 emissions</v>
      </c>
      <c r="AC282">
        <f t="shared" ca="1" si="663"/>
        <v>7.534468687350894E-2</v>
      </c>
      <c r="AD282">
        <v>223</v>
      </c>
      <c r="AE282" t="str">
        <f>IF(AND(ISNUMBER(SEARCH(O282,4)),ISNUMBER(SEARCH('(4) FCH pathway assessment'!$B$16,AB282)),ISNUMBER(SEARCH('(4) FCH pathway assessment'!$B$10,AA282))),AD282,"")</f>
        <v/>
      </c>
      <c r="AF282" t="str">
        <f t="shared" si="565"/>
        <v/>
      </c>
      <c r="AG282" t="str">
        <f>VLOOKUP(C282,Assumptions!$B$116:$C$162,2,FALSE)</f>
        <v>ELCTRLYZ_MED_C</v>
      </c>
      <c r="AH282" t="str">
        <f>VLOOKUP(D282,Assumptions!$B$116:$C$162,2,FALSE)</f>
        <v>C_GAS_STRG</v>
      </c>
      <c r="AI282" t="str">
        <f>VLOOKUP(E282,Assumptions!$B$116:$C$162,2,FALSE)</f>
        <v>H2_BLND_NG_P</v>
      </c>
      <c r="AJ282" t="str">
        <f>VLOOKUP(F282,Assumptions!$B$116:$C$162,2,FALSE)</f>
        <v>H2_FC_DCHP_HEAT</v>
      </c>
    </row>
    <row r="283" spans="2:36" x14ac:dyDescent="0.25">
      <c r="B283" t="s">
        <v>112</v>
      </c>
      <c r="C283" t="s">
        <v>51</v>
      </c>
      <c r="D283" t="s">
        <v>155</v>
      </c>
      <c r="E283" t="s">
        <v>122</v>
      </c>
      <c r="F283" t="s">
        <v>552</v>
      </c>
      <c r="G283" t="s">
        <v>132</v>
      </c>
      <c r="H283" t="s">
        <v>434</v>
      </c>
      <c r="I283" t="s">
        <v>32</v>
      </c>
      <c r="J283" t="s">
        <v>329</v>
      </c>
      <c r="K283">
        <f t="shared" si="650"/>
        <v>1</v>
      </c>
      <c r="L283">
        <f t="shared" si="651"/>
        <v>1</v>
      </c>
      <c r="M283">
        <f t="shared" si="652"/>
        <v>1</v>
      </c>
      <c r="N283">
        <f t="shared" si="653"/>
        <v>1</v>
      </c>
      <c r="O283">
        <f t="shared" si="654"/>
        <v>4</v>
      </c>
      <c r="P283" t="str">
        <f t="shared" si="655"/>
        <v>Medium centralized electrolysis-CO2 emissions</v>
      </c>
      <c r="Q283" t="str">
        <f t="shared" si="656"/>
        <v>Central gas storage-CO2 emissions</v>
      </c>
      <c r="R283" t="str">
        <f t="shared" si="657"/>
        <v>Hydrogen transmission &amp; distribution pipeline-CO2 emissions</v>
      </c>
      <c r="S283" t="str">
        <f t="shared" si="658"/>
        <v>District-CHP with H2 fuel cell (heat)-CO2 emissions</v>
      </c>
      <c r="T283">
        <f ca="1">IF(timePeriod="2020-30",(VLOOKUP($P283,'TA database'!$I$8:$J$79,2,FALSE)/VLOOKUP($D283,'Merit calculation'!$B$48:$I$52,5,FALSE)/VLOOKUP($E283,'Merit calculation'!$B$67:$I$73,5,FALSE)/VLOOKUP($F283,'Merit calculation'!$B$90:$I$103,5,FALSE)/energyContentH2),(VLOOKUP($P283,'TA database'!$I$8:$J$79,2,FALSE)/VLOOKUP($D283,'Merit calculation'!$B$48:$I$52,7,FALSE)/VLOOKUP($E283,'Merit calculation'!$B$67:$I$73,7,FALSE)/VLOOKUP($F283,'Merit calculation'!$B$90:$I$103,7,FALSE)/energyContentH2))</f>
        <v>2.0929079687085815E-2</v>
      </c>
      <c r="U283">
        <v>0</v>
      </c>
      <c r="V283">
        <v>0</v>
      </c>
      <c r="W283">
        <f ca="1">IFERROR(VLOOKUP($S283,'TA database'!$I$146:$J$193,2,FALSE),0)</f>
        <v>0</v>
      </c>
      <c r="X283">
        <f>IFERROR(VLOOKUP($S283,'TA database'!$I$200:$J$271,2,FALSE),0)</f>
        <v>0</v>
      </c>
      <c r="Y283">
        <f t="shared" ca="1" si="659"/>
        <v>7.534468687350894E-2</v>
      </c>
      <c r="Z283" t="str">
        <f t="shared" si="660"/>
        <v>ELCTRLYZ_MED_C   →   C_GAS_STRG   →   H2_T&amp;D_P   →   H2_FC_DCHP_HEAT</v>
      </c>
      <c r="AA283" t="str">
        <f t="shared" si="661"/>
        <v>Building heat</v>
      </c>
      <c r="AB283" t="str">
        <f t="shared" si="662"/>
        <v>CO2 emissions</v>
      </c>
      <c r="AC283">
        <f t="shared" ca="1" si="663"/>
        <v>7.534468687350894E-2</v>
      </c>
      <c r="AD283">
        <v>224</v>
      </c>
      <c r="AE283" t="str">
        <f>IF(AND(ISNUMBER(SEARCH(O283,4)),ISNUMBER(SEARCH('(4) FCH pathway assessment'!$B$16,AB283)),ISNUMBER(SEARCH('(4) FCH pathway assessment'!$B$10,AA283))),AD283,"")</f>
        <v/>
      </c>
      <c r="AF283" t="str">
        <f t="shared" si="565"/>
        <v/>
      </c>
      <c r="AG283" t="str">
        <f>VLOOKUP(C283,Assumptions!$B$116:$C$162,2,FALSE)</f>
        <v>ELCTRLYZ_MED_C</v>
      </c>
      <c r="AH283" t="str">
        <f>VLOOKUP(D283,Assumptions!$B$116:$C$162,2,FALSE)</f>
        <v>C_GAS_STRG</v>
      </c>
      <c r="AI283" t="str">
        <f>VLOOKUP(E283,Assumptions!$B$116:$C$162,2,FALSE)</f>
        <v>H2_T&amp;D_P</v>
      </c>
      <c r="AJ283" t="str">
        <f>VLOOKUP(F283,Assumptions!$B$116:$C$162,2,FALSE)</f>
        <v>H2_FC_DCHP_HEAT</v>
      </c>
    </row>
    <row r="284" spans="2:36" x14ac:dyDescent="0.25">
      <c r="B284" t="s">
        <v>112</v>
      </c>
      <c r="C284" t="s">
        <v>51</v>
      </c>
      <c r="D284" t="s">
        <v>155</v>
      </c>
      <c r="E284" t="s">
        <v>116</v>
      </c>
      <c r="F284" t="s">
        <v>552</v>
      </c>
      <c r="G284" t="s">
        <v>132</v>
      </c>
      <c r="H284" t="s">
        <v>434</v>
      </c>
      <c r="I284" t="s">
        <v>32</v>
      </c>
      <c r="J284" t="s">
        <v>329</v>
      </c>
      <c r="K284">
        <f t="shared" si="650"/>
        <v>1</v>
      </c>
      <c r="L284">
        <f t="shared" si="651"/>
        <v>1</v>
      </c>
      <c r="M284">
        <f t="shared" si="652"/>
        <v>1</v>
      </c>
      <c r="N284">
        <f t="shared" si="653"/>
        <v>1</v>
      </c>
      <c r="O284">
        <f t="shared" si="654"/>
        <v>4</v>
      </c>
      <c r="P284" t="str">
        <f t="shared" si="655"/>
        <v>Medium centralized electrolysis-CO2 emissions</v>
      </c>
      <c r="Q284" t="str">
        <f t="shared" si="656"/>
        <v>Central gas storage-CO2 emissions</v>
      </c>
      <c r="R284" t="str">
        <f t="shared" si="657"/>
        <v>Liquid hydrogen truck-CO2 emissions</v>
      </c>
      <c r="S284" t="str">
        <f t="shared" si="658"/>
        <v>District-CHP with H2 fuel cell (heat)-CO2 emissions</v>
      </c>
      <c r="T284">
        <f ca="1">IF(timePeriod="2020-30",(VLOOKUP($P284,'TA database'!$I$8:$J$79,2,FALSE)/VLOOKUP($D284,'Merit calculation'!$B$48:$I$52,5,FALSE)/VLOOKUP($E284,'Merit calculation'!$B$67:$I$73,5,FALSE)/VLOOKUP($F284,'Merit calculation'!$B$90:$I$103,5,FALSE)/energyContentH2),(VLOOKUP($P284,'TA database'!$I$8:$J$79,2,FALSE)/VLOOKUP($D284,'Merit calculation'!$B$48:$I$52,7,FALSE)/VLOOKUP($E284,'Merit calculation'!$B$67:$I$73,7,FALSE)/VLOOKUP($F284,'Merit calculation'!$B$90:$I$103,7,FALSE)/energyContentH2))</f>
        <v>2.4177116558010452E-2</v>
      </c>
      <c r="U284">
        <v>0</v>
      </c>
      <c r="V284">
        <v>0</v>
      </c>
      <c r="W284">
        <f ca="1">IFERROR(VLOOKUP($S284,'TA database'!$I$146:$J$193,2,FALSE),0)</f>
        <v>0</v>
      </c>
      <c r="X284">
        <f>IFERROR(VLOOKUP($S284,'TA database'!$I$200:$J$271,2,FALSE),0)</f>
        <v>0</v>
      </c>
      <c r="Y284">
        <f t="shared" ca="1" si="659"/>
        <v>8.703761960883763E-2</v>
      </c>
      <c r="Z284" t="str">
        <f t="shared" si="660"/>
        <v>ELCTRLYZ_MED_C   →   C_GAS_STRG   →   LQ_TRUCK   →   H2_FC_DCHP_HEAT</v>
      </c>
      <c r="AA284" t="str">
        <f t="shared" si="661"/>
        <v>Building heat</v>
      </c>
      <c r="AB284" t="str">
        <f t="shared" si="662"/>
        <v>CO2 emissions</v>
      </c>
      <c r="AC284">
        <f t="shared" ca="1" si="663"/>
        <v>8.703761960883763E-2</v>
      </c>
      <c r="AD284">
        <v>225</v>
      </c>
      <c r="AE284" t="str">
        <f>IF(AND(ISNUMBER(SEARCH(O284,4)),ISNUMBER(SEARCH('(4) FCH pathway assessment'!$B$16,AB284)),ISNUMBER(SEARCH('(4) FCH pathway assessment'!$B$10,AA284))),AD284,"")</f>
        <v/>
      </c>
      <c r="AF284" t="str">
        <f t="shared" si="565"/>
        <v/>
      </c>
      <c r="AG284" t="str">
        <f>VLOOKUP(C284,Assumptions!$B$116:$C$162,2,FALSE)</f>
        <v>ELCTRLYZ_MED_C</v>
      </c>
      <c r="AH284" t="str">
        <f>VLOOKUP(D284,Assumptions!$B$116:$C$162,2,FALSE)</f>
        <v>C_GAS_STRG</v>
      </c>
      <c r="AI284" t="str">
        <f>VLOOKUP(E284,Assumptions!$B$116:$C$162,2,FALSE)</f>
        <v>LQ_TRUCK</v>
      </c>
      <c r="AJ284" t="str">
        <f>VLOOKUP(F284,Assumptions!$B$116:$C$162,2,FALSE)</f>
        <v>H2_FC_DCHP_HEAT</v>
      </c>
    </row>
    <row r="285" spans="2:36" x14ac:dyDescent="0.25">
      <c r="B285" t="s">
        <v>112</v>
      </c>
      <c r="C285" t="s">
        <v>51</v>
      </c>
      <c r="D285" t="s">
        <v>155</v>
      </c>
      <c r="E285" t="s">
        <v>66</v>
      </c>
      <c r="F285" t="s">
        <v>552</v>
      </c>
      <c r="G285" t="s">
        <v>132</v>
      </c>
      <c r="H285" t="s">
        <v>434</v>
      </c>
      <c r="I285" t="s">
        <v>32</v>
      </c>
      <c r="J285" t="s">
        <v>329</v>
      </c>
      <c r="K285">
        <f t="shared" si="650"/>
        <v>1</v>
      </c>
      <c r="L285">
        <f t="shared" si="651"/>
        <v>1</v>
      </c>
      <c r="M285">
        <f t="shared" si="652"/>
        <v>1</v>
      </c>
      <c r="N285">
        <f t="shared" si="653"/>
        <v>1</v>
      </c>
      <c r="O285">
        <f t="shared" si="654"/>
        <v>4</v>
      </c>
      <c r="P285" t="str">
        <f t="shared" si="655"/>
        <v>Medium centralized electrolysis-CO2 emissions</v>
      </c>
      <c r="Q285" t="str">
        <f t="shared" si="656"/>
        <v>Central gas storage-CO2 emissions</v>
      </c>
      <c r="R285" t="str">
        <f t="shared" si="657"/>
        <v>Onsite-CO2 emissions</v>
      </c>
      <c r="S285" t="str">
        <f t="shared" si="658"/>
        <v>District-CHP with H2 fuel cell (heat)-CO2 emissions</v>
      </c>
      <c r="T285">
        <f ca="1">IF(timePeriod="2020-30",(VLOOKUP($P285,'TA database'!$I$8:$J$79,2,FALSE)/VLOOKUP($D285,'Merit calculation'!$B$48:$I$52,5,FALSE)/VLOOKUP($E285,'Merit calculation'!$B$67:$I$73,5,FALSE)/VLOOKUP($F285,'Merit calculation'!$B$90:$I$103,5,FALSE)/energyContentH2),(VLOOKUP($P285,'TA database'!$I$8:$J$79,2,FALSE)/VLOOKUP($D285,'Merit calculation'!$B$48:$I$52,7,FALSE)/VLOOKUP($E285,'Merit calculation'!$B$67:$I$73,7,FALSE)/VLOOKUP($F285,'Merit calculation'!$B$90:$I$103,7,FALSE)/energyContentH2))</f>
        <v>2.0719788890214957E-2</v>
      </c>
      <c r="U285">
        <v>0</v>
      </c>
      <c r="V285">
        <v>0</v>
      </c>
      <c r="W285">
        <f ca="1">IFERROR(VLOOKUP($S285,'TA database'!$I$146:$J$193,2,FALSE),0)</f>
        <v>0</v>
      </c>
      <c r="X285">
        <f>IFERROR(VLOOKUP($S285,'TA database'!$I$200:$J$271,2,FALSE),0)</f>
        <v>0</v>
      </c>
      <c r="Y285">
        <f t="shared" ca="1" si="659"/>
        <v>7.4591240004773851E-2</v>
      </c>
      <c r="Z285" t="str">
        <f t="shared" si="660"/>
        <v>ELCTRLYZ_MED_C   →   C_GAS_STRG   →   ONSITE_USE   →   H2_FC_DCHP_HEAT</v>
      </c>
      <c r="AA285" t="str">
        <f t="shared" si="661"/>
        <v>Building heat</v>
      </c>
      <c r="AB285" t="str">
        <f t="shared" si="662"/>
        <v>CO2 emissions</v>
      </c>
      <c r="AC285">
        <f t="shared" ca="1" si="663"/>
        <v>7.4591240004773851E-2</v>
      </c>
      <c r="AD285">
        <v>226</v>
      </c>
      <c r="AE285" t="str">
        <f>IF(AND(ISNUMBER(SEARCH(O285,4)),ISNUMBER(SEARCH('(4) FCH pathway assessment'!$B$16,AB285)),ISNUMBER(SEARCH('(4) FCH pathway assessment'!$B$10,AA285))),AD285,"")</f>
        <v/>
      </c>
      <c r="AF285" t="str">
        <f t="shared" si="565"/>
        <v/>
      </c>
      <c r="AG285" t="str">
        <f>VLOOKUP(C285,Assumptions!$B$116:$C$162,2,FALSE)</f>
        <v>ELCTRLYZ_MED_C</v>
      </c>
      <c r="AH285" t="str">
        <f>VLOOKUP(D285,Assumptions!$B$116:$C$162,2,FALSE)</f>
        <v>C_GAS_STRG</v>
      </c>
      <c r="AI285" t="str">
        <f>VLOOKUP(E285,Assumptions!$B$116:$C$162,2,FALSE)</f>
        <v>ONSITE_USE</v>
      </c>
      <c r="AJ285" t="str">
        <f>VLOOKUP(F285,Assumptions!$B$116:$C$162,2,FALSE)</f>
        <v>H2_FC_DCHP_HEAT</v>
      </c>
    </row>
    <row r="286" spans="2:36" x14ac:dyDescent="0.25">
      <c r="B286" t="s">
        <v>112</v>
      </c>
      <c r="C286" t="s">
        <v>52</v>
      </c>
      <c r="D286" s="60" t="s">
        <v>130</v>
      </c>
      <c r="E286" t="s">
        <v>66</v>
      </c>
      <c r="F286" t="s">
        <v>552</v>
      </c>
      <c r="G286" t="s">
        <v>132</v>
      </c>
      <c r="H286" t="s">
        <v>434</v>
      </c>
      <c r="I286" t="s">
        <v>32</v>
      </c>
      <c r="J286" t="s">
        <v>329</v>
      </c>
      <c r="K286">
        <f t="shared" ref="K286:K290" si="664">SUMPRODUCT(($C$7:$C$18=$C286)*($D$6:$H$6=$D286)*($D$7:$H$18))</f>
        <v>1</v>
      </c>
      <c r="L286">
        <f t="shared" ref="L286:L290" si="665">SUMPRODUCT(($C$19:$C$23=$D286)*($I$6:$O$6=$E286)*($I$19:$O$23))</f>
        <v>1</v>
      </c>
      <c r="M286">
        <f t="shared" ref="M286:M290" si="666">SUMPRODUCT(($C$24:$C$30=$E286)*($P$6:$AI$6=$F286)*($P$24:$AI$30))</f>
        <v>1</v>
      </c>
      <c r="N286">
        <f t="shared" ref="N286:N290" si="667">SUMPRODUCT(($C$31:$C$50=$F286)*($AJ$6:$AM$6=$G286)*($AJ$31:$AM$50))</f>
        <v>1</v>
      </c>
      <c r="O286">
        <f t="shared" ref="O286:O290" si="668">K286+L286+M286+N286</f>
        <v>4</v>
      </c>
      <c r="P286" t="str">
        <f t="shared" ref="P286:P290" si="669">CONCATENATE(C286,"-",J286)</f>
        <v>Small decentralized electrolysis-CO2 emissions</v>
      </c>
      <c r="Q286" t="str">
        <f t="shared" ref="Q286:Q290" si="670">CONCATENATE(D286,"-",J286)</f>
        <v>Distributed gas storage-CO2 emissions</v>
      </c>
      <c r="R286" t="str">
        <f t="shared" ref="R286:R290" si="671">CONCATENATE(E286,"-",J286)</f>
        <v>Onsite-CO2 emissions</v>
      </c>
      <c r="S286" t="str">
        <f t="shared" ref="S286:S290" si="672">CONCATENATE(F286,"-",J286)</f>
        <v>District-CHP with H2 fuel cell (heat)-CO2 emissions</v>
      </c>
      <c r="T286">
        <f ca="1">IF(timePeriod="2020-30",(VLOOKUP($P286,'TA database'!$I$8:$J$79,2,FALSE)/VLOOKUP($D286,'Merit calculation'!$B$48:$I$52,5,FALSE)/VLOOKUP($E286,'Merit calculation'!$B$67:$I$73,5,FALSE)/VLOOKUP($F286,'Merit calculation'!$B$90:$I$103,5,FALSE)/energyContentH2),(VLOOKUP($P286,'TA database'!$I$8:$J$79,2,FALSE)/VLOOKUP($D286,'Merit calculation'!$B$48:$I$52,7,FALSE)/VLOOKUP($E286,'Merit calculation'!$B$67:$I$73,7,FALSE)/VLOOKUP($F286,'Merit calculation'!$B$90:$I$103,7,FALSE)/energyContentH2))</f>
        <v>2.0719788890214957E-2</v>
      </c>
      <c r="U286">
        <v>0</v>
      </c>
      <c r="V286">
        <v>0</v>
      </c>
      <c r="W286">
        <f ca="1">IFERROR(VLOOKUP($S286,'TA database'!$I$146:$J$193,2,FALSE),0)</f>
        <v>0</v>
      </c>
      <c r="X286">
        <f>IFERROR(VLOOKUP($S286,'TA database'!$I$200:$J$271,2,FALSE),0)</f>
        <v>0</v>
      </c>
      <c r="Y286">
        <f t="shared" ref="Y286:Y290" ca="1" si="673">IF($W286=0,T286*3.6+X286,T286+W286)</f>
        <v>7.4591240004773851E-2</v>
      </c>
      <c r="Z286" t="str">
        <f t="shared" ref="Z286:Z290" si="674">CONCATENATE(AG286,"   →   ",AH286,"   →   ",AI286,"   →   ",AJ286)</f>
        <v>ELCTRLYZ_SML_D   →   D_GAS_STRG   →   ONSITE_USE   →   H2_FC_DCHP_HEAT</v>
      </c>
      <c r="AA286" t="str">
        <f t="shared" ref="AA286:AA290" si="675">G286</f>
        <v>Building heat</v>
      </c>
      <c r="AB286" t="str">
        <f t="shared" ref="AB286:AB290" si="676">J286</f>
        <v>CO2 emissions</v>
      </c>
      <c r="AC286">
        <f t="shared" ref="AC286:AC290" ca="1" si="677">Y286</f>
        <v>7.4591240004773851E-2</v>
      </c>
      <c r="AD286">
        <v>227</v>
      </c>
      <c r="AE286" t="str">
        <f>IF(AND(ISNUMBER(SEARCH(O286,4)),ISNUMBER(SEARCH('(4) FCH pathway assessment'!$B$16,AB286)),ISNUMBER(SEARCH('(4) FCH pathway assessment'!$B$10,AA286))),AD286,"")</f>
        <v/>
      </c>
      <c r="AF286" t="str">
        <f t="shared" si="565"/>
        <v/>
      </c>
      <c r="AG286" t="str">
        <f>VLOOKUP(C286,Assumptions!$B$116:$C$162,2,FALSE)</f>
        <v>ELCTRLYZ_SML_D</v>
      </c>
      <c r="AH286" t="str">
        <f>VLOOKUP(D286,Assumptions!$B$116:$C$162,2,FALSE)</f>
        <v>D_GAS_STRG</v>
      </c>
      <c r="AI286" t="str">
        <f>VLOOKUP(E286,Assumptions!$B$116:$C$162,2,FALSE)</f>
        <v>ONSITE_USE</v>
      </c>
      <c r="AJ286" t="str">
        <f>VLOOKUP(F286,Assumptions!$B$116:$C$162,2,FALSE)</f>
        <v>H2_FC_DCHP_HEAT</v>
      </c>
    </row>
    <row r="287" spans="2:36" x14ac:dyDescent="0.25">
      <c r="B287" t="s">
        <v>127</v>
      </c>
      <c r="C287" t="s">
        <v>57</v>
      </c>
      <c r="D287" t="s">
        <v>62</v>
      </c>
      <c r="E287" t="s">
        <v>157</v>
      </c>
      <c r="F287" t="s">
        <v>552</v>
      </c>
      <c r="G287" t="s">
        <v>132</v>
      </c>
      <c r="H287" t="s">
        <v>434</v>
      </c>
      <c r="I287" t="s">
        <v>32</v>
      </c>
      <c r="J287" t="s">
        <v>329</v>
      </c>
      <c r="K287">
        <f t="shared" si="664"/>
        <v>1</v>
      </c>
      <c r="L287">
        <f t="shared" si="665"/>
        <v>0</v>
      </c>
      <c r="M287">
        <f t="shared" si="666"/>
        <v>0</v>
      </c>
      <c r="N287">
        <f t="shared" si="667"/>
        <v>1</v>
      </c>
      <c r="O287">
        <f t="shared" si="668"/>
        <v>2</v>
      </c>
      <c r="P287" t="str">
        <f t="shared" si="669"/>
        <v>Large centralized natural gas steam reforming-CO2 emissions</v>
      </c>
      <c r="Q287" t="str">
        <f t="shared" si="670"/>
        <v>Underground storage-CO2 emissions</v>
      </c>
      <c r="R287" t="str">
        <f t="shared" si="671"/>
        <v>Blending in natural gas pipeline-CO2 emissions</v>
      </c>
      <c r="S287" t="str">
        <f t="shared" si="672"/>
        <v>District-CHP with H2 fuel cell (heat)-CO2 emissions</v>
      </c>
      <c r="T287">
        <f ca="1">IF(timePeriod="2020-30",(VLOOKUP($P287,'TA database'!$I$8:$J$79,2,FALSE)/VLOOKUP($D287,'Merit calculation'!$B$48:$I$52,5,FALSE)/VLOOKUP($E287,'Merit calculation'!$B$67:$I$73,5,FALSE)/VLOOKUP($F287,'Merit calculation'!$B$90:$I$103,5,FALSE)/energyContentH2),(VLOOKUP($P287,'TA database'!$I$8:$J$79,2,FALSE)/VLOOKUP($D287,'Merit calculation'!$B$48:$I$52,7,FALSE)/VLOOKUP($E287,'Merit calculation'!$B$67:$I$73,7,FALSE)/VLOOKUP($F287,'Merit calculation'!$B$90:$I$103,7,FALSE)/energyContentH2))</f>
        <v>8.3682832220843911E-2</v>
      </c>
      <c r="U287">
        <v>0</v>
      </c>
      <c r="V287">
        <v>0</v>
      </c>
      <c r="W287">
        <f ca="1">IFERROR(VLOOKUP($S287,'TA database'!$I$146:$J$193,2,FALSE),0)</f>
        <v>0</v>
      </c>
      <c r="X287">
        <f>IFERROR(VLOOKUP($S287,'TA database'!$I$200:$J$271,2,FALSE),0)</f>
        <v>0</v>
      </c>
      <c r="Y287">
        <f t="shared" ca="1" si="673"/>
        <v>0.30125819599503811</v>
      </c>
      <c r="Z287" t="str">
        <f t="shared" si="674"/>
        <v>NG_SR_LRG_C   →   C_UNDRGRND_STRG   →   H2_BLND_NG_P   →   H2_FC_DCHP_HEAT</v>
      </c>
      <c r="AA287" t="str">
        <f t="shared" si="675"/>
        <v>Building heat</v>
      </c>
      <c r="AB287" t="str">
        <f t="shared" si="676"/>
        <v>CO2 emissions</v>
      </c>
      <c r="AC287">
        <f t="shared" ca="1" si="677"/>
        <v>0.30125819599503811</v>
      </c>
      <c r="AD287">
        <v>228</v>
      </c>
      <c r="AE287" t="str">
        <f>IF(AND(ISNUMBER(SEARCH(O287,4)),ISNUMBER(SEARCH('(4) FCH pathway assessment'!$B$16,AB287)),ISNUMBER(SEARCH('(4) FCH pathway assessment'!$B$10,AA287))),AD287,"")</f>
        <v/>
      </c>
      <c r="AF287" t="str">
        <f t="shared" si="565"/>
        <v/>
      </c>
      <c r="AG287" t="str">
        <f>VLOOKUP(C287,Assumptions!$B$116:$C$162,2,FALSE)</f>
        <v>NG_SR_LRG_C</v>
      </c>
      <c r="AH287" t="str">
        <f>VLOOKUP(D287,Assumptions!$B$116:$C$162,2,FALSE)</f>
        <v>C_UNDRGRND_STRG</v>
      </c>
      <c r="AI287" t="str">
        <f>VLOOKUP(E287,Assumptions!$B$116:$C$162,2,FALSE)</f>
        <v>H2_BLND_NG_P</v>
      </c>
      <c r="AJ287" t="str">
        <f>VLOOKUP(F287,Assumptions!$B$116:$C$162,2,FALSE)</f>
        <v>H2_FC_DCHP_HEAT</v>
      </c>
    </row>
    <row r="288" spans="2:36" x14ac:dyDescent="0.25">
      <c r="B288" t="s">
        <v>127</v>
      </c>
      <c r="C288" t="s">
        <v>57</v>
      </c>
      <c r="D288" t="s">
        <v>62</v>
      </c>
      <c r="E288" t="s">
        <v>122</v>
      </c>
      <c r="F288" t="s">
        <v>552</v>
      </c>
      <c r="G288" t="s">
        <v>132</v>
      </c>
      <c r="H288" t="s">
        <v>434</v>
      </c>
      <c r="I288" t="s">
        <v>32</v>
      </c>
      <c r="J288" t="s">
        <v>329</v>
      </c>
      <c r="K288">
        <f t="shared" si="664"/>
        <v>1</v>
      </c>
      <c r="L288">
        <f t="shared" si="665"/>
        <v>0</v>
      </c>
      <c r="M288">
        <f t="shared" si="666"/>
        <v>1</v>
      </c>
      <c r="N288">
        <f t="shared" si="667"/>
        <v>1</v>
      </c>
      <c r="O288">
        <f t="shared" si="668"/>
        <v>3</v>
      </c>
      <c r="P288" t="str">
        <f t="shared" si="669"/>
        <v>Large centralized natural gas steam reforming-CO2 emissions</v>
      </c>
      <c r="Q288" t="str">
        <f t="shared" si="670"/>
        <v>Underground storage-CO2 emissions</v>
      </c>
      <c r="R288" t="str">
        <f t="shared" si="671"/>
        <v>Hydrogen transmission &amp; distribution pipeline-CO2 emissions</v>
      </c>
      <c r="S288" t="str">
        <f t="shared" si="672"/>
        <v>District-CHP with H2 fuel cell (heat)-CO2 emissions</v>
      </c>
      <c r="T288">
        <f ca="1">IF(timePeriod="2020-30",(VLOOKUP($P288,'TA database'!$I$8:$J$79,2,FALSE)/VLOOKUP($D288,'Merit calculation'!$B$48:$I$52,5,FALSE)/VLOOKUP($E288,'Merit calculation'!$B$67:$I$73,5,FALSE)/VLOOKUP($F288,'Merit calculation'!$B$90:$I$103,5,FALSE)/energyContentH2),(VLOOKUP($P288,'TA database'!$I$8:$J$79,2,FALSE)/VLOOKUP($D288,'Merit calculation'!$B$48:$I$52,7,FALSE)/VLOOKUP($E288,'Merit calculation'!$B$67:$I$73,7,FALSE)/VLOOKUP($F288,'Merit calculation'!$B$90:$I$103,7,FALSE)/energyContentH2))</f>
        <v>8.3682832220843911E-2</v>
      </c>
      <c r="U288">
        <v>0</v>
      </c>
      <c r="V288">
        <v>0</v>
      </c>
      <c r="W288">
        <f ca="1">IFERROR(VLOOKUP($S288,'TA database'!$I$146:$J$193,2,FALSE),0)</f>
        <v>0</v>
      </c>
      <c r="X288">
        <f>IFERROR(VLOOKUP($S288,'TA database'!$I$200:$J$271,2,FALSE),0)</f>
        <v>0</v>
      </c>
      <c r="Y288">
        <f t="shared" ca="1" si="673"/>
        <v>0.30125819599503811</v>
      </c>
      <c r="Z288" t="str">
        <f t="shared" si="674"/>
        <v>NG_SR_LRG_C   →   C_UNDRGRND_STRG   →   H2_T&amp;D_P   →   H2_FC_DCHP_HEAT</v>
      </c>
      <c r="AA288" t="str">
        <f t="shared" si="675"/>
        <v>Building heat</v>
      </c>
      <c r="AB288" t="str">
        <f t="shared" si="676"/>
        <v>CO2 emissions</v>
      </c>
      <c r="AC288">
        <f t="shared" ca="1" si="677"/>
        <v>0.30125819599503811</v>
      </c>
      <c r="AD288">
        <v>229</v>
      </c>
      <c r="AE288" t="str">
        <f>IF(AND(ISNUMBER(SEARCH(O288,4)),ISNUMBER(SEARCH('(4) FCH pathway assessment'!$B$16,AB288)),ISNUMBER(SEARCH('(4) FCH pathway assessment'!$B$10,AA288))),AD288,"")</f>
        <v/>
      </c>
      <c r="AF288" t="str">
        <f t="shared" si="565"/>
        <v/>
      </c>
      <c r="AG288" t="str">
        <f>VLOOKUP(C288,Assumptions!$B$116:$C$162,2,FALSE)</f>
        <v>NG_SR_LRG_C</v>
      </c>
      <c r="AH288" t="str">
        <f>VLOOKUP(D288,Assumptions!$B$116:$C$162,2,FALSE)</f>
        <v>C_UNDRGRND_STRG</v>
      </c>
      <c r="AI288" t="str">
        <f>VLOOKUP(E288,Assumptions!$B$116:$C$162,2,FALSE)</f>
        <v>H2_T&amp;D_P</v>
      </c>
      <c r="AJ288" t="str">
        <f>VLOOKUP(F288,Assumptions!$B$116:$C$162,2,FALSE)</f>
        <v>H2_FC_DCHP_HEAT</v>
      </c>
    </row>
    <row r="289" spans="2:36" x14ac:dyDescent="0.25">
      <c r="B289" t="s">
        <v>127</v>
      </c>
      <c r="C289" t="s">
        <v>57</v>
      </c>
      <c r="D289" t="s">
        <v>62</v>
      </c>
      <c r="E289" t="s">
        <v>116</v>
      </c>
      <c r="F289" t="s">
        <v>552</v>
      </c>
      <c r="G289" t="s">
        <v>132</v>
      </c>
      <c r="H289" t="s">
        <v>434</v>
      </c>
      <c r="I289" t="s">
        <v>32</v>
      </c>
      <c r="J289" t="s">
        <v>329</v>
      </c>
      <c r="K289">
        <f t="shared" si="664"/>
        <v>1</v>
      </c>
      <c r="L289">
        <f t="shared" si="665"/>
        <v>0</v>
      </c>
      <c r="M289">
        <f t="shared" si="666"/>
        <v>1</v>
      </c>
      <c r="N289">
        <f t="shared" si="667"/>
        <v>1</v>
      </c>
      <c r="O289">
        <f t="shared" si="668"/>
        <v>3</v>
      </c>
      <c r="P289" t="str">
        <f t="shared" si="669"/>
        <v>Large centralized natural gas steam reforming-CO2 emissions</v>
      </c>
      <c r="Q289" t="str">
        <f t="shared" si="670"/>
        <v>Underground storage-CO2 emissions</v>
      </c>
      <c r="R289" t="str">
        <f t="shared" si="671"/>
        <v>Liquid hydrogen truck-CO2 emissions</v>
      </c>
      <c r="S289" t="str">
        <f t="shared" si="672"/>
        <v>District-CHP with H2 fuel cell (heat)-CO2 emissions</v>
      </c>
      <c r="T289">
        <f ca="1">IF(timePeriod="2020-30",(VLOOKUP($P289,'TA database'!$I$8:$J$79,2,FALSE)/VLOOKUP($D289,'Merit calculation'!$B$48:$I$52,5,FALSE)/VLOOKUP($E289,'Merit calculation'!$B$67:$I$73,5,FALSE)/VLOOKUP($F289,'Merit calculation'!$B$90:$I$103,5,FALSE)/energyContentH2),(VLOOKUP($P289,'TA database'!$I$8:$J$79,2,FALSE)/VLOOKUP($D289,'Merit calculation'!$B$48:$I$52,7,FALSE)/VLOOKUP($E289,'Merit calculation'!$B$67:$I$73,7,FALSE)/VLOOKUP($F289,'Merit calculation'!$B$90:$I$103,7,FALSE)/energyContentH2))</f>
        <v>9.6669782845548974E-2</v>
      </c>
      <c r="U289">
        <v>0</v>
      </c>
      <c r="V289">
        <v>0</v>
      </c>
      <c r="W289">
        <f ca="1">IFERROR(VLOOKUP($S289,'TA database'!$I$146:$J$193,2,FALSE),0)</f>
        <v>0</v>
      </c>
      <c r="X289">
        <f>IFERROR(VLOOKUP($S289,'TA database'!$I$200:$J$271,2,FALSE),0)</f>
        <v>0</v>
      </c>
      <c r="Y289">
        <f t="shared" ca="1" si="673"/>
        <v>0.34801121824397629</v>
      </c>
      <c r="Z289" t="str">
        <f t="shared" si="674"/>
        <v>NG_SR_LRG_C   →   C_UNDRGRND_STRG   →   LQ_TRUCK   →   H2_FC_DCHP_HEAT</v>
      </c>
      <c r="AA289" t="str">
        <f t="shared" si="675"/>
        <v>Building heat</v>
      </c>
      <c r="AB289" t="str">
        <f t="shared" si="676"/>
        <v>CO2 emissions</v>
      </c>
      <c r="AC289">
        <f t="shared" ca="1" si="677"/>
        <v>0.34801121824397629</v>
      </c>
      <c r="AD289">
        <v>230</v>
      </c>
      <c r="AE289" t="str">
        <f>IF(AND(ISNUMBER(SEARCH(O289,4)),ISNUMBER(SEARCH('(4) FCH pathway assessment'!$B$16,AB289)),ISNUMBER(SEARCH('(4) FCH pathway assessment'!$B$10,AA289))),AD289,"")</f>
        <v/>
      </c>
      <c r="AF289" t="str">
        <f t="shared" si="565"/>
        <v/>
      </c>
      <c r="AG289" t="str">
        <f>VLOOKUP(C289,Assumptions!$B$116:$C$162,2,FALSE)</f>
        <v>NG_SR_LRG_C</v>
      </c>
      <c r="AH289" t="str">
        <f>VLOOKUP(D289,Assumptions!$B$116:$C$162,2,FALSE)</f>
        <v>C_UNDRGRND_STRG</v>
      </c>
      <c r="AI289" t="str">
        <f>VLOOKUP(E289,Assumptions!$B$116:$C$162,2,FALSE)</f>
        <v>LQ_TRUCK</v>
      </c>
      <c r="AJ289" t="str">
        <f>VLOOKUP(F289,Assumptions!$B$116:$C$162,2,FALSE)</f>
        <v>H2_FC_DCHP_HEAT</v>
      </c>
    </row>
    <row r="290" spans="2:36" x14ac:dyDescent="0.25">
      <c r="B290" t="s">
        <v>127</v>
      </c>
      <c r="C290" t="s">
        <v>57</v>
      </c>
      <c r="D290" t="s">
        <v>62</v>
      </c>
      <c r="E290" t="s">
        <v>66</v>
      </c>
      <c r="F290" t="s">
        <v>552</v>
      </c>
      <c r="G290" t="s">
        <v>132</v>
      </c>
      <c r="H290" t="s">
        <v>434</v>
      </c>
      <c r="I290" t="s">
        <v>32</v>
      </c>
      <c r="J290" t="s">
        <v>329</v>
      </c>
      <c r="K290">
        <f t="shared" si="664"/>
        <v>1</v>
      </c>
      <c r="L290">
        <f t="shared" si="665"/>
        <v>0</v>
      </c>
      <c r="M290">
        <f t="shared" si="666"/>
        <v>1</v>
      </c>
      <c r="N290">
        <f t="shared" si="667"/>
        <v>1</v>
      </c>
      <c r="O290">
        <f t="shared" si="668"/>
        <v>3</v>
      </c>
      <c r="P290" t="str">
        <f t="shared" si="669"/>
        <v>Large centralized natural gas steam reforming-CO2 emissions</v>
      </c>
      <c r="Q290" t="str">
        <f t="shared" si="670"/>
        <v>Underground storage-CO2 emissions</v>
      </c>
      <c r="R290" t="str">
        <f t="shared" si="671"/>
        <v>Onsite-CO2 emissions</v>
      </c>
      <c r="S290" t="str">
        <f t="shared" si="672"/>
        <v>District-CHP with H2 fuel cell (heat)-CO2 emissions</v>
      </c>
      <c r="T290">
        <f ca="1">IF(timePeriod="2020-30",(VLOOKUP($P290,'TA database'!$I$8:$J$79,2,FALSE)/VLOOKUP($D290,'Merit calculation'!$B$48:$I$52,5,FALSE)/VLOOKUP($E290,'Merit calculation'!$B$67:$I$73,5,FALSE)/VLOOKUP($F290,'Merit calculation'!$B$90:$I$103,5,FALSE)/energyContentH2),(VLOOKUP($P290,'TA database'!$I$8:$J$79,2,FALSE)/VLOOKUP($D290,'Merit calculation'!$B$48:$I$52,7,FALSE)/VLOOKUP($E290,'Merit calculation'!$B$67:$I$73,7,FALSE)/VLOOKUP($F290,'Merit calculation'!$B$90:$I$103,7,FALSE)/energyContentH2))</f>
        <v>8.2846003898635473E-2</v>
      </c>
      <c r="U290">
        <v>0</v>
      </c>
      <c r="V290">
        <v>0</v>
      </c>
      <c r="W290">
        <f ca="1">IFERROR(VLOOKUP($S290,'TA database'!$I$146:$J$193,2,FALSE),0)</f>
        <v>0</v>
      </c>
      <c r="X290">
        <f>IFERROR(VLOOKUP($S290,'TA database'!$I$200:$J$271,2,FALSE),0)</f>
        <v>0</v>
      </c>
      <c r="Y290">
        <f t="shared" ca="1" si="673"/>
        <v>0.2982456140350877</v>
      </c>
      <c r="Z290" t="str">
        <f t="shared" si="674"/>
        <v>NG_SR_LRG_C   →   C_UNDRGRND_STRG   →   ONSITE_USE   →   H2_FC_DCHP_HEAT</v>
      </c>
      <c r="AA290" t="str">
        <f t="shared" si="675"/>
        <v>Building heat</v>
      </c>
      <c r="AB290" t="str">
        <f t="shared" si="676"/>
        <v>CO2 emissions</v>
      </c>
      <c r="AC290">
        <f t="shared" ca="1" si="677"/>
        <v>0.2982456140350877</v>
      </c>
      <c r="AD290">
        <v>231</v>
      </c>
      <c r="AE290" t="str">
        <f>IF(AND(ISNUMBER(SEARCH(O290,4)),ISNUMBER(SEARCH('(4) FCH pathway assessment'!$B$16,AB290)),ISNUMBER(SEARCH('(4) FCH pathway assessment'!$B$10,AA290))),AD290,"")</f>
        <v/>
      </c>
      <c r="AF290" t="str">
        <f t="shared" si="565"/>
        <v/>
      </c>
      <c r="AG290" t="str">
        <f>VLOOKUP(C290,Assumptions!$B$116:$C$162,2,FALSE)</f>
        <v>NG_SR_LRG_C</v>
      </c>
      <c r="AH290" t="str">
        <f>VLOOKUP(D290,Assumptions!$B$116:$C$162,2,FALSE)</f>
        <v>C_UNDRGRND_STRG</v>
      </c>
      <c r="AI290" t="str">
        <f>VLOOKUP(E290,Assumptions!$B$116:$C$162,2,FALSE)</f>
        <v>ONSITE_USE</v>
      </c>
      <c r="AJ290" t="str">
        <f>VLOOKUP(F290,Assumptions!$B$116:$C$162,2,FALSE)</f>
        <v>H2_FC_DCHP_HEAT</v>
      </c>
    </row>
    <row r="291" spans="2:36" x14ac:dyDescent="0.25">
      <c r="B291" t="s">
        <v>127</v>
      </c>
      <c r="C291" t="s">
        <v>57</v>
      </c>
      <c r="D291" s="61" t="s">
        <v>63</v>
      </c>
      <c r="E291" t="s">
        <v>122</v>
      </c>
      <c r="F291" t="s">
        <v>552</v>
      </c>
      <c r="G291" t="s">
        <v>132</v>
      </c>
      <c r="H291" t="s">
        <v>434</v>
      </c>
      <c r="I291" t="s">
        <v>32</v>
      </c>
      <c r="J291" t="s">
        <v>329</v>
      </c>
      <c r="K291">
        <f t="shared" ref="K291:K295" si="678">SUMPRODUCT(($C$7:$C$18=$C291)*($D$6:$H$6=$D291)*($D$7:$H$18))</f>
        <v>1</v>
      </c>
      <c r="L291">
        <f t="shared" ref="L291:L295" si="679">SUMPRODUCT(($C$19:$C$23=$D291)*($I$6:$O$6=$E291)*($I$19:$O$23))</f>
        <v>1</v>
      </c>
      <c r="M291">
        <f t="shared" ref="M291:M295" si="680">SUMPRODUCT(($C$24:$C$30=$E291)*($P$6:$AI$6=$F291)*($P$24:$AI$30))</f>
        <v>1</v>
      </c>
      <c r="N291">
        <f t="shared" ref="N291:N295" si="681">SUMPRODUCT(($C$31:$C$50=$F291)*($AJ$6:$AM$6=$G291)*($AJ$31:$AM$50))</f>
        <v>1</v>
      </c>
      <c r="O291">
        <f t="shared" ref="O291:O295" si="682">K291+L291+M291+N291</f>
        <v>4</v>
      </c>
      <c r="P291" t="str">
        <f t="shared" ref="P291:P295" si="683">CONCATENATE(C291,"-",J291)</f>
        <v>Large centralized natural gas steam reforming-CO2 emissions</v>
      </c>
      <c r="Q291" t="str">
        <f t="shared" ref="Q291:Q295" si="684">CONCATENATE(D291,"-",J291)</f>
        <v>No storage-CO2 emissions</v>
      </c>
      <c r="R291" t="str">
        <f t="shared" ref="R291:R295" si="685">CONCATENATE(E291,"-",J291)</f>
        <v>Hydrogen transmission &amp; distribution pipeline-CO2 emissions</v>
      </c>
      <c r="S291" t="str">
        <f t="shared" ref="S291:S295" si="686">CONCATENATE(F291,"-",J291)</f>
        <v>District-CHP with H2 fuel cell (heat)-CO2 emissions</v>
      </c>
      <c r="T291">
        <f ca="1">IF(timePeriod="2020-30",(VLOOKUP($P291,'TA database'!$I$8:$J$79,2,FALSE)/VLOOKUP($D291,'Merit calculation'!$B$48:$I$52,5,FALSE)/VLOOKUP($E291,'Merit calculation'!$B$67:$I$73,5,FALSE)/VLOOKUP($F291,'Merit calculation'!$B$90:$I$103,5,FALSE)/energyContentH2),(VLOOKUP($P291,'TA database'!$I$8:$J$79,2,FALSE)/VLOOKUP($D291,'Merit calculation'!$B$48:$I$52,7,FALSE)/VLOOKUP($E291,'Merit calculation'!$B$67:$I$73,7,FALSE)/VLOOKUP($F291,'Merit calculation'!$B$90:$I$103,7,FALSE)/energyContentH2))</f>
        <v>8.2846003898635473E-2</v>
      </c>
      <c r="U291">
        <v>0</v>
      </c>
      <c r="V291">
        <v>0</v>
      </c>
      <c r="W291">
        <f ca="1">IFERROR(VLOOKUP($S291,'TA database'!$I$146:$J$193,2,FALSE),0)</f>
        <v>0</v>
      </c>
      <c r="X291">
        <f>IFERROR(VLOOKUP($S291,'TA database'!$I$200:$J$271,2,FALSE),0)</f>
        <v>0</v>
      </c>
      <c r="Y291">
        <f t="shared" ref="Y291:Y295" ca="1" si="687">IF($W291=0,T291*3.6+X291,T291+W291)</f>
        <v>0.2982456140350877</v>
      </c>
      <c r="Z291" t="str">
        <f t="shared" ref="Z291:Z295" si="688">CONCATENATE(AG291,"   →   ",AH291,"   →   ",AI291,"   →   ",AJ291)</f>
        <v>NG_SR_LRG_C   →   NO_STRG   →   H2_T&amp;D_P   →   H2_FC_DCHP_HEAT</v>
      </c>
      <c r="AA291" t="str">
        <f t="shared" ref="AA291:AA295" si="689">G291</f>
        <v>Building heat</v>
      </c>
      <c r="AB291" t="str">
        <f t="shared" ref="AB291:AB295" si="690">J291</f>
        <v>CO2 emissions</v>
      </c>
      <c r="AC291">
        <f t="shared" ref="AC291:AC295" ca="1" si="691">Y291</f>
        <v>0.2982456140350877</v>
      </c>
      <c r="AD291">
        <v>232</v>
      </c>
      <c r="AE291" t="str">
        <f>IF(AND(ISNUMBER(SEARCH(O291,4)),ISNUMBER(SEARCH('(4) FCH pathway assessment'!$B$16,AB291)),ISNUMBER(SEARCH('(4) FCH pathway assessment'!$B$10,AA291))),AD291,"")</f>
        <v/>
      </c>
      <c r="AF291" t="str">
        <f t="shared" si="565"/>
        <v/>
      </c>
      <c r="AG291" t="str">
        <f>VLOOKUP(C291,Assumptions!$B$116:$C$162,2,FALSE)</f>
        <v>NG_SR_LRG_C</v>
      </c>
      <c r="AH291" t="str">
        <f>VLOOKUP(D291,Assumptions!$B$116:$C$162,2,FALSE)</f>
        <v>NO_STRG</v>
      </c>
      <c r="AI291" t="str">
        <f>VLOOKUP(E291,Assumptions!$B$116:$C$162,2,FALSE)</f>
        <v>H2_T&amp;D_P</v>
      </c>
      <c r="AJ291" t="str">
        <f>VLOOKUP(F291,Assumptions!$B$116:$C$162,2,FALSE)</f>
        <v>H2_FC_DCHP_HEAT</v>
      </c>
    </row>
    <row r="292" spans="2:36" x14ac:dyDescent="0.25">
      <c r="B292" t="s">
        <v>127</v>
      </c>
      <c r="C292" t="s">
        <v>58</v>
      </c>
      <c r="D292" t="s">
        <v>155</v>
      </c>
      <c r="E292" t="s">
        <v>157</v>
      </c>
      <c r="F292" t="s">
        <v>552</v>
      </c>
      <c r="G292" t="s">
        <v>132</v>
      </c>
      <c r="H292" t="s">
        <v>434</v>
      </c>
      <c r="I292" t="s">
        <v>32</v>
      </c>
      <c r="J292" t="s">
        <v>329</v>
      </c>
      <c r="K292">
        <f t="shared" si="678"/>
        <v>1</v>
      </c>
      <c r="L292">
        <f t="shared" si="679"/>
        <v>1</v>
      </c>
      <c r="M292">
        <f t="shared" si="680"/>
        <v>0</v>
      </c>
      <c r="N292">
        <f t="shared" si="681"/>
        <v>1</v>
      </c>
      <c r="O292">
        <f t="shared" si="682"/>
        <v>3</v>
      </c>
      <c r="P292" t="str">
        <f t="shared" si="683"/>
        <v>Small centralized natural gas steam reforming-CO2 emissions</v>
      </c>
      <c r="Q292" t="str">
        <f t="shared" si="684"/>
        <v>Central gas storage-CO2 emissions</v>
      </c>
      <c r="R292" t="str">
        <f t="shared" si="685"/>
        <v>Blending in natural gas pipeline-CO2 emissions</v>
      </c>
      <c r="S292" t="str">
        <f t="shared" si="686"/>
        <v>District-CHP with H2 fuel cell (heat)-CO2 emissions</v>
      </c>
      <c r="T292">
        <f ca="1">IF(timePeriod="2020-30",(VLOOKUP($P292,'TA database'!$I$8:$J$79,2,FALSE)/VLOOKUP($D292,'Merit calculation'!$B$48:$I$52,5,FALSE)/VLOOKUP($E292,'Merit calculation'!$B$67:$I$73,5,FALSE)/VLOOKUP($F292,'Merit calculation'!$B$90:$I$103,5,FALSE)/energyContentH2),(VLOOKUP($P292,'TA database'!$I$8:$J$79,2,FALSE)/VLOOKUP($D292,'Merit calculation'!$B$48:$I$52,7,FALSE)/VLOOKUP($E292,'Merit calculation'!$B$67:$I$73,7,FALSE)/VLOOKUP($F292,'Merit calculation'!$B$90:$I$103,7,FALSE)/energyContentH2))</f>
        <v>8.4536738672077019E-2</v>
      </c>
      <c r="U292">
        <v>0</v>
      </c>
      <c r="V292">
        <v>0</v>
      </c>
      <c r="W292">
        <f ca="1">IFERROR(VLOOKUP($S292,'TA database'!$I$146:$J$193,2,FALSE),0)</f>
        <v>0</v>
      </c>
      <c r="X292">
        <f>IFERROR(VLOOKUP($S292,'TA database'!$I$200:$J$271,2,FALSE),0)</f>
        <v>0</v>
      </c>
      <c r="Y292">
        <f t="shared" ca="1" si="687"/>
        <v>0.30433225921947726</v>
      </c>
      <c r="Z292" t="str">
        <f t="shared" si="688"/>
        <v>NG_SR_SML_C   →   C_GAS_STRG   →   H2_BLND_NG_P   →   H2_FC_DCHP_HEAT</v>
      </c>
      <c r="AA292" t="str">
        <f t="shared" si="689"/>
        <v>Building heat</v>
      </c>
      <c r="AB292" t="str">
        <f t="shared" si="690"/>
        <v>CO2 emissions</v>
      </c>
      <c r="AC292">
        <f t="shared" ca="1" si="691"/>
        <v>0.30433225921947726</v>
      </c>
      <c r="AD292">
        <v>233</v>
      </c>
      <c r="AE292" t="str">
        <f>IF(AND(ISNUMBER(SEARCH(O292,4)),ISNUMBER(SEARCH('(4) FCH pathway assessment'!$B$16,AB292)),ISNUMBER(SEARCH('(4) FCH pathway assessment'!$B$10,AA292))),AD292,"")</f>
        <v/>
      </c>
      <c r="AF292" t="str">
        <f t="shared" si="565"/>
        <v/>
      </c>
      <c r="AG292" t="str">
        <f>VLOOKUP(C292,Assumptions!$B$116:$C$162,2,FALSE)</f>
        <v>NG_SR_SML_C</v>
      </c>
      <c r="AH292" t="str">
        <f>VLOOKUP(D292,Assumptions!$B$116:$C$162,2,FALSE)</f>
        <v>C_GAS_STRG</v>
      </c>
      <c r="AI292" t="str">
        <f>VLOOKUP(E292,Assumptions!$B$116:$C$162,2,FALSE)</f>
        <v>H2_BLND_NG_P</v>
      </c>
      <c r="AJ292" t="str">
        <f>VLOOKUP(F292,Assumptions!$B$116:$C$162,2,FALSE)</f>
        <v>H2_FC_DCHP_HEAT</v>
      </c>
    </row>
    <row r="293" spans="2:36" x14ac:dyDescent="0.25">
      <c r="B293" t="s">
        <v>127</v>
      </c>
      <c r="C293" t="s">
        <v>58</v>
      </c>
      <c r="D293" t="s">
        <v>155</v>
      </c>
      <c r="E293" t="s">
        <v>122</v>
      </c>
      <c r="F293" t="s">
        <v>552</v>
      </c>
      <c r="G293" t="s">
        <v>132</v>
      </c>
      <c r="H293" t="s">
        <v>434</v>
      </c>
      <c r="I293" t="s">
        <v>32</v>
      </c>
      <c r="J293" t="s">
        <v>329</v>
      </c>
      <c r="K293">
        <f t="shared" si="678"/>
        <v>1</v>
      </c>
      <c r="L293">
        <f t="shared" si="679"/>
        <v>1</v>
      </c>
      <c r="M293">
        <f t="shared" si="680"/>
        <v>1</v>
      </c>
      <c r="N293">
        <f t="shared" si="681"/>
        <v>1</v>
      </c>
      <c r="O293">
        <f t="shared" si="682"/>
        <v>4</v>
      </c>
      <c r="P293" t="str">
        <f t="shared" si="683"/>
        <v>Small centralized natural gas steam reforming-CO2 emissions</v>
      </c>
      <c r="Q293" t="str">
        <f t="shared" si="684"/>
        <v>Central gas storage-CO2 emissions</v>
      </c>
      <c r="R293" t="str">
        <f t="shared" si="685"/>
        <v>Hydrogen transmission &amp; distribution pipeline-CO2 emissions</v>
      </c>
      <c r="S293" t="str">
        <f t="shared" si="686"/>
        <v>District-CHP with H2 fuel cell (heat)-CO2 emissions</v>
      </c>
      <c r="T293">
        <f ca="1">IF(timePeriod="2020-30",(VLOOKUP($P293,'TA database'!$I$8:$J$79,2,FALSE)/VLOOKUP($D293,'Merit calculation'!$B$48:$I$52,5,FALSE)/VLOOKUP($E293,'Merit calculation'!$B$67:$I$73,5,FALSE)/VLOOKUP($F293,'Merit calculation'!$B$90:$I$103,5,FALSE)/energyContentH2),(VLOOKUP($P293,'TA database'!$I$8:$J$79,2,FALSE)/VLOOKUP($D293,'Merit calculation'!$B$48:$I$52,7,FALSE)/VLOOKUP($E293,'Merit calculation'!$B$67:$I$73,7,FALSE)/VLOOKUP($F293,'Merit calculation'!$B$90:$I$103,7,FALSE)/energyContentH2))</f>
        <v>8.4536738672077019E-2</v>
      </c>
      <c r="U293">
        <v>0</v>
      </c>
      <c r="V293">
        <v>0</v>
      </c>
      <c r="W293">
        <f ca="1">IFERROR(VLOOKUP($S293,'TA database'!$I$146:$J$193,2,FALSE),0)</f>
        <v>0</v>
      </c>
      <c r="X293">
        <f>IFERROR(VLOOKUP($S293,'TA database'!$I$200:$J$271,2,FALSE),0)</f>
        <v>0</v>
      </c>
      <c r="Y293">
        <f t="shared" ca="1" si="687"/>
        <v>0.30433225921947726</v>
      </c>
      <c r="Z293" t="str">
        <f t="shared" si="688"/>
        <v>NG_SR_SML_C   →   C_GAS_STRG   →   H2_T&amp;D_P   →   H2_FC_DCHP_HEAT</v>
      </c>
      <c r="AA293" t="str">
        <f t="shared" si="689"/>
        <v>Building heat</v>
      </c>
      <c r="AB293" t="str">
        <f t="shared" si="690"/>
        <v>CO2 emissions</v>
      </c>
      <c r="AC293">
        <f t="shared" ca="1" si="691"/>
        <v>0.30433225921947726</v>
      </c>
      <c r="AD293">
        <v>234</v>
      </c>
      <c r="AE293" t="str">
        <f>IF(AND(ISNUMBER(SEARCH(O293,4)),ISNUMBER(SEARCH('(4) FCH pathway assessment'!$B$16,AB293)),ISNUMBER(SEARCH('(4) FCH pathway assessment'!$B$10,AA293))),AD293,"")</f>
        <v/>
      </c>
      <c r="AF293" t="str">
        <f t="shared" si="565"/>
        <v/>
      </c>
      <c r="AG293" t="str">
        <f>VLOOKUP(C293,Assumptions!$B$116:$C$162,2,FALSE)</f>
        <v>NG_SR_SML_C</v>
      </c>
      <c r="AH293" t="str">
        <f>VLOOKUP(D293,Assumptions!$B$116:$C$162,2,FALSE)</f>
        <v>C_GAS_STRG</v>
      </c>
      <c r="AI293" t="str">
        <f>VLOOKUP(E293,Assumptions!$B$116:$C$162,2,FALSE)</f>
        <v>H2_T&amp;D_P</v>
      </c>
      <c r="AJ293" t="str">
        <f>VLOOKUP(F293,Assumptions!$B$116:$C$162,2,FALSE)</f>
        <v>H2_FC_DCHP_HEAT</v>
      </c>
    </row>
    <row r="294" spans="2:36" x14ac:dyDescent="0.25">
      <c r="B294" t="s">
        <v>127</v>
      </c>
      <c r="C294" t="s">
        <v>58</v>
      </c>
      <c r="D294" t="s">
        <v>155</v>
      </c>
      <c r="E294" t="s">
        <v>116</v>
      </c>
      <c r="F294" t="s">
        <v>552</v>
      </c>
      <c r="G294" t="s">
        <v>132</v>
      </c>
      <c r="H294" t="s">
        <v>434</v>
      </c>
      <c r="I294" t="s">
        <v>32</v>
      </c>
      <c r="J294" t="s">
        <v>329</v>
      </c>
      <c r="K294">
        <f t="shared" si="678"/>
        <v>1</v>
      </c>
      <c r="L294">
        <f t="shared" si="679"/>
        <v>1</v>
      </c>
      <c r="M294">
        <f t="shared" si="680"/>
        <v>1</v>
      </c>
      <c r="N294">
        <f t="shared" si="681"/>
        <v>1</v>
      </c>
      <c r="O294">
        <f t="shared" si="682"/>
        <v>4</v>
      </c>
      <c r="P294" t="str">
        <f t="shared" si="683"/>
        <v>Small centralized natural gas steam reforming-CO2 emissions</v>
      </c>
      <c r="Q294" t="str">
        <f t="shared" si="684"/>
        <v>Central gas storage-CO2 emissions</v>
      </c>
      <c r="R294" t="str">
        <f t="shared" si="685"/>
        <v>Liquid hydrogen truck-CO2 emissions</v>
      </c>
      <c r="S294" t="str">
        <f t="shared" si="686"/>
        <v>District-CHP with H2 fuel cell (heat)-CO2 emissions</v>
      </c>
      <c r="T294">
        <f ca="1">IF(timePeriod="2020-30",(VLOOKUP($P294,'TA database'!$I$8:$J$79,2,FALSE)/VLOOKUP($D294,'Merit calculation'!$B$48:$I$52,5,FALSE)/VLOOKUP($E294,'Merit calculation'!$B$67:$I$73,5,FALSE)/VLOOKUP($F294,'Merit calculation'!$B$90:$I$103,5,FALSE)/energyContentH2),(VLOOKUP($P294,'TA database'!$I$8:$J$79,2,FALSE)/VLOOKUP($D294,'Merit calculation'!$B$48:$I$52,7,FALSE)/VLOOKUP($E294,'Merit calculation'!$B$67:$I$73,7,FALSE)/VLOOKUP($F294,'Merit calculation'!$B$90:$I$103,7,FALSE)/energyContentH2))</f>
        <v>9.7656209201115798E-2</v>
      </c>
      <c r="U294">
        <v>0</v>
      </c>
      <c r="V294">
        <v>0</v>
      </c>
      <c r="W294">
        <f ca="1">IFERROR(VLOOKUP($S294,'TA database'!$I$146:$J$193,2,FALSE),0)</f>
        <v>0</v>
      </c>
      <c r="X294">
        <f>IFERROR(VLOOKUP($S294,'TA database'!$I$200:$J$271,2,FALSE),0)</f>
        <v>0</v>
      </c>
      <c r="Y294">
        <f t="shared" ca="1" si="687"/>
        <v>0.3515623531240169</v>
      </c>
      <c r="Z294" t="str">
        <f t="shared" si="688"/>
        <v>NG_SR_SML_C   →   C_GAS_STRG   →   LQ_TRUCK   →   H2_FC_DCHP_HEAT</v>
      </c>
      <c r="AA294" t="str">
        <f t="shared" si="689"/>
        <v>Building heat</v>
      </c>
      <c r="AB294" t="str">
        <f t="shared" si="690"/>
        <v>CO2 emissions</v>
      </c>
      <c r="AC294">
        <f t="shared" ca="1" si="691"/>
        <v>0.3515623531240169</v>
      </c>
      <c r="AD294">
        <v>235</v>
      </c>
      <c r="AE294" t="str">
        <f>IF(AND(ISNUMBER(SEARCH(O294,4)),ISNUMBER(SEARCH('(4) FCH pathway assessment'!$B$16,AB294)),ISNUMBER(SEARCH('(4) FCH pathway assessment'!$B$10,AA294))),AD294,"")</f>
        <v/>
      </c>
      <c r="AF294" t="str">
        <f t="shared" si="565"/>
        <v/>
      </c>
      <c r="AG294" t="str">
        <f>VLOOKUP(C294,Assumptions!$B$116:$C$162,2,FALSE)</f>
        <v>NG_SR_SML_C</v>
      </c>
      <c r="AH294" t="str">
        <f>VLOOKUP(D294,Assumptions!$B$116:$C$162,2,FALSE)</f>
        <v>C_GAS_STRG</v>
      </c>
      <c r="AI294" t="str">
        <f>VLOOKUP(E294,Assumptions!$B$116:$C$162,2,FALSE)</f>
        <v>LQ_TRUCK</v>
      </c>
      <c r="AJ294" t="str">
        <f>VLOOKUP(F294,Assumptions!$B$116:$C$162,2,FALSE)</f>
        <v>H2_FC_DCHP_HEAT</v>
      </c>
    </row>
    <row r="295" spans="2:36" x14ac:dyDescent="0.25">
      <c r="B295" t="s">
        <v>127</v>
      </c>
      <c r="C295" t="s">
        <v>58</v>
      </c>
      <c r="D295" t="s">
        <v>155</v>
      </c>
      <c r="E295" t="s">
        <v>66</v>
      </c>
      <c r="F295" t="s">
        <v>552</v>
      </c>
      <c r="G295" t="s">
        <v>132</v>
      </c>
      <c r="H295" t="s">
        <v>434</v>
      </c>
      <c r="I295" t="s">
        <v>32</v>
      </c>
      <c r="J295" t="s">
        <v>329</v>
      </c>
      <c r="K295">
        <f t="shared" si="678"/>
        <v>1</v>
      </c>
      <c r="L295">
        <f t="shared" si="679"/>
        <v>1</v>
      </c>
      <c r="M295">
        <f t="shared" si="680"/>
        <v>1</v>
      </c>
      <c r="N295">
        <f t="shared" si="681"/>
        <v>1</v>
      </c>
      <c r="O295">
        <f t="shared" si="682"/>
        <v>4</v>
      </c>
      <c r="P295" t="str">
        <f t="shared" si="683"/>
        <v>Small centralized natural gas steam reforming-CO2 emissions</v>
      </c>
      <c r="Q295" t="str">
        <f t="shared" si="684"/>
        <v>Central gas storage-CO2 emissions</v>
      </c>
      <c r="R295" t="str">
        <f t="shared" si="685"/>
        <v>Onsite-CO2 emissions</v>
      </c>
      <c r="S295" t="str">
        <f t="shared" si="686"/>
        <v>District-CHP with H2 fuel cell (heat)-CO2 emissions</v>
      </c>
      <c r="T295">
        <f ca="1">IF(timePeriod="2020-30",(VLOOKUP($P295,'TA database'!$I$8:$J$79,2,FALSE)/VLOOKUP($D295,'Merit calculation'!$B$48:$I$52,5,FALSE)/VLOOKUP($E295,'Merit calculation'!$B$67:$I$73,5,FALSE)/VLOOKUP($F295,'Merit calculation'!$B$90:$I$103,5,FALSE)/energyContentH2),(VLOOKUP($P295,'TA database'!$I$8:$J$79,2,FALSE)/VLOOKUP($D295,'Merit calculation'!$B$48:$I$52,7,FALSE)/VLOOKUP($E295,'Merit calculation'!$B$67:$I$73,7,FALSE)/VLOOKUP($F295,'Merit calculation'!$B$90:$I$103,7,FALSE)/energyContentH2))</f>
        <v>8.3691371285356239E-2</v>
      </c>
      <c r="U295">
        <v>0</v>
      </c>
      <c r="V295">
        <v>0</v>
      </c>
      <c r="W295">
        <f ca="1">IFERROR(VLOOKUP($S295,'TA database'!$I$146:$J$193,2,FALSE),0)</f>
        <v>0</v>
      </c>
      <c r="X295">
        <f>IFERROR(VLOOKUP($S295,'TA database'!$I$200:$J$271,2,FALSE),0)</f>
        <v>0</v>
      </c>
      <c r="Y295">
        <f t="shared" ca="1" si="687"/>
        <v>0.30128893662728246</v>
      </c>
      <c r="Z295" t="str">
        <f t="shared" si="688"/>
        <v>NG_SR_SML_C   →   C_GAS_STRG   →   ONSITE_USE   →   H2_FC_DCHP_HEAT</v>
      </c>
      <c r="AA295" t="str">
        <f t="shared" si="689"/>
        <v>Building heat</v>
      </c>
      <c r="AB295" t="str">
        <f t="shared" si="690"/>
        <v>CO2 emissions</v>
      </c>
      <c r="AC295">
        <f t="shared" ca="1" si="691"/>
        <v>0.30128893662728246</v>
      </c>
      <c r="AD295">
        <v>236</v>
      </c>
      <c r="AE295" t="str">
        <f>IF(AND(ISNUMBER(SEARCH(O295,4)),ISNUMBER(SEARCH('(4) FCH pathway assessment'!$B$16,AB295)),ISNUMBER(SEARCH('(4) FCH pathway assessment'!$B$10,AA295))),AD295,"")</f>
        <v/>
      </c>
      <c r="AF295" t="str">
        <f t="shared" si="565"/>
        <v/>
      </c>
      <c r="AG295" t="str">
        <f>VLOOKUP(C295,Assumptions!$B$116:$C$162,2,FALSE)</f>
        <v>NG_SR_SML_C</v>
      </c>
      <c r="AH295" t="str">
        <f>VLOOKUP(D295,Assumptions!$B$116:$C$162,2,FALSE)</f>
        <v>C_GAS_STRG</v>
      </c>
      <c r="AI295" t="str">
        <f>VLOOKUP(E295,Assumptions!$B$116:$C$162,2,FALSE)</f>
        <v>ONSITE_USE</v>
      </c>
      <c r="AJ295" t="str">
        <f>VLOOKUP(F295,Assumptions!$B$116:$C$162,2,FALSE)</f>
        <v>H2_FC_DCHP_HEAT</v>
      </c>
    </row>
    <row r="296" spans="2:36" x14ac:dyDescent="0.25">
      <c r="B296" t="s">
        <v>127</v>
      </c>
      <c r="C296" t="s">
        <v>59</v>
      </c>
      <c r="D296" s="60" t="s">
        <v>130</v>
      </c>
      <c r="E296" t="s">
        <v>66</v>
      </c>
      <c r="F296" t="s">
        <v>552</v>
      </c>
      <c r="G296" t="s">
        <v>132</v>
      </c>
      <c r="H296" t="s">
        <v>434</v>
      </c>
      <c r="I296" t="s">
        <v>32</v>
      </c>
      <c r="J296" t="s">
        <v>329</v>
      </c>
      <c r="K296">
        <f t="shared" ref="K296:K297" si="692">SUMPRODUCT(($C$7:$C$18=$C296)*($D$6:$H$6=$D296)*($D$7:$H$18))</f>
        <v>1</v>
      </c>
      <c r="L296">
        <f t="shared" ref="L296:L297" si="693">SUMPRODUCT(($C$19:$C$23=$D296)*($I$6:$O$6=$E296)*($I$19:$O$23))</f>
        <v>1</v>
      </c>
      <c r="M296">
        <f t="shared" ref="M296:M297" si="694">SUMPRODUCT(($C$24:$C$30=$E296)*($P$6:$AI$6=$F296)*($P$24:$AI$30))</f>
        <v>1</v>
      </c>
      <c r="N296">
        <f t="shared" ref="N296:N297" si="695">SUMPRODUCT(($C$31:$C$50=$F296)*($AJ$6:$AM$6=$G296)*($AJ$31:$AM$50))</f>
        <v>1</v>
      </c>
      <c r="O296">
        <f t="shared" ref="O296:O297" si="696">K296+L296+M296+N296</f>
        <v>4</v>
      </c>
      <c r="P296" t="str">
        <f t="shared" ref="P296:P297" si="697">CONCATENATE(C296,"-",J296)</f>
        <v>Medium decentralized natural gas steam reforming-CO2 emissions</v>
      </c>
      <c r="Q296" t="str">
        <f t="shared" ref="Q296:Q297" si="698">CONCATENATE(D296,"-",J296)</f>
        <v>Distributed gas storage-CO2 emissions</v>
      </c>
      <c r="R296" t="str">
        <f t="shared" ref="R296:R297" si="699">CONCATENATE(E296,"-",J296)</f>
        <v>Onsite-CO2 emissions</v>
      </c>
      <c r="S296" t="str">
        <f t="shared" ref="S296:S297" si="700">CONCATENATE(F296,"-",J296)</f>
        <v>District-CHP with H2 fuel cell (heat)-CO2 emissions</v>
      </c>
      <c r="T296">
        <f ca="1">IF(timePeriod="2020-30",(VLOOKUP($P296,'TA database'!$I$8:$J$79,2,FALSE)/VLOOKUP($D296,'Merit calculation'!$B$48:$I$52,5,FALSE)/VLOOKUP($E296,'Merit calculation'!$B$67:$I$73,5,FALSE)/VLOOKUP($F296,'Merit calculation'!$B$90:$I$103,5,FALSE)/energyContentH2),(VLOOKUP($P296,'TA database'!$I$8:$J$79,2,FALSE)/VLOOKUP($D296,'Merit calculation'!$B$48:$I$52,7,FALSE)/VLOOKUP($E296,'Merit calculation'!$B$67:$I$73,7,FALSE)/VLOOKUP($F296,'Merit calculation'!$B$90:$I$103,7,FALSE)/energyContentH2))</f>
        <v>8.7583993205605365E-2</v>
      </c>
      <c r="U296">
        <v>0</v>
      </c>
      <c r="V296">
        <v>0</v>
      </c>
      <c r="W296">
        <f ca="1">IFERROR(VLOOKUP($S296,'TA database'!$I$146:$J$193,2,FALSE),0)</f>
        <v>0</v>
      </c>
      <c r="X296">
        <f>IFERROR(VLOOKUP($S296,'TA database'!$I$200:$J$271,2,FALSE),0)</f>
        <v>0</v>
      </c>
      <c r="Y296">
        <f t="shared" ref="Y296:Y297" ca="1" si="701">IF($W296=0,T296*3.6+X296,T296+W296)</f>
        <v>0.31530237554017931</v>
      </c>
      <c r="Z296" t="str">
        <f t="shared" ref="Z296:Z297" si="702">CONCATENATE(AG296,"   →   ",AH296,"   →   ",AI296,"   →   ",AJ296)</f>
        <v>NG_SR_MED_D   →   D_GAS_STRG   →   ONSITE_USE   →   H2_FC_DCHP_HEAT</v>
      </c>
      <c r="AA296" t="str">
        <f t="shared" ref="AA296:AA297" si="703">G296</f>
        <v>Building heat</v>
      </c>
      <c r="AB296" t="str">
        <f t="shared" ref="AB296:AB297" si="704">J296</f>
        <v>CO2 emissions</v>
      </c>
      <c r="AC296">
        <f t="shared" ref="AC296:AC297" ca="1" si="705">Y296</f>
        <v>0.31530237554017931</v>
      </c>
      <c r="AD296">
        <v>237</v>
      </c>
      <c r="AE296" t="str">
        <f>IF(AND(ISNUMBER(SEARCH(O296,4)),ISNUMBER(SEARCH('(4) FCH pathway assessment'!$B$16,AB296)),ISNUMBER(SEARCH('(4) FCH pathway assessment'!$B$10,AA296))),AD296,"")</f>
        <v/>
      </c>
      <c r="AF296" t="str">
        <f t="shared" si="565"/>
        <v/>
      </c>
      <c r="AG296" t="str">
        <f>VLOOKUP(C296,Assumptions!$B$116:$C$162,2,FALSE)</f>
        <v>NG_SR_MED_D</v>
      </c>
      <c r="AH296" t="str">
        <f>VLOOKUP(D296,Assumptions!$B$116:$C$162,2,FALSE)</f>
        <v>D_GAS_STRG</v>
      </c>
      <c r="AI296" t="str">
        <f>VLOOKUP(E296,Assumptions!$B$116:$C$162,2,FALSE)</f>
        <v>ONSITE_USE</v>
      </c>
      <c r="AJ296" t="str">
        <f>VLOOKUP(F296,Assumptions!$B$116:$C$162,2,FALSE)</f>
        <v>H2_FC_DCHP_HEAT</v>
      </c>
    </row>
    <row r="297" spans="2:36" x14ac:dyDescent="0.25">
      <c r="B297" t="s">
        <v>127</v>
      </c>
      <c r="C297" t="s">
        <v>60</v>
      </c>
      <c r="D297" s="60" t="s">
        <v>130</v>
      </c>
      <c r="E297" t="s">
        <v>66</v>
      </c>
      <c r="F297" t="s">
        <v>552</v>
      </c>
      <c r="G297" t="s">
        <v>132</v>
      </c>
      <c r="H297" t="s">
        <v>434</v>
      </c>
      <c r="I297" t="s">
        <v>32</v>
      </c>
      <c r="J297" t="s">
        <v>329</v>
      </c>
      <c r="K297">
        <f t="shared" si="692"/>
        <v>1</v>
      </c>
      <c r="L297">
        <f t="shared" si="693"/>
        <v>1</v>
      </c>
      <c r="M297">
        <f t="shared" si="694"/>
        <v>1</v>
      </c>
      <c r="N297">
        <f t="shared" si="695"/>
        <v>1</v>
      </c>
      <c r="O297">
        <f t="shared" si="696"/>
        <v>4</v>
      </c>
      <c r="P297" t="str">
        <f t="shared" si="697"/>
        <v>Small decentralized natural gas steam reforming-CO2 emissions</v>
      </c>
      <c r="Q297" t="str">
        <f t="shared" si="698"/>
        <v>Distributed gas storage-CO2 emissions</v>
      </c>
      <c r="R297" t="str">
        <f t="shared" si="699"/>
        <v>Onsite-CO2 emissions</v>
      </c>
      <c r="S297" t="str">
        <f t="shared" si="700"/>
        <v>District-CHP with H2 fuel cell (heat)-CO2 emissions</v>
      </c>
      <c r="T297">
        <f ca="1">IF(timePeriod="2020-30",(VLOOKUP($P297,'TA database'!$I$8:$J$79,2,FALSE)/VLOOKUP($D297,'Merit calculation'!$B$48:$I$52,5,FALSE)/VLOOKUP($E297,'Merit calculation'!$B$67:$I$73,5,FALSE)/VLOOKUP($F297,'Merit calculation'!$B$90:$I$103,5,FALSE)/energyContentH2),(VLOOKUP($P297,'TA database'!$I$8:$J$79,2,FALSE)/VLOOKUP($D297,'Merit calculation'!$B$48:$I$52,7,FALSE)/VLOOKUP($E297,'Merit calculation'!$B$67:$I$73,7,FALSE)/VLOOKUP($F297,'Merit calculation'!$B$90:$I$103,7,FALSE)/energyContentH2))</f>
        <v>8.3691371285356239E-2</v>
      </c>
      <c r="U297">
        <v>0</v>
      </c>
      <c r="V297">
        <v>0</v>
      </c>
      <c r="W297">
        <f ca="1">IFERROR(VLOOKUP($S297,'TA database'!$I$146:$J$193,2,FALSE),0)</f>
        <v>0</v>
      </c>
      <c r="X297">
        <f>IFERROR(VLOOKUP($S297,'TA database'!$I$200:$J$271,2,FALSE),0)</f>
        <v>0</v>
      </c>
      <c r="Y297">
        <f t="shared" ca="1" si="701"/>
        <v>0.30128893662728246</v>
      </c>
      <c r="Z297" t="str">
        <f t="shared" si="702"/>
        <v>NG_SR_SML_D   →   D_GAS_STRG   →   ONSITE_USE   →   H2_FC_DCHP_HEAT</v>
      </c>
      <c r="AA297" t="str">
        <f t="shared" si="703"/>
        <v>Building heat</v>
      </c>
      <c r="AB297" t="str">
        <f t="shared" si="704"/>
        <v>CO2 emissions</v>
      </c>
      <c r="AC297">
        <f t="shared" ca="1" si="705"/>
        <v>0.30128893662728246</v>
      </c>
      <c r="AD297">
        <v>238</v>
      </c>
      <c r="AE297" t="str">
        <f>IF(AND(ISNUMBER(SEARCH(O297,4)),ISNUMBER(SEARCH('(4) FCH pathway assessment'!$B$16,AB297)),ISNUMBER(SEARCH('(4) FCH pathway assessment'!$B$10,AA297))),AD297,"")</f>
        <v/>
      </c>
      <c r="AF297" t="str">
        <f t="shared" si="565"/>
        <v/>
      </c>
      <c r="AG297" t="str">
        <f>VLOOKUP(C297,Assumptions!$B$116:$C$162,2,FALSE)</f>
        <v>NG_SR_SML_D</v>
      </c>
      <c r="AH297" t="str">
        <f>VLOOKUP(D297,Assumptions!$B$116:$C$162,2,FALSE)</f>
        <v>D_GAS_STRG</v>
      </c>
      <c r="AI297" t="str">
        <f>VLOOKUP(E297,Assumptions!$B$116:$C$162,2,FALSE)</f>
        <v>ONSITE_USE</v>
      </c>
      <c r="AJ297" t="str">
        <f>VLOOKUP(F297,Assumptions!$B$116:$C$162,2,FALSE)</f>
        <v>H2_FC_DCHP_HEAT</v>
      </c>
    </row>
    <row r="298" spans="2:36" x14ac:dyDescent="0.25">
      <c r="B298" t="s">
        <v>117</v>
      </c>
      <c r="C298" t="s">
        <v>53</v>
      </c>
      <c r="D298" t="s">
        <v>155</v>
      </c>
      <c r="E298" t="s">
        <v>157</v>
      </c>
      <c r="F298" t="s">
        <v>543</v>
      </c>
      <c r="G298" t="s">
        <v>132</v>
      </c>
      <c r="H298" t="s">
        <v>434</v>
      </c>
      <c r="I298" t="s">
        <v>32</v>
      </c>
      <c r="J298" t="s">
        <v>329</v>
      </c>
      <c r="K298">
        <f t="shared" ref="K298:K301" si="706">SUMPRODUCT(($C$7:$C$18=$C298)*($D$6:$H$6=$D298)*($D$7:$H$18))</f>
        <v>0</v>
      </c>
      <c r="L298">
        <f t="shared" ref="L298:L301" si="707">SUMPRODUCT(($C$19:$C$23=$D298)*($I$6:$O$6=$E298)*($I$19:$O$23))</f>
        <v>1</v>
      </c>
      <c r="M298">
        <f t="shared" ref="M298:M301" si="708">SUMPRODUCT(($C$24:$C$30=$E298)*($P$6:$AI$6=$F298)*($P$24:$AI$30))</f>
        <v>0</v>
      </c>
      <c r="N298">
        <f t="shared" ref="N298:N301" si="709">SUMPRODUCT(($C$31:$C$50=$F298)*($AJ$6:$AM$6=$G298)*($AJ$31:$AM$50))</f>
        <v>0</v>
      </c>
      <c r="O298">
        <f t="shared" ref="O298:O301" si="710">K298+L298+M298+N298</f>
        <v>1</v>
      </c>
      <c r="P298" t="str">
        <f t="shared" ref="P298:P301" si="711">CONCATENATE(C298,"-",J298)</f>
        <v>Medium centralized biomass gasification-CO2 emissions</v>
      </c>
      <c r="Q298" t="str">
        <f t="shared" ref="Q298:Q301" si="712">CONCATENATE(D298,"-",J298)</f>
        <v>Central gas storage-CO2 emissions</v>
      </c>
      <c r="R298" t="str">
        <f t="shared" ref="R298:R301" si="713">CONCATENATE(E298,"-",J298)</f>
        <v>Blending in natural gas pipeline-CO2 emissions</v>
      </c>
      <c r="S298" t="str">
        <f t="shared" ref="S298:S301" si="714">CONCATENATE(F298,"-",J298)</f>
        <v>Micro-CHP with H2 fuel cell (heat)-CO2 emissions</v>
      </c>
      <c r="T298">
        <f ca="1">IF(timePeriod="2020-30",(VLOOKUP($P298,'TA database'!$I$8:$J$79,2,FALSE)/VLOOKUP($D298,'Merit calculation'!$B$48:$I$52,5,FALSE)/VLOOKUP($E298,'Merit calculation'!$B$67:$I$73,5,FALSE)/VLOOKUP($F298,'Merit calculation'!$B$90:$I$103,5,FALSE)/energyContentH2),(VLOOKUP($P298,'TA database'!$I$8:$J$79,2,FALSE)/VLOOKUP($D298,'Merit calculation'!$B$48:$I$52,7,FALSE)/VLOOKUP($E298,'Merit calculation'!$B$67:$I$73,7,FALSE)/VLOOKUP($F298,'Merit calculation'!$B$90:$I$103,7,FALSE)/energyContentH2))</f>
        <v>0</v>
      </c>
      <c r="U298">
        <v>0</v>
      </c>
      <c r="V298">
        <v>0</v>
      </c>
      <c r="W298">
        <f ca="1">IFERROR(VLOOKUP($S298,'TA database'!$I$146:$J$193,2,FALSE),0)</f>
        <v>0</v>
      </c>
      <c r="X298">
        <f>IFERROR(VLOOKUP($S298,'TA database'!$I$200:$J$271,2,FALSE),0)</f>
        <v>0</v>
      </c>
      <c r="Y298">
        <f t="shared" ref="Y298:Y301" ca="1" si="715">IF($W298=0,T298*3.6+X298,T298+W298)</f>
        <v>0</v>
      </c>
      <c r="Z298" t="str">
        <f t="shared" ref="Z298:Z301" si="716">CONCATENATE(AG298,"   →   ",AH298,"   →   ",AI298,"   →   ",AJ298)</f>
        <v>BIO_GSF_MED_C   →   C_GAS_STRG   →   H2_BLND_NG_P   →   H2_FC_mCHP_HEAT</v>
      </c>
      <c r="AA298" t="str">
        <f t="shared" ref="AA298:AA301" si="717">G298</f>
        <v>Building heat</v>
      </c>
      <c r="AB298" t="str">
        <f t="shared" ref="AB298:AB301" si="718">J298</f>
        <v>CO2 emissions</v>
      </c>
      <c r="AC298">
        <f t="shared" ref="AC298:AC301" ca="1" si="719">Y298</f>
        <v>0</v>
      </c>
      <c r="AD298">
        <v>239</v>
      </c>
      <c r="AE298" t="str">
        <f>IF(AND(ISNUMBER(SEARCH(O298,4)),ISNUMBER(SEARCH('(4) FCH pathway assessment'!$B$16,AB298)),ISNUMBER(SEARCH('(4) FCH pathway assessment'!$B$10,AA298))),AD298,"")</f>
        <v/>
      </c>
      <c r="AF298" t="str">
        <f t="shared" si="565"/>
        <v/>
      </c>
      <c r="AG298" t="str">
        <f>VLOOKUP(C298,Assumptions!$B$116:$C$162,2,FALSE)</f>
        <v>BIO_GSF_MED_C</v>
      </c>
      <c r="AH298" t="str">
        <f>VLOOKUP(D298,Assumptions!$B$116:$C$162,2,FALSE)</f>
        <v>C_GAS_STRG</v>
      </c>
      <c r="AI298" t="str">
        <f>VLOOKUP(E298,Assumptions!$B$116:$C$162,2,FALSE)</f>
        <v>H2_BLND_NG_P</v>
      </c>
      <c r="AJ298" t="str">
        <f>VLOOKUP(F298,Assumptions!$B$116:$C$162,2,FALSE)</f>
        <v>H2_FC_mCHP_HEAT</v>
      </c>
    </row>
    <row r="299" spans="2:36" x14ac:dyDescent="0.25">
      <c r="B299" t="s">
        <v>117</v>
      </c>
      <c r="C299" t="s">
        <v>53</v>
      </c>
      <c r="D299" t="s">
        <v>155</v>
      </c>
      <c r="E299" t="s">
        <v>122</v>
      </c>
      <c r="F299" t="s">
        <v>543</v>
      </c>
      <c r="G299" t="s">
        <v>132</v>
      </c>
      <c r="H299" t="s">
        <v>434</v>
      </c>
      <c r="I299" t="s">
        <v>32</v>
      </c>
      <c r="J299" t="s">
        <v>329</v>
      </c>
      <c r="K299">
        <f t="shared" si="706"/>
        <v>0</v>
      </c>
      <c r="L299">
        <f t="shared" si="707"/>
        <v>1</v>
      </c>
      <c r="M299">
        <f t="shared" si="708"/>
        <v>1</v>
      </c>
      <c r="N299">
        <f t="shared" si="709"/>
        <v>0</v>
      </c>
      <c r="O299">
        <f t="shared" si="710"/>
        <v>2</v>
      </c>
      <c r="P299" t="str">
        <f t="shared" si="711"/>
        <v>Medium centralized biomass gasification-CO2 emissions</v>
      </c>
      <c r="Q299" t="str">
        <f t="shared" si="712"/>
        <v>Central gas storage-CO2 emissions</v>
      </c>
      <c r="R299" t="str">
        <f t="shared" si="713"/>
        <v>Hydrogen transmission &amp; distribution pipeline-CO2 emissions</v>
      </c>
      <c r="S299" t="str">
        <f t="shared" si="714"/>
        <v>Micro-CHP with H2 fuel cell (heat)-CO2 emissions</v>
      </c>
      <c r="T299">
        <f ca="1">IF(timePeriod="2020-30",(VLOOKUP($P299,'TA database'!$I$8:$J$79,2,FALSE)/VLOOKUP($D299,'Merit calculation'!$B$48:$I$52,5,FALSE)/VLOOKUP($E299,'Merit calculation'!$B$67:$I$73,5,FALSE)/VLOOKUP($F299,'Merit calculation'!$B$90:$I$103,5,FALSE)/energyContentH2),(VLOOKUP($P299,'TA database'!$I$8:$J$79,2,FALSE)/VLOOKUP($D299,'Merit calculation'!$B$48:$I$52,7,FALSE)/VLOOKUP($E299,'Merit calculation'!$B$67:$I$73,7,FALSE)/VLOOKUP($F299,'Merit calculation'!$B$90:$I$103,7,FALSE)/energyContentH2))</f>
        <v>0</v>
      </c>
      <c r="U299">
        <v>0</v>
      </c>
      <c r="V299">
        <v>0</v>
      </c>
      <c r="W299">
        <f ca="1">IFERROR(VLOOKUP($S299,'TA database'!$I$146:$J$193,2,FALSE),0)</f>
        <v>0</v>
      </c>
      <c r="X299">
        <f>IFERROR(VLOOKUP($S299,'TA database'!$I$200:$J$271,2,FALSE),0)</f>
        <v>0</v>
      </c>
      <c r="Y299">
        <f t="shared" ca="1" si="715"/>
        <v>0</v>
      </c>
      <c r="Z299" t="str">
        <f t="shared" si="716"/>
        <v>BIO_GSF_MED_C   →   C_GAS_STRG   →   H2_T&amp;D_P   →   H2_FC_mCHP_HEAT</v>
      </c>
      <c r="AA299" t="str">
        <f t="shared" si="717"/>
        <v>Building heat</v>
      </c>
      <c r="AB299" t="str">
        <f t="shared" si="718"/>
        <v>CO2 emissions</v>
      </c>
      <c r="AC299">
        <f t="shared" ca="1" si="719"/>
        <v>0</v>
      </c>
      <c r="AD299">
        <v>240</v>
      </c>
      <c r="AE299" t="str">
        <f>IF(AND(ISNUMBER(SEARCH(O299,4)),ISNUMBER(SEARCH('(4) FCH pathway assessment'!$B$16,AB299)),ISNUMBER(SEARCH('(4) FCH pathway assessment'!$B$10,AA299))),AD299,"")</f>
        <v/>
      </c>
      <c r="AF299" t="str">
        <f t="shared" si="565"/>
        <v/>
      </c>
      <c r="AG299" t="str">
        <f>VLOOKUP(C299,Assumptions!$B$116:$C$162,2,FALSE)</f>
        <v>BIO_GSF_MED_C</v>
      </c>
      <c r="AH299" t="str">
        <f>VLOOKUP(D299,Assumptions!$B$116:$C$162,2,FALSE)</f>
        <v>C_GAS_STRG</v>
      </c>
      <c r="AI299" t="str">
        <f>VLOOKUP(E299,Assumptions!$B$116:$C$162,2,FALSE)</f>
        <v>H2_T&amp;D_P</v>
      </c>
      <c r="AJ299" t="str">
        <f>VLOOKUP(F299,Assumptions!$B$116:$C$162,2,FALSE)</f>
        <v>H2_FC_mCHP_HEAT</v>
      </c>
    </row>
    <row r="300" spans="2:36" x14ac:dyDescent="0.25">
      <c r="B300" t="s">
        <v>117</v>
      </c>
      <c r="C300" t="s">
        <v>54</v>
      </c>
      <c r="D300" t="s">
        <v>155</v>
      </c>
      <c r="E300" t="s">
        <v>157</v>
      </c>
      <c r="F300" t="s">
        <v>543</v>
      </c>
      <c r="G300" t="s">
        <v>132</v>
      </c>
      <c r="H300" t="s">
        <v>434</v>
      </c>
      <c r="I300" t="s">
        <v>32</v>
      </c>
      <c r="J300" t="s">
        <v>329</v>
      </c>
      <c r="K300">
        <f t="shared" si="706"/>
        <v>0</v>
      </c>
      <c r="L300">
        <f t="shared" si="707"/>
        <v>1</v>
      </c>
      <c r="M300">
        <f t="shared" si="708"/>
        <v>0</v>
      </c>
      <c r="N300">
        <f t="shared" si="709"/>
        <v>0</v>
      </c>
      <c r="O300">
        <f t="shared" si="710"/>
        <v>1</v>
      </c>
      <c r="P300" t="str">
        <f t="shared" si="711"/>
        <v>Medium centralized biomass gasification w/ CCS-CO2 emissions</v>
      </c>
      <c r="Q300" t="str">
        <f t="shared" si="712"/>
        <v>Central gas storage-CO2 emissions</v>
      </c>
      <c r="R300" t="str">
        <f t="shared" si="713"/>
        <v>Blending in natural gas pipeline-CO2 emissions</v>
      </c>
      <c r="S300" t="str">
        <f t="shared" si="714"/>
        <v>Micro-CHP with H2 fuel cell (heat)-CO2 emissions</v>
      </c>
      <c r="T300">
        <f ca="1">IF(timePeriod="2020-30",(VLOOKUP($P300,'TA database'!$I$8:$J$79,2,FALSE)/VLOOKUP($D300,'Merit calculation'!$B$48:$I$52,5,FALSE)/VLOOKUP($E300,'Merit calculation'!$B$67:$I$73,5,FALSE)/VLOOKUP($F300,'Merit calculation'!$B$90:$I$103,5,FALSE)/energyContentH2),(VLOOKUP($P300,'TA database'!$I$8:$J$79,2,FALSE)/VLOOKUP($D300,'Merit calculation'!$B$48:$I$52,7,FALSE)/VLOOKUP($E300,'Merit calculation'!$B$67:$I$73,7,FALSE)/VLOOKUP($F300,'Merit calculation'!$B$90:$I$103,7,FALSE)/energyContentH2))</f>
        <v>-0.13268978786220165</v>
      </c>
      <c r="U300">
        <v>0</v>
      </c>
      <c r="V300">
        <v>0</v>
      </c>
      <c r="W300">
        <f ca="1">IFERROR(VLOOKUP($S300,'TA database'!$I$146:$J$193,2,FALSE),0)</f>
        <v>0</v>
      </c>
      <c r="X300">
        <f>IFERROR(VLOOKUP($S300,'TA database'!$I$200:$J$271,2,FALSE),0)</f>
        <v>0</v>
      </c>
      <c r="Y300">
        <f t="shared" ca="1" si="715"/>
        <v>-0.47768323630392595</v>
      </c>
      <c r="Z300" t="str">
        <f t="shared" si="716"/>
        <v>BIO_GSF_CCS_MED_C   →   C_GAS_STRG   →   H2_BLND_NG_P   →   H2_FC_mCHP_HEAT</v>
      </c>
      <c r="AA300" t="str">
        <f t="shared" si="717"/>
        <v>Building heat</v>
      </c>
      <c r="AB300" t="str">
        <f t="shared" si="718"/>
        <v>CO2 emissions</v>
      </c>
      <c r="AC300">
        <f t="shared" ca="1" si="719"/>
        <v>-0.47768323630392595</v>
      </c>
      <c r="AD300">
        <v>241</v>
      </c>
      <c r="AE300" t="str">
        <f>IF(AND(ISNUMBER(SEARCH(O300,4)),ISNUMBER(SEARCH('(4) FCH pathway assessment'!$B$16,AB300)),ISNUMBER(SEARCH('(4) FCH pathway assessment'!$B$10,AA300))),AD300,"")</f>
        <v/>
      </c>
      <c r="AF300" t="str">
        <f t="shared" si="565"/>
        <v/>
      </c>
      <c r="AG300" t="str">
        <f>VLOOKUP(C300,Assumptions!$B$116:$C$162,2,FALSE)</f>
        <v>BIO_GSF_CCS_MED_C</v>
      </c>
      <c r="AH300" t="str">
        <f>VLOOKUP(D300,Assumptions!$B$116:$C$162,2,FALSE)</f>
        <v>C_GAS_STRG</v>
      </c>
      <c r="AI300" t="str">
        <f>VLOOKUP(E300,Assumptions!$B$116:$C$162,2,FALSE)</f>
        <v>H2_BLND_NG_P</v>
      </c>
      <c r="AJ300" t="str">
        <f>VLOOKUP(F300,Assumptions!$B$116:$C$162,2,FALSE)</f>
        <v>H2_FC_mCHP_HEAT</v>
      </c>
    </row>
    <row r="301" spans="2:36" x14ac:dyDescent="0.25">
      <c r="B301" t="s">
        <v>117</v>
      </c>
      <c r="C301" t="s">
        <v>54</v>
      </c>
      <c r="D301" t="s">
        <v>155</v>
      </c>
      <c r="E301" t="s">
        <v>122</v>
      </c>
      <c r="F301" t="s">
        <v>543</v>
      </c>
      <c r="G301" t="s">
        <v>132</v>
      </c>
      <c r="H301" t="s">
        <v>434</v>
      </c>
      <c r="I301" t="s">
        <v>32</v>
      </c>
      <c r="J301" t="s">
        <v>329</v>
      </c>
      <c r="K301">
        <f t="shared" si="706"/>
        <v>0</v>
      </c>
      <c r="L301">
        <f t="shared" si="707"/>
        <v>1</v>
      </c>
      <c r="M301">
        <f t="shared" si="708"/>
        <v>1</v>
      </c>
      <c r="N301">
        <f t="shared" si="709"/>
        <v>0</v>
      </c>
      <c r="O301">
        <f t="shared" si="710"/>
        <v>2</v>
      </c>
      <c r="P301" t="str">
        <f t="shared" si="711"/>
        <v>Medium centralized biomass gasification w/ CCS-CO2 emissions</v>
      </c>
      <c r="Q301" t="str">
        <f t="shared" si="712"/>
        <v>Central gas storage-CO2 emissions</v>
      </c>
      <c r="R301" t="str">
        <f t="shared" si="713"/>
        <v>Hydrogen transmission &amp; distribution pipeline-CO2 emissions</v>
      </c>
      <c r="S301" t="str">
        <f t="shared" si="714"/>
        <v>Micro-CHP with H2 fuel cell (heat)-CO2 emissions</v>
      </c>
      <c r="T301">
        <f ca="1">IF(timePeriod="2020-30",(VLOOKUP($P301,'TA database'!$I$8:$J$79,2,FALSE)/VLOOKUP($D301,'Merit calculation'!$B$48:$I$52,5,FALSE)/VLOOKUP($E301,'Merit calculation'!$B$67:$I$73,5,FALSE)/VLOOKUP($F301,'Merit calculation'!$B$90:$I$103,5,FALSE)/energyContentH2),(VLOOKUP($P301,'TA database'!$I$8:$J$79,2,FALSE)/VLOOKUP($D301,'Merit calculation'!$B$48:$I$52,7,FALSE)/VLOOKUP($E301,'Merit calculation'!$B$67:$I$73,7,FALSE)/VLOOKUP($F301,'Merit calculation'!$B$90:$I$103,7,FALSE)/energyContentH2))</f>
        <v>-0.13268978786220165</v>
      </c>
      <c r="U301">
        <v>0</v>
      </c>
      <c r="V301">
        <v>0</v>
      </c>
      <c r="W301">
        <f ca="1">IFERROR(VLOOKUP($S301,'TA database'!$I$146:$J$193,2,FALSE),0)</f>
        <v>0</v>
      </c>
      <c r="X301">
        <f>IFERROR(VLOOKUP($S301,'TA database'!$I$200:$J$271,2,FALSE),0)</f>
        <v>0</v>
      </c>
      <c r="Y301">
        <f t="shared" ca="1" si="715"/>
        <v>-0.47768323630392595</v>
      </c>
      <c r="Z301" t="str">
        <f t="shared" si="716"/>
        <v>BIO_GSF_CCS_MED_C   →   C_GAS_STRG   →   H2_T&amp;D_P   →   H2_FC_mCHP_HEAT</v>
      </c>
      <c r="AA301" t="str">
        <f t="shared" si="717"/>
        <v>Building heat</v>
      </c>
      <c r="AB301" t="str">
        <f t="shared" si="718"/>
        <v>CO2 emissions</v>
      </c>
      <c r="AC301">
        <f t="shared" ca="1" si="719"/>
        <v>-0.47768323630392595</v>
      </c>
      <c r="AD301">
        <v>242</v>
      </c>
      <c r="AE301" t="str">
        <f>IF(AND(ISNUMBER(SEARCH(O301,4)),ISNUMBER(SEARCH('(4) FCH pathway assessment'!$B$16,AB301)),ISNUMBER(SEARCH('(4) FCH pathway assessment'!$B$10,AA301))),AD301,"")</f>
        <v/>
      </c>
      <c r="AF301" t="str">
        <f t="shared" si="565"/>
        <v/>
      </c>
      <c r="AG301" t="str">
        <f>VLOOKUP(C301,Assumptions!$B$116:$C$162,2,FALSE)</f>
        <v>BIO_GSF_CCS_MED_C</v>
      </c>
      <c r="AH301" t="str">
        <f>VLOOKUP(D301,Assumptions!$B$116:$C$162,2,FALSE)</f>
        <v>C_GAS_STRG</v>
      </c>
      <c r="AI301" t="str">
        <f>VLOOKUP(E301,Assumptions!$B$116:$C$162,2,FALSE)</f>
        <v>H2_T&amp;D_P</v>
      </c>
      <c r="AJ301" t="str">
        <f>VLOOKUP(F301,Assumptions!$B$116:$C$162,2,FALSE)</f>
        <v>H2_FC_mCHP_HEAT</v>
      </c>
    </row>
    <row r="302" spans="2:36" x14ac:dyDescent="0.25">
      <c r="B302" t="s">
        <v>117</v>
      </c>
      <c r="C302" t="s">
        <v>55</v>
      </c>
      <c r="D302" s="60" t="s">
        <v>130</v>
      </c>
      <c r="E302" t="s">
        <v>128</v>
      </c>
      <c r="F302" t="s">
        <v>543</v>
      </c>
      <c r="G302" t="s">
        <v>132</v>
      </c>
      <c r="H302" t="s">
        <v>434</v>
      </c>
      <c r="I302" t="s">
        <v>32</v>
      </c>
      <c r="J302" t="s">
        <v>329</v>
      </c>
      <c r="K302">
        <f t="shared" ref="K302:K304" si="720">SUMPRODUCT(($C$7:$C$18=$C302)*($D$6:$H$6=$D302)*($D$7:$H$18))</f>
        <v>0</v>
      </c>
      <c r="L302">
        <f t="shared" ref="L302:L304" si="721">SUMPRODUCT(($C$19:$C$23=$D302)*($I$6:$O$6=$E302)*($I$19:$O$23))</f>
        <v>1</v>
      </c>
      <c r="M302">
        <f t="shared" ref="M302:M304" si="722">SUMPRODUCT(($C$24:$C$30=$E302)*($P$6:$AI$6=$F302)*($P$24:$AI$30))</f>
        <v>1</v>
      </c>
      <c r="N302">
        <f t="shared" ref="N302:N304" si="723">SUMPRODUCT(($C$31:$C$50=$F302)*($AJ$6:$AM$6=$G302)*($AJ$31:$AM$50))</f>
        <v>0</v>
      </c>
      <c r="O302">
        <f t="shared" ref="O302:O304" si="724">K302+L302+M302+N302</f>
        <v>2</v>
      </c>
      <c r="P302" t="str">
        <f t="shared" ref="P302:P304" si="725">CONCATENATE(C302,"-",J302)</f>
        <v>Small decentralized biomass gasification-CO2 emissions</v>
      </c>
      <c r="Q302" t="str">
        <f t="shared" ref="Q302:Q304" si="726">CONCATENATE(D302,"-",J302)</f>
        <v>Distributed gas storage-CO2 emissions</v>
      </c>
      <c r="R302" t="str">
        <f t="shared" ref="R302:R304" si="727">CONCATENATE(E302,"-",J302)</f>
        <v>Hydrogen distribution pipeline-CO2 emissions</v>
      </c>
      <c r="S302" t="str">
        <f t="shared" ref="S302:S304" si="728">CONCATENATE(F302,"-",J302)</f>
        <v>Micro-CHP with H2 fuel cell (heat)-CO2 emissions</v>
      </c>
      <c r="T302">
        <f ca="1">IF(timePeriod="2020-30",(VLOOKUP($P302,'TA database'!$I$8:$J$79,2,FALSE)/VLOOKUP($D302,'Merit calculation'!$B$48:$I$52,5,FALSE)/VLOOKUP($E302,'Merit calculation'!$B$67:$I$73,5,FALSE)/VLOOKUP($F302,'Merit calculation'!$B$90:$I$103,5,FALSE)/energyContentH2),(VLOOKUP($P302,'TA database'!$I$8:$J$79,2,FALSE)/VLOOKUP($D302,'Merit calculation'!$B$48:$I$52,7,FALSE)/VLOOKUP($E302,'Merit calculation'!$B$67:$I$73,7,FALSE)/VLOOKUP($F302,'Merit calculation'!$B$90:$I$103,7,FALSE)/energyContentH2))</f>
        <v>0</v>
      </c>
      <c r="U302">
        <v>0</v>
      </c>
      <c r="V302">
        <v>0</v>
      </c>
      <c r="W302">
        <f ca="1">IFERROR(VLOOKUP($S302,'TA database'!$I$146:$J$193,2,FALSE),0)</f>
        <v>0</v>
      </c>
      <c r="X302">
        <f>IFERROR(VLOOKUP($S302,'TA database'!$I$200:$J$271,2,FALSE),0)</f>
        <v>0</v>
      </c>
      <c r="Y302">
        <f t="shared" ref="Y302:Y304" ca="1" si="729">IF($W302=0,T302*3.6+X302,T302+W302)</f>
        <v>0</v>
      </c>
      <c r="Z302" t="str">
        <f t="shared" ref="Z302:Z304" si="730">CONCATENATE(AG302,"   →   ",AH302,"   →   ",AI302,"   →   ",AJ302)</f>
        <v>BIO_GSF_SML_D   →   D_GAS_STRG   →   H2_DSTRB_P   →   H2_FC_mCHP_HEAT</v>
      </c>
      <c r="AA302" t="str">
        <f t="shared" ref="AA302:AA304" si="731">G302</f>
        <v>Building heat</v>
      </c>
      <c r="AB302" t="str">
        <f t="shared" ref="AB302:AB304" si="732">J302</f>
        <v>CO2 emissions</v>
      </c>
      <c r="AC302">
        <f t="shared" ref="AC302:AC304" ca="1" si="733">Y302</f>
        <v>0</v>
      </c>
      <c r="AD302">
        <v>243</v>
      </c>
      <c r="AE302" t="str">
        <f>IF(AND(ISNUMBER(SEARCH(O302,4)),ISNUMBER(SEARCH('(4) FCH pathway assessment'!$B$16,AB302)),ISNUMBER(SEARCH('(4) FCH pathway assessment'!$B$10,AA302))),AD302,"")</f>
        <v/>
      </c>
      <c r="AF302" t="str">
        <f t="shared" si="565"/>
        <v/>
      </c>
      <c r="AG302" t="str">
        <f>VLOOKUP(C302,Assumptions!$B$116:$C$162,2,FALSE)</f>
        <v>BIO_GSF_SML_D</v>
      </c>
      <c r="AH302" t="str">
        <f>VLOOKUP(D302,Assumptions!$B$116:$C$162,2,FALSE)</f>
        <v>D_GAS_STRG</v>
      </c>
      <c r="AI302" t="str">
        <f>VLOOKUP(E302,Assumptions!$B$116:$C$162,2,FALSE)</f>
        <v>H2_DSTRB_P</v>
      </c>
      <c r="AJ302" t="str">
        <f>VLOOKUP(F302,Assumptions!$B$116:$C$162,2,FALSE)</f>
        <v>H2_FC_mCHP_HEAT</v>
      </c>
    </row>
    <row r="303" spans="2:36" x14ac:dyDescent="0.25">
      <c r="B303" t="s">
        <v>117</v>
      </c>
      <c r="C303" t="s">
        <v>56</v>
      </c>
      <c r="D303" t="s">
        <v>62</v>
      </c>
      <c r="E303" t="s">
        <v>157</v>
      </c>
      <c r="F303" t="s">
        <v>543</v>
      </c>
      <c r="G303" t="s">
        <v>132</v>
      </c>
      <c r="H303" t="s">
        <v>434</v>
      </c>
      <c r="I303" t="s">
        <v>32</v>
      </c>
      <c r="J303" t="s">
        <v>329</v>
      </c>
      <c r="K303">
        <f t="shared" si="720"/>
        <v>0</v>
      </c>
      <c r="L303">
        <f t="shared" si="721"/>
        <v>0</v>
      </c>
      <c r="M303">
        <f t="shared" si="722"/>
        <v>0</v>
      </c>
      <c r="N303">
        <f t="shared" si="723"/>
        <v>0</v>
      </c>
      <c r="O303">
        <f t="shared" si="724"/>
        <v>0</v>
      </c>
      <c r="P303" t="str">
        <f t="shared" si="725"/>
        <v>Large centralized biomass steam reforming -CO2 emissions</v>
      </c>
      <c r="Q303" t="str">
        <f t="shared" si="726"/>
        <v>Underground storage-CO2 emissions</v>
      </c>
      <c r="R303" t="str">
        <f t="shared" si="727"/>
        <v>Blending in natural gas pipeline-CO2 emissions</v>
      </c>
      <c r="S303" t="str">
        <f t="shared" si="728"/>
        <v>Micro-CHP with H2 fuel cell (heat)-CO2 emissions</v>
      </c>
      <c r="T303">
        <f ca="1">IF(timePeriod="2020-30",(VLOOKUP($P303,'TA database'!$I$8:$J$79,2,FALSE)/VLOOKUP($D303,'Merit calculation'!$B$48:$I$52,5,FALSE)/VLOOKUP($E303,'Merit calculation'!$B$67:$I$73,5,FALSE)/VLOOKUP($F303,'Merit calculation'!$B$90:$I$103,5,FALSE)/energyContentH2),(VLOOKUP($P303,'TA database'!$I$8:$J$79,2,FALSE)/VLOOKUP($D303,'Merit calculation'!$B$48:$I$52,7,FALSE)/VLOOKUP($E303,'Merit calculation'!$B$67:$I$73,7,FALSE)/VLOOKUP($F303,'Merit calculation'!$B$90:$I$103,7,FALSE)/energyContentH2))</f>
        <v>0</v>
      </c>
      <c r="U303">
        <v>0</v>
      </c>
      <c r="V303">
        <v>0</v>
      </c>
      <c r="W303">
        <f ca="1">IFERROR(VLOOKUP($S303,'TA database'!$I$146:$J$193,2,FALSE),0)</f>
        <v>0</v>
      </c>
      <c r="X303">
        <f>IFERROR(VLOOKUP($S303,'TA database'!$I$200:$J$271,2,FALSE),0)</f>
        <v>0</v>
      </c>
      <c r="Y303">
        <f t="shared" ca="1" si="729"/>
        <v>0</v>
      </c>
      <c r="Z303" t="str">
        <f t="shared" si="730"/>
        <v>BIO_SR_LRG_C   →   C_UNDRGRND_STRG   →   H2_BLND_NG_P   →   H2_FC_mCHP_HEAT</v>
      </c>
      <c r="AA303" t="str">
        <f t="shared" si="731"/>
        <v>Building heat</v>
      </c>
      <c r="AB303" t="str">
        <f t="shared" si="732"/>
        <v>CO2 emissions</v>
      </c>
      <c r="AC303">
        <f t="shared" ca="1" si="733"/>
        <v>0</v>
      </c>
      <c r="AD303">
        <v>244</v>
      </c>
      <c r="AE303" t="str">
        <f>IF(AND(ISNUMBER(SEARCH(O303,4)),ISNUMBER(SEARCH('(4) FCH pathway assessment'!$B$16,AB303)),ISNUMBER(SEARCH('(4) FCH pathway assessment'!$B$10,AA303))),AD303,"")</f>
        <v/>
      </c>
      <c r="AF303" t="str">
        <f t="shared" si="565"/>
        <v/>
      </c>
      <c r="AG303" t="str">
        <f>VLOOKUP(C303,Assumptions!$B$116:$C$162,2,FALSE)</f>
        <v>BIO_SR_LRG_C</v>
      </c>
      <c r="AH303" t="str">
        <f>VLOOKUP(D303,Assumptions!$B$116:$C$162,2,FALSE)</f>
        <v>C_UNDRGRND_STRG</v>
      </c>
      <c r="AI303" t="str">
        <f>VLOOKUP(E303,Assumptions!$B$116:$C$162,2,FALSE)</f>
        <v>H2_BLND_NG_P</v>
      </c>
      <c r="AJ303" t="str">
        <f>VLOOKUP(F303,Assumptions!$B$116:$C$162,2,FALSE)</f>
        <v>H2_FC_mCHP_HEAT</v>
      </c>
    </row>
    <row r="304" spans="2:36" x14ac:dyDescent="0.25">
      <c r="B304" t="s">
        <v>117</v>
      </c>
      <c r="C304" t="s">
        <v>56</v>
      </c>
      <c r="D304" t="s">
        <v>62</v>
      </c>
      <c r="E304" t="s">
        <v>122</v>
      </c>
      <c r="F304" t="s">
        <v>543</v>
      </c>
      <c r="G304" t="s">
        <v>132</v>
      </c>
      <c r="H304" t="s">
        <v>434</v>
      </c>
      <c r="I304" t="s">
        <v>32</v>
      </c>
      <c r="J304" t="s">
        <v>329</v>
      </c>
      <c r="K304">
        <f t="shared" si="720"/>
        <v>0</v>
      </c>
      <c r="L304">
        <f t="shared" si="721"/>
        <v>0</v>
      </c>
      <c r="M304">
        <f t="shared" si="722"/>
        <v>1</v>
      </c>
      <c r="N304">
        <f t="shared" si="723"/>
        <v>0</v>
      </c>
      <c r="O304">
        <f t="shared" si="724"/>
        <v>1</v>
      </c>
      <c r="P304" t="str">
        <f t="shared" si="725"/>
        <v>Large centralized biomass steam reforming -CO2 emissions</v>
      </c>
      <c r="Q304" t="str">
        <f t="shared" si="726"/>
        <v>Underground storage-CO2 emissions</v>
      </c>
      <c r="R304" t="str">
        <f t="shared" si="727"/>
        <v>Hydrogen transmission &amp; distribution pipeline-CO2 emissions</v>
      </c>
      <c r="S304" t="str">
        <f t="shared" si="728"/>
        <v>Micro-CHP with H2 fuel cell (heat)-CO2 emissions</v>
      </c>
      <c r="T304">
        <f ca="1">IF(timePeriod="2020-30",(VLOOKUP($P304,'TA database'!$I$8:$J$79,2,FALSE)/VLOOKUP($D304,'Merit calculation'!$B$48:$I$52,5,FALSE)/VLOOKUP($E304,'Merit calculation'!$B$67:$I$73,5,FALSE)/VLOOKUP($F304,'Merit calculation'!$B$90:$I$103,5,FALSE)/energyContentH2),(VLOOKUP($P304,'TA database'!$I$8:$J$79,2,FALSE)/VLOOKUP($D304,'Merit calculation'!$B$48:$I$52,7,FALSE)/VLOOKUP($E304,'Merit calculation'!$B$67:$I$73,7,FALSE)/VLOOKUP($F304,'Merit calculation'!$B$90:$I$103,7,FALSE)/energyContentH2))</f>
        <v>0</v>
      </c>
      <c r="U304">
        <v>0</v>
      </c>
      <c r="V304">
        <v>0</v>
      </c>
      <c r="W304">
        <f ca="1">IFERROR(VLOOKUP($S304,'TA database'!$I$146:$J$193,2,FALSE),0)</f>
        <v>0</v>
      </c>
      <c r="X304">
        <f>IFERROR(VLOOKUP($S304,'TA database'!$I$200:$J$271,2,FALSE),0)</f>
        <v>0</v>
      </c>
      <c r="Y304">
        <f t="shared" ca="1" si="729"/>
        <v>0</v>
      </c>
      <c r="Z304" t="str">
        <f t="shared" si="730"/>
        <v>BIO_SR_LRG_C   →   C_UNDRGRND_STRG   →   H2_T&amp;D_P   →   H2_FC_mCHP_HEAT</v>
      </c>
      <c r="AA304" t="str">
        <f t="shared" si="731"/>
        <v>Building heat</v>
      </c>
      <c r="AB304" t="str">
        <f t="shared" si="732"/>
        <v>CO2 emissions</v>
      </c>
      <c r="AC304">
        <f t="shared" ca="1" si="733"/>
        <v>0</v>
      </c>
      <c r="AD304">
        <v>245</v>
      </c>
      <c r="AE304" t="str">
        <f>IF(AND(ISNUMBER(SEARCH(O304,4)),ISNUMBER(SEARCH('(4) FCH pathway assessment'!$B$16,AB304)),ISNUMBER(SEARCH('(4) FCH pathway assessment'!$B$10,AA304))),AD304,"")</f>
        <v/>
      </c>
      <c r="AF304" t="str">
        <f t="shared" si="565"/>
        <v/>
      </c>
      <c r="AG304" t="str">
        <f>VLOOKUP(C304,Assumptions!$B$116:$C$162,2,FALSE)</f>
        <v>BIO_SR_LRG_C</v>
      </c>
      <c r="AH304" t="str">
        <f>VLOOKUP(D304,Assumptions!$B$116:$C$162,2,FALSE)</f>
        <v>C_UNDRGRND_STRG</v>
      </c>
      <c r="AI304" t="str">
        <f>VLOOKUP(E304,Assumptions!$B$116:$C$162,2,FALSE)</f>
        <v>H2_T&amp;D_P</v>
      </c>
      <c r="AJ304" t="str">
        <f>VLOOKUP(F304,Assumptions!$B$116:$C$162,2,FALSE)</f>
        <v>H2_FC_mCHP_HEAT</v>
      </c>
    </row>
    <row r="305" spans="2:36" x14ac:dyDescent="0.25">
      <c r="B305" t="s">
        <v>117</v>
      </c>
      <c r="C305" t="s">
        <v>56</v>
      </c>
      <c r="D305" s="61" t="s">
        <v>63</v>
      </c>
      <c r="E305" t="s">
        <v>122</v>
      </c>
      <c r="F305" t="s">
        <v>543</v>
      </c>
      <c r="G305" t="s">
        <v>132</v>
      </c>
      <c r="H305" t="s">
        <v>434</v>
      </c>
      <c r="I305" t="s">
        <v>32</v>
      </c>
      <c r="J305" t="s">
        <v>329</v>
      </c>
      <c r="K305">
        <f t="shared" ref="K305:K309" si="734">SUMPRODUCT(($C$7:$C$18=$C305)*($D$6:$H$6=$D305)*($D$7:$H$18))</f>
        <v>0</v>
      </c>
      <c r="L305">
        <f t="shared" ref="L305:L309" si="735">SUMPRODUCT(($C$19:$C$23=$D305)*($I$6:$O$6=$E305)*($I$19:$O$23))</f>
        <v>1</v>
      </c>
      <c r="M305">
        <f t="shared" ref="M305:M309" si="736">SUMPRODUCT(($C$24:$C$30=$E305)*($P$6:$AI$6=$F305)*($P$24:$AI$30))</f>
        <v>1</v>
      </c>
      <c r="N305">
        <f t="shared" ref="N305:N309" si="737">SUMPRODUCT(($C$31:$C$50=$F305)*($AJ$6:$AM$6=$G305)*($AJ$31:$AM$50))</f>
        <v>0</v>
      </c>
      <c r="O305">
        <f t="shared" ref="O305:O309" si="738">K305+L305+M305+N305</f>
        <v>2</v>
      </c>
      <c r="P305" t="str">
        <f t="shared" ref="P305:P309" si="739">CONCATENATE(C305,"-",J305)</f>
        <v>Large centralized biomass steam reforming -CO2 emissions</v>
      </c>
      <c r="Q305" t="str">
        <f t="shared" ref="Q305:Q309" si="740">CONCATENATE(D305,"-",J305)</f>
        <v>No storage-CO2 emissions</v>
      </c>
      <c r="R305" t="str">
        <f t="shared" ref="R305:R309" si="741">CONCATENATE(E305,"-",J305)</f>
        <v>Hydrogen transmission &amp; distribution pipeline-CO2 emissions</v>
      </c>
      <c r="S305" t="str">
        <f t="shared" ref="S305:S309" si="742">CONCATENATE(F305,"-",J305)</f>
        <v>Micro-CHP with H2 fuel cell (heat)-CO2 emissions</v>
      </c>
      <c r="T305">
        <f ca="1">IF(timePeriod="2020-30",(VLOOKUP($P305,'TA database'!$I$8:$J$79,2,FALSE)/VLOOKUP($D305,'Merit calculation'!$B$48:$I$52,5,FALSE)/VLOOKUP($E305,'Merit calculation'!$B$67:$I$73,5,FALSE)/VLOOKUP($F305,'Merit calculation'!$B$90:$I$103,5,FALSE)/energyContentH2),(VLOOKUP($P305,'TA database'!$I$8:$J$79,2,FALSE)/VLOOKUP($D305,'Merit calculation'!$B$48:$I$52,7,FALSE)/VLOOKUP($E305,'Merit calculation'!$B$67:$I$73,7,FALSE)/VLOOKUP($F305,'Merit calculation'!$B$90:$I$103,7,FALSE)/energyContentH2))</f>
        <v>0</v>
      </c>
      <c r="U305">
        <v>0</v>
      </c>
      <c r="V305">
        <v>0</v>
      </c>
      <c r="W305">
        <f ca="1">IFERROR(VLOOKUP($S305,'TA database'!$I$146:$J$193,2,FALSE),0)</f>
        <v>0</v>
      </c>
      <c r="X305">
        <f>IFERROR(VLOOKUP($S305,'TA database'!$I$200:$J$271,2,FALSE),0)</f>
        <v>0</v>
      </c>
      <c r="Y305">
        <f t="shared" ref="Y305:Y309" ca="1" si="743">IF($W305=0,T305*3.6+X305,T305+W305)</f>
        <v>0</v>
      </c>
      <c r="Z305" t="str">
        <f t="shared" ref="Z305:Z309" si="744">CONCATENATE(AG305,"   →   ",AH305,"   →   ",AI305,"   →   ",AJ305)</f>
        <v>BIO_SR_LRG_C   →   NO_STRG   →   H2_T&amp;D_P   →   H2_FC_mCHP_HEAT</v>
      </c>
      <c r="AA305" t="str">
        <f t="shared" ref="AA305:AA309" si="745">G305</f>
        <v>Building heat</v>
      </c>
      <c r="AB305" t="str">
        <f t="shared" ref="AB305:AB309" si="746">J305</f>
        <v>CO2 emissions</v>
      </c>
      <c r="AC305">
        <f t="shared" ref="AC305:AC309" ca="1" si="747">Y305</f>
        <v>0</v>
      </c>
      <c r="AD305">
        <v>246</v>
      </c>
      <c r="AE305" t="str">
        <f>IF(AND(ISNUMBER(SEARCH(O305,4)),ISNUMBER(SEARCH('(4) FCH pathway assessment'!$B$16,AB305)),ISNUMBER(SEARCH('(4) FCH pathway assessment'!$B$10,AA305))),AD305,"")</f>
        <v/>
      </c>
      <c r="AF305" t="str">
        <f t="shared" si="565"/>
        <v/>
      </c>
      <c r="AG305" t="str">
        <f>VLOOKUP(C305,Assumptions!$B$116:$C$162,2,FALSE)</f>
        <v>BIO_SR_LRG_C</v>
      </c>
      <c r="AH305" t="str">
        <f>VLOOKUP(D305,Assumptions!$B$116:$C$162,2,FALSE)</f>
        <v>NO_STRG</v>
      </c>
      <c r="AI305" t="str">
        <f>VLOOKUP(E305,Assumptions!$B$116:$C$162,2,FALSE)</f>
        <v>H2_T&amp;D_P</v>
      </c>
      <c r="AJ305" t="str">
        <f>VLOOKUP(F305,Assumptions!$B$116:$C$162,2,FALSE)</f>
        <v>H2_FC_mCHP_HEAT</v>
      </c>
    </row>
    <row r="306" spans="2:36" x14ac:dyDescent="0.25">
      <c r="B306" t="s">
        <v>112</v>
      </c>
      <c r="C306" t="s">
        <v>49</v>
      </c>
      <c r="D306" t="s">
        <v>62</v>
      </c>
      <c r="E306" t="s">
        <v>157</v>
      </c>
      <c r="F306" t="s">
        <v>543</v>
      </c>
      <c r="G306" t="s">
        <v>132</v>
      </c>
      <c r="H306" t="s">
        <v>434</v>
      </c>
      <c r="I306" t="s">
        <v>32</v>
      </c>
      <c r="J306" t="s">
        <v>329</v>
      </c>
      <c r="K306">
        <f t="shared" si="734"/>
        <v>1</v>
      </c>
      <c r="L306">
        <f t="shared" si="735"/>
        <v>0</v>
      </c>
      <c r="M306">
        <f t="shared" si="736"/>
        <v>0</v>
      </c>
      <c r="N306">
        <f t="shared" si="737"/>
        <v>0</v>
      </c>
      <c r="O306">
        <f t="shared" si="738"/>
        <v>1</v>
      </c>
      <c r="P306" t="str">
        <f t="shared" si="739"/>
        <v>Large centralized electrolysis-CO2 emissions</v>
      </c>
      <c r="Q306" t="str">
        <f t="shared" si="740"/>
        <v>Underground storage-CO2 emissions</v>
      </c>
      <c r="R306" t="str">
        <f t="shared" si="741"/>
        <v>Blending in natural gas pipeline-CO2 emissions</v>
      </c>
      <c r="S306" t="str">
        <f t="shared" si="742"/>
        <v>Micro-CHP with H2 fuel cell (heat)-CO2 emissions</v>
      </c>
      <c r="T306">
        <f ca="1">IF(timePeriod="2020-30",(VLOOKUP($P306,'TA database'!$I$8:$J$79,2,FALSE)/VLOOKUP($D306,'Merit calculation'!$B$48:$I$52,5,FALSE)/VLOOKUP($E306,'Merit calculation'!$B$67:$I$73,5,FALSE)/VLOOKUP($F306,'Merit calculation'!$B$90:$I$103,5,FALSE)/energyContentH2),(VLOOKUP($P306,'TA database'!$I$8:$J$79,2,FALSE)/VLOOKUP($D306,'Merit calculation'!$B$48:$I$52,7,FALSE)/VLOOKUP($E306,'Merit calculation'!$B$67:$I$73,7,FALSE)/VLOOKUP($F306,'Merit calculation'!$B$90:$I$103,7,FALSE)/energyContentH2))</f>
        <v>1.8098198712343565E-2</v>
      </c>
      <c r="U306">
        <v>0</v>
      </c>
      <c r="V306">
        <v>0</v>
      </c>
      <c r="W306">
        <f ca="1">IFERROR(VLOOKUP($S306,'TA database'!$I$146:$J$193,2,FALSE),0)</f>
        <v>0</v>
      </c>
      <c r="X306">
        <f>IFERROR(VLOOKUP($S306,'TA database'!$I$200:$J$271,2,FALSE),0)</f>
        <v>0</v>
      </c>
      <c r="Y306">
        <f t="shared" ca="1" si="743"/>
        <v>6.5153515364436837E-2</v>
      </c>
      <c r="Z306" t="str">
        <f t="shared" si="744"/>
        <v>ELCTRLYZ_LRG_C   →   C_UNDRGRND_STRG   →   H2_BLND_NG_P   →   H2_FC_mCHP_HEAT</v>
      </c>
      <c r="AA306" t="str">
        <f t="shared" si="745"/>
        <v>Building heat</v>
      </c>
      <c r="AB306" t="str">
        <f t="shared" si="746"/>
        <v>CO2 emissions</v>
      </c>
      <c r="AC306">
        <f t="shared" ca="1" si="747"/>
        <v>6.5153515364436837E-2</v>
      </c>
      <c r="AD306">
        <v>247</v>
      </c>
      <c r="AE306" t="str">
        <f>IF(AND(ISNUMBER(SEARCH(O306,4)),ISNUMBER(SEARCH('(4) FCH pathway assessment'!$B$16,AB306)),ISNUMBER(SEARCH('(4) FCH pathway assessment'!$B$10,AA306))),AD306,"")</f>
        <v/>
      </c>
      <c r="AF306" t="str">
        <f t="shared" si="565"/>
        <v/>
      </c>
      <c r="AG306" t="str">
        <f>VLOOKUP(C306,Assumptions!$B$116:$C$162,2,FALSE)</f>
        <v>ELCTRLYZ_LRG_C</v>
      </c>
      <c r="AH306" t="str">
        <f>VLOOKUP(D306,Assumptions!$B$116:$C$162,2,FALSE)</f>
        <v>C_UNDRGRND_STRG</v>
      </c>
      <c r="AI306" t="str">
        <f>VLOOKUP(E306,Assumptions!$B$116:$C$162,2,FALSE)</f>
        <v>H2_BLND_NG_P</v>
      </c>
      <c r="AJ306" t="str">
        <f>VLOOKUP(F306,Assumptions!$B$116:$C$162,2,FALSE)</f>
        <v>H2_FC_mCHP_HEAT</v>
      </c>
    </row>
    <row r="307" spans="2:36" x14ac:dyDescent="0.25">
      <c r="B307" t="s">
        <v>112</v>
      </c>
      <c r="C307" t="s">
        <v>49</v>
      </c>
      <c r="D307" t="s">
        <v>62</v>
      </c>
      <c r="E307" t="s">
        <v>122</v>
      </c>
      <c r="F307" t="s">
        <v>543</v>
      </c>
      <c r="G307" t="s">
        <v>132</v>
      </c>
      <c r="H307" t="s">
        <v>434</v>
      </c>
      <c r="I307" t="s">
        <v>32</v>
      </c>
      <c r="J307" t="s">
        <v>329</v>
      </c>
      <c r="K307">
        <f t="shared" si="734"/>
        <v>1</v>
      </c>
      <c r="L307">
        <f t="shared" si="735"/>
        <v>0</v>
      </c>
      <c r="M307">
        <f t="shared" si="736"/>
        <v>1</v>
      </c>
      <c r="N307">
        <f t="shared" si="737"/>
        <v>0</v>
      </c>
      <c r="O307">
        <f t="shared" si="738"/>
        <v>2</v>
      </c>
      <c r="P307" t="str">
        <f t="shared" si="739"/>
        <v>Large centralized electrolysis-CO2 emissions</v>
      </c>
      <c r="Q307" t="str">
        <f t="shared" si="740"/>
        <v>Underground storage-CO2 emissions</v>
      </c>
      <c r="R307" t="str">
        <f t="shared" si="741"/>
        <v>Hydrogen transmission &amp; distribution pipeline-CO2 emissions</v>
      </c>
      <c r="S307" t="str">
        <f t="shared" si="742"/>
        <v>Micro-CHP with H2 fuel cell (heat)-CO2 emissions</v>
      </c>
      <c r="T307">
        <f ca="1">IF(timePeriod="2020-30",(VLOOKUP($P307,'TA database'!$I$8:$J$79,2,FALSE)/VLOOKUP($D307,'Merit calculation'!$B$48:$I$52,5,FALSE)/VLOOKUP($E307,'Merit calculation'!$B$67:$I$73,5,FALSE)/VLOOKUP($F307,'Merit calculation'!$B$90:$I$103,5,FALSE)/energyContentH2),(VLOOKUP($P307,'TA database'!$I$8:$J$79,2,FALSE)/VLOOKUP($D307,'Merit calculation'!$B$48:$I$52,7,FALSE)/VLOOKUP($E307,'Merit calculation'!$B$67:$I$73,7,FALSE)/VLOOKUP($F307,'Merit calculation'!$B$90:$I$103,7,FALSE)/energyContentH2))</f>
        <v>1.8098198712343565E-2</v>
      </c>
      <c r="U307">
        <v>0</v>
      </c>
      <c r="V307">
        <v>0</v>
      </c>
      <c r="W307">
        <f ca="1">IFERROR(VLOOKUP($S307,'TA database'!$I$146:$J$193,2,FALSE),0)</f>
        <v>0</v>
      </c>
      <c r="X307">
        <f>IFERROR(VLOOKUP($S307,'TA database'!$I$200:$J$271,2,FALSE),0)</f>
        <v>0</v>
      </c>
      <c r="Y307">
        <f t="shared" ca="1" si="743"/>
        <v>6.5153515364436837E-2</v>
      </c>
      <c r="Z307" t="str">
        <f t="shared" si="744"/>
        <v>ELCTRLYZ_LRG_C   →   C_UNDRGRND_STRG   →   H2_T&amp;D_P   →   H2_FC_mCHP_HEAT</v>
      </c>
      <c r="AA307" t="str">
        <f t="shared" si="745"/>
        <v>Building heat</v>
      </c>
      <c r="AB307" t="str">
        <f t="shared" si="746"/>
        <v>CO2 emissions</v>
      </c>
      <c r="AC307">
        <f t="shared" ca="1" si="747"/>
        <v>6.5153515364436837E-2</v>
      </c>
      <c r="AD307">
        <v>248</v>
      </c>
      <c r="AE307" t="str">
        <f>IF(AND(ISNUMBER(SEARCH(O307,4)),ISNUMBER(SEARCH('(4) FCH pathway assessment'!$B$16,AB307)),ISNUMBER(SEARCH('(4) FCH pathway assessment'!$B$10,AA307))),AD307,"")</f>
        <v/>
      </c>
      <c r="AF307" t="str">
        <f t="shared" si="565"/>
        <v/>
      </c>
      <c r="AG307" t="str">
        <f>VLOOKUP(C307,Assumptions!$B$116:$C$162,2,FALSE)</f>
        <v>ELCTRLYZ_LRG_C</v>
      </c>
      <c r="AH307" t="str">
        <f>VLOOKUP(D307,Assumptions!$B$116:$C$162,2,FALSE)</f>
        <v>C_UNDRGRND_STRG</v>
      </c>
      <c r="AI307" t="str">
        <f>VLOOKUP(E307,Assumptions!$B$116:$C$162,2,FALSE)</f>
        <v>H2_T&amp;D_P</v>
      </c>
      <c r="AJ307" t="str">
        <f>VLOOKUP(F307,Assumptions!$B$116:$C$162,2,FALSE)</f>
        <v>H2_FC_mCHP_HEAT</v>
      </c>
    </row>
    <row r="308" spans="2:36" x14ac:dyDescent="0.25">
      <c r="B308" t="s">
        <v>112</v>
      </c>
      <c r="C308" t="s">
        <v>49</v>
      </c>
      <c r="D308" t="s">
        <v>155</v>
      </c>
      <c r="E308" t="s">
        <v>157</v>
      </c>
      <c r="F308" t="s">
        <v>543</v>
      </c>
      <c r="G308" t="s">
        <v>132</v>
      </c>
      <c r="H308" t="s">
        <v>434</v>
      </c>
      <c r="I308" t="s">
        <v>32</v>
      </c>
      <c r="J308" t="s">
        <v>329</v>
      </c>
      <c r="K308">
        <f t="shared" si="734"/>
        <v>1</v>
      </c>
      <c r="L308">
        <f t="shared" si="735"/>
        <v>1</v>
      </c>
      <c r="M308">
        <f t="shared" si="736"/>
        <v>0</v>
      </c>
      <c r="N308">
        <f t="shared" si="737"/>
        <v>0</v>
      </c>
      <c r="O308">
        <f t="shared" si="738"/>
        <v>2</v>
      </c>
      <c r="P308" t="str">
        <f t="shared" si="739"/>
        <v>Large centralized electrolysis-CO2 emissions</v>
      </c>
      <c r="Q308" t="str">
        <f t="shared" si="740"/>
        <v>Central gas storage-CO2 emissions</v>
      </c>
      <c r="R308" t="str">
        <f t="shared" si="741"/>
        <v>Blending in natural gas pipeline-CO2 emissions</v>
      </c>
      <c r="S308" t="str">
        <f t="shared" si="742"/>
        <v>Micro-CHP with H2 fuel cell (heat)-CO2 emissions</v>
      </c>
      <c r="T308">
        <f ca="1">IF(timePeriod="2020-30",(VLOOKUP($P308,'TA database'!$I$8:$J$79,2,FALSE)/VLOOKUP($D308,'Merit calculation'!$B$48:$I$52,5,FALSE)/VLOOKUP($E308,'Merit calculation'!$B$67:$I$73,5,FALSE)/VLOOKUP($F308,'Merit calculation'!$B$90:$I$103,5,FALSE)/energyContentH2),(VLOOKUP($P308,'TA database'!$I$8:$J$79,2,FALSE)/VLOOKUP($D308,'Merit calculation'!$B$48:$I$52,7,FALSE)/VLOOKUP($E308,'Merit calculation'!$B$67:$I$73,7,FALSE)/VLOOKUP($F308,'Merit calculation'!$B$90:$I$103,7,FALSE)/energyContentH2))</f>
        <v>1.8282874209408297E-2</v>
      </c>
      <c r="U308">
        <v>0</v>
      </c>
      <c r="V308">
        <v>0</v>
      </c>
      <c r="W308">
        <f ca="1">IFERROR(VLOOKUP($S308,'TA database'!$I$146:$J$193,2,FALSE),0)</f>
        <v>0</v>
      </c>
      <c r="X308">
        <f>IFERROR(VLOOKUP($S308,'TA database'!$I$200:$J$271,2,FALSE),0)</f>
        <v>0</v>
      </c>
      <c r="Y308">
        <f t="shared" ca="1" si="743"/>
        <v>6.5818347153869874E-2</v>
      </c>
      <c r="Z308" t="str">
        <f t="shared" si="744"/>
        <v>ELCTRLYZ_LRG_C   →   C_GAS_STRG   →   H2_BLND_NG_P   →   H2_FC_mCHP_HEAT</v>
      </c>
      <c r="AA308" t="str">
        <f t="shared" si="745"/>
        <v>Building heat</v>
      </c>
      <c r="AB308" t="str">
        <f t="shared" si="746"/>
        <v>CO2 emissions</v>
      </c>
      <c r="AC308">
        <f t="shared" ca="1" si="747"/>
        <v>6.5818347153869874E-2</v>
      </c>
      <c r="AD308">
        <v>249</v>
      </c>
      <c r="AE308" t="str">
        <f>IF(AND(ISNUMBER(SEARCH(O308,4)),ISNUMBER(SEARCH('(4) FCH pathway assessment'!$B$16,AB308)),ISNUMBER(SEARCH('(4) FCH pathway assessment'!$B$10,AA308))),AD308,"")</f>
        <v/>
      </c>
      <c r="AF308" t="str">
        <f t="shared" si="565"/>
        <v/>
      </c>
      <c r="AG308" t="str">
        <f>VLOOKUP(C308,Assumptions!$B$116:$C$162,2,FALSE)</f>
        <v>ELCTRLYZ_LRG_C</v>
      </c>
      <c r="AH308" t="str">
        <f>VLOOKUP(D308,Assumptions!$B$116:$C$162,2,FALSE)</f>
        <v>C_GAS_STRG</v>
      </c>
      <c r="AI308" t="str">
        <f>VLOOKUP(E308,Assumptions!$B$116:$C$162,2,FALSE)</f>
        <v>H2_BLND_NG_P</v>
      </c>
      <c r="AJ308" t="str">
        <f>VLOOKUP(F308,Assumptions!$B$116:$C$162,2,FALSE)</f>
        <v>H2_FC_mCHP_HEAT</v>
      </c>
    </row>
    <row r="309" spans="2:36" x14ac:dyDescent="0.25">
      <c r="B309" t="s">
        <v>112</v>
      </c>
      <c r="C309" t="s">
        <v>49</v>
      </c>
      <c r="D309" t="s">
        <v>155</v>
      </c>
      <c r="E309" t="s">
        <v>122</v>
      </c>
      <c r="F309" t="s">
        <v>543</v>
      </c>
      <c r="G309" t="s">
        <v>132</v>
      </c>
      <c r="H309" t="s">
        <v>434</v>
      </c>
      <c r="I309" t="s">
        <v>32</v>
      </c>
      <c r="J309" t="s">
        <v>329</v>
      </c>
      <c r="K309">
        <f t="shared" si="734"/>
        <v>1</v>
      </c>
      <c r="L309">
        <f t="shared" si="735"/>
        <v>1</v>
      </c>
      <c r="M309">
        <f t="shared" si="736"/>
        <v>1</v>
      </c>
      <c r="N309">
        <f t="shared" si="737"/>
        <v>0</v>
      </c>
      <c r="O309">
        <f t="shared" si="738"/>
        <v>3</v>
      </c>
      <c r="P309" t="str">
        <f t="shared" si="739"/>
        <v>Large centralized electrolysis-CO2 emissions</v>
      </c>
      <c r="Q309" t="str">
        <f t="shared" si="740"/>
        <v>Central gas storage-CO2 emissions</v>
      </c>
      <c r="R309" t="str">
        <f t="shared" si="741"/>
        <v>Hydrogen transmission &amp; distribution pipeline-CO2 emissions</v>
      </c>
      <c r="S309" t="str">
        <f t="shared" si="742"/>
        <v>Micro-CHP with H2 fuel cell (heat)-CO2 emissions</v>
      </c>
      <c r="T309">
        <f ca="1">IF(timePeriod="2020-30",(VLOOKUP($P309,'TA database'!$I$8:$J$79,2,FALSE)/VLOOKUP($D309,'Merit calculation'!$B$48:$I$52,5,FALSE)/VLOOKUP($E309,'Merit calculation'!$B$67:$I$73,5,FALSE)/VLOOKUP($F309,'Merit calculation'!$B$90:$I$103,5,FALSE)/energyContentH2),(VLOOKUP($P309,'TA database'!$I$8:$J$79,2,FALSE)/VLOOKUP($D309,'Merit calculation'!$B$48:$I$52,7,FALSE)/VLOOKUP($E309,'Merit calculation'!$B$67:$I$73,7,FALSE)/VLOOKUP($F309,'Merit calculation'!$B$90:$I$103,7,FALSE)/energyContentH2))</f>
        <v>1.8282874209408297E-2</v>
      </c>
      <c r="U309">
        <v>0</v>
      </c>
      <c r="V309">
        <v>0</v>
      </c>
      <c r="W309">
        <f ca="1">IFERROR(VLOOKUP($S309,'TA database'!$I$146:$J$193,2,FALSE),0)</f>
        <v>0</v>
      </c>
      <c r="X309">
        <f>IFERROR(VLOOKUP($S309,'TA database'!$I$200:$J$271,2,FALSE),0)</f>
        <v>0</v>
      </c>
      <c r="Y309">
        <f t="shared" ca="1" si="743"/>
        <v>6.5818347153869874E-2</v>
      </c>
      <c r="Z309" t="str">
        <f t="shared" si="744"/>
        <v>ELCTRLYZ_LRG_C   →   C_GAS_STRG   →   H2_T&amp;D_P   →   H2_FC_mCHP_HEAT</v>
      </c>
      <c r="AA309" t="str">
        <f t="shared" si="745"/>
        <v>Building heat</v>
      </c>
      <c r="AB309" t="str">
        <f t="shared" si="746"/>
        <v>CO2 emissions</v>
      </c>
      <c r="AC309">
        <f t="shared" ca="1" si="747"/>
        <v>6.5818347153869874E-2</v>
      </c>
      <c r="AD309">
        <v>250</v>
      </c>
      <c r="AE309" t="str">
        <f>IF(AND(ISNUMBER(SEARCH(O309,4)),ISNUMBER(SEARCH('(4) FCH pathway assessment'!$B$16,AB309)),ISNUMBER(SEARCH('(4) FCH pathway assessment'!$B$10,AA309))),AD309,"")</f>
        <v/>
      </c>
      <c r="AF309" t="str">
        <f t="shared" si="565"/>
        <v/>
      </c>
      <c r="AG309" t="str">
        <f>VLOOKUP(C309,Assumptions!$B$116:$C$162,2,FALSE)</f>
        <v>ELCTRLYZ_LRG_C</v>
      </c>
      <c r="AH309" t="str">
        <f>VLOOKUP(D309,Assumptions!$B$116:$C$162,2,FALSE)</f>
        <v>C_GAS_STRG</v>
      </c>
      <c r="AI309" t="str">
        <f>VLOOKUP(E309,Assumptions!$B$116:$C$162,2,FALSE)</f>
        <v>H2_T&amp;D_P</v>
      </c>
      <c r="AJ309" t="str">
        <f>VLOOKUP(F309,Assumptions!$B$116:$C$162,2,FALSE)</f>
        <v>H2_FC_mCHP_HEAT</v>
      </c>
    </row>
    <row r="310" spans="2:36" x14ac:dyDescent="0.25">
      <c r="B310" t="s">
        <v>112</v>
      </c>
      <c r="C310" t="s">
        <v>51</v>
      </c>
      <c r="D310" t="s">
        <v>155</v>
      </c>
      <c r="E310" t="s">
        <v>157</v>
      </c>
      <c r="F310" t="s">
        <v>543</v>
      </c>
      <c r="G310" t="s">
        <v>132</v>
      </c>
      <c r="H310" t="s">
        <v>434</v>
      </c>
      <c r="I310" t="s">
        <v>32</v>
      </c>
      <c r="J310" t="s">
        <v>329</v>
      </c>
      <c r="K310">
        <f t="shared" ref="K310:K312" si="748">SUMPRODUCT(($C$7:$C$18=$C310)*($D$6:$H$6=$D310)*($D$7:$H$18))</f>
        <v>1</v>
      </c>
      <c r="L310">
        <f t="shared" ref="L310:L312" si="749">SUMPRODUCT(($C$19:$C$23=$D310)*($I$6:$O$6=$E310)*($I$19:$O$23))</f>
        <v>1</v>
      </c>
      <c r="M310">
        <f t="shared" ref="M310:M312" si="750">SUMPRODUCT(($C$24:$C$30=$E310)*($P$6:$AI$6=$F310)*($P$24:$AI$30))</f>
        <v>0</v>
      </c>
      <c r="N310">
        <f t="shared" ref="N310:N312" si="751">SUMPRODUCT(($C$31:$C$50=$F310)*($AJ$6:$AM$6=$G310)*($AJ$31:$AM$50))</f>
        <v>0</v>
      </c>
      <c r="O310">
        <f t="shared" ref="O310:O312" si="752">K310+L310+M310+N310</f>
        <v>2</v>
      </c>
      <c r="P310" t="str">
        <f t="shared" ref="P310:P312" si="753">CONCATENATE(C310,"-",J310)</f>
        <v>Medium centralized electrolysis-CO2 emissions</v>
      </c>
      <c r="Q310" t="str">
        <f t="shared" ref="Q310:Q312" si="754">CONCATENATE(D310,"-",J310)</f>
        <v>Central gas storage-CO2 emissions</v>
      </c>
      <c r="R310" t="str">
        <f t="shared" ref="R310:R312" si="755">CONCATENATE(E310,"-",J310)</f>
        <v>Blending in natural gas pipeline-CO2 emissions</v>
      </c>
      <c r="S310" t="str">
        <f t="shared" ref="S310:S312" si="756">CONCATENATE(F310,"-",J310)</f>
        <v>Micro-CHP with H2 fuel cell (heat)-CO2 emissions</v>
      </c>
      <c r="T310">
        <f ca="1">IF(timePeriod="2020-30",(VLOOKUP($P310,'TA database'!$I$8:$J$79,2,FALSE)/VLOOKUP($D310,'Merit calculation'!$B$48:$I$52,5,FALSE)/VLOOKUP($E310,'Merit calculation'!$B$67:$I$73,5,FALSE)/VLOOKUP($F310,'Merit calculation'!$B$90:$I$103,5,FALSE)/energyContentH2),(VLOOKUP($P310,'TA database'!$I$8:$J$79,2,FALSE)/VLOOKUP($D310,'Merit calculation'!$B$48:$I$52,7,FALSE)/VLOOKUP($E310,'Merit calculation'!$B$67:$I$73,7,FALSE)/VLOOKUP($F310,'Merit calculation'!$B$90:$I$103,7,FALSE)/energyContentH2))</f>
        <v>1.8282874209408297E-2</v>
      </c>
      <c r="U310">
        <v>0</v>
      </c>
      <c r="V310">
        <v>0</v>
      </c>
      <c r="W310">
        <f ca="1">IFERROR(VLOOKUP($S310,'TA database'!$I$146:$J$193,2,FALSE),0)</f>
        <v>0</v>
      </c>
      <c r="X310">
        <f>IFERROR(VLOOKUP($S310,'TA database'!$I$200:$J$271,2,FALSE),0)</f>
        <v>0</v>
      </c>
      <c r="Y310">
        <f t="shared" ref="Y310:Y312" ca="1" si="757">IF($W310=0,T310*3.6+X310,T310+W310)</f>
        <v>6.5818347153869874E-2</v>
      </c>
      <c r="Z310" t="str">
        <f t="shared" ref="Z310:Z312" si="758">CONCATENATE(AG310,"   →   ",AH310,"   →   ",AI310,"   →   ",AJ310)</f>
        <v>ELCTRLYZ_MED_C   →   C_GAS_STRG   →   H2_BLND_NG_P   →   H2_FC_mCHP_HEAT</v>
      </c>
      <c r="AA310" t="str">
        <f t="shared" ref="AA310:AA312" si="759">G310</f>
        <v>Building heat</v>
      </c>
      <c r="AB310" t="str">
        <f t="shared" ref="AB310:AB312" si="760">J310</f>
        <v>CO2 emissions</v>
      </c>
      <c r="AC310">
        <f t="shared" ref="AC310:AC312" ca="1" si="761">Y310</f>
        <v>6.5818347153869874E-2</v>
      </c>
      <c r="AD310">
        <v>251</v>
      </c>
      <c r="AE310" t="str">
        <f>IF(AND(ISNUMBER(SEARCH(O310,4)),ISNUMBER(SEARCH('(4) FCH pathway assessment'!$B$16,AB310)),ISNUMBER(SEARCH('(4) FCH pathway assessment'!$B$10,AA310))),AD310,"")</f>
        <v/>
      </c>
      <c r="AF310" t="str">
        <f t="shared" si="565"/>
        <v/>
      </c>
      <c r="AG310" t="str">
        <f>VLOOKUP(C310,Assumptions!$B$116:$C$162,2,FALSE)</f>
        <v>ELCTRLYZ_MED_C</v>
      </c>
      <c r="AH310" t="str">
        <f>VLOOKUP(D310,Assumptions!$B$116:$C$162,2,FALSE)</f>
        <v>C_GAS_STRG</v>
      </c>
      <c r="AI310" t="str">
        <f>VLOOKUP(E310,Assumptions!$B$116:$C$162,2,FALSE)</f>
        <v>H2_BLND_NG_P</v>
      </c>
      <c r="AJ310" t="str">
        <f>VLOOKUP(F310,Assumptions!$B$116:$C$162,2,FALSE)</f>
        <v>H2_FC_mCHP_HEAT</v>
      </c>
    </row>
    <row r="311" spans="2:36" x14ac:dyDescent="0.25">
      <c r="B311" t="s">
        <v>112</v>
      </c>
      <c r="C311" t="s">
        <v>51</v>
      </c>
      <c r="D311" t="s">
        <v>155</v>
      </c>
      <c r="E311" t="s">
        <v>122</v>
      </c>
      <c r="F311" t="s">
        <v>543</v>
      </c>
      <c r="G311" t="s">
        <v>132</v>
      </c>
      <c r="H311" t="s">
        <v>434</v>
      </c>
      <c r="I311" t="s">
        <v>32</v>
      </c>
      <c r="J311" t="s">
        <v>329</v>
      </c>
      <c r="K311">
        <f t="shared" si="748"/>
        <v>1</v>
      </c>
      <c r="L311">
        <f t="shared" si="749"/>
        <v>1</v>
      </c>
      <c r="M311">
        <f t="shared" si="750"/>
        <v>1</v>
      </c>
      <c r="N311">
        <f t="shared" si="751"/>
        <v>0</v>
      </c>
      <c r="O311">
        <f t="shared" si="752"/>
        <v>3</v>
      </c>
      <c r="P311" t="str">
        <f t="shared" si="753"/>
        <v>Medium centralized electrolysis-CO2 emissions</v>
      </c>
      <c r="Q311" t="str">
        <f t="shared" si="754"/>
        <v>Central gas storage-CO2 emissions</v>
      </c>
      <c r="R311" t="str">
        <f t="shared" si="755"/>
        <v>Hydrogen transmission &amp; distribution pipeline-CO2 emissions</v>
      </c>
      <c r="S311" t="str">
        <f t="shared" si="756"/>
        <v>Micro-CHP with H2 fuel cell (heat)-CO2 emissions</v>
      </c>
      <c r="T311">
        <f ca="1">IF(timePeriod="2020-30",(VLOOKUP($P311,'TA database'!$I$8:$J$79,2,FALSE)/VLOOKUP($D311,'Merit calculation'!$B$48:$I$52,5,FALSE)/VLOOKUP($E311,'Merit calculation'!$B$67:$I$73,5,FALSE)/VLOOKUP($F311,'Merit calculation'!$B$90:$I$103,5,FALSE)/energyContentH2),(VLOOKUP($P311,'TA database'!$I$8:$J$79,2,FALSE)/VLOOKUP($D311,'Merit calculation'!$B$48:$I$52,7,FALSE)/VLOOKUP($E311,'Merit calculation'!$B$67:$I$73,7,FALSE)/VLOOKUP($F311,'Merit calculation'!$B$90:$I$103,7,FALSE)/energyContentH2))</f>
        <v>1.8282874209408297E-2</v>
      </c>
      <c r="U311">
        <v>0</v>
      </c>
      <c r="V311">
        <v>0</v>
      </c>
      <c r="W311">
        <f ca="1">IFERROR(VLOOKUP($S311,'TA database'!$I$146:$J$193,2,FALSE),0)</f>
        <v>0</v>
      </c>
      <c r="X311">
        <f>IFERROR(VLOOKUP($S311,'TA database'!$I$200:$J$271,2,FALSE),0)</f>
        <v>0</v>
      </c>
      <c r="Y311">
        <f t="shared" ca="1" si="757"/>
        <v>6.5818347153869874E-2</v>
      </c>
      <c r="Z311" t="str">
        <f t="shared" si="758"/>
        <v>ELCTRLYZ_MED_C   →   C_GAS_STRG   →   H2_T&amp;D_P   →   H2_FC_mCHP_HEAT</v>
      </c>
      <c r="AA311" t="str">
        <f t="shared" si="759"/>
        <v>Building heat</v>
      </c>
      <c r="AB311" t="str">
        <f t="shared" si="760"/>
        <v>CO2 emissions</v>
      </c>
      <c r="AC311">
        <f t="shared" ca="1" si="761"/>
        <v>6.5818347153869874E-2</v>
      </c>
      <c r="AD311">
        <v>252</v>
      </c>
      <c r="AE311" t="str">
        <f>IF(AND(ISNUMBER(SEARCH(O311,4)),ISNUMBER(SEARCH('(4) FCH pathway assessment'!$B$16,AB311)),ISNUMBER(SEARCH('(4) FCH pathway assessment'!$B$10,AA311))),AD311,"")</f>
        <v/>
      </c>
      <c r="AF311" t="str">
        <f t="shared" si="565"/>
        <v/>
      </c>
      <c r="AG311" t="str">
        <f>VLOOKUP(C311,Assumptions!$B$116:$C$162,2,FALSE)</f>
        <v>ELCTRLYZ_MED_C</v>
      </c>
      <c r="AH311" t="str">
        <f>VLOOKUP(D311,Assumptions!$B$116:$C$162,2,FALSE)</f>
        <v>C_GAS_STRG</v>
      </c>
      <c r="AI311" t="str">
        <f>VLOOKUP(E311,Assumptions!$B$116:$C$162,2,FALSE)</f>
        <v>H2_T&amp;D_P</v>
      </c>
      <c r="AJ311" t="str">
        <f>VLOOKUP(F311,Assumptions!$B$116:$C$162,2,FALSE)</f>
        <v>H2_FC_mCHP_HEAT</v>
      </c>
    </row>
    <row r="312" spans="2:36" x14ac:dyDescent="0.25">
      <c r="B312" t="s">
        <v>112</v>
      </c>
      <c r="C312" t="s">
        <v>52</v>
      </c>
      <c r="D312" s="60" t="s">
        <v>130</v>
      </c>
      <c r="E312" t="s">
        <v>128</v>
      </c>
      <c r="F312" t="s">
        <v>543</v>
      </c>
      <c r="G312" t="s">
        <v>132</v>
      </c>
      <c r="H312" t="s">
        <v>434</v>
      </c>
      <c r="I312" t="s">
        <v>32</v>
      </c>
      <c r="J312" t="s">
        <v>329</v>
      </c>
      <c r="K312">
        <f t="shared" si="748"/>
        <v>1</v>
      </c>
      <c r="L312">
        <f t="shared" si="749"/>
        <v>1</v>
      </c>
      <c r="M312">
        <f t="shared" si="750"/>
        <v>1</v>
      </c>
      <c r="N312">
        <f t="shared" si="751"/>
        <v>0</v>
      </c>
      <c r="O312">
        <f t="shared" si="752"/>
        <v>3</v>
      </c>
      <c r="P312" t="str">
        <f t="shared" si="753"/>
        <v>Small decentralized electrolysis-CO2 emissions</v>
      </c>
      <c r="Q312" t="str">
        <f t="shared" si="754"/>
        <v>Distributed gas storage-CO2 emissions</v>
      </c>
      <c r="R312" t="str">
        <f t="shared" si="755"/>
        <v>Hydrogen distribution pipeline-CO2 emissions</v>
      </c>
      <c r="S312" t="str">
        <f t="shared" si="756"/>
        <v>Micro-CHP with H2 fuel cell (heat)-CO2 emissions</v>
      </c>
      <c r="T312">
        <f ca="1">IF(timePeriod="2020-30",(VLOOKUP($P312,'TA database'!$I$8:$J$79,2,FALSE)/VLOOKUP($D312,'Merit calculation'!$B$48:$I$52,5,FALSE)/VLOOKUP($E312,'Merit calculation'!$B$67:$I$73,5,FALSE)/VLOOKUP($F312,'Merit calculation'!$B$90:$I$103,5,FALSE)/energyContentH2),(VLOOKUP($P312,'TA database'!$I$8:$J$79,2,FALSE)/VLOOKUP($D312,'Merit calculation'!$B$48:$I$52,7,FALSE)/VLOOKUP($E312,'Merit calculation'!$B$67:$I$73,7,FALSE)/VLOOKUP($F312,'Merit calculation'!$B$90:$I$103,7,FALSE)/energyContentH2))</f>
        <v>1.8282874209408297E-2</v>
      </c>
      <c r="U312">
        <v>0</v>
      </c>
      <c r="V312">
        <v>0</v>
      </c>
      <c r="W312">
        <f ca="1">IFERROR(VLOOKUP($S312,'TA database'!$I$146:$J$193,2,FALSE),0)</f>
        <v>0</v>
      </c>
      <c r="X312">
        <f>IFERROR(VLOOKUP($S312,'TA database'!$I$200:$J$271,2,FALSE),0)</f>
        <v>0</v>
      </c>
      <c r="Y312">
        <f t="shared" ca="1" si="757"/>
        <v>6.5818347153869874E-2</v>
      </c>
      <c r="Z312" t="str">
        <f t="shared" si="758"/>
        <v>ELCTRLYZ_SML_D   →   D_GAS_STRG   →   H2_DSTRB_P   →   H2_FC_mCHP_HEAT</v>
      </c>
      <c r="AA312" t="str">
        <f t="shared" si="759"/>
        <v>Building heat</v>
      </c>
      <c r="AB312" t="str">
        <f t="shared" si="760"/>
        <v>CO2 emissions</v>
      </c>
      <c r="AC312">
        <f t="shared" ca="1" si="761"/>
        <v>6.5818347153869874E-2</v>
      </c>
      <c r="AD312">
        <v>253</v>
      </c>
      <c r="AE312" t="str">
        <f>IF(AND(ISNUMBER(SEARCH(O312,4)),ISNUMBER(SEARCH('(4) FCH pathway assessment'!$B$16,AB312)),ISNUMBER(SEARCH('(4) FCH pathway assessment'!$B$10,AA312))),AD312,"")</f>
        <v/>
      </c>
      <c r="AF312" t="str">
        <f t="shared" si="565"/>
        <v/>
      </c>
      <c r="AG312" t="str">
        <f>VLOOKUP(C312,Assumptions!$B$116:$C$162,2,FALSE)</f>
        <v>ELCTRLYZ_SML_D</v>
      </c>
      <c r="AH312" t="str">
        <f>VLOOKUP(D312,Assumptions!$B$116:$C$162,2,FALSE)</f>
        <v>D_GAS_STRG</v>
      </c>
      <c r="AI312" t="str">
        <f>VLOOKUP(E312,Assumptions!$B$116:$C$162,2,FALSE)</f>
        <v>H2_DSTRB_P</v>
      </c>
      <c r="AJ312" t="str">
        <f>VLOOKUP(F312,Assumptions!$B$116:$C$162,2,FALSE)</f>
        <v>H2_FC_mCHP_HEAT</v>
      </c>
    </row>
    <row r="313" spans="2:36" x14ac:dyDescent="0.25">
      <c r="B313" t="s">
        <v>127</v>
      </c>
      <c r="C313" t="s">
        <v>57</v>
      </c>
      <c r="D313" t="s">
        <v>62</v>
      </c>
      <c r="E313" t="s">
        <v>157</v>
      </c>
      <c r="F313" t="s">
        <v>543</v>
      </c>
      <c r="G313" t="s">
        <v>132</v>
      </c>
      <c r="H313" t="s">
        <v>434</v>
      </c>
      <c r="I313" t="s">
        <v>32</v>
      </c>
      <c r="J313" t="s">
        <v>329</v>
      </c>
      <c r="K313">
        <f t="shared" ref="K313:K317" si="762">SUMPRODUCT(($C$7:$C$18=$C313)*($D$6:$H$6=$D313)*($D$7:$H$18))</f>
        <v>1</v>
      </c>
      <c r="L313">
        <f t="shared" ref="L313:L317" si="763">SUMPRODUCT(($C$19:$C$23=$D313)*($I$6:$O$6=$E313)*($I$19:$O$23))</f>
        <v>0</v>
      </c>
      <c r="M313">
        <f t="shared" ref="M313:M317" si="764">SUMPRODUCT(($C$24:$C$30=$E313)*($P$6:$AI$6=$F313)*($P$24:$AI$30))</f>
        <v>0</v>
      </c>
      <c r="N313">
        <f t="shared" ref="N313:N317" si="765">SUMPRODUCT(($C$31:$C$50=$F313)*($AJ$6:$AM$6=$G313)*($AJ$31:$AM$50))</f>
        <v>0</v>
      </c>
      <c r="O313">
        <f t="shared" ref="O313:O317" si="766">K313+L313+M313+N313</f>
        <v>1</v>
      </c>
      <c r="P313" t="str">
        <f t="shared" ref="P313:P317" si="767">CONCATENATE(C313,"-",J313)</f>
        <v>Large centralized natural gas steam reforming-CO2 emissions</v>
      </c>
      <c r="Q313" t="str">
        <f t="shared" ref="Q313:Q317" si="768">CONCATENATE(D313,"-",J313)</f>
        <v>Underground storage-CO2 emissions</v>
      </c>
      <c r="R313" t="str">
        <f t="shared" ref="R313:R317" si="769">CONCATENATE(E313,"-",J313)</f>
        <v>Blending in natural gas pipeline-CO2 emissions</v>
      </c>
      <c r="S313" t="str">
        <f t="shared" ref="S313:S317" si="770">CONCATENATE(F313,"-",J313)</f>
        <v>Micro-CHP with H2 fuel cell (heat)-CO2 emissions</v>
      </c>
      <c r="T313">
        <f ca="1">IF(timePeriod="2020-30",(VLOOKUP($P313,'TA database'!$I$8:$J$79,2,FALSE)/VLOOKUP($D313,'Merit calculation'!$B$48:$I$52,5,FALSE)/VLOOKUP($E313,'Merit calculation'!$B$67:$I$73,5,FALSE)/VLOOKUP($F313,'Merit calculation'!$B$90:$I$103,5,FALSE)/energyContentH2),(VLOOKUP($P313,'TA database'!$I$8:$J$79,2,FALSE)/VLOOKUP($D313,'Merit calculation'!$B$48:$I$52,7,FALSE)/VLOOKUP($E313,'Merit calculation'!$B$67:$I$73,7,FALSE)/VLOOKUP($F313,'Merit calculation'!$B$90:$I$103,7,FALSE)/energyContentH2))</f>
        <v>7.3102244238898134E-2</v>
      </c>
      <c r="U313">
        <v>0</v>
      </c>
      <c r="V313">
        <v>0</v>
      </c>
      <c r="W313">
        <f ca="1">IFERROR(VLOOKUP($S313,'TA database'!$I$146:$J$193,2,FALSE),0)</f>
        <v>0</v>
      </c>
      <c r="X313">
        <f>IFERROR(VLOOKUP($S313,'TA database'!$I$200:$J$271,2,FALSE),0)</f>
        <v>0</v>
      </c>
      <c r="Y313">
        <f t="shared" ref="Y313:Y317" ca="1" si="771">IF($W313=0,T313*3.6+X313,T313+W313)</f>
        <v>0.26316807926003327</v>
      </c>
      <c r="Z313" t="str">
        <f t="shared" ref="Z313:Z317" si="772">CONCATENATE(AG313,"   →   ",AH313,"   →   ",AI313,"   →   ",AJ313)</f>
        <v>NG_SR_LRG_C   →   C_UNDRGRND_STRG   →   H2_BLND_NG_P   →   H2_FC_mCHP_HEAT</v>
      </c>
      <c r="AA313" t="str">
        <f t="shared" ref="AA313:AA317" si="773">G313</f>
        <v>Building heat</v>
      </c>
      <c r="AB313" t="str">
        <f t="shared" ref="AB313:AB317" si="774">J313</f>
        <v>CO2 emissions</v>
      </c>
      <c r="AC313">
        <f t="shared" ref="AC313:AC317" ca="1" si="775">Y313</f>
        <v>0.26316807926003327</v>
      </c>
      <c r="AD313">
        <v>254</v>
      </c>
      <c r="AE313" t="str">
        <f>IF(AND(ISNUMBER(SEARCH(O313,4)),ISNUMBER(SEARCH('(4) FCH pathway assessment'!$B$16,AB313)),ISNUMBER(SEARCH('(4) FCH pathway assessment'!$B$10,AA313))),AD313,"")</f>
        <v/>
      </c>
      <c r="AF313" t="str">
        <f t="shared" si="565"/>
        <v/>
      </c>
      <c r="AG313" t="str">
        <f>VLOOKUP(C313,Assumptions!$B$116:$C$162,2,FALSE)</f>
        <v>NG_SR_LRG_C</v>
      </c>
      <c r="AH313" t="str">
        <f>VLOOKUP(D313,Assumptions!$B$116:$C$162,2,FALSE)</f>
        <v>C_UNDRGRND_STRG</v>
      </c>
      <c r="AI313" t="str">
        <f>VLOOKUP(E313,Assumptions!$B$116:$C$162,2,FALSE)</f>
        <v>H2_BLND_NG_P</v>
      </c>
      <c r="AJ313" t="str">
        <f>VLOOKUP(F313,Assumptions!$B$116:$C$162,2,FALSE)</f>
        <v>H2_FC_mCHP_HEAT</v>
      </c>
    </row>
    <row r="314" spans="2:36" x14ac:dyDescent="0.25">
      <c r="B314" t="s">
        <v>127</v>
      </c>
      <c r="C314" t="s">
        <v>57</v>
      </c>
      <c r="D314" t="s">
        <v>62</v>
      </c>
      <c r="E314" t="s">
        <v>122</v>
      </c>
      <c r="F314" t="s">
        <v>543</v>
      </c>
      <c r="G314" t="s">
        <v>132</v>
      </c>
      <c r="H314" t="s">
        <v>434</v>
      </c>
      <c r="I314" t="s">
        <v>32</v>
      </c>
      <c r="J314" t="s">
        <v>329</v>
      </c>
      <c r="K314">
        <f t="shared" si="762"/>
        <v>1</v>
      </c>
      <c r="L314">
        <f t="shared" si="763"/>
        <v>0</v>
      </c>
      <c r="M314">
        <f t="shared" si="764"/>
        <v>1</v>
      </c>
      <c r="N314">
        <f t="shared" si="765"/>
        <v>0</v>
      </c>
      <c r="O314">
        <f t="shared" si="766"/>
        <v>2</v>
      </c>
      <c r="P314" t="str">
        <f t="shared" si="767"/>
        <v>Large centralized natural gas steam reforming-CO2 emissions</v>
      </c>
      <c r="Q314" t="str">
        <f t="shared" si="768"/>
        <v>Underground storage-CO2 emissions</v>
      </c>
      <c r="R314" t="str">
        <f t="shared" si="769"/>
        <v>Hydrogen transmission &amp; distribution pipeline-CO2 emissions</v>
      </c>
      <c r="S314" t="str">
        <f t="shared" si="770"/>
        <v>Micro-CHP with H2 fuel cell (heat)-CO2 emissions</v>
      </c>
      <c r="T314">
        <f ca="1">IF(timePeriod="2020-30",(VLOOKUP($P314,'TA database'!$I$8:$J$79,2,FALSE)/VLOOKUP($D314,'Merit calculation'!$B$48:$I$52,5,FALSE)/VLOOKUP($E314,'Merit calculation'!$B$67:$I$73,5,FALSE)/VLOOKUP($F314,'Merit calculation'!$B$90:$I$103,5,FALSE)/energyContentH2),(VLOOKUP($P314,'TA database'!$I$8:$J$79,2,FALSE)/VLOOKUP($D314,'Merit calculation'!$B$48:$I$52,7,FALSE)/VLOOKUP($E314,'Merit calculation'!$B$67:$I$73,7,FALSE)/VLOOKUP($F314,'Merit calculation'!$B$90:$I$103,7,FALSE)/energyContentH2))</f>
        <v>7.3102244238898134E-2</v>
      </c>
      <c r="U314">
        <v>0</v>
      </c>
      <c r="V314">
        <v>0</v>
      </c>
      <c r="W314">
        <f ca="1">IFERROR(VLOOKUP($S314,'TA database'!$I$146:$J$193,2,FALSE),0)</f>
        <v>0</v>
      </c>
      <c r="X314">
        <f>IFERROR(VLOOKUP($S314,'TA database'!$I$200:$J$271,2,FALSE),0)</f>
        <v>0</v>
      </c>
      <c r="Y314">
        <f t="shared" ca="1" si="771"/>
        <v>0.26316807926003327</v>
      </c>
      <c r="Z314" t="str">
        <f t="shared" si="772"/>
        <v>NG_SR_LRG_C   →   C_UNDRGRND_STRG   →   H2_T&amp;D_P   →   H2_FC_mCHP_HEAT</v>
      </c>
      <c r="AA314" t="str">
        <f t="shared" si="773"/>
        <v>Building heat</v>
      </c>
      <c r="AB314" t="str">
        <f t="shared" si="774"/>
        <v>CO2 emissions</v>
      </c>
      <c r="AC314">
        <f t="shared" ca="1" si="775"/>
        <v>0.26316807926003327</v>
      </c>
      <c r="AD314">
        <v>255</v>
      </c>
      <c r="AE314" t="str">
        <f>IF(AND(ISNUMBER(SEARCH(O314,4)),ISNUMBER(SEARCH('(4) FCH pathway assessment'!$B$16,AB314)),ISNUMBER(SEARCH('(4) FCH pathway assessment'!$B$10,AA314))),AD314,"")</f>
        <v/>
      </c>
      <c r="AF314" t="str">
        <f t="shared" si="565"/>
        <v/>
      </c>
      <c r="AG314" t="str">
        <f>VLOOKUP(C314,Assumptions!$B$116:$C$162,2,FALSE)</f>
        <v>NG_SR_LRG_C</v>
      </c>
      <c r="AH314" t="str">
        <f>VLOOKUP(D314,Assumptions!$B$116:$C$162,2,FALSE)</f>
        <v>C_UNDRGRND_STRG</v>
      </c>
      <c r="AI314" t="str">
        <f>VLOOKUP(E314,Assumptions!$B$116:$C$162,2,FALSE)</f>
        <v>H2_T&amp;D_P</v>
      </c>
      <c r="AJ314" t="str">
        <f>VLOOKUP(F314,Assumptions!$B$116:$C$162,2,FALSE)</f>
        <v>H2_FC_mCHP_HEAT</v>
      </c>
    </row>
    <row r="315" spans="2:36" x14ac:dyDescent="0.25">
      <c r="B315" t="s">
        <v>127</v>
      </c>
      <c r="C315" t="s">
        <v>57</v>
      </c>
      <c r="D315" s="61" t="s">
        <v>63</v>
      </c>
      <c r="E315" t="s">
        <v>122</v>
      </c>
      <c r="F315" t="s">
        <v>543</v>
      </c>
      <c r="G315" t="s">
        <v>132</v>
      </c>
      <c r="H315" t="s">
        <v>434</v>
      </c>
      <c r="I315" t="s">
        <v>32</v>
      </c>
      <c r="J315" t="s">
        <v>329</v>
      </c>
      <c r="K315">
        <f t="shared" si="762"/>
        <v>1</v>
      </c>
      <c r="L315">
        <f t="shared" si="763"/>
        <v>1</v>
      </c>
      <c r="M315">
        <f t="shared" si="764"/>
        <v>1</v>
      </c>
      <c r="N315">
        <f t="shared" si="765"/>
        <v>0</v>
      </c>
      <c r="O315">
        <f t="shared" si="766"/>
        <v>3</v>
      </c>
      <c r="P315" t="str">
        <f t="shared" si="767"/>
        <v>Large centralized natural gas steam reforming-CO2 emissions</v>
      </c>
      <c r="Q315" t="str">
        <f t="shared" si="768"/>
        <v>No storage-CO2 emissions</v>
      </c>
      <c r="R315" t="str">
        <f t="shared" si="769"/>
        <v>Hydrogen transmission &amp; distribution pipeline-CO2 emissions</v>
      </c>
      <c r="S315" t="str">
        <f t="shared" si="770"/>
        <v>Micro-CHP with H2 fuel cell (heat)-CO2 emissions</v>
      </c>
      <c r="T315">
        <f ca="1">IF(timePeriod="2020-30",(VLOOKUP($P315,'TA database'!$I$8:$J$79,2,FALSE)/VLOOKUP($D315,'Merit calculation'!$B$48:$I$52,5,FALSE)/VLOOKUP($E315,'Merit calculation'!$B$67:$I$73,5,FALSE)/VLOOKUP($F315,'Merit calculation'!$B$90:$I$103,5,FALSE)/energyContentH2),(VLOOKUP($P315,'TA database'!$I$8:$J$79,2,FALSE)/VLOOKUP($D315,'Merit calculation'!$B$48:$I$52,7,FALSE)/VLOOKUP($E315,'Merit calculation'!$B$67:$I$73,7,FALSE)/VLOOKUP($F315,'Merit calculation'!$B$90:$I$103,7,FALSE)/energyContentH2))</f>
        <v>7.237122179650915E-2</v>
      </c>
      <c r="U315">
        <v>0</v>
      </c>
      <c r="V315">
        <v>0</v>
      </c>
      <c r="W315">
        <f ca="1">IFERROR(VLOOKUP($S315,'TA database'!$I$146:$J$193,2,FALSE),0)</f>
        <v>0</v>
      </c>
      <c r="X315">
        <f>IFERROR(VLOOKUP($S315,'TA database'!$I$200:$J$271,2,FALSE),0)</f>
        <v>0</v>
      </c>
      <c r="Y315">
        <f t="shared" ca="1" si="771"/>
        <v>0.26053639846743293</v>
      </c>
      <c r="Z315" t="str">
        <f t="shared" si="772"/>
        <v>NG_SR_LRG_C   →   NO_STRG   →   H2_T&amp;D_P   →   H2_FC_mCHP_HEAT</v>
      </c>
      <c r="AA315" t="str">
        <f t="shared" si="773"/>
        <v>Building heat</v>
      </c>
      <c r="AB315" t="str">
        <f t="shared" si="774"/>
        <v>CO2 emissions</v>
      </c>
      <c r="AC315">
        <f t="shared" ca="1" si="775"/>
        <v>0.26053639846743293</v>
      </c>
      <c r="AD315">
        <v>256</v>
      </c>
      <c r="AE315" t="str">
        <f>IF(AND(ISNUMBER(SEARCH(O315,4)),ISNUMBER(SEARCH('(4) FCH pathway assessment'!$B$16,AB315)),ISNUMBER(SEARCH('(4) FCH pathway assessment'!$B$10,AA315))),AD315,"")</f>
        <v/>
      </c>
      <c r="AF315" t="str">
        <f t="shared" si="565"/>
        <v/>
      </c>
      <c r="AG315" t="str">
        <f>VLOOKUP(C315,Assumptions!$B$116:$C$162,2,FALSE)</f>
        <v>NG_SR_LRG_C</v>
      </c>
      <c r="AH315" t="str">
        <f>VLOOKUP(D315,Assumptions!$B$116:$C$162,2,FALSE)</f>
        <v>NO_STRG</v>
      </c>
      <c r="AI315" t="str">
        <f>VLOOKUP(E315,Assumptions!$B$116:$C$162,2,FALSE)</f>
        <v>H2_T&amp;D_P</v>
      </c>
      <c r="AJ315" t="str">
        <f>VLOOKUP(F315,Assumptions!$B$116:$C$162,2,FALSE)</f>
        <v>H2_FC_mCHP_HEAT</v>
      </c>
    </row>
    <row r="316" spans="2:36" x14ac:dyDescent="0.25">
      <c r="B316" t="s">
        <v>127</v>
      </c>
      <c r="C316" t="s">
        <v>58</v>
      </c>
      <c r="D316" t="s">
        <v>155</v>
      </c>
      <c r="E316" t="s">
        <v>157</v>
      </c>
      <c r="F316" t="s">
        <v>543</v>
      </c>
      <c r="G316" t="s">
        <v>132</v>
      </c>
      <c r="H316" t="s">
        <v>434</v>
      </c>
      <c r="I316" t="s">
        <v>32</v>
      </c>
      <c r="J316" t="s">
        <v>329</v>
      </c>
      <c r="K316">
        <f t="shared" si="762"/>
        <v>1</v>
      </c>
      <c r="L316">
        <f t="shared" si="763"/>
        <v>1</v>
      </c>
      <c r="M316">
        <f t="shared" si="764"/>
        <v>0</v>
      </c>
      <c r="N316">
        <f t="shared" si="765"/>
        <v>0</v>
      </c>
      <c r="O316">
        <f t="shared" si="766"/>
        <v>2</v>
      </c>
      <c r="P316" t="str">
        <f t="shared" si="767"/>
        <v>Small centralized natural gas steam reforming-CO2 emissions</v>
      </c>
      <c r="Q316" t="str">
        <f t="shared" si="768"/>
        <v>Central gas storage-CO2 emissions</v>
      </c>
      <c r="R316" t="str">
        <f t="shared" si="769"/>
        <v>Blending in natural gas pipeline-CO2 emissions</v>
      </c>
      <c r="S316" t="str">
        <f t="shared" si="770"/>
        <v>Micro-CHP with H2 fuel cell (heat)-CO2 emissions</v>
      </c>
      <c r="T316">
        <f ca="1">IF(timePeriod="2020-30",(VLOOKUP($P316,'TA database'!$I$8:$J$79,2,FALSE)/VLOOKUP($D316,'Merit calculation'!$B$48:$I$52,5,FALSE)/VLOOKUP($E316,'Merit calculation'!$B$67:$I$73,5,FALSE)/VLOOKUP($F316,'Merit calculation'!$B$90:$I$103,5,FALSE)/energyContentH2),(VLOOKUP($P316,'TA database'!$I$8:$J$79,2,FALSE)/VLOOKUP($D316,'Merit calculation'!$B$48:$I$52,7,FALSE)/VLOOKUP($E316,'Merit calculation'!$B$67:$I$73,7,FALSE)/VLOOKUP($F316,'Merit calculation'!$B$90:$I$103,7,FALSE)/energyContentH2))</f>
        <v>7.3848185506641989E-2</v>
      </c>
      <c r="U316">
        <v>0</v>
      </c>
      <c r="V316">
        <v>0</v>
      </c>
      <c r="W316">
        <f ca="1">IFERROR(VLOOKUP($S316,'TA database'!$I$146:$J$193,2,FALSE),0)</f>
        <v>0</v>
      </c>
      <c r="X316">
        <f>IFERROR(VLOOKUP($S316,'TA database'!$I$200:$J$271,2,FALSE),0)</f>
        <v>0</v>
      </c>
      <c r="Y316">
        <f t="shared" ca="1" si="771"/>
        <v>0.26585346782391117</v>
      </c>
      <c r="Z316" t="str">
        <f t="shared" si="772"/>
        <v>NG_SR_SML_C   →   C_GAS_STRG   →   H2_BLND_NG_P   →   H2_FC_mCHP_HEAT</v>
      </c>
      <c r="AA316" t="str">
        <f t="shared" si="773"/>
        <v>Building heat</v>
      </c>
      <c r="AB316" t="str">
        <f t="shared" si="774"/>
        <v>CO2 emissions</v>
      </c>
      <c r="AC316">
        <f t="shared" ca="1" si="775"/>
        <v>0.26585346782391117</v>
      </c>
      <c r="AD316">
        <v>257</v>
      </c>
      <c r="AE316" t="str">
        <f>IF(AND(ISNUMBER(SEARCH(O316,4)),ISNUMBER(SEARCH('(4) FCH pathway assessment'!$B$16,AB316)),ISNUMBER(SEARCH('(4) FCH pathway assessment'!$B$10,AA316))),AD316,"")</f>
        <v/>
      </c>
      <c r="AF316" t="str">
        <f t="shared" ref="AF316:AF379" si="776">IFERROR(SMALL($AE$60:$AE$1991,AD316),"")</f>
        <v/>
      </c>
      <c r="AG316" t="str">
        <f>VLOOKUP(C316,Assumptions!$B$116:$C$162,2,FALSE)</f>
        <v>NG_SR_SML_C</v>
      </c>
      <c r="AH316" t="str">
        <f>VLOOKUP(D316,Assumptions!$B$116:$C$162,2,FALSE)</f>
        <v>C_GAS_STRG</v>
      </c>
      <c r="AI316" t="str">
        <f>VLOOKUP(E316,Assumptions!$B$116:$C$162,2,FALSE)</f>
        <v>H2_BLND_NG_P</v>
      </c>
      <c r="AJ316" t="str">
        <f>VLOOKUP(F316,Assumptions!$B$116:$C$162,2,FALSE)</f>
        <v>H2_FC_mCHP_HEAT</v>
      </c>
    </row>
    <row r="317" spans="2:36" x14ac:dyDescent="0.25">
      <c r="B317" t="s">
        <v>127</v>
      </c>
      <c r="C317" t="s">
        <v>58</v>
      </c>
      <c r="D317" t="s">
        <v>155</v>
      </c>
      <c r="E317" t="s">
        <v>122</v>
      </c>
      <c r="F317" t="s">
        <v>543</v>
      </c>
      <c r="G317" t="s">
        <v>132</v>
      </c>
      <c r="H317" t="s">
        <v>434</v>
      </c>
      <c r="I317" t="s">
        <v>32</v>
      </c>
      <c r="J317" t="s">
        <v>329</v>
      </c>
      <c r="K317">
        <f t="shared" si="762"/>
        <v>1</v>
      </c>
      <c r="L317">
        <f t="shared" si="763"/>
        <v>1</v>
      </c>
      <c r="M317">
        <f t="shared" si="764"/>
        <v>1</v>
      </c>
      <c r="N317">
        <f t="shared" si="765"/>
        <v>0</v>
      </c>
      <c r="O317">
        <f t="shared" si="766"/>
        <v>3</v>
      </c>
      <c r="P317" t="str">
        <f t="shared" si="767"/>
        <v>Small centralized natural gas steam reforming-CO2 emissions</v>
      </c>
      <c r="Q317" t="str">
        <f t="shared" si="768"/>
        <v>Central gas storage-CO2 emissions</v>
      </c>
      <c r="R317" t="str">
        <f t="shared" si="769"/>
        <v>Hydrogen transmission &amp; distribution pipeline-CO2 emissions</v>
      </c>
      <c r="S317" t="str">
        <f t="shared" si="770"/>
        <v>Micro-CHP with H2 fuel cell (heat)-CO2 emissions</v>
      </c>
      <c r="T317">
        <f ca="1">IF(timePeriod="2020-30",(VLOOKUP($P317,'TA database'!$I$8:$J$79,2,FALSE)/VLOOKUP($D317,'Merit calculation'!$B$48:$I$52,5,FALSE)/VLOOKUP($E317,'Merit calculation'!$B$67:$I$73,5,FALSE)/VLOOKUP($F317,'Merit calculation'!$B$90:$I$103,5,FALSE)/energyContentH2),(VLOOKUP($P317,'TA database'!$I$8:$J$79,2,FALSE)/VLOOKUP($D317,'Merit calculation'!$B$48:$I$52,7,FALSE)/VLOOKUP($E317,'Merit calculation'!$B$67:$I$73,7,FALSE)/VLOOKUP($F317,'Merit calculation'!$B$90:$I$103,7,FALSE)/energyContentH2))</f>
        <v>7.3848185506641989E-2</v>
      </c>
      <c r="U317">
        <v>0</v>
      </c>
      <c r="V317">
        <v>0</v>
      </c>
      <c r="W317">
        <f ca="1">IFERROR(VLOOKUP($S317,'TA database'!$I$146:$J$193,2,FALSE),0)</f>
        <v>0</v>
      </c>
      <c r="X317">
        <f>IFERROR(VLOOKUP($S317,'TA database'!$I$200:$J$271,2,FALSE),0)</f>
        <v>0</v>
      </c>
      <c r="Y317">
        <f t="shared" ca="1" si="771"/>
        <v>0.26585346782391117</v>
      </c>
      <c r="Z317" t="str">
        <f t="shared" si="772"/>
        <v>NG_SR_SML_C   →   C_GAS_STRG   →   H2_T&amp;D_P   →   H2_FC_mCHP_HEAT</v>
      </c>
      <c r="AA317" t="str">
        <f t="shared" si="773"/>
        <v>Building heat</v>
      </c>
      <c r="AB317" t="str">
        <f t="shared" si="774"/>
        <v>CO2 emissions</v>
      </c>
      <c r="AC317">
        <f t="shared" ca="1" si="775"/>
        <v>0.26585346782391117</v>
      </c>
      <c r="AD317">
        <v>258</v>
      </c>
      <c r="AE317" t="str">
        <f>IF(AND(ISNUMBER(SEARCH(O317,4)),ISNUMBER(SEARCH('(4) FCH pathway assessment'!$B$16,AB317)),ISNUMBER(SEARCH('(4) FCH pathway assessment'!$B$10,AA317))),AD317,"")</f>
        <v/>
      </c>
      <c r="AF317" t="str">
        <f t="shared" si="776"/>
        <v/>
      </c>
      <c r="AG317" t="str">
        <f>VLOOKUP(C317,Assumptions!$B$116:$C$162,2,FALSE)</f>
        <v>NG_SR_SML_C</v>
      </c>
      <c r="AH317" t="str">
        <f>VLOOKUP(D317,Assumptions!$B$116:$C$162,2,FALSE)</f>
        <v>C_GAS_STRG</v>
      </c>
      <c r="AI317" t="str">
        <f>VLOOKUP(E317,Assumptions!$B$116:$C$162,2,FALSE)</f>
        <v>H2_T&amp;D_P</v>
      </c>
      <c r="AJ317" t="str">
        <f>VLOOKUP(F317,Assumptions!$B$116:$C$162,2,FALSE)</f>
        <v>H2_FC_mCHP_HEAT</v>
      </c>
    </row>
    <row r="318" spans="2:36" x14ac:dyDescent="0.25">
      <c r="B318" t="s">
        <v>127</v>
      </c>
      <c r="C318" t="s">
        <v>59</v>
      </c>
      <c r="D318" s="60" t="s">
        <v>130</v>
      </c>
      <c r="E318" t="s">
        <v>128</v>
      </c>
      <c r="F318" t="s">
        <v>543</v>
      </c>
      <c r="G318" t="s">
        <v>132</v>
      </c>
      <c r="H318" t="s">
        <v>434</v>
      </c>
      <c r="I318" t="s">
        <v>32</v>
      </c>
      <c r="J318" t="s">
        <v>329</v>
      </c>
      <c r="K318">
        <f t="shared" ref="K318:K319" si="777">SUMPRODUCT(($C$7:$C$18=$C318)*($D$6:$H$6=$D318)*($D$7:$H$18))</f>
        <v>1</v>
      </c>
      <c r="L318">
        <f t="shared" ref="L318:L319" si="778">SUMPRODUCT(($C$19:$C$23=$D318)*($I$6:$O$6=$E318)*($I$19:$O$23))</f>
        <v>1</v>
      </c>
      <c r="M318">
        <f t="shared" ref="M318:M319" si="779">SUMPRODUCT(($C$24:$C$30=$E318)*($P$6:$AI$6=$F318)*($P$24:$AI$30))</f>
        <v>1</v>
      </c>
      <c r="N318">
        <f t="shared" ref="N318:N319" si="780">SUMPRODUCT(($C$31:$C$50=$F318)*($AJ$6:$AM$6=$G318)*($AJ$31:$AM$50))</f>
        <v>0</v>
      </c>
      <c r="O318">
        <f t="shared" ref="O318:O319" si="781">K318+L318+M318+N318</f>
        <v>3</v>
      </c>
      <c r="P318" t="str">
        <f t="shared" ref="P318:P319" si="782">CONCATENATE(C318,"-",J318)</f>
        <v>Medium decentralized natural gas steam reforming-CO2 emissions</v>
      </c>
      <c r="Q318" t="str">
        <f t="shared" ref="Q318:Q319" si="783">CONCATENATE(D318,"-",J318)</f>
        <v>Distributed gas storage-CO2 emissions</v>
      </c>
      <c r="R318" t="str">
        <f t="shared" ref="R318:R319" si="784">CONCATENATE(E318,"-",J318)</f>
        <v>Hydrogen distribution pipeline-CO2 emissions</v>
      </c>
      <c r="S318" t="str">
        <f t="shared" ref="S318:S319" si="785">CONCATENATE(F318,"-",J318)</f>
        <v>Micro-CHP with H2 fuel cell (heat)-CO2 emissions</v>
      </c>
      <c r="T318">
        <f ca="1">IF(timePeriod="2020-30",(VLOOKUP($P318,'TA database'!$I$8:$J$79,2,FALSE)/VLOOKUP($D318,'Merit calculation'!$B$48:$I$52,5,FALSE)/VLOOKUP($E318,'Merit calculation'!$B$67:$I$73,5,FALSE)/VLOOKUP($F318,'Merit calculation'!$B$90:$I$103,5,FALSE)/energyContentH2),(VLOOKUP($P318,'TA database'!$I$8:$J$79,2,FALSE)/VLOOKUP($D318,'Merit calculation'!$B$48:$I$52,7,FALSE)/VLOOKUP($E318,'Merit calculation'!$B$67:$I$73,7,FALSE)/VLOOKUP($F318,'Merit calculation'!$B$90:$I$103,7,FALSE)/energyContentH2))</f>
        <v>7.7282984832532306E-2</v>
      </c>
      <c r="U318">
        <v>0</v>
      </c>
      <c r="V318">
        <v>0</v>
      </c>
      <c r="W318">
        <f ca="1">IFERROR(VLOOKUP($S318,'TA database'!$I$146:$J$193,2,FALSE),0)</f>
        <v>0</v>
      </c>
      <c r="X318">
        <f>IFERROR(VLOOKUP($S318,'TA database'!$I$200:$J$271,2,FALSE),0)</f>
        <v>0</v>
      </c>
      <c r="Y318">
        <f t="shared" ref="Y318:Y319" ca="1" si="786">IF($W318=0,T318*3.6+X318,T318+W318)</f>
        <v>0.27821874539711633</v>
      </c>
      <c r="Z318" t="str">
        <f t="shared" ref="Z318:Z319" si="787">CONCATENATE(AG318,"   →   ",AH318,"   →   ",AI318,"   →   ",AJ318)</f>
        <v>NG_SR_MED_D   →   D_GAS_STRG   →   H2_DSTRB_P   →   H2_FC_mCHP_HEAT</v>
      </c>
      <c r="AA318" t="str">
        <f t="shared" ref="AA318:AA319" si="788">G318</f>
        <v>Building heat</v>
      </c>
      <c r="AB318" t="str">
        <f t="shared" ref="AB318:AB319" si="789">J318</f>
        <v>CO2 emissions</v>
      </c>
      <c r="AC318">
        <f t="shared" ref="AC318:AC319" ca="1" si="790">Y318</f>
        <v>0.27821874539711633</v>
      </c>
      <c r="AD318">
        <v>259</v>
      </c>
      <c r="AE318" t="str">
        <f>IF(AND(ISNUMBER(SEARCH(O318,4)),ISNUMBER(SEARCH('(4) FCH pathway assessment'!$B$16,AB318)),ISNUMBER(SEARCH('(4) FCH pathway assessment'!$B$10,AA318))),AD318,"")</f>
        <v/>
      </c>
      <c r="AF318" t="str">
        <f t="shared" si="776"/>
        <v/>
      </c>
      <c r="AG318" t="str">
        <f>VLOOKUP(C318,Assumptions!$B$116:$C$162,2,FALSE)</f>
        <v>NG_SR_MED_D</v>
      </c>
      <c r="AH318" t="str">
        <f>VLOOKUP(D318,Assumptions!$B$116:$C$162,2,FALSE)</f>
        <v>D_GAS_STRG</v>
      </c>
      <c r="AI318" t="str">
        <f>VLOOKUP(E318,Assumptions!$B$116:$C$162,2,FALSE)</f>
        <v>H2_DSTRB_P</v>
      </c>
      <c r="AJ318" t="str">
        <f>VLOOKUP(F318,Assumptions!$B$116:$C$162,2,FALSE)</f>
        <v>H2_FC_mCHP_HEAT</v>
      </c>
    </row>
    <row r="319" spans="2:36" x14ac:dyDescent="0.25">
      <c r="B319" t="s">
        <v>127</v>
      </c>
      <c r="C319" t="s">
        <v>60</v>
      </c>
      <c r="D319" s="60" t="s">
        <v>130</v>
      </c>
      <c r="E319" t="s">
        <v>128</v>
      </c>
      <c r="F319" t="s">
        <v>543</v>
      </c>
      <c r="G319" t="s">
        <v>132</v>
      </c>
      <c r="H319" t="s">
        <v>434</v>
      </c>
      <c r="I319" t="s">
        <v>32</v>
      </c>
      <c r="J319" t="s">
        <v>329</v>
      </c>
      <c r="K319">
        <f t="shared" si="777"/>
        <v>1</v>
      </c>
      <c r="L319">
        <f t="shared" si="778"/>
        <v>1</v>
      </c>
      <c r="M319">
        <f t="shared" si="779"/>
        <v>1</v>
      </c>
      <c r="N319">
        <f t="shared" si="780"/>
        <v>0</v>
      </c>
      <c r="O319">
        <f t="shared" si="781"/>
        <v>3</v>
      </c>
      <c r="P319" t="str">
        <f t="shared" si="782"/>
        <v>Small decentralized natural gas steam reforming-CO2 emissions</v>
      </c>
      <c r="Q319" t="str">
        <f t="shared" si="783"/>
        <v>Distributed gas storage-CO2 emissions</v>
      </c>
      <c r="R319" t="str">
        <f t="shared" si="784"/>
        <v>Hydrogen distribution pipeline-CO2 emissions</v>
      </c>
      <c r="S319" t="str">
        <f t="shared" si="785"/>
        <v>Micro-CHP with H2 fuel cell (heat)-CO2 emissions</v>
      </c>
      <c r="T319">
        <f ca="1">IF(timePeriod="2020-30",(VLOOKUP($P319,'TA database'!$I$8:$J$79,2,FALSE)/VLOOKUP($D319,'Merit calculation'!$B$48:$I$52,5,FALSE)/VLOOKUP($E319,'Merit calculation'!$B$67:$I$73,5,FALSE)/VLOOKUP($F319,'Merit calculation'!$B$90:$I$103,5,FALSE)/energyContentH2),(VLOOKUP($P319,'TA database'!$I$8:$J$79,2,FALSE)/VLOOKUP($D319,'Merit calculation'!$B$48:$I$52,7,FALSE)/VLOOKUP($E319,'Merit calculation'!$B$67:$I$73,7,FALSE)/VLOOKUP($F319,'Merit calculation'!$B$90:$I$103,7,FALSE)/energyContentH2))</f>
        <v>7.3848185506641989E-2</v>
      </c>
      <c r="U319">
        <v>0</v>
      </c>
      <c r="V319">
        <v>0</v>
      </c>
      <c r="W319">
        <f ca="1">IFERROR(VLOOKUP($S319,'TA database'!$I$146:$J$193,2,FALSE),0)</f>
        <v>0</v>
      </c>
      <c r="X319">
        <f>IFERROR(VLOOKUP($S319,'TA database'!$I$200:$J$271,2,FALSE),0)</f>
        <v>0</v>
      </c>
      <c r="Y319">
        <f t="shared" ca="1" si="786"/>
        <v>0.26585346782391117</v>
      </c>
      <c r="Z319" t="str">
        <f t="shared" si="787"/>
        <v>NG_SR_SML_D   →   D_GAS_STRG   →   H2_DSTRB_P   →   H2_FC_mCHP_HEAT</v>
      </c>
      <c r="AA319" t="str">
        <f t="shared" si="788"/>
        <v>Building heat</v>
      </c>
      <c r="AB319" t="str">
        <f t="shared" si="789"/>
        <v>CO2 emissions</v>
      </c>
      <c r="AC319">
        <f t="shared" ca="1" si="790"/>
        <v>0.26585346782391117</v>
      </c>
      <c r="AD319">
        <v>260</v>
      </c>
      <c r="AE319" t="str">
        <f>IF(AND(ISNUMBER(SEARCH(O319,4)),ISNUMBER(SEARCH('(4) FCH pathway assessment'!$B$16,AB319)),ISNUMBER(SEARCH('(4) FCH pathway assessment'!$B$10,AA319))),AD319,"")</f>
        <v/>
      </c>
      <c r="AF319" t="str">
        <f t="shared" si="776"/>
        <v/>
      </c>
      <c r="AG319" t="str">
        <f>VLOOKUP(C319,Assumptions!$B$116:$C$162,2,FALSE)</f>
        <v>NG_SR_SML_D</v>
      </c>
      <c r="AH319" t="str">
        <f>VLOOKUP(D319,Assumptions!$B$116:$C$162,2,FALSE)</f>
        <v>D_GAS_STRG</v>
      </c>
      <c r="AI319" t="str">
        <f>VLOOKUP(E319,Assumptions!$B$116:$C$162,2,FALSE)</f>
        <v>H2_DSTRB_P</v>
      </c>
      <c r="AJ319" t="str">
        <f>VLOOKUP(F319,Assumptions!$B$116:$C$162,2,FALSE)</f>
        <v>H2_FC_mCHP_HEAT</v>
      </c>
    </row>
    <row r="320" spans="2:36" x14ac:dyDescent="0.25">
      <c r="B320" t="s">
        <v>117</v>
      </c>
      <c r="C320" t="s">
        <v>53</v>
      </c>
      <c r="D320" t="s">
        <v>155</v>
      </c>
      <c r="E320" t="s">
        <v>65</v>
      </c>
      <c r="F320" t="s">
        <v>553</v>
      </c>
      <c r="G320" t="s">
        <v>132</v>
      </c>
      <c r="H320" t="s">
        <v>434</v>
      </c>
      <c r="I320" t="s">
        <v>32</v>
      </c>
      <c r="J320" t="s">
        <v>329</v>
      </c>
      <c r="K320">
        <f t="shared" ref="K320" si="791">SUMPRODUCT(($C$7:$C$18=$C320)*($D$6:$H$6=$D320)*($D$7:$H$18))</f>
        <v>0</v>
      </c>
      <c r="L320">
        <f t="shared" ref="L320" si="792">SUMPRODUCT(($C$19:$C$23=$D320)*($I$6:$O$6=$E320)*($I$19:$O$23))</f>
        <v>1</v>
      </c>
      <c r="M320">
        <f t="shared" ref="M320" si="793">SUMPRODUCT(($C$24:$C$30=$E320)*($P$6:$AI$6=$F320)*($P$24:$AI$30))</f>
        <v>0</v>
      </c>
      <c r="N320">
        <f t="shared" ref="N320" si="794">SUMPRODUCT(($C$31:$C$50=$F320)*($AJ$6:$AM$6=$G320)*($AJ$31:$AM$50))</f>
        <v>1</v>
      </c>
      <c r="O320">
        <f t="shared" ref="O320" si="795">K320+L320+M320+N320</f>
        <v>2</v>
      </c>
      <c r="P320" t="str">
        <f t="shared" ref="P320" si="796">CONCATENATE(C320,"-",J320)</f>
        <v>Medium centralized biomass gasification-CO2 emissions</v>
      </c>
      <c r="Q320" t="str">
        <f t="shared" ref="Q320" si="797">CONCATENATE(D320,"-",J320)</f>
        <v>Central gas storage-CO2 emissions</v>
      </c>
      <c r="R320" t="str">
        <f t="shared" ref="R320" si="798">CONCATENATE(E320,"-",J320)</f>
        <v>Methanation-CO2 emissions</v>
      </c>
      <c r="S320" t="str">
        <f t="shared" ref="S320" si="799">CONCATENATE(F320,"-",J320)</f>
        <v>Micro-CHP with natural gas fuel cell (heat)-CO2 emissions</v>
      </c>
      <c r="T320">
        <f ca="1">IF(timePeriod="2020-30",(VLOOKUP($P320,'TA database'!$I$8:$J$79,2,FALSE)/VLOOKUP($D320,'Merit calculation'!$B$48:$I$52,5,FALSE)/VLOOKUP($E320,'Merit calculation'!$B$67:$I$73,5,FALSE)/VLOOKUP($F320,'Merit calculation'!$B$90:$I$103,5,FALSE)/energyContentH2),(VLOOKUP($P320,'TA database'!$I$8:$J$79,2,FALSE)/VLOOKUP($D320,'Merit calculation'!$B$48:$I$52,7,FALSE)/VLOOKUP($E320,'Merit calculation'!$B$67:$I$73,7,FALSE)/VLOOKUP($F320,'Merit calculation'!$B$90:$I$103,7,FALSE)/energyContentH2))</f>
        <v>0</v>
      </c>
      <c r="U320">
        <v>0</v>
      </c>
      <c r="V320">
        <v>0</v>
      </c>
      <c r="W320">
        <f ca="1">IFERROR(VLOOKUP($S320,'TA database'!$I$146:$J$193,2,FALSE),0)</f>
        <v>6.4482758620689654E-2</v>
      </c>
      <c r="X320">
        <f>IFERROR(VLOOKUP($S320,'TA database'!$I$200:$J$271,2,FALSE),0)</f>
        <v>0</v>
      </c>
      <c r="Y320">
        <f t="shared" ref="Y320" ca="1" si="800">IF($W320=0,T320*3.6+X320,T320+W320)</f>
        <v>6.4482758620689654E-2</v>
      </c>
      <c r="Z320" t="str">
        <f t="shared" ref="Z320" si="801">CONCATENATE(AG320,"   →   ",AH320,"   →   ",AI320,"   →   ",AJ320)</f>
        <v>BIO_GSF_MED_C   →   C_GAS_STRG   →   METHANATION   →   NG_FC_mCHP_HEAT</v>
      </c>
      <c r="AA320" t="str">
        <f t="shared" ref="AA320" si="802">G320</f>
        <v>Building heat</v>
      </c>
      <c r="AB320" t="str">
        <f t="shared" ref="AB320" si="803">J320</f>
        <v>CO2 emissions</v>
      </c>
      <c r="AC320">
        <f t="shared" ref="AC320" ca="1" si="804">Y320</f>
        <v>6.4482758620689654E-2</v>
      </c>
      <c r="AD320">
        <v>261</v>
      </c>
      <c r="AE320" t="str">
        <f>IF(AND(ISNUMBER(SEARCH(O320,4)),ISNUMBER(SEARCH('(4) FCH pathway assessment'!$B$16,AB320)),ISNUMBER(SEARCH('(4) FCH pathway assessment'!$B$10,AA320))),AD320,"")</f>
        <v/>
      </c>
      <c r="AF320" t="str">
        <f t="shared" si="776"/>
        <v/>
      </c>
      <c r="AG320" t="str">
        <f>VLOOKUP(C320,Assumptions!$B$116:$C$162,2,FALSE)</f>
        <v>BIO_GSF_MED_C</v>
      </c>
      <c r="AH320" t="str">
        <f>VLOOKUP(D320,Assumptions!$B$116:$C$162,2,FALSE)</f>
        <v>C_GAS_STRG</v>
      </c>
      <c r="AI320" t="str">
        <f>VLOOKUP(E320,Assumptions!$B$116:$C$162,2,FALSE)</f>
        <v>METHANATION</v>
      </c>
      <c r="AJ320" t="str">
        <f>VLOOKUP(F320,Assumptions!$B$116:$C$162,2,FALSE)</f>
        <v>NG_FC_mCHP_HEAT</v>
      </c>
    </row>
    <row r="321" spans="2:36" x14ac:dyDescent="0.25">
      <c r="B321" t="s">
        <v>117</v>
      </c>
      <c r="C321" t="s">
        <v>54</v>
      </c>
      <c r="D321" t="s">
        <v>155</v>
      </c>
      <c r="E321" t="s">
        <v>65</v>
      </c>
      <c r="F321" t="s">
        <v>553</v>
      </c>
      <c r="G321" t="s">
        <v>132</v>
      </c>
      <c r="H321" t="s">
        <v>434</v>
      </c>
      <c r="I321" t="s">
        <v>32</v>
      </c>
      <c r="J321" t="s">
        <v>329</v>
      </c>
      <c r="K321">
        <f t="shared" ref="K321" si="805">SUMPRODUCT(($C$7:$C$18=$C321)*($D$6:$H$6=$D321)*($D$7:$H$18))</f>
        <v>0</v>
      </c>
      <c r="L321">
        <f t="shared" ref="L321" si="806">SUMPRODUCT(($C$19:$C$23=$D321)*($I$6:$O$6=$E321)*($I$19:$O$23))</f>
        <v>1</v>
      </c>
      <c r="M321">
        <f t="shared" ref="M321" si="807">SUMPRODUCT(($C$24:$C$30=$E321)*($P$6:$AI$6=$F321)*($P$24:$AI$30))</f>
        <v>0</v>
      </c>
      <c r="N321">
        <f t="shared" ref="N321" si="808">SUMPRODUCT(($C$31:$C$50=$F321)*($AJ$6:$AM$6=$G321)*($AJ$31:$AM$50))</f>
        <v>1</v>
      </c>
      <c r="O321">
        <f t="shared" ref="O321" si="809">K321+L321+M321+N321</f>
        <v>2</v>
      </c>
      <c r="P321" t="str">
        <f t="shared" ref="P321" si="810">CONCATENATE(C321,"-",J321)</f>
        <v>Medium centralized biomass gasification w/ CCS-CO2 emissions</v>
      </c>
      <c r="Q321" t="str">
        <f t="shared" ref="Q321" si="811">CONCATENATE(D321,"-",J321)</f>
        <v>Central gas storage-CO2 emissions</v>
      </c>
      <c r="R321" t="str">
        <f t="shared" ref="R321" si="812">CONCATENATE(E321,"-",J321)</f>
        <v>Methanation-CO2 emissions</v>
      </c>
      <c r="S321" t="str">
        <f t="shared" ref="S321" si="813">CONCATENATE(F321,"-",J321)</f>
        <v>Micro-CHP with natural gas fuel cell (heat)-CO2 emissions</v>
      </c>
      <c r="T321">
        <f ca="1">IF(timePeriod="2020-30",(VLOOKUP($P321,'TA database'!$I$8:$J$79,2,FALSE)/VLOOKUP($D321,'Merit calculation'!$B$48:$I$52,5,FALSE)/VLOOKUP($E321,'Merit calculation'!$B$67:$I$73,5,FALSE)/VLOOKUP($F321,'Merit calculation'!$B$90:$I$103,5,FALSE)/energyContentH2),(VLOOKUP($P321,'TA database'!$I$8:$J$79,2,FALSE)/VLOOKUP($D321,'Merit calculation'!$B$48:$I$52,7,FALSE)/VLOOKUP($E321,'Merit calculation'!$B$67:$I$73,7,FALSE)/VLOOKUP($F321,'Merit calculation'!$B$90:$I$103,7,FALSE)/energyContentH2))</f>
        <v>-0.16420361247947454</v>
      </c>
      <c r="U321">
        <v>0</v>
      </c>
      <c r="V321">
        <v>0</v>
      </c>
      <c r="W321">
        <f ca="1">IFERROR(VLOOKUP($S321,'TA database'!$I$146:$J$193,2,FALSE),0)</f>
        <v>6.4482758620689654E-2</v>
      </c>
      <c r="X321">
        <f>IFERROR(VLOOKUP($S321,'TA database'!$I$200:$J$271,2,FALSE),0)</f>
        <v>0</v>
      </c>
      <c r="Y321">
        <f t="shared" ref="Y321" ca="1" si="814">IF($W321=0,T321*3.6+X321,T321+W321)</f>
        <v>-9.9720853858784889E-2</v>
      </c>
      <c r="Z321" t="str">
        <f t="shared" ref="Z321" si="815">CONCATENATE(AG321,"   →   ",AH321,"   →   ",AI321,"   →   ",AJ321)</f>
        <v>BIO_GSF_CCS_MED_C   →   C_GAS_STRG   →   METHANATION   →   NG_FC_mCHP_HEAT</v>
      </c>
      <c r="AA321" t="str">
        <f t="shared" ref="AA321" si="816">G321</f>
        <v>Building heat</v>
      </c>
      <c r="AB321" t="str">
        <f t="shared" ref="AB321" si="817">J321</f>
        <v>CO2 emissions</v>
      </c>
      <c r="AC321">
        <f t="shared" ref="AC321" ca="1" si="818">Y321</f>
        <v>-9.9720853858784889E-2</v>
      </c>
      <c r="AD321">
        <v>262</v>
      </c>
      <c r="AE321" t="str">
        <f>IF(AND(ISNUMBER(SEARCH(O321,4)),ISNUMBER(SEARCH('(4) FCH pathway assessment'!$B$16,AB321)),ISNUMBER(SEARCH('(4) FCH pathway assessment'!$B$10,AA321))),AD321,"")</f>
        <v/>
      </c>
      <c r="AF321" t="str">
        <f t="shared" si="776"/>
        <v/>
      </c>
      <c r="AG321" t="str">
        <f>VLOOKUP(C321,Assumptions!$B$116:$C$162,2,FALSE)</f>
        <v>BIO_GSF_CCS_MED_C</v>
      </c>
      <c r="AH321" t="str">
        <f>VLOOKUP(D321,Assumptions!$B$116:$C$162,2,FALSE)</f>
        <v>C_GAS_STRG</v>
      </c>
      <c r="AI321" t="str">
        <f>VLOOKUP(E321,Assumptions!$B$116:$C$162,2,FALSE)</f>
        <v>METHANATION</v>
      </c>
      <c r="AJ321" t="str">
        <f>VLOOKUP(F321,Assumptions!$B$116:$C$162,2,FALSE)</f>
        <v>NG_FC_mCHP_HEAT</v>
      </c>
    </row>
    <row r="322" spans="2:36" x14ac:dyDescent="0.25">
      <c r="B322" t="s">
        <v>117</v>
      </c>
      <c r="C322" t="s">
        <v>56</v>
      </c>
      <c r="D322" t="s">
        <v>62</v>
      </c>
      <c r="E322" t="s">
        <v>65</v>
      </c>
      <c r="F322" t="s">
        <v>553</v>
      </c>
      <c r="G322" t="s">
        <v>132</v>
      </c>
      <c r="H322" t="s">
        <v>434</v>
      </c>
      <c r="I322" t="s">
        <v>32</v>
      </c>
      <c r="J322" t="s">
        <v>329</v>
      </c>
      <c r="K322">
        <f t="shared" ref="K322:K323" si="819">SUMPRODUCT(($C$7:$C$18=$C322)*($D$6:$H$6=$D322)*($D$7:$H$18))</f>
        <v>0</v>
      </c>
      <c r="L322">
        <f t="shared" ref="L322:L323" si="820">SUMPRODUCT(($C$19:$C$23=$D322)*($I$6:$O$6=$E322)*($I$19:$O$23))</f>
        <v>0</v>
      </c>
      <c r="M322">
        <f t="shared" ref="M322:M323" si="821">SUMPRODUCT(($C$24:$C$30=$E322)*($P$6:$AI$6=$F322)*($P$24:$AI$30))</f>
        <v>0</v>
      </c>
      <c r="N322">
        <f t="shared" ref="N322:N323" si="822">SUMPRODUCT(($C$31:$C$50=$F322)*($AJ$6:$AM$6=$G322)*($AJ$31:$AM$50))</f>
        <v>1</v>
      </c>
      <c r="O322">
        <f t="shared" ref="O322" si="823">K322+L322+M322+N322</f>
        <v>1</v>
      </c>
      <c r="P322" t="str">
        <f t="shared" ref="P322:P323" si="824">CONCATENATE(C322,"-",J322)</f>
        <v>Large centralized biomass steam reforming -CO2 emissions</v>
      </c>
      <c r="Q322" t="str">
        <f t="shared" ref="Q322:Q323" si="825">CONCATENATE(D322,"-",J322)</f>
        <v>Underground storage-CO2 emissions</v>
      </c>
      <c r="R322" t="str">
        <f t="shared" ref="R322:R323" si="826">CONCATENATE(E322,"-",J322)</f>
        <v>Methanation-CO2 emissions</v>
      </c>
      <c r="S322" t="str">
        <f t="shared" ref="S322:S323" si="827">CONCATENATE(F322,"-",J322)</f>
        <v>Micro-CHP with natural gas fuel cell (heat)-CO2 emissions</v>
      </c>
      <c r="T322">
        <f ca="1">IF(timePeriod="2020-30",(VLOOKUP($P322,'TA database'!$I$8:$J$79,2,FALSE)/VLOOKUP($D322,'Merit calculation'!$B$48:$I$52,5,FALSE)/VLOOKUP($E322,'Merit calculation'!$B$67:$I$73,5,FALSE)/VLOOKUP($F322,'Merit calculation'!$B$90:$I$103,5,FALSE)/energyContentH2),(VLOOKUP($P322,'TA database'!$I$8:$J$79,2,FALSE)/VLOOKUP($D322,'Merit calculation'!$B$48:$I$52,7,FALSE)/VLOOKUP($E322,'Merit calculation'!$B$67:$I$73,7,FALSE)/VLOOKUP($F322,'Merit calculation'!$B$90:$I$103,7,FALSE)/energyContentH2))</f>
        <v>0</v>
      </c>
      <c r="U322">
        <v>0</v>
      </c>
      <c r="V322">
        <v>0</v>
      </c>
      <c r="W322">
        <f ca="1">IFERROR(VLOOKUP($S322,'TA database'!$I$146:$J$193,2,FALSE),0)</f>
        <v>6.4482758620689654E-2</v>
      </c>
      <c r="X322">
        <f>IFERROR(VLOOKUP($S322,'TA database'!$I$200:$J$271,2,FALSE),0)</f>
        <v>0</v>
      </c>
      <c r="Y322">
        <f t="shared" ref="Y322:Y323" ca="1" si="828">IF($W322=0,T322*3.6+X322,T322+W322)</f>
        <v>6.4482758620689654E-2</v>
      </c>
      <c r="Z322" t="str">
        <f t="shared" ref="Z322" si="829">CONCATENATE(AG322,"   →   ",AH322,"   →   ",AI322,"   →   ",AJ322)</f>
        <v>BIO_SR_LRG_C   →   C_UNDRGRND_STRG   →   METHANATION   →   NG_FC_mCHP_HEAT</v>
      </c>
      <c r="AA322" t="str">
        <f t="shared" ref="AA322" si="830">G322</f>
        <v>Building heat</v>
      </c>
      <c r="AB322" t="str">
        <f t="shared" ref="AB322" si="831">J322</f>
        <v>CO2 emissions</v>
      </c>
      <c r="AC322">
        <f t="shared" ref="AC322" ca="1" si="832">Y322</f>
        <v>6.4482758620689654E-2</v>
      </c>
      <c r="AD322">
        <v>263</v>
      </c>
      <c r="AE322" t="str">
        <f>IF(AND(ISNUMBER(SEARCH(O322,4)),ISNUMBER(SEARCH('(4) FCH pathway assessment'!$B$16,AB322)),ISNUMBER(SEARCH('(4) FCH pathway assessment'!$B$10,AA322))),AD322,"")</f>
        <v/>
      </c>
      <c r="AF322" t="str">
        <f t="shared" si="776"/>
        <v/>
      </c>
      <c r="AG322" t="str">
        <f>VLOOKUP(C322,Assumptions!$B$116:$C$162,2,FALSE)</f>
        <v>BIO_SR_LRG_C</v>
      </c>
      <c r="AH322" t="str">
        <f>VLOOKUP(D322,Assumptions!$B$116:$C$162,2,FALSE)</f>
        <v>C_UNDRGRND_STRG</v>
      </c>
      <c r="AI322" t="str">
        <f>VLOOKUP(E322,Assumptions!$B$116:$C$162,2,FALSE)</f>
        <v>METHANATION</v>
      </c>
      <c r="AJ322" t="str">
        <f>VLOOKUP(F322,Assumptions!$B$116:$C$162,2,FALSE)</f>
        <v>NG_FC_mCHP_HEAT</v>
      </c>
    </row>
    <row r="323" spans="2:36" x14ac:dyDescent="0.25">
      <c r="B323" t="s">
        <v>112</v>
      </c>
      <c r="C323" t="s">
        <v>49</v>
      </c>
      <c r="D323" t="s">
        <v>62</v>
      </c>
      <c r="E323" t="s">
        <v>65</v>
      </c>
      <c r="F323" t="s">
        <v>553</v>
      </c>
      <c r="G323" t="s">
        <v>132</v>
      </c>
      <c r="H323" t="s">
        <v>434</v>
      </c>
      <c r="I323" t="s">
        <v>32</v>
      </c>
      <c r="J323" t="s">
        <v>329</v>
      </c>
      <c r="K323">
        <f t="shared" si="819"/>
        <v>1</v>
      </c>
      <c r="L323">
        <f t="shared" si="820"/>
        <v>0</v>
      </c>
      <c r="M323">
        <f t="shared" si="821"/>
        <v>0</v>
      </c>
      <c r="N323">
        <f t="shared" si="822"/>
        <v>1</v>
      </c>
      <c r="O323">
        <f t="shared" ref="O323:O325" si="833">K323+L323+M323+N323</f>
        <v>2</v>
      </c>
      <c r="P323" t="str">
        <f t="shared" si="824"/>
        <v>Large centralized electrolysis-CO2 emissions</v>
      </c>
      <c r="Q323" t="str">
        <f t="shared" si="825"/>
        <v>Underground storage-CO2 emissions</v>
      </c>
      <c r="R323" t="str">
        <f t="shared" si="826"/>
        <v>Methanation-CO2 emissions</v>
      </c>
      <c r="S323" t="str">
        <f t="shared" si="827"/>
        <v>Micro-CHP with natural gas fuel cell (heat)-CO2 emissions</v>
      </c>
      <c r="T323">
        <f ca="1">IF(timePeriod="2020-30",(VLOOKUP($P323,'TA database'!$I$8:$J$79,2,FALSE)/VLOOKUP($D323,'Merit calculation'!$B$48:$I$52,5,FALSE)/VLOOKUP($E323,'Merit calculation'!$B$67:$I$73,5,FALSE)/VLOOKUP($F323,'Merit calculation'!$B$90:$I$103,5,FALSE)/energyContentH2),(VLOOKUP($P323,'TA database'!$I$8:$J$79,2,FALSE)/VLOOKUP($D323,'Merit calculation'!$B$48:$I$52,7,FALSE)/VLOOKUP($E323,'Merit calculation'!$B$67:$I$73,7,FALSE)/VLOOKUP($F323,'Merit calculation'!$B$90:$I$103,7,FALSE)/energyContentH2))</f>
        <v>2.2396520906525164E-2</v>
      </c>
      <c r="U323">
        <v>0</v>
      </c>
      <c r="V323">
        <v>0</v>
      </c>
      <c r="W323">
        <f ca="1">IFERROR(VLOOKUP($S323,'TA database'!$I$146:$J$193,2,FALSE),0)</f>
        <v>6.4482758620689654E-2</v>
      </c>
      <c r="X323">
        <f>IFERROR(VLOOKUP($S323,'TA database'!$I$200:$J$271,2,FALSE),0)</f>
        <v>0</v>
      </c>
      <c r="Y323">
        <f t="shared" ca="1" si="828"/>
        <v>8.6879279527214817E-2</v>
      </c>
      <c r="Z323" t="str">
        <f t="shared" ref="Z323:Z325" si="834">CONCATENATE(AG323,"   →   ",AH323,"   →   ",AI323,"   →   ",AJ323)</f>
        <v>ELCTRLYZ_LRG_C   →   C_UNDRGRND_STRG   →   METHANATION   →   NG_FC_mCHP_HEAT</v>
      </c>
      <c r="AA323" t="str">
        <f t="shared" ref="AA323:AA325" si="835">G323</f>
        <v>Building heat</v>
      </c>
      <c r="AB323" t="str">
        <f t="shared" ref="AB323:AB325" si="836">J323</f>
        <v>CO2 emissions</v>
      </c>
      <c r="AC323">
        <f t="shared" ref="AC323:AC325" ca="1" si="837">Y323</f>
        <v>8.6879279527214817E-2</v>
      </c>
      <c r="AD323">
        <v>264</v>
      </c>
      <c r="AE323" t="str">
        <f>IF(AND(ISNUMBER(SEARCH(O323,4)),ISNUMBER(SEARCH('(4) FCH pathway assessment'!$B$16,AB323)),ISNUMBER(SEARCH('(4) FCH pathway assessment'!$B$10,AA323))),AD323,"")</f>
        <v/>
      </c>
      <c r="AF323" t="str">
        <f t="shared" si="776"/>
        <v/>
      </c>
      <c r="AG323" t="str">
        <f>VLOOKUP(C323,Assumptions!$B$116:$C$162,2,FALSE)</f>
        <v>ELCTRLYZ_LRG_C</v>
      </c>
      <c r="AH323" t="str">
        <f>VLOOKUP(D323,Assumptions!$B$116:$C$162,2,FALSE)</f>
        <v>C_UNDRGRND_STRG</v>
      </c>
      <c r="AI323" t="str">
        <f>VLOOKUP(E323,Assumptions!$B$116:$C$162,2,FALSE)</f>
        <v>METHANATION</v>
      </c>
      <c r="AJ323" t="str">
        <f>VLOOKUP(F323,Assumptions!$B$116:$C$162,2,FALSE)</f>
        <v>NG_FC_mCHP_HEAT</v>
      </c>
    </row>
    <row r="324" spans="2:36" x14ac:dyDescent="0.25">
      <c r="B324" t="s">
        <v>112</v>
      </c>
      <c r="C324" t="s">
        <v>49</v>
      </c>
      <c r="D324" t="s">
        <v>155</v>
      </c>
      <c r="E324" t="s">
        <v>65</v>
      </c>
      <c r="F324" t="s">
        <v>553</v>
      </c>
      <c r="G324" t="s">
        <v>132</v>
      </c>
      <c r="H324" t="s">
        <v>434</v>
      </c>
      <c r="I324" t="s">
        <v>32</v>
      </c>
      <c r="J324" t="s">
        <v>329</v>
      </c>
      <c r="K324">
        <f t="shared" ref="K324:K325" si="838">SUMPRODUCT(($C$7:$C$18=$C324)*($D$6:$H$6=$D324)*($D$7:$H$18))</f>
        <v>1</v>
      </c>
      <c r="L324">
        <f t="shared" ref="L324:L325" si="839">SUMPRODUCT(($C$19:$C$23=$D324)*($I$6:$O$6=$E324)*($I$19:$O$23))</f>
        <v>1</v>
      </c>
      <c r="M324">
        <f t="shared" ref="M324:M325" si="840">SUMPRODUCT(($C$24:$C$30=$E324)*($P$6:$AI$6=$F324)*($P$24:$AI$30))</f>
        <v>0</v>
      </c>
      <c r="N324">
        <f t="shared" ref="N324:N325" si="841">SUMPRODUCT(($C$31:$C$50=$F324)*($AJ$6:$AM$6=$G324)*($AJ$31:$AM$50))</f>
        <v>1</v>
      </c>
      <c r="O324">
        <f t="shared" si="833"/>
        <v>3</v>
      </c>
      <c r="P324" t="str">
        <f t="shared" ref="P324:P325" si="842">CONCATENATE(C324,"-",J324)</f>
        <v>Large centralized electrolysis-CO2 emissions</v>
      </c>
      <c r="Q324" t="str">
        <f t="shared" ref="Q324:Q325" si="843">CONCATENATE(D324,"-",J324)</f>
        <v>Central gas storage-CO2 emissions</v>
      </c>
      <c r="R324" t="str">
        <f t="shared" ref="R324:R325" si="844">CONCATENATE(E324,"-",J324)</f>
        <v>Methanation-CO2 emissions</v>
      </c>
      <c r="S324" t="str">
        <f t="shared" ref="S324:S325" si="845">CONCATENATE(F324,"-",J324)</f>
        <v>Micro-CHP with natural gas fuel cell (heat)-CO2 emissions</v>
      </c>
      <c r="T324">
        <f ca="1">IF(timePeriod="2020-30",(VLOOKUP($P324,'TA database'!$I$8:$J$79,2,FALSE)/VLOOKUP($D324,'Merit calculation'!$B$48:$I$52,5,FALSE)/VLOOKUP($E324,'Merit calculation'!$B$67:$I$73,5,FALSE)/VLOOKUP($F324,'Merit calculation'!$B$90:$I$103,5,FALSE)/energyContentH2),(VLOOKUP($P324,'TA database'!$I$8:$J$79,2,FALSE)/VLOOKUP($D324,'Merit calculation'!$B$48:$I$52,7,FALSE)/VLOOKUP($E324,'Merit calculation'!$B$67:$I$73,7,FALSE)/VLOOKUP($F324,'Merit calculation'!$B$90:$I$103,7,FALSE)/energyContentH2))</f>
        <v>2.262505683414277E-2</v>
      </c>
      <c r="U324">
        <v>0</v>
      </c>
      <c r="V324">
        <v>0</v>
      </c>
      <c r="W324">
        <f ca="1">IFERROR(VLOOKUP($S324,'TA database'!$I$146:$J$193,2,FALSE),0)</f>
        <v>6.4482758620689654E-2</v>
      </c>
      <c r="X324">
        <f>IFERROR(VLOOKUP($S324,'TA database'!$I$200:$J$271,2,FALSE),0)</f>
        <v>0</v>
      </c>
      <c r="Y324">
        <f t="shared" ref="Y324:Y325" ca="1" si="846">IF($W324=0,T324*3.6+X324,T324+W324)</f>
        <v>8.7107815454832427E-2</v>
      </c>
      <c r="Z324" t="str">
        <f t="shared" si="834"/>
        <v>ELCTRLYZ_LRG_C   →   C_GAS_STRG   →   METHANATION   →   NG_FC_mCHP_HEAT</v>
      </c>
      <c r="AA324" t="str">
        <f t="shared" si="835"/>
        <v>Building heat</v>
      </c>
      <c r="AB324" t="str">
        <f t="shared" si="836"/>
        <v>CO2 emissions</v>
      </c>
      <c r="AC324">
        <f t="shared" ca="1" si="837"/>
        <v>8.7107815454832427E-2</v>
      </c>
      <c r="AD324">
        <v>265</v>
      </c>
      <c r="AE324" t="str">
        <f>IF(AND(ISNUMBER(SEARCH(O324,4)),ISNUMBER(SEARCH('(4) FCH pathway assessment'!$B$16,AB324)),ISNUMBER(SEARCH('(4) FCH pathway assessment'!$B$10,AA324))),AD324,"")</f>
        <v/>
      </c>
      <c r="AF324" t="str">
        <f t="shared" si="776"/>
        <v/>
      </c>
      <c r="AG324" t="str">
        <f>VLOOKUP(C324,Assumptions!$B$116:$C$162,2,FALSE)</f>
        <v>ELCTRLYZ_LRG_C</v>
      </c>
      <c r="AH324" t="str">
        <f>VLOOKUP(D324,Assumptions!$B$116:$C$162,2,FALSE)</f>
        <v>C_GAS_STRG</v>
      </c>
      <c r="AI324" t="str">
        <f>VLOOKUP(E324,Assumptions!$B$116:$C$162,2,FALSE)</f>
        <v>METHANATION</v>
      </c>
      <c r="AJ324" t="str">
        <f>VLOOKUP(F324,Assumptions!$B$116:$C$162,2,FALSE)</f>
        <v>NG_FC_mCHP_HEAT</v>
      </c>
    </row>
    <row r="325" spans="2:36" x14ac:dyDescent="0.25">
      <c r="B325" t="s">
        <v>112</v>
      </c>
      <c r="C325" t="s">
        <v>51</v>
      </c>
      <c r="D325" t="s">
        <v>155</v>
      </c>
      <c r="E325" t="s">
        <v>65</v>
      </c>
      <c r="F325" t="s">
        <v>553</v>
      </c>
      <c r="G325" t="s">
        <v>132</v>
      </c>
      <c r="H325" t="s">
        <v>434</v>
      </c>
      <c r="I325" t="s">
        <v>32</v>
      </c>
      <c r="J325" t="s">
        <v>329</v>
      </c>
      <c r="K325">
        <f t="shared" si="838"/>
        <v>1</v>
      </c>
      <c r="L325">
        <f t="shared" si="839"/>
        <v>1</v>
      </c>
      <c r="M325">
        <f t="shared" si="840"/>
        <v>0</v>
      </c>
      <c r="N325">
        <f t="shared" si="841"/>
        <v>1</v>
      </c>
      <c r="O325">
        <f t="shared" si="833"/>
        <v>3</v>
      </c>
      <c r="P325" t="str">
        <f t="shared" si="842"/>
        <v>Medium centralized electrolysis-CO2 emissions</v>
      </c>
      <c r="Q325" t="str">
        <f t="shared" si="843"/>
        <v>Central gas storage-CO2 emissions</v>
      </c>
      <c r="R325" t="str">
        <f t="shared" si="844"/>
        <v>Methanation-CO2 emissions</v>
      </c>
      <c r="S325" t="str">
        <f t="shared" si="845"/>
        <v>Micro-CHP with natural gas fuel cell (heat)-CO2 emissions</v>
      </c>
      <c r="T325">
        <f ca="1">IF(timePeriod="2020-30",(VLOOKUP($P325,'TA database'!$I$8:$J$79,2,FALSE)/VLOOKUP($D325,'Merit calculation'!$B$48:$I$52,5,FALSE)/VLOOKUP($E325,'Merit calculation'!$B$67:$I$73,5,FALSE)/VLOOKUP($F325,'Merit calculation'!$B$90:$I$103,5,FALSE)/energyContentH2),(VLOOKUP($P325,'TA database'!$I$8:$J$79,2,FALSE)/VLOOKUP($D325,'Merit calculation'!$B$48:$I$52,7,FALSE)/VLOOKUP($E325,'Merit calculation'!$B$67:$I$73,7,FALSE)/VLOOKUP($F325,'Merit calculation'!$B$90:$I$103,7,FALSE)/energyContentH2))</f>
        <v>2.262505683414277E-2</v>
      </c>
      <c r="U325">
        <v>0</v>
      </c>
      <c r="V325">
        <v>0</v>
      </c>
      <c r="W325">
        <f ca="1">IFERROR(VLOOKUP($S325,'TA database'!$I$146:$J$193,2,FALSE),0)</f>
        <v>6.4482758620689654E-2</v>
      </c>
      <c r="X325">
        <f>IFERROR(VLOOKUP($S325,'TA database'!$I$200:$J$271,2,FALSE),0)</f>
        <v>0</v>
      </c>
      <c r="Y325">
        <f t="shared" ca="1" si="846"/>
        <v>8.7107815454832427E-2</v>
      </c>
      <c r="Z325" t="str">
        <f t="shared" si="834"/>
        <v>ELCTRLYZ_MED_C   →   C_GAS_STRG   →   METHANATION   →   NG_FC_mCHP_HEAT</v>
      </c>
      <c r="AA325" t="str">
        <f t="shared" si="835"/>
        <v>Building heat</v>
      </c>
      <c r="AB325" t="str">
        <f t="shared" si="836"/>
        <v>CO2 emissions</v>
      </c>
      <c r="AC325">
        <f t="shared" ca="1" si="837"/>
        <v>8.7107815454832427E-2</v>
      </c>
      <c r="AD325">
        <v>266</v>
      </c>
      <c r="AE325" t="str">
        <f>IF(AND(ISNUMBER(SEARCH(O325,4)),ISNUMBER(SEARCH('(4) FCH pathway assessment'!$B$16,AB325)),ISNUMBER(SEARCH('(4) FCH pathway assessment'!$B$10,AA325))),AD325,"")</f>
        <v/>
      </c>
      <c r="AF325" t="str">
        <f t="shared" si="776"/>
        <v/>
      </c>
      <c r="AG325" t="str">
        <f>VLOOKUP(C325,Assumptions!$B$116:$C$162,2,FALSE)</f>
        <v>ELCTRLYZ_MED_C</v>
      </c>
      <c r="AH325" t="str">
        <f>VLOOKUP(D325,Assumptions!$B$116:$C$162,2,FALSE)</f>
        <v>C_GAS_STRG</v>
      </c>
      <c r="AI325" t="str">
        <f>VLOOKUP(E325,Assumptions!$B$116:$C$162,2,FALSE)</f>
        <v>METHANATION</v>
      </c>
      <c r="AJ325" t="str">
        <f>VLOOKUP(F325,Assumptions!$B$116:$C$162,2,FALSE)</f>
        <v>NG_FC_mCHP_HEAT</v>
      </c>
    </row>
    <row r="326" spans="2:36" x14ac:dyDescent="0.25">
      <c r="B326" t="s">
        <v>127</v>
      </c>
      <c r="C326" t="s">
        <v>57</v>
      </c>
      <c r="D326" t="s">
        <v>62</v>
      </c>
      <c r="E326" t="s">
        <v>65</v>
      </c>
      <c r="F326" t="s">
        <v>553</v>
      </c>
      <c r="G326" t="s">
        <v>132</v>
      </c>
      <c r="H326" t="s">
        <v>434</v>
      </c>
      <c r="I326" t="s">
        <v>32</v>
      </c>
      <c r="J326" t="s">
        <v>329</v>
      </c>
      <c r="K326">
        <f t="shared" ref="K326" si="847">SUMPRODUCT(($C$7:$C$18=$C326)*($D$6:$H$6=$D326)*($D$7:$H$18))</f>
        <v>1</v>
      </c>
      <c r="L326">
        <f t="shared" ref="L326" si="848">SUMPRODUCT(($C$19:$C$23=$D326)*($I$6:$O$6=$E326)*($I$19:$O$23))</f>
        <v>0</v>
      </c>
      <c r="M326">
        <f t="shared" ref="M326" si="849">SUMPRODUCT(($C$24:$C$30=$E326)*($P$6:$AI$6=$F326)*($P$24:$AI$30))</f>
        <v>0</v>
      </c>
      <c r="N326">
        <f t="shared" ref="N326" si="850">SUMPRODUCT(($C$31:$C$50=$F326)*($AJ$6:$AM$6=$G326)*($AJ$31:$AM$50))</f>
        <v>1</v>
      </c>
      <c r="O326">
        <f t="shared" ref="O326" si="851">K326+L326+M326+N326</f>
        <v>2</v>
      </c>
      <c r="P326" t="str">
        <f t="shared" ref="P326" si="852">CONCATENATE(C326,"-",J326)</f>
        <v>Large centralized natural gas steam reforming-CO2 emissions</v>
      </c>
      <c r="Q326" t="str">
        <f t="shared" ref="Q326" si="853">CONCATENATE(D326,"-",J326)</f>
        <v>Underground storage-CO2 emissions</v>
      </c>
      <c r="R326" t="str">
        <f t="shared" ref="R326" si="854">CONCATENATE(E326,"-",J326)</f>
        <v>Methanation-CO2 emissions</v>
      </c>
      <c r="S326" t="str">
        <f t="shared" ref="S326" si="855">CONCATENATE(F326,"-",J326)</f>
        <v>Micro-CHP with natural gas fuel cell (heat)-CO2 emissions</v>
      </c>
      <c r="T326">
        <f ca="1">IF(timePeriod="2020-30",(VLOOKUP($P326,'TA database'!$I$8:$J$79,2,FALSE)/VLOOKUP($D326,'Merit calculation'!$B$48:$I$52,5,FALSE)/VLOOKUP($E326,'Merit calculation'!$B$67:$I$73,5,FALSE)/VLOOKUP($F326,'Merit calculation'!$B$90:$I$103,5,FALSE)/energyContentH2),(VLOOKUP($P326,'TA database'!$I$8:$J$79,2,FALSE)/VLOOKUP($D326,'Merit calculation'!$B$48:$I$52,7,FALSE)/VLOOKUP($E326,'Merit calculation'!$B$67:$I$73,7,FALSE)/VLOOKUP($F326,'Merit calculation'!$B$90:$I$103,7,FALSE)/energyContentH2))</f>
        <v>9.046402724563643E-2</v>
      </c>
      <c r="U326">
        <v>0</v>
      </c>
      <c r="V326">
        <v>0</v>
      </c>
      <c r="W326">
        <f ca="1">IFERROR(VLOOKUP($S326,'TA database'!$I$146:$J$193,2,FALSE),0)</f>
        <v>6.4482758620689654E-2</v>
      </c>
      <c r="X326">
        <f>IFERROR(VLOOKUP($S326,'TA database'!$I$200:$J$271,2,FALSE),0)</f>
        <v>0</v>
      </c>
      <c r="Y326">
        <f t="shared" ref="Y326" ca="1" si="856">IF($W326=0,T326*3.6+X326,T326+W326)</f>
        <v>0.1549467858663261</v>
      </c>
      <c r="Z326" t="str">
        <f t="shared" ref="Z326" si="857">CONCATENATE(AG326,"   →   ",AH326,"   →   ",AI326,"   →   ",AJ326)</f>
        <v>NG_SR_LRG_C   →   C_UNDRGRND_STRG   →   METHANATION   →   NG_FC_mCHP_HEAT</v>
      </c>
      <c r="AA326" t="str">
        <f t="shared" ref="AA326" si="858">G326</f>
        <v>Building heat</v>
      </c>
      <c r="AB326" t="str">
        <f t="shared" ref="AB326" si="859">J326</f>
        <v>CO2 emissions</v>
      </c>
      <c r="AC326">
        <f t="shared" ref="AC326" ca="1" si="860">Y326</f>
        <v>0.1549467858663261</v>
      </c>
      <c r="AD326">
        <v>267</v>
      </c>
      <c r="AE326" t="str">
        <f>IF(AND(ISNUMBER(SEARCH(O326,4)),ISNUMBER(SEARCH('(4) FCH pathway assessment'!$B$16,AB326)),ISNUMBER(SEARCH('(4) FCH pathway assessment'!$B$10,AA326))),AD326,"")</f>
        <v/>
      </c>
      <c r="AF326" t="str">
        <f t="shared" si="776"/>
        <v/>
      </c>
      <c r="AG326" t="str">
        <f>VLOOKUP(C326,Assumptions!$B$116:$C$162,2,FALSE)</f>
        <v>NG_SR_LRG_C</v>
      </c>
      <c r="AH326" t="str">
        <f>VLOOKUP(D326,Assumptions!$B$116:$C$162,2,FALSE)</f>
        <v>C_UNDRGRND_STRG</v>
      </c>
      <c r="AI326" t="str">
        <f>VLOOKUP(E326,Assumptions!$B$116:$C$162,2,FALSE)</f>
        <v>METHANATION</v>
      </c>
      <c r="AJ326" t="str">
        <f>VLOOKUP(F326,Assumptions!$B$116:$C$162,2,FALSE)</f>
        <v>NG_FC_mCHP_HEAT</v>
      </c>
    </row>
    <row r="327" spans="2:36" x14ac:dyDescent="0.25">
      <c r="B327" t="s">
        <v>127</v>
      </c>
      <c r="C327" t="s">
        <v>58</v>
      </c>
      <c r="D327" t="s">
        <v>155</v>
      </c>
      <c r="E327" t="s">
        <v>65</v>
      </c>
      <c r="F327" t="s">
        <v>553</v>
      </c>
      <c r="G327" t="s">
        <v>132</v>
      </c>
      <c r="H327" t="s">
        <v>434</v>
      </c>
      <c r="I327" t="s">
        <v>32</v>
      </c>
      <c r="J327" t="s">
        <v>329</v>
      </c>
      <c r="K327">
        <f t="shared" ref="K327" si="861">SUMPRODUCT(($C$7:$C$18=$C327)*($D$6:$H$6=$D327)*($D$7:$H$18))</f>
        <v>1</v>
      </c>
      <c r="L327">
        <f t="shared" ref="L327" si="862">SUMPRODUCT(($C$19:$C$23=$D327)*($I$6:$O$6=$E327)*($I$19:$O$23))</f>
        <v>1</v>
      </c>
      <c r="M327">
        <f t="shared" ref="M327" si="863">SUMPRODUCT(($C$24:$C$30=$E327)*($P$6:$AI$6=$F327)*($P$24:$AI$30))</f>
        <v>0</v>
      </c>
      <c r="N327">
        <f t="shared" ref="N327" si="864">SUMPRODUCT(($C$31:$C$50=$F327)*($AJ$6:$AM$6=$G327)*($AJ$31:$AM$50))</f>
        <v>1</v>
      </c>
      <c r="O327">
        <f t="shared" ref="O327" si="865">K327+L327+M327+N327</f>
        <v>3</v>
      </c>
      <c r="P327" t="str">
        <f t="shared" ref="P327" si="866">CONCATENATE(C327,"-",J327)</f>
        <v>Small centralized natural gas steam reforming-CO2 emissions</v>
      </c>
      <c r="Q327" t="str">
        <f t="shared" ref="Q327" si="867">CONCATENATE(D327,"-",J327)</f>
        <v>Central gas storage-CO2 emissions</v>
      </c>
      <c r="R327" t="str">
        <f t="shared" ref="R327" si="868">CONCATENATE(E327,"-",J327)</f>
        <v>Methanation-CO2 emissions</v>
      </c>
      <c r="S327" t="str">
        <f t="shared" ref="S327" si="869">CONCATENATE(F327,"-",J327)</f>
        <v>Micro-CHP with natural gas fuel cell (heat)-CO2 emissions</v>
      </c>
      <c r="T327">
        <f ca="1">IF(timePeriod="2020-30",(VLOOKUP($P327,'TA database'!$I$8:$J$79,2,FALSE)/VLOOKUP($D327,'Merit calculation'!$B$48:$I$52,5,FALSE)/VLOOKUP($E327,'Merit calculation'!$B$67:$I$73,5,FALSE)/VLOOKUP($F327,'Merit calculation'!$B$90:$I$103,5,FALSE)/energyContentH2),(VLOOKUP($P327,'TA database'!$I$8:$J$79,2,FALSE)/VLOOKUP($D327,'Merit calculation'!$B$48:$I$52,7,FALSE)/VLOOKUP($E327,'Merit calculation'!$B$67:$I$73,7,FALSE)/VLOOKUP($F327,'Merit calculation'!$B$90:$I$103,7,FALSE)/energyContentH2))</f>
        <v>9.1387129564469469E-2</v>
      </c>
      <c r="U327">
        <v>0</v>
      </c>
      <c r="V327">
        <v>0</v>
      </c>
      <c r="W327">
        <f ca="1">IFERROR(VLOOKUP($S327,'TA database'!$I$146:$J$193,2,FALSE),0)</f>
        <v>6.4482758620689654E-2</v>
      </c>
      <c r="X327">
        <f>IFERROR(VLOOKUP($S327,'TA database'!$I$200:$J$271,2,FALSE),0)</f>
        <v>0</v>
      </c>
      <c r="Y327">
        <f t="shared" ref="Y327" ca="1" si="870">IF($W327=0,T327*3.6+X327,T327+W327)</f>
        <v>0.15586988818515912</v>
      </c>
      <c r="Z327" t="str">
        <f t="shared" ref="Z327" si="871">CONCATENATE(AG327,"   →   ",AH327,"   →   ",AI327,"   →   ",AJ327)</f>
        <v>NG_SR_SML_C   →   C_GAS_STRG   →   METHANATION   →   NG_FC_mCHP_HEAT</v>
      </c>
      <c r="AA327" t="str">
        <f t="shared" ref="AA327" si="872">G327</f>
        <v>Building heat</v>
      </c>
      <c r="AB327" t="str">
        <f t="shared" ref="AB327" si="873">J327</f>
        <v>CO2 emissions</v>
      </c>
      <c r="AC327">
        <f t="shared" ref="AC327" ca="1" si="874">Y327</f>
        <v>0.15586988818515912</v>
      </c>
      <c r="AD327">
        <v>268</v>
      </c>
      <c r="AE327" t="str">
        <f>IF(AND(ISNUMBER(SEARCH(O327,4)),ISNUMBER(SEARCH('(4) FCH pathway assessment'!$B$16,AB327)),ISNUMBER(SEARCH('(4) FCH pathway assessment'!$B$10,AA327))),AD327,"")</f>
        <v/>
      </c>
      <c r="AF327" t="str">
        <f t="shared" si="776"/>
        <v/>
      </c>
      <c r="AG327" t="str">
        <f>VLOOKUP(C327,Assumptions!$B$116:$C$162,2,FALSE)</f>
        <v>NG_SR_SML_C</v>
      </c>
      <c r="AH327" t="str">
        <f>VLOOKUP(D327,Assumptions!$B$116:$C$162,2,FALSE)</f>
        <v>C_GAS_STRG</v>
      </c>
      <c r="AI327" t="str">
        <f>VLOOKUP(E327,Assumptions!$B$116:$C$162,2,FALSE)</f>
        <v>METHANATION</v>
      </c>
      <c r="AJ327" t="str">
        <f>VLOOKUP(F327,Assumptions!$B$116:$C$162,2,FALSE)</f>
        <v>NG_FC_mCHP_HEAT</v>
      </c>
    </row>
    <row r="328" spans="2:36" x14ac:dyDescent="0.25">
      <c r="B328" t="s">
        <v>127</v>
      </c>
      <c r="C328" t="s">
        <v>174</v>
      </c>
      <c r="D328" s="61" t="s">
        <v>177</v>
      </c>
      <c r="E328" t="s">
        <v>180</v>
      </c>
      <c r="F328" t="s">
        <v>553</v>
      </c>
      <c r="G328" t="s">
        <v>132</v>
      </c>
      <c r="H328" t="s">
        <v>434</v>
      </c>
      <c r="I328" t="s">
        <v>32</v>
      </c>
      <c r="J328" t="s">
        <v>329</v>
      </c>
      <c r="K328">
        <f t="shared" ref="K328:K334" si="875">SUMPRODUCT(($C$7:$C$18=$C328)*($D$6:$H$6=$D328)*($D$7:$H$18))</f>
        <v>1</v>
      </c>
      <c r="L328">
        <f t="shared" ref="L328:L334" si="876">SUMPRODUCT(($C$19:$C$23=$D328)*($I$6:$O$6=$E328)*($I$19:$O$23))</f>
        <v>1</v>
      </c>
      <c r="M328">
        <f t="shared" ref="M328:M334" si="877">SUMPRODUCT(($C$24:$C$30=$E328)*($P$6:$AI$6=$F328)*($P$24:$AI$30))</f>
        <v>1</v>
      </c>
      <c r="N328">
        <f t="shared" ref="N328:N334" si="878">SUMPRODUCT(($C$31:$C$50=$F328)*($AJ$6:$AM$6=$G328)*($AJ$31:$AM$50))</f>
        <v>1</v>
      </c>
      <c r="O328">
        <f t="shared" ref="O328:O333" si="879">K328+L328+M328+N328</f>
        <v>4</v>
      </c>
      <c r="P328" t="str">
        <f t="shared" ref="P328:P334" si="880">CONCATENATE(C328,"-",J328)</f>
        <v>Natural gas production-CO2 emissions</v>
      </c>
      <c r="Q328" t="str">
        <f t="shared" ref="Q328:Q334" si="881">CONCATENATE(D328,"-",J328)</f>
        <v>Natural gas storage-CO2 emissions</v>
      </c>
      <c r="R328" t="str">
        <f t="shared" ref="R328:R334" si="882">CONCATENATE(E328,"-",J328)</f>
        <v>Natural gas transport-CO2 emissions</v>
      </c>
      <c r="S328" t="str">
        <f t="shared" ref="S328:S334" si="883">CONCATENATE(F328,"-",J328)</f>
        <v>Micro-CHP with natural gas fuel cell (heat)-CO2 emissions</v>
      </c>
      <c r="T328">
        <f ca="1">IF(timePeriod="2020-30",(VLOOKUP($P328,'TA database'!$I$8:$J$79,2,FALSE)/VLOOKUP($D328,'Merit calculation'!$B$48:$I$52,5,FALSE)/VLOOKUP($E328,'Merit calculation'!$B$67:$I$73,5,FALSE)/VLOOKUP($F328,'Merit calculation'!$B$90:$I$103,5,FALSE)/energyContentH2),(VLOOKUP($P328,'TA database'!$I$8:$J$79,2,FALSE)/VLOOKUP($D328,'Merit calculation'!$B$48:$I$52,7,FALSE)/VLOOKUP($E328,'Merit calculation'!$B$67:$I$73,7,FALSE)/VLOOKUP($F328,'Merit calculation'!$B$90:$I$103,7,FALSE)/energyContentH2))</f>
        <v>0</v>
      </c>
      <c r="U328">
        <v>0</v>
      </c>
      <c r="V328">
        <v>0</v>
      </c>
      <c r="W328">
        <f ca="1">IFERROR(VLOOKUP($S328,'TA database'!$I$146:$J$193,2,FALSE),0)</f>
        <v>6.4482758620689654E-2</v>
      </c>
      <c r="X328">
        <f>IFERROR(VLOOKUP($S328,'TA database'!$I$200:$J$271,2,FALSE),0)</f>
        <v>0</v>
      </c>
      <c r="Y328">
        <f t="shared" ref="Y328" ca="1" si="884">IF($W328=0,T328*3.6+X328,T328+W328)</f>
        <v>6.4482758620689654E-2</v>
      </c>
      <c r="Z328" t="str">
        <f t="shared" ref="Z328:Z333" si="885">CONCATENATE(AG328,"   →   ",AH328,"   →   ",AI328,"   →   ",AJ328)</f>
        <v>[NG_PROD]   →   [NG_STRG]   →   [NG_TRNSP]   →   NG_FC_mCHP_HEAT</v>
      </c>
      <c r="AA328" t="str">
        <f t="shared" ref="AA328:AA333" si="886">G328</f>
        <v>Building heat</v>
      </c>
      <c r="AB328" t="str">
        <f t="shared" ref="AB328:AB333" si="887">J328</f>
        <v>CO2 emissions</v>
      </c>
      <c r="AC328">
        <f t="shared" ref="AC328:AC333" ca="1" si="888">Y328</f>
        <v>6.4482758620689654E-2</v>
      </c>
      <c r="AD328">
        <v>269</v>
      </c>
      <c r="AE328" t="str">
        <f>IF(AND(ISNUMBER(SEARCH(O328,4)),ISNUMBER(SEARCH('(4) FCH pathway assessment'!$B$16,AB328)),ISNUMBER(SEARCH('(4) FCH pathway assessment'!$B$10,AA328))),AD328,"")</f>
        <v/>
      </c>
      <c r="AF328" t="str">
        <f t="shared" si="776"/>
        <v/>
      </c>
      <c r="AG328" t="str">
        <f>VLOOKUP(C328,Assumptions!$B$116:$C$162,2,FALSE)</f>
        <v>[NG_PROD]</v>
      </c>
      <c r="AH328" t="str">
        <f>VLOOKUP(D328,Assumptions!$B$116:$C$162,2,FALSE)</f>
        <v>[NG_STRG]</v>
      </c>
      <c r="AI328" t="str">
        <f>VLOOKUP(E328,Assumptions!$B$116:$C$162,2,FALSE)</f>
        <v>[NG_TRNSP]</v>
      </c>
      <c r="AJ328" t="str">
        <f>VLOOKUP(F328,Assumptions!$B$116:$C$162,2,FALSE)</f>
        <v>NG_FC_mCHP_HEAT</v>
      </c>
    </row>
    <row r="329" spans="2:36" x14ac:dyDescent="0.25">
      <c r="B329" t="s">
        <v>117</v>
      </c>
      <c r="C329" t="s">
        <v>53</v>
      </c>
      <c r="D329" t="s">
        <v>155</v>
      </c>
      <c r="E329" t="s">
        <v>157</v>
      </c>
      <c r="F329" t="s">
        <v>570</v>
      </c>
      <c r="G329" t="s">
        <v>120</v>
      </c>
      <c r="H329" t="s">
        <v>432</v>
      </c>
      <c r="I329" t="s">
        <v>32</v>
      </c>
      <c r="J329" t="s">
        <v>80</v>
      </c>
      <c r="K329">
        <f t="shared" si="875"/>
        <v>0</v>
      </c>
      <c r="L329">
        <f t="shared" si="876"/>
        <v>1</v>
      </c>
      <c r="M329">
        <f t="shared" si="877"/>
        <v>0</v>
      </c>
      <c r="N329">
        <f t="shared" si="878"/>
        <v>1</v>
      </c>
      <c r="O329">
        <f t="shared" si="879"/>
        <v>2</v>
      </c>
      <c r="P329" t="str">
        <f t="shared" si="880"/>
        <v>Medium centralized biomass gasification-Flexibility</v>
      </c>
      <c r="Q329" t="str">
        <f t="shared" si="881"/>
        <v>Central gas storage-Flexibility</v>
      </c>
      <c r="R329" t="str">
        <f t="shared" si="882"/>
        <v>Blending in natural gas pipeline-Flexibility</v>
      </c>
      <c r="S329" t="str">
        <f t="shared" si="883"/>
        <v>Industrial H2 boiler-Flexibility</v>
      </c>
      <c r="T329">
        <f ca="1">VLOOKUP($P329,'TA database'!$I$8:$J$79,2,FALSE)</f>
        <v>0</v>
      </c>
      <c r="U329">
        <v>0</v>
      </c>
      <c r="V329">
        <v>0</v>
      </c>
      <c r="W329">
        <v>0</v>
      </c>
      <c r="X329">
        <v>0</v>
      </c>
      <c r="Y329">
        <f t="shared" ref="Y329:Y336" ca="1" si="889">$T329</f>
        <v>0</v>
      </c>
      <c r="Z329" t="str">
        <f t="shared" si="885"/>
        <v>BIO_GSF_MED_C   →   C_GAS_STRG   →   H2_BLND_NG_P   →   H2_IND_BOIL_HEAT</v>
      </c>
      <c r="AA329" t="str">
        <f t="shared" si="886"/>
        <v>Industrial heat</v>
      </c>
      <c r="AB329" t="str">
        <f t="shared" si="887"/>
        <v>Flexibility</v>
      </c>
      <c r="AC329">
        <f t="shared" ca="1" si="888"/>
        <v>0</v>
      </c>
      <c r="AD329">
        <v>270</v>
      </c>
      <c r="AE329" t="str">
        <f>IF(AND(ISNUMBER(SEARCH(O329,4)),ISNUMBER(SEARCH('(4) FCH pathway assessment'!$B$16,AB329)),ISNUMBER(SEARCH('(4) FCH pathway assessment'!$B$10,AA329))),AD329,"")</f>
        <v/>
      </c>
      <c r="AF329" t="str">
        <f t="shared" si="776"/>
        <v/>
      </c>
      <c r="AG329" t="str">
        <f>VLOOKUP(C329,Assumptions!$B$116:$C$162,2,FALSE)</f>
        <v>BIO_GSF_MED_C</v>
      </c>
      <c r="AH329" t="str">
        <f>VLOOKUP(D329,Assumptions!$B$116:$C$162,2,FALSE)</f>
        <v>C_GAS_STRG</v>
      </c>
      <c r="AI329" t="str">
        <f>VLOOKUP(E329,Assumptions!$B$116:$C$162,2,FALSE)</f>
        <v>H2_BLND_NG_P</v>
      </c>
      <c r="AJ329" t="str">
        <f>VLOOKUP(F329,Assumptions!$B$116:$C$162,2,FALSE)</f>
        <v>H2_IND_BOIL_HEAT</v>
      </c>
    </row>
    <row r="330" spans="2:36" x14ac:dyDescent="0.25">
      <c r="B330" t="s">
        <v>117</v>
      </c>
      <c r="C330" t="s">
        <v>53</v>
      </c>
      <c r="D330" t="s">
        <v>155</v>
      </c>
      <c r="E330" t="s">
        <v>122</v>
      </c>
      <c r="F330" t="s">
        <v>570</v>
      </c>
      <c r="G330" t="s">
        <v>120</v>
      </c>
      <c r="H330" t="s">
        <v>432</v>
      </c>
      <c r="I330" t="s">
        <v>32</v>
      </c>
      <c r="J330" t="s">
        <v>80</v>
      </c>
      <c r="K330">
        <f t="shared" si="875"/>
        <v>0</v>
      </c>
      <c r="L330">
        <f t="shared" si="876"/>
        <v>1</v>
      </c>
      <c r="M330">
        <f t="shared" si="877"/>
        <v>1</v>
      </c>
      <c r="N330">
        <f t="shared" si="878"/>
        <v>1</v>
      </c>
      <c r="O330">
        <f t="shared" si="879"/>
        <v>3</v>
      </c>
      <c r="P330" t="str">
        <f t="shared" si="880"/>
        <v>Medium centralized biomass gasification-Flexibility</v>
      </c>
      <c r="Q330" t="str">
        <f t="shared" si="881"/>
        <v>Central gas storage-Flexibility</v>
      </c>
      <c r="R330" t="str">
        <f t="shared" si="882"/>
        <v>Hydrogen transmission &amp; distribution pipeline-Flexibility</v>
      </c>
      <c r="S330" t="str">
        <f t="shared" si="883"/>
        <v>Industrial H2 boiler-Flexibility</v>
      </c>
      <c r="T330">
        <f ca="1">VLOOKUP($P330,'TA database'!$I$8:$J$79,2,FALSE)</f>
        <v>0</v>
      </c>
      <c r="U330">
        <v>0</v>
      </c>
      <c r="V330">
        <v>0</v>
      </c>
      <c r="W330">
        <v>0</v>
      </c>
      <c r="X330">
        <v>0</v>
      </c>
      <c r="Y330">
        <f t="shared" ca="1" si="889"/>
        <v>0</v>
      </c>
      <c r="Z330" t="str">
        <f t="shared" si="885"/>
        <v>BIO_GSF_MED_C   →   C_GAS_STRG   →   H2_T&amp;D_P   →   H2_IND_BOIL_HEAT</v>
      </c>
      <c r="AA330" t="str">
        <f t="shared" si="886"/>
        <v>Industrial heat</v>
      </c>
      <c r="AB330" t="str">
        <f t="shared" si="887"/>
        <v>Flexibility</v>
      </c>
      <c r="AC330">
        <f t="shared" ca="1" si="888"/>
        <v>0</v>
      </c>
      <c r="AD330">
        <v>271</v>
      </c>
      <c r="AE330" t="str">
        <f>IF(AND(ISNUMBER(SEARCH(O330,4)),ISNUMBER(SEARCH('(4) FCH pathway assessment'!$B$16,AB330)),ISNUMBER(SEARCH('(4) FCH pathway assessment'!$B$10,AA330))),AD330,"")</f>
        <v/>
      </c>
      <c r="AF330" t="str">
        <f t="shared" si="776"/>
        <v/>
      </c>
      <c r="AG330" t="str">
        <f>VLOOKUP(C330,Assumptions!$B$116:$C$162,2,FALSE)</f>
        <v>BIO_GSF_MED_C</v>
      </c>
      <c r="AH330" t="str">
        <f>VLOOKUP(D330,Assumptions!$B$116:$C$162,2,FALSE)</f>
        <v>C_GAS_STRG</v>
      </c>
      <c r="AI330" t="str">
        <f>VLOOKUP(E330,Assumptions!$B$116:$C$162,2,FALSE)</f>
        <v>H2_T&amp;D_P</v>
      </c>
      <c r="AJ330" t="str">
        <f>VLOOKUP(F330,Assumptions!$B$116:$C$162,2,FALSE)</f>
        <v>H2_IND_BOIL_HEAT</v>
      </c>
    </row>
    <row r="331" spans="2:36" x14ac:dyDescent="0.25">
      <c r="B331" t="s">
        <v>117</v>
      </c>
      <c r="C331" t="s">
        <v>53</v>
      </c>
      <c r="D331" t="s">
        <v>155</v>
      </c>
      <c r="E331" t="s">
        <v>116</v>
      </c>
      <c r="F331" t="s">
        <v>570</v>
      </c>
      <c r="G331" t="s">
        <v>120</v>
      </c>
      <c r="H331" t="s">
        <v>432</v>
      </c>
      <c r="I331" t="s">
        <v>32</v>
      </c>
      <c r="J331" t="s">
        <v>80</v>
      </c>
      <c r="K331">
        <f t="shared" si="875"/>
        <v>0</v>
      </c>
      <c r="L331">
        <f t="shared" si="876"/>
        <v>1</v>
      </c>
      <c r="M331">
        <f t="shared" si="877"/>
        <v>1</v>
      </c>
      <c r="N331">
        <f t="shared" si="878"/>
        <v>1</v>
      </c>
      <c r="O331">
        <f t="shared" si="879"/>
        <v>3</v>
      </c>
      <c r="P331" t="str">
        <f t="shared" si="880"/>
        <v>Medium centralized biomass gasification-Flexibility</v>
      </c>
      <c r="Q331" t="str">
        <f t="shared" si="881"/>
        <v>Central gas storage-Flexibility</v>
      </c>
      <c r="R331" t="str">
        <f t="shared" si="882"/>
        <v>Liquid hydrogen truck-Flexibility</v>
      </c>
      <c r="S331" t="str">
        <f t="shared" si="883"/>
        <v>Industrial H2 boiler-Flexibility</v>
      </c>
      <c r="T331">
        <f ca="1">VLOOKUP($P331,'TA database'!$I$8:$J$79,2,FALSE)</f>
        <v>0</v>
      </c>
      <c r="U331">
        <v>0</v>
      </c>
      <c r="V331">
        <v>0</v>
      </c>
      <c r="W331">
        <v>0</v>
      </c>
      <c r="X331">
        <v>0</v>
      </c>
      <c r="Y331">
        <f t="shared" ca="1" si="889"/>
        <v>0</v>
      </c>
      <c r="Z331" t="str">
        <f t="shared" si="885"/>
        <v>BIO_GSF_MED_C   →   C_GAS_STRG   →   LQ_TRUCK   →   H2_IND_BOIL_HEAT</v>
      </c>
      <c r="AA331" t="str">
        <f t="shared" si="886"/>
        <v>Industrial heat</v>
      </c>
      <c r="AB331" t="str">
        <f t="shared" si="887"/>
        <v>Flexibility</v>
      </c>
      <c r="AC331">
        <f t="shared" ca="1" si="888"/>
        <v>0</v>
      </c>
      <c r="AD331">
        <v>272</v>
      </c>
      <c r="AE331" t="str">
        <f>IF(AND(ISNUMBER(SEARCH(O331,4)),ISNUMBER(SEARCH('(4) FCH pathway assessment'!$B$16,AB331)),ISNUMBER(SEARCH('(4) FCH pathway assessment'!$B$10,AA331))),AD331,"")</f>
        <v/>
      </c>
      <c r="AF331" t="str">
        <f t="shared" si="776"/>
        <v/>
      </c>
      <c r="AG331" t="str">
        <f>VLOOKUP(C331,Assumptions!$B$116:$C$162,2,FALSE)</f>
        <v>BIO_GSF_MED_C</v>
      </c>
      <c r="AH331" t="str">
        <f>VLOOKUP(D331,Assumptions!$B$116:$C$162,2,FALSE)</f>
        <v>C_GAS_STRG</v>
      </c>
      <c r="AI331" t="str">
        <f>VLOOKUP(E331,Assumptions!$B$116:$C$162,2,FALSE)</f>
        <v>LQ_TRUCK</v>
      </c>
      <c r="AJ331" t="str">
        <f>VLOOKUP(F331,Assumptions!$B$116:$C$162,2,FALSE)</f>
        <v>H2_IND_BOIL_HEAT</v>
      </c>
    </row>
    <row r="332" spans="2:36" x14ac:dyDescent="0.25">
      <c r="B332" t="s">
        <v>117</v>
      </c>
      <c r="C332" t="s">
        <v>53</v>
      </c>
      <c r="D332" t="s">
        <v>155</v>
      </c>
      <c r="E332" t="s">
        <v>66</v>
      </c>
      <c r="F332" t="s">
        <v>570</v>
      </c>
      <c r="G332" t="s">
        <v>120</v>
      </c>
      <c r="H332" t="s">
        <v>432</v>
      </c>
      <c r="I332" t="s">
        <v>32</v>
      </c>
      <c r="J332" t="s">
        <v>80</v>
      </c>
      <c r="K332">
        <f t="shared" si="875"/>
        <v>0</v>
      </c>
      <c r="L332">
        <f t="shared" si="876"/>
        <v>1</v>
      </c>
      <c r="M332">
        <f t="shared" si="877"/>
        <v>1</v>
      </c>
      <c r="N332">
        <f t="shared" si="878"/>
        <v>1</v>
      </c>
      <c r="O332">
        <f t="shared" si="879"/>
        <v>3</v>
      </c>
      <c r="P332" t="str">
        <f t="shared" si="880"/>
        <v>Medium centralized biomass gasification-Flexibility</v>
      </c>
      <c r="Q332" t="str">
        <f t="shared" si="881"/>
        <v>Central gas storage-Flexibility</v>
      </c>
      <c r="R332" t="str">
        <f t="shared" si="882"/>
        <v>Onsite-Flexibility</v>
      </c>
      <c r="S332" t="str">
        <f t="shared" si="883"/>
        <v>Industrial H2 boiler-Flexibility</v>
      </c>
      <c r="T332">
        <f ca="1">VLOOKUP($P332,'TA database'!$I$8:$J$79,2,FALSE)</f>
        <v>0</v>
      </c>
      <c r="U332">
        <v>0</v>
      </c>
      <c r="V332">
        <v>0</v>
      </c>
      <c r="W332">
        <v>0</v>
      </c>
      <c r="X332">
        <v>0</v>
      </c>
      <c r="Y332">
        <f t="shared" ca="1" si="889"/>
        <v>0</v>
      </c>
      <c r="Z332" t="str">
        <f t="shared" si="885"/>
        <v>BIO_GSF_MED_C   →   C_GAS_STRG   →   ONSITE_USE   →   H2_IND_BOIL_HEAT</v>
      </c>
      <c r="AA332" t="str">
        <f t="shared" si="886"/>
        <v>Industrial heat</v>
      </c>
      <c r="AB332" t="str">
        <f t="shared" si="887"/>
        <v>Flexibility</v>
      </c>
      <c r="AC332">
        <f t="shared" ca="1" si="888"/>
        <v>0</v>
      </c>
      <c r="AD332">
        <v>273</v>
      </c>
      <c r="AE332" t="str">
        <f>IF(AND(ISNUMBER(SEARCH(O332,4)),ISNUMBER(SEARCH('(4) FCH pathway assessment'!$B$16,AB332)),ISNUMBER(SEARCH('(4) FCH pathway assessment'!$B$10,AA332))),AD332,"")</f>
        <v/>
      </c>
      <c r="AF332" t="str">
        <f t="shared" si="776"/>
        <v/>
      </c>
      <c r="AG332" t="str">
        <f>VLOOKUP(C332,Assumptions!$B$116:$C$162,2,FALSE)</f>
        <v>BIO_GSF_MED_C</v>
      </c>
      <c r="AH332" t="str">
        <f>VLOOKUP(D332,Assumptions!$B$116:$C$162,2,FALSE)</f>
        <v>C_GAS_STRG</v>
      </c>
      <c r="AI332" t="str">
        <f>VLOOKUP(E332,Assumptions!$B$116:$C$162,2,FALSE)</f>
        <v>ONSITE_USE</v>
      </c>
      <c r="AJ332" t="str">
        <f>VLOOKUP(F332,Assumptions!$B$116:$C$162,2,FALSE)</f>
        <v>H2_IND_BOIL_HEAT</v>
      </c>
    </row>
    <row r="333" spans="2:36" x14ac:dyDescent="0.25">
      <c r="B333" t="s">
        <v>117</v>
      </c>
      <c r="C333" t="s">
        <v>54</v>
      </c>
      <c r="D333" t="s">
        <v>155</v>
      </c>
      <c r="E333" t="s">
        <v>157</v>
      </c>
      <c r="F333" t="s">
        <v>570</v>
      </c>
      <c r="G333" t="s">
        <v>120</v>
      </c>
      <c r="H333" t="s">
        <v>432</v>
      </c>
      <c r="I333" t="s">
        <v>32</v>
      </c>
      <c r="J333" t="s">
        <v>80</v>
      </c>
      <c r="K333">
        <f t="shared" si="875"/>
        <v>0</v>
      </c>
      <c r="L333">
        <f t="shared" si="876"/>
        <v>1</v>
      </c>
      <c r="M333">
        <f t="shared" si="877"/>
        <v>0</v>
      </c>
      <c r="N333">
        <f t="shared" si="878"/>
        <v>1</v>
      </c>
      <c r="O333">
        <f t="shared" si="879"/>
        <v>2</v>
      </c>
      <c r="P333" t="str">
        <f t="shared" si="880"/>
        <v>Medium centralized biomass gasification w/ CCS-Flexibility</v>
      </c>
      <c r="Q333" t="str">
        <f t="shared" si="881"/>
        <v>Central gas storage-Flexibility</v>
      </c>
      <c r="R333" t="str">
        <f t="shared" si="882"/>
        <v>Blending in natural gas pipeline-Flexibility</v>
      </c>
      <c r="S333" t="str">
        <f t="shared" si="883"/>
        <v>Industrial H2 boiler-Flexibility</v>
      </c>
      <c r="T333">
        <f ca="1">VLOOKUP($P333,'TA database'!$I$8:$J$79,2,FALSE)</f>
        <v>0</v>
      </c>
      <c r="U333">
        <v>0</v>
      </c>
      <c r="V333">
        <v>0</v>
      </c>
      <c r="W333">
        <v>0</v>
      </c>
      <c r="X333">
        <v>0</v>
      </c>
      <c r="Y333">
        <f t="shared" ca="1" si="889"/>
        <v>0</v>
      </c>
      <c r="Z333" t="str">
        <f t="shared" si="885"/>
        <v>BIO_GSF_CCS_MED_C   →   C_GAS_STRG   →   H2_BLND_NG_P   →   H2_IND_BOIL_HEAT</v>
      </c>
      <c r="AA333" t="str">
        <f t="shared" si="886"/>
        <v>Industrial heat</v>
      </c>
      <c r="AB333" t="str">
        <f t="shared" si="887"/>
        <v>Flexibility</v>
      </c>
      <c r="AC333">
        <f t="shared" ca="1" si="888"/>
        <v>0</v>
      </c>
      <c r="AD333">
        <v>274</v>
      </c>
      <c r="AE333" t="str">
        <f>IF(AND(ISNUMBER(SEARCH(O333,4)),ISNUMBER(SEARCH('(4) FCH pathway assessment'!$B$16,AB333)),ISNUMBER(SEARCH('(4) FCH pathway assessment'!$B$10,AA333))),AD333,"")</f>
        <v/>
      </c>
      <c r="AF333" t="str">
        <f t="shared" si="776"/>
        <v/>
      </c>
      <c r="AG333" t="str">
        <f>VLOOKUP(C333,Assumptions!$B$116:$C$162,2,FALSE)</f>
        <v>BIO_GSF_CCS_MED_C</v>
      </c>
      <c r="AH333" t="str">
        <f>VLOOKUP(D333,Assumptions!$B$116:$C$162,2,FALSE)</f>
        <v>C_GAS_STRG</v>
      </c>
      <c r="AI333" t="str">
        <f>VLOOKUP(E333,Assumptions!$B$116:$C$162,2,FALSE)</f>
        <v>H2_BLND_NG_P</v>
      </c>
      <c r="AJ333" t="str">
        <f>VLOOKUP(F333,Assumptions!$B$116:$C$162,2,FALSE)</f>
        <v>H2_IND_BOIL_HEAT</v>
      </c>
    </row>
    <row r="334" spans="2:36" x14ac:dyDescent="0.25">
      <c r="B334" t="s">
        <v>117</v>
      </c>
      <c r="C334" t="s">
        <v>54</v>
      </c>
      <c r="D334" t="s">
        <v>155</v>
      </c>
      <c r="E334" t="s">
        <v>122</v>
      </c>
      <c r="F334" t="s">
        <v>570</v>
      </c>
      <c r="G334" t="s">
        <v>120</v>
      </c>
      <c r="H334" t="s">
        <v>432</v>
      </c>
      <c r="I334" t="s">
        <v>32</v>
      </c>
      <c r="J334" t="s">
        <v>80</v>
      </c>
      <c r="K334">
        <f t="shared" si="875"/>
        <v>0</v>
      </c>
      <c r="L334">
        <f t="shared" si="876"/>
        <v>1</v>
      </c>
      <c r="M334">
        <f t="shared" si="877"/>
        <v>1</v>
      </c>
      <c r="N334">
        <f t="shared" si="878"/>
        <v>1</v>
      </c>
      <c r="O334">
        <f t="shared" ref="O334:O339" si="890">K334+L334+M334+N334</f>
        <v>3</v>
      </c>
      <c r="P334" t="str">
        <f t="shared" si="880"/>
        <v>Medium centralized biomass gasification w/ CCS-Flexibility</v>
      </c>
      <c r="Q334" t="str">
        <f t="shared" si="881"/>
        <v>Central gas storage-Flexibility</v>
      </c>
      <c r="R334" t="str">
        <f t="shared" si="882"/>
        <v>Hydrogen transmission &amp; distribution pipeline-Flexibility</v>
      </c>
      <c r="S334" t="str">
        <f t="shared" si="883"/>
        <v>Industrial H2 boiler-Flexibility</v>
      </c>
      <c r="T334">
        <f ca="1">VLOOKUP($P334,'TA database'!$I$8:$J$79,2,FALSE)</f>
        <v>0</v>
      </c>
      <c r="U334">
        <v>0</v>
      </c>
      <c r="V334">
        <v>0</v>
      </c>
      <c r="W334">
        <v>0</v>
      </c>
      <c r="X334">
        <v>0</v>
      </c>
      <c r="Y334">
        <f t="shared" ca="1" si="889"/>
        <v>0</v>
      </c>
      <c r="Z334" t="str">
        <f t="shared" ref="Z334:Z339" si="891">CONCATENATE(AG334,"   →   ",AH334,"   →   ",AI334,"   →   ",AJ334)</f>
        <v>BIO_GSF_CCS_MED_C   →   C_GAS_STRG   →   H2_T&amp;D_P   →   H2_IND_BOIL_HEAT</v>
      </c>
      <c r="AA334" t="str">
        <f t="shared" ref="AA334:AA339" si="892">G334</f>
        <v>Industrial heat</v>
      </c>
      <c r="AB334" t="str">
        <f t="shared" ref="AB334:AB339" si="893">J334</f>
        <v>Flexibility</v>
      </c>
      <c r="AC334">
        <f t="shared" ref="AC334:AC339" ca="1" si="894">Y334</f>
        <v>0</v>
      </c>
      <c r="AD334">
        <v>275</v>
      </c>
      <c r="AE334" t="str">
        <f>IF(AND(ISNUMBER(SEARCH(O334,4)),ISNUMBER(SEARCH('(4) FCH pathway assessment'!$B$16,AB334)),ISNUMBER(SEARCH('(4) FCH pathway assessment'!$B$10,AA334))),AD334,"")</f>
        <v/>
      </c>
      <c r="AF334" t="str">
        <f t="shared" si="776"/>
        <v/>
      </c>
      <c r="AG334" t="str">
        <f>VLOOKUP(C334,Assumptions!$B$116:$C$162,2,FALSE)</f>
        <v>BIO_GSF_CCS_MED_C</v>
      </c>
      <c r="AH334" t="str">
        <f>VLOOKUP(D334,Assumptions!$B$116:$C$162,2,FALSE)</f>
        <v>C_GAS_STRG</v>
      </c>
      <c r="AI334" t="str">
        <f>VLOOKUP(E334,Assumptions!$B$116:$C$162,2,FALSE)</f>
        <v>H2_T&amp;D_P</v>
      </c>
      <c r="AJ334" t="str">
        <f>VLOOKUP(F334,Assumptions!$B$116:$C$162,2,FALSE)</f>
        <v>H2_IND_BOIL_HEAT</v>
      </c>
    </row>
    <row r="335" spans="2:36" x14ac:dyDescent="0.25">
      <c r="B335" t="s">
        <v>117</v>
      </c>
      <c r="C335" t="s">
        <v>54</v>
      </c>
      <c r="D335" t="s">
        <v>155</v>
      </c>
      <c r="E335" t="s">
        <v>116</v>
      </c>
      <c r="F335" t="s">
        <v>570</v>
      </c>
      <c r="G335" t="s">
        <v>120</v>
      </c>
      <c r="H335" t="s">
        <v>432</v>
      </c>
      <c r="I335" t="s">
        <v>32</v>
      </c>
      <c r="J335" t="s">
        <v>80</v>
      </c>
      <c r="K335">
        <f t="shared" ref="K335:K340" si="895">SUMPRODUCT(($C$7:$C$18=$C335)*($D$6:$H$6=$D335)*($D$7:$H$18))</f>
        <v>0</v>
      </c>
      <c r="L335">
        <f t="shared" ref="L335:L340" si="896">SUMPRODUCT(($C$19:$C$23=$D335)*($I$6:$O$6=$E335)*($I$19:$O$23))</f>
        <v>1</v>
      </c>
      <c r="M335">
        <f t="shared" ref="M335:M340" si="897">SUMPRODUCT(($C$24:$C$30=$E335)*($P$6:$AI$6=$F335)*($P$24:$AI$30))</f>
        <v>1</v>
      </c>
      <c r="N335">
        <f t="shared" ref="N335:N340" si="898">SUMPRODUCT(($C$31:$C$50=$F335)*($AJ$6:$AM$6=$G335)*($AJ$31:$AM$50))</f>
        <v>1</v>
      </c>
      <c r="O335">
        <f t="shared" si="890"/>
        <v>3</v>
      </c>
      <c r="P335" t="str">
        <f t="shared" ref="P335:P340" si="899">CONCATENATE(C335,"-",J335)</f>
        <v>Medium centralized biomass gasification w/ CCS-Flexibility</v>
      </c>
      <c r="Q335" t="str">
        <f t="shared" ref="Q335:Q340" si="900">CONCATENATE(D335,"-",J335)</f>
        <v>Central gas storage-Flexibility</v>
      </c>
      <c r="R335" t="str">
        <f t="shared" ref="R335:R340" si="901">CONCATENATE(E335,"-",J335)</f>
        <v>Liquid hydrogen truck-Flexibility</v>
      </c>
      <c r="S335" t="str">
        <f t="shared" ref="S335:S340" si="902">CONCATENATE(F335,"-",J335)</f>
        <v>Industrial H2 boiler-Flexibility</v>
      </c>
      <c r="T335">
        <f ca="1">VLOOKUP($P335,'TA database'!$I$8:$J$79,2,FALSE)</f>
        <v>0</v>
      </c>
      <c r="U335">
        <v>0</v>
      </c>
      <c r="V335">
        <v>0</v>
      </c>
      <c r="W335">
        <v>0</v>
      </c>
      <c r="X335">
        <v>0</v>
      </c>
      <c r="Y335">
        <f t="shared" ca="1" si="889"/>
        <v>0</v>
      </c>
      <c r="Z335" t="str">
        <f t="shared" si="891"/>
        <v>BIO_GSF_CCS_MED_C   →   C_GAS_STRG   →   LQ_TRUCK   →   H2_IND_BOIL_HEAT</v>
      </c>
      <c r="AA335" t="str">
        <f t="shared" si="892"/>
        <v>Industrial heat</v>
      </c>
      <c r="AB335" t="str">
        <f t="shared" si="893"/>
        <v>Flexibility</v>
      </c>
      <c r="AC335">
        <f t="shared" ca="1" si="894"/>
        <v>0</v>
      </c>
      <c r="AD335">
        <v>276</v>
      </c>
      <c r="AE335" t="str">
        <f>IF(AND(ISNUMBER(SEARCH(O335,4)),ISNUMBER(SEARCH('(4) FCH pathway assessment'!$B$16,AB335)),ISNUMBER(SEARCH('(4) FCH pathway assessment'!$B$10,AA335))),AD335,"")</f>
        <v/>
      </c>
      <c r="AF335" t="str">
        <f t="shared" si="776"/>
        <v/>
      </c>
      <c r="AG335" t="str">
        <f>VLOOKUP(C335,Assumptions!$B$116:$C$162,2,FALSE)</f>
        <v>BIO_GSF_CCS_MED_C</v>
      </c>
      <c r="AH335" t="str">
        <f>VLOOKUP(D335,Assumptions!$B$116:$C$162,2,FALSE)</f>
        <v>C_GAS_STRG</v>
      </c>
      <c r="AI335" t="str">
        <f>VLOOKUP(E335,Assumptions!$B$116:$C$162,2,FALSE)</f>
        <v>LQ_TRUCK</v>
      </c>
      <c r="AJ335" t="str">
        <f>VLOOKUP(F335,Assumptions!$B$116:$C$162,2,FALSE)</f>
        <v>H2_IND_BOIL_HEAT</v>
      </c>
    </row>
    <row r="336" spans="2:36" x14ac:dyDescent="0.25">
      <c r="B336" t="s">
        <v>117</v>
      </c>
      <c r="C336" t="s">
        <v>54</v>
      </c>
      <c r="D336" t="s">
        <v>155</v>
      </c>
      <c r="E336" t="s">
        <v>66</v>
      </c>
      <c r="F336" t="s">
        <v>570</v>
      </c>
      <c r="G336" t="s">
        <v>120</v>
      </c>
      <c r="H336" t="s">
        <v>432</v>
      </c>
      <c r="I336" t="s">
        <v>32</v>
      </c>
      <c r="J336" t="s">
        <v>80</v>
      </c>
      <c r="K336">
        <f t="shared" si="895"/>
        <v>0</v>
      </c>
      <c r="L336">
        <f t="shared" si="896"/>
        <v>1</v>
      </c>
      <c r="M336">
        <f t="shared" si="897"/>
        <v>1</v>
      </c>
      <c r="N336">
        <f t="shared" si="898"/>
        <v>1</v>
      </c>
      <c r="O336">
        <f t="shared" si="890"/>
        <v>3</v>
      </c>
      <c r="P336" t="str">
        <f t="shared" si="899"/>
        <v>Medium centralized biomass gasification w/ CCS-Flexibility</v>
      </c>
      <c r="Q336" t="str">
        <f t="shared" si="900"/>
        <v>Central gas storage-Flexibility</v>
      </c>
      <c r="R336" t="str">
        <f t="shared" si="901"/>
        <v>Onsite-Flexibility</v>
      </c>
      <c r="S336" t="str">
        <f t="shared" si="902"/>
        <v>Industrial H2 boiler-Flexibility</v>
      </c>
      <c r="T336">
        <f ca="1">VLOOKUP($P336,'TA database'!$I$8:$J$79,2,FALSE)</f>
        <v>0</v>
      </c>
      <c r="U336">
        <v>0</v>
      </c>
      <c r="V336">
        <v>0</v>
      </c>
      <c r="W336">
        <v>0</v>
      </c>
      <c r="X336">
        <v>0</v>
      </c>
      <c r="Y336">
        <f t="shared" ca="1" si="889"/>
        <v>0</v>
      </c>
      <c r="Z336" t="str">
        <f t="shared" si="891"/>
        <v>BIO_GSF_CCS_MED_C   →   C_GAS_STRG   →   ONSITE_USE   →   H2_IND_BOIL_HEAT</v>
      </c>
      <c r="AA336" t="str">
        <f t="shared" si="892"/>
        <v>Industrial heat</v>
      </c>
      <c r="AB336" t="str">
        <f t="shared" si="893"/>
        <v>Flexibility</v>
      </c>
      <c r="AC336">
        <f t="shared" ca="1" si="894"/>
        <v>0</v>
      </c>
      <c r="AD336">
        <v>277</v>
      </c>
      <c r="AE336" t="str">
        <f>IF(AND(ISNUMBER(SEARCH(O336,4)),ISNUMBER(SEARCH('(4) FCH pathway assessment'!$B$16,AB336)),ISNUMBER(SEARCH('(4) FCH pathway assessment'!$B$10,AA336))),AD336,"")</f>
        <v/>
      </c>
      <c r="AF336" t="str">
        <f t="shared" si="776"/>
        <v/>
      </c>
      <c r="AG336" t="str">
        <f>VLOOKUP(C336,Assumptions!$B$116:$C$162,2,FALSE)</f>
        <v>BIO_GSF_CCS_MED_C</v>
      </c>
      <c r="AH336" t="str">
        <f>VLOOKUP(D336,Assumptions!$B$116:$C$162,2,FALSE)</f>
        <v>C_GAS_STRG</v>
      </c>
      <c r="AI336" t="str">
        <f>VLOOKUP(E336,Assumptions!$B$116:$C$162,2,FALSE)</f>
        <v>ONSITE_USE</v>
      </c>
      <c r="AJ336" t="str">
        <f>VLOOKUP(F336,Assumptions!$B$116:$C$162,2,FALSE)</f>
        <v>H2_IND_BOIL_HEAT</v>
      </c>
    </row>
    <row r="337" spans="2:36" x14ac:dyDescent="0.25">
      <c r="B337" t="s">
        <v>117</v>
      </c>
      <c r="C337" t="s">
        <v>55</v>
      </c>
      <c r="D337" s="60" t="s">
        <v>130</v>
      </c>
      <c r="E337" t="s">
        <v>66</v>
      </c>
      <c r="F337" t="s">
        <v>570</v>
      </c>
      <c r="G337" t="s">
        <v>120</v>
      </c>
      <c r="H337" t="s">
        <v>432</v>
      </c>
      <c r="I337" t="s">
        <v>32</v>
      </c>
      <c r="J337" t="s">
        <v>80</v>
      </c>
      <c r="K337">
        <f t="shared" si="895"/>
        <v>0</v>
      </c>
      <c r="L337">
        <f t="shared" si="896"/>
        <v>1</v>
      </c>
      <c r="M337">
        <f t="shared" si="897"/>
        <v>1</v>
      </c>
      <c r="N337">
        <f t="shared" si="898"/>
        <v>1</v>
      </c>
      <c r="O337">
        <f t="shared" si="890"/>
        <v>3</v>
      </c>
      <c r="P337" t="str">
        <f t="shared" si="899"/>
        <v>Small decentralized biomass gasification-Flexibility</v>
      </c>
      <c r="Q337" t="str">
        <f t="shared" si="900"/>
        <v>Distributed gas storage-Flexibility</v>
      </c>
      <c r="R337" t="str">
        <f t="shared" si="901"/>
        <v>Onsite-Flexibility</v>
      </c>
      <c r="S337" t="str">
        <f t="shared" si="902"/>
        <v>Industrial H2 boiler-Flexibility</v>
      </c>
      <c r="T337">
        <f ca="1">VLOOKUP($P337,'TA database'!$I$8:$J$79,2,FALSE)</f>
        <v>0</v>
      </c>
      <c r="U337">
        <v>0</v>
      </c>
      <c r="V337">
        <v>0</v>
      </c>
      <c r="W337">
        <v>0</v>
      </c>
      <c r="X337">
        <v>0</v>
      </c>
      <c r="Y337">
        <f t="shared" ref="Y337:Y341" ca="1" si="903">$T337</f>
        <v>0</v>
      </c>
      <c r="Z337" t="str">
        <f t="shared" si="891"/>
        <v>BIO_GSF_SML_D   →   D_GAS_STRG   →   ONSITE_USE   →   H2_IND_BOIL_HEAT</v>
      </c>
      <c r="AA337" t="str">
        <f t="shared" si="892"/>
        <v>Industrial heat</v>
      </c>
      <c r="AB337" t="str">
        <f t="shared" si="893"/>
        <v>Flexibility</v>
      </c>
      <c r="AC337">
        <f t="shared" ca="1" si="894"/>
        <v>0</v>
      </c>
      <c r="AD337">
        <v>278</v>
      </c>
      <c r="AE337" t="str">
        <f>IF(AND(ISNUMBER(SEARCH(O337,4)),ISNUMBER(SEARCH('(4) FCH pathway assessment'!$B$16,AB337)),ISNUMBER(SEARCH('(4) FCH pathway assessment'!$B$10,AA337))),AD337,"")</f>
        <v/>
      </c>
      <c r="AF337" t="str">
        <f t="shared" si="776"/>
        <v/>
      </c>
      <c r="AG337" t="str">
        <f>VLOOKUP(C337,Assumptions!$B$116:$C$162,2,FALSE)</f>
        <v>BIO_GSF_SML_D</v>
      </c>
      <c r="AH337" t="str">
        <f>VLOOKUP(D337,Assumptions!$B$116:$C$162,2,FALSE)</f>
        <v>D_GAS_STRG</v>
      </c>
      <c r="AI337" t="str">
        <f>VLOOKUP(E337,Assumptions!$B$116:$C$162,2,FALSE)</f>
        <v>ONSITE_USE</v>
      </c>
      <c r="AJ337" t="str">
        <f>VLOOKUP(F337,Assumptions!$B$116:$C$162,2,FALSE)</f>
        <v>H2_IND_BOIL_HEAT</v>
      </c>
    </row>
    <row r="338" spans="2:36" x14ac:dyDescent="0.25">
      <c r="B338" t="s">
        <v>117</v>
      </c>
      <c r="C338" t="s">
        <v>56</v>
      </c>
      <c r="D338" t="s">
        <v>62</v>
      </c>
      <c r="E338" t="s">
        <v>157</v>
      </c>
      <c r="F338" t="s">
        <v>570</v>
      </c>
      <c r="G338" t="s">
        <v>120</v>
      </c>
      <c r="H338" t="s">
        <v>432</v>
      </c>
      <c r="I338" t="s">
        <v>32</v>
      </c>
      <c r="J338" t="s">
        <v>80</v>
      </c>
      <c r="K338">
        <f t="shared" si="895"/>
        <v>0</v>
      </c>
      <c r="L338">
        <f t="shared" si="896"/>
        <v>0</v>
      </c>
      <c r="M338">
        <f t="shared" si="897"/>
        <v>0</v>
      </c>
      <c r="N338">
        <f t="shared" si="898"/>
        <v>1</v>
      </c>
      <c r="O338">
        <f t="shared" si="890"/>
        <v>1</v>
      </c>
      <c r="P338" t="str">
        <f t="shared" si="899"/>
        <v>Large centralized biomass steam reforming -Flexibility</v>
      </c>
      <c r="Q338" t="str">
        <f t="shared" si="900"/>
        <v>Underground storage-Flexibility</v>
      </c>
      <c r="R338" t="str">
        <f t="shared" si="901"/>
        <v>Blending in natural gas pipeline-Flexibility</v>
      </c>
      <c r="S338" t="str">
        <f t="shared" si="902"/>
        <v>Industrial H2 boiler-Flexibility</v>
      </c>
      <c r="T338">
        <f ca="1">VLOOKUP($P338,'TA database'!$I$8:$J$79,2,FALSE)</f>
        <v>0</v>
      </c>
      <c r="U338">
        <v>0</v>
      </c>
      <c r="V338">
        <v>0</v>
      </c>
      <c r="W338">
        <v>0</v>
      </c>
      <c r="X338">
        <v>0</v>
      </c>
      <c r="Y338">
        <f t="shared" ca="1" si="903"/>
        <v>0</v>
      </c>
      <c r="Z338" t="str">
        <f t="shared" si="891"/>
        <v>BIO_SR_LRG_C   →   C_UNDRGRND_STRG   →   H2_BLND_NG_P   →   H2_IND_BOIL_HEAT</v>
      </c>
      <c r="AA338" t="str">
        <f t="shared" si="892"/>
        <v>Industrial heat</v>
      </c>
      <c r="AB338" t="str">
        <f t="shared" si="893"/>
        <v>Flexibility</v>
      </c>
      <c r="AC338">
        <f t="shared" ca="1" si="894"/>
        <v>0</v>
      </c>
      <c r="AD338">
        <v>279</v>
      </c>
      <c r="AE338" t="str">
        <f>IF(AND(ISNUMBER(SEARCH(O338,4)),ISNUMBER(SEARCH('(4) FCH pathway assessment'!$B$16,AB338)),ISNUMBER(SEARCH('(4) FCH pathway assessment'!$B$10,AA338))),AD338,"")</f>
        <v/>
      </c>
      <c r="AF338" t="str">
        <f t="shared" si="776"/>
        <v/>
      </c>
      <c r="AG338" t="str">
        <f>VLOOKUP(C338,Assumptions!$B$116:$C$162,2,FALSE)</f>
        <v>BIO_SR_LRG_C</v>
      </c>
      <c r="AH338" t="str">
        <f>VLOOKUP(D338,Assumptions!$B$116:$C$162,2,FALSE)</f>
        <v>C_UNDRGRND_STRG</v>
      </c>
      <c r="AI338" t="str">
        <f>VLOOKUP(E338,Assumptions!$B$116:$C$162,2,FALSE)</f>
        <v>H2_BLND_NG_P</v>
      </c>
      <c r="AJ338" t="str">
        <f>VLOOKUP(F338,Assumptions!$B$116:$C$162,2,FALSE)</f>
        <v>H2_IND_BOIL_HEAT</v>
      </c>
    </row>
    <row r="339" spans="2:36" x14ac:dyDescent="0.25">
      <c r="B339" t="s">
        <v>117</v>
      </c>
      <c r="C339" t="s">
        <v>56</v>
      </c>
      <c r="D339" t="s">
        <v>62</v>
      </c>
      <c r="E339" t="s">
        <v>122</v>
      </c>
      <c r="F339" t="s">
        <v>570</v>
      </c>
      <c r="G339" t="s">
        <v>120</v>
      </c>
      <c r="H339" t="s">
        <v>432</v>
      </c>
      <c r="I339" t="s">
        <v>32</v>
      </c>
      <c r="J339" t="s">
        <v>80</v>
      </c>
      <c r="K339">
        <f t="shared" si="895"/>
        <v>0</v>
      </c>
      <c r="L339">
        <f t="shared" si="896"/>
        <v>0</v>
      </c>
      <c r="M339">
        <f t="shared" si="897"/>
        <v>1</v>
      </c>
      <c r="N339">
        <f t="shared" si="898"/>
        <v>1</v>
      </c>
      <c r="O339">
        <f t="shared" si="890"/>
        <v>2</v>
      </c>
      <c r="P339" t="str">
        <f t="shared" si="899"/>
        <v>Large centralized biomass steam reforming -Flexibility</v>
      </c>
      <c r="Q339" t="str">
        <f t="shared" si="900"/>
        <v>Underground storage-Flexibility</v>
      </c>
      <c r="R339" t="str">
        <f t="shared" si="901"/>
        <v>Hydrogen transmission &amp; distribution pipeline-Flexibility</v>
      </c>
      <c r="S339" t="str">
        <f t="shared" si="902"/>
        <v>Industrial H2 boiler-Flexibility</v>
      </c>
      <c r="T339">
        <f ca="1">VLOOKUP($P339,'TA database'!$I$8:$J$79,2,FALSE)</f>
        <v>0</v>
      </c>
      <c r="U339">
        <v>0</v>
      </c>
      <c r="V339">
        <v>0</v>
      </c>
      <c r="W339">
        <v>0</v>
      </c>
      <c r="X339">
        <v>0</v>
      </c>
      <c r="Y339">
        <f t="shared" ca="1" si="903"/>
        <v>0</v>
      </c>
      <c r="Z339" t="str">
        <f t="shared" si="891"/>
        <v>BIO_SR_LRG_C   →   C_UNDRGRND_STRG   →   H2_T&amp;D_P   →   H2_IND_BOIL_HEAT</v>
      </c>
      <c r="AA339" t="str">
        <f t="shared" si="892"/>
        <v>Industrial heat</v>
      </c>
      <c r="AB339" t="str">
        <f t="shared" si="893"/>
        <v>Flexibility</v>
      </c>
      <c r="AC339">
        <f t="shared" ca="1" si="894"/>
        <v>0</v>
      </c>
      <c r="AD339">
        <v>280</v>
      </c>
      <c r="AE339" t="str">
        <f>IF(AND(ISNUMBER(SEARCH(O339,4)),ISNUMBER(SEARCH('(4) FCH pathway assessment'!$B$16,AB339)),ISNUMBER(SEARCH('(4) FCH pathway assessment'!$B$10,AA339))),AD339,"")</f>
        <v/>
      </c>
      <c r="AF339" t="str">
        <f t="shared" si="776"/>
        <v/>
      </c>
      <c r="AG339" t="str">
        <f>VLOOKUP(C339,Assumptions!$B$116:$C$162,2,FALSE)</f>
        <v>BIO_SR_LRG_C</v>
      </c>
      <c r="AH339" t="str">
        <f>VLOOKUP(D339,Assumptions!$B$116:$C$162,2,FALSE)</f>
        <v>C_UNDRGRND_STRG</v>
      </c>
      <c r="AI339" t="str">
        <f>VLOOKUP(E339,Assumptions!$B$116:$C$162,2,FALSE)</f>
        <v>H2_T&amp;D_P</v>
      </c>
      <c r="AJ339" t="str">
        <f>VLOOKUP(F339,Assumptions!$B$116:$C$162,2,FALSE)</f>
        <v>H2_IND_BOIL_HEAT</v>
      </c>
    </row>
    <row r="340" spans="2:36" x14ac:dyDescent="0.25">
      <c r="B340" t="s">
        <v>117</v>
      </c>
      <c r="C340" t="s">
        <v>56</v>
      </c>
      <c r="D340" t="s">
        <v>62</v>
      </c>
      <c r="E340" t="s">
        <v>116</v>
      </c>
      <c r="F340" t="s">
        <v>570</v>
      </c>
      <c r="G340" t="s">
        <v>120</v>
      </c>
      <c r="H340" t="s">
        <v>432</v>
      </c>
      <c r="I340" t="s">
        <v>32</v>
      </c>
      <c r="J340" t="s">
        <v>80</v>
      </c>
      <c r="K340">
        <f t="shared" si="895"/>
        <v>0</v>
      </c>
      <c r="L340">
        <f t="shared" si="896"/>
        <v>0</v>
      </c>
      <c r="M340">
        <f t="shared" si="897"/>
        <v>1</v>
      </c>
      <c r="N340">
        <f t="shared" si="898"/>
        <v>1</v>
      </c>
      <c r="O340">
        <f t="shared" ref="O340:O350" si="904">K340+L340+M340+N340</f>
        <v>2</v>
      </c>
      <c r="P340" t="str">
        <f t="shared" si="899"/>
        <v>Large centralized biomass steam reforming -Flexibility</v>
      </c>
      <c r="Q340" t="str">
        <f t="shared" si="900"/>
        <v>Underground storage-Flexibility</v>
      </c>
      <c r="R340" t="str">
        <f t="shared" si="901"/>
        <v>Liquid hydrogen truck-Flexibility</v>
      </c>
      <c r="S340" t="str">
        <f t="shared" si="902"/>
        <v>Industrial H2 boiler-Flexibility</v>
      </c>
      <c r="T340">
        <f ca="1">VLOOKUP($P340,'TA database'!$I$8:$J$79,2,FALSE)</f>
        <v>0</v>
      </c>
      <c r="U340">
        <v>0</v>
      </c>
      <c r="V340">
        <v>0</v>
      </c>
      <c r="W340">
        <v>0</v>
      </c>
      <c r="X340">
        <v>0</v>
      </c>
      <c r="Y340">
        <f t="shared" ca="1" si="903"/>
        <v>0</v>
      </c>
      <c r="Z340" t="str">
        <f t="shared" ref="Z340:Z350" si="905">CONCATENATE(AG340,"   →   ",AH340,"   →   ",AI340,"   →   ",AJ340)</f>
        <v>BIO_SR_LRG_C   →   C_UNDRGRND_STRG   →   LQ_TRUCK   →   H2_IND_BOIL_HEAT</v>
      </c>
      <c r="AA340" t="str">
        <f t="shared" ref="AA340:AA350" si="906">G340</f>
        <v>Industrial heat</v>
      </c>
      <c r="AB340" t="str">
        <f t="shared" ref="AB340:AB350" si="907">J340</f>
        <v>Flexibility</v>
      </c>
      <c r="AC340">
        <f t="shared" ref="AC340:AC350" ca="1" si="908">Y340</f>
        <v>0</v>
      </c>
      <c r="AD340">
        <v>281</v>
      </c>
      <c r="AE340" t="str">
        <f>IF(AND(ISNUMBER(SEARCH(O340,4)),ISNUMBER(SEARCH('(4) FCH pathway assessment'!$B$16,AB340)),ISNUMBER(SEARCH('(4) FCH pathway assessment'!$B$10,AA340))),AD340,"")</f>
        <v/>
      </c>
      <c r="AF340" t="str">
        <f t="shared" si="776"/>
        <v/>
      </c>
      <c r="AG340" t="str">
        <f>VLOOKUP(C340,Assumptions!$B$116:$C$162,2,FALSE)</f>
        <v>BIO_SR_LRG_C</v>
      </c>
      <c r="AH340" t="str">
        <f>VLOOKUP(D340,Assumptions!$B$116:$C$162,2,FALSE)</f>
        <v>C_UNDRGRND_STRG</v>
      </c>
      <c r="AI340" t="str">
        <f>VLOOKUP(E340,Assumptions!$B$116:$C$162,2,FALSE)</f>
        <v>LQ_TRUCK</v>
      </c>
      <c r="AJ340" t="str">
        <f>VLOOKUP(F340,Assumptions!$B$116:$C$162,2,FALSE)</f>
        <v>H2_IND_BOIL_HEAT</v>
      </c>
    </row>
    <row r="341" spans="2:36" x14ac:dyDescent="0.25">
      <c r="B341" t="s">
        <v>117</v>
      </c>
      <c r="C341" t="s">
        <v>56</v>
      </c>
      <c r="D341" t="s">
        <v>62</v>
      </c>
      <c r="E341" t="s">
        <v>66</v>
      </c>
      <c r="F341" t="s">
        <v>570</v>
      </c>
      <c r="G341" t="s">
        <v>120</v>
      </c>
      <c r="H341" t="s">
        <v>432</v>
      </c>
      <c r="I341" t="s">
        <v>32</v>
      </c>
      <c r="J341" t="s">
        <v>80</v>
      </c>
      <c r="K341">
        <f t="shared" ref="K341:K350" si="909">SUMPRODUCT(($C$7:$C$18=$C341)*($D$6:$H$6=$D341)*($D$7:$H$18))</f>
        <v>0</v>
      </c>
      <c r="L341">
        <f t="shared" ref="L341:L350" si="910">SUMPRODUCT(($C$19:$C$23=$D341)*($I$6:$O$6=$E341)*($I$19:$O$23))</f>
        <v>0</v>
      </c>
      <c r="M341">
        <f t="shared" ref="M341:M350" si="911">SUMPRODUCT(($C$24:$C$30=$E341)*($P$6:$AI$6=$F341)*($P$24:$AI$30))</f>
        <v>1</v>
      </c>
      <c r="N341">
        <f t="shared" ref="N341:N350" si="912">SUMPRODUCT(($C$31:$C$50=$F341)*($AJ$6:$AM$6=$G341)*($AJ$31:$AM$50))</f>
        <v>1</v>
      </c>
      <c r="O341">
        <f t="shared" si="904"/>
        <v>2</v>
      </c>
      <c r="P341" t="str">
        <f t="shared" ref="P341:P350" si="913">CONCATENATE(C341,"-",J341)</f>
        <v>Large centralized biomass steam reforming -Flexibility</v>
      </c>
      <c r="Q341" t="str">
        <f t="shared" ref="Q341:Q350" si="914">CONCATENATE(D341,"-",J341)</f>
        <v>Underground storage-Flexibility</v>
      </c>
      <c r="R341" t="str">
        <f t="shared" ref="R341:R350" si="915">CONCATENATE(E341,"-",J341)</f>
        <v>Onsite-Flexibility</v>
      </c>
      <c r="S341" t="str">
        <f t="shared" ref="S341:S350" si="916">CONCATENATE(F341,"-",J341)</f>
        <v>Industrial H2 boiler-Flexibility</v>
      </c>
      <c r="T341">
        <f ca="1">VLOOKUP($P341,'TA database'!$I$8:$J$79,2,FALSE)</f>
        <v>0</v>
      </c>
      <c r="U341">
        <v>0</v>
      </c>
      <c r="V341">
        <v>0</v>
      </c>
      <c r="W341">
        <v>0</v>
      </c>
      <c r="X341">
        <v>0</v>
      </c>
      <c r="Y341">
        <f t="shared" ca="1" si="903"/>
        <v>0</v>
      </c>
      <c r="Z341" t="str">
        <f t="shared" si="905"/>
        <v>BIO_SR_LRG_C   →   C_UNDRGRND_STRG   →   ONSITE_USE   →   H2_IND_BOIL_HEAT</v>
      </c>
      <c r="AA341" t="str">
        <f t="shared" si="906"/>
        <v>Industrial heat</v>
      </c>
      <c r="AB341" t="str">
        <f t="shared" si="907"/>
        <v>Flexibility</v>
      </c>
      <c r="AC341">
        <f t="shared" ca="1" si="908"/>
        <v>0</v>
      </c>
      <c r="AD341">
        <v>282</v>
      </c>
      <c r="AE341" t="str">
        <f>IF(AND(ISNUMBER(SEARCH(O341,4)),ISNUMBER(SEARCH('(4) FCH pathway assessment'!$B$16,AB341)),ISNUMBER(SEARCH('(4) FCH pathway assessment'!$B$10,AA341))),AD341,"")</f>
        <v/>
      </c>
      <c r="AF341" t="str">
        <f t="shared" si="776"/>
        <v/>
      </c>
      <c r="AG341" t="str">
        <f>VLOOKUP(C341,Assumptions!$B$116:$C$162,2,FALSE)</f>
        <v>BIO_SR_LRG_C</v>
      </c>
      <c r="AH341" t="str">
        <f>VLOOKUP(D341,Assumptions!$B$116:$C$162,2,FALSE)</f>
        <v>C_UNDRGRND_STRG</v>
      </c>
      <c r="AI341" t="str">
        <f>VLOOKUP(E341,Assumptions!$B$116:$C$162,2,FALSE)</f>
        <v>ONSITE_USE</v>
      </c>
      <c r="AJ341" t="str">
        <f>VLOOKUP(F341,Assumptions!$B$116:$C$162,2,FALSE)</f>
        <v>H2_IND_BOIL_HEAT</v>
      </c>
    </row>
    <row r="342" spans="2:36" x14ac:dyDescent="0.25">
      <c r="B342" t="s">
        <v>117</v>
      </c>
      <c r="C342" t="s">
        <v>56</v>
      </c>
      <c r="D342" s="61" t="s">
        <v>63</v>
      </c>
      <c r="E342" t="s">
        <v>122</v>
      </c>
      <c r="F342" t="s">
        <v>570</v>
      </c>
      <c r="G342" t="s">
        <v>120</v>
      </c>
      <c r="H342" t="s">
        <v>432</v>
      </c>
      <c r="I342" t="s">
        <v>32</v>
      </c>
      <c r="J342" t="s">
        <v>80</v>
      </c>
      <c r="K342">
        <f t="shared" si="909"/>
        <v>0</v>
      </c>
      <c r="L342">
        <f t="shared" si="910"/>
        <v>1</v>
      </c>
      <c r="M342">
        <f t="shared" si="911"/>
        <v>1</v>
      </c>
      <c r="N342">
        <f t="shared" si="912"/>
        <v>1</v>
      </c>
      <c r="O342">
        <f t="shared" si="904"/>
        <v>3</v>
      </c>
      <c r="P342" t="str">
        <f t="shared" si="913"/>
        <v>Large centralized biomass steam reforming -Flexibility</v>
      </c>
      <c r="Q342" t="str">
        <f t="shared" si="914"/>
        <v>No storage-Flexibility</v>
      </c>
      <c r="R342" t="str">
        <f t="shared" si="915"/>
        <v>Hydrogen transmission &amp; distribution pipeline-Flexibility</v>
      </c>
      <c r="S342" t="str">
        <f t="shared" si="916"/>
        <v>Industrial H2 boiler-Flexibility</v>
      </c>
      <c r="T342">
        <f ca="1">VLOOKUP($P342,'TA database'!$I$8:$J$79,2,FALSE)</f>
        <v>0</v>
      </c>
      <c r="U342">
        <v>0</v>
      </c>
      <c r="V342">
        <v>0</v>
      </c>
      <c r="W342">
        <v>0</v>
      </c>
      <c r="X342">
        <v>0</v>
      </c>
      <c r="Y342">
        <f t="shared" ref="Y342:Y354" ca="1" si="917">$T342</f>
        <v>0</v>
      </c>
      <c r="Z342" t="str">
        <f t="shared" si="905"/>
        <v>BIO_SR_LRG_C   →   NO_STRG   →   H2_T&amp;D_P   →   H2_IND_BOIL_HEAT</v>
      </c>
      <c r="AA342" t="str">
        <f t="shared" si="906"/>
        <v>Industrial heat</v>
      </c>
      <c r="AB342" t="str">
        <f t="shared" si="907"/>
        <v>Flexibility</v>
      </c>
      <c r="AC342">
        <f t="shared" ca="1" si="908"/>
        <v>0</v>
      </c>
      <c r="AD342">
        <v>283</v>
      </c>
      <c r="AE342" t="str">
        <f>IF(AND(ISNUMBER(SEARCH(O342,4)),ISNUMBER(SEARCH('(4) FCH pathway assessment'!$B$16,AB342)),ISNUMBER(SEARCH('(4) FCH pathway assessment'!$B$10,AA342))),AD342,"")</f>
        <v/>
      </c>
      <c r="AF342" t="str">
        <f t="shared" si="776"/>
        <v/>
      </c>
      <c r="AG342" t="str">
        <f>VLOOKUP(C342,Assumptions!$B$116:$C$162,2,FALSE)</f>
        <v>BIO_SR_LRG_C</v>
      </c>
      <c r="AH342" t="str">
        <f>VLOOKUP(D342,Assumptions!$B$116:$C$162,2,FALSE)</f>
        <v>NO_STRG</v>
      </c>
      <c r="AI342" t="str">
        <f>VLOOKUP(E342,Assumptions!$B$116:$C$162,2,FALSE)</f>
        <v>H2_T&amp;D_P</v>
      </c>
      <c r="AJ342" t="str">
        <f>VLOOKUP(F342,Assumptions!$B$116:$C$162,2,FALSE)</f>
        <v>H2_IND_BOIL_HEAT</v>
      </c>
    </row>
    <row r="343" spans="2:36" x14ac:dyDescent="0.25">
      <c r="B343" t="s">
        <v>112</v>
      </c>
      <c r="C343" t="s">
        <v>49</v>
      </c>
      <c r="D343" t="s">
        <v>62</v>
      </c>
      <c r="E343" t="s">
        <v>157</v>
      </c>
      <c r="F343" t="s">
        <v>570</v>
      </c>
      <c r="G343" t="s">
        <v>120</v>
      </c>
      <c r="H343" t="s">
        <v>432</v>
      </c>
      <c r="I343" t="s">
        <v>32</v>
      </c>
      <c r="J343" t="s">
        <v>80</v>
      </c>
      <c r="K343">
        <f t="shared" si="909"/>
        <v>1</v>
      </c>
      <c r="L343">
        <f t="shared" si="910"/>
        <v>0</v>
      </c>
      <c r="M343">
        <f t="shared" si="911"/>
        <v>0</v>
      </c>
      <c r="N343">
        <f t="shared" si="912"/>
        <v>1</v>
      </c>
      <c r="O343">
        <f t="shared" si="904"/>
        <v>2</v>
      </c>
      <c r="P343" t="str">
        <f t="shared" si="913"/>
        <v>Large centralized electrolysis-Flexibility</v>
      </c>
      <c r="Q343" t="str">
        <f t="shared" si="914"/>
        <v>Underground storage-Flexibility</v>
      </c>
      <c r="R343" t="str">
        <f t="shared" si="915"/>
        <v>Blending in natural gas pipeline-Flexibility</v>
      </c>
      <c r="S343" t="str">
        <f t="shared" si="916"/>
        <v>Industrial H2 boiler-Flexibility</v>
      </c>
      <c r="T343">
        <f ca="1">VLOOKUP($P343,'TA database'!$I$8:$J$79,2,FALSE)</f>
        <v>1</v>
      </c>
      <c r="U343">
        <v>0</v>
      </c>
      <c r="V343">
        <v>0</v>
      </c>
      <c r="W343">
        <v>0</v>
      </c>
      <c r="X343">
        <v>0</v>
      </c>
      <c r="Y343">
        <f t="shared" ca="1" si="917"/>
        <v>1</v>
      </c>
      <c r="Z343" t="str">
        <f t="shared" si="905"/>
        <v>ELCTRLYZ_LRG_C   →   C_UNDRGRND_STRG   →   H2_BLND_NG_P   →   H2_IND_BOIL_HEAT</v>
      </c>
      <c r="AA343" t="str">
        <f t="shared" si="906"/>
        <v>Industrial heat</v>
      </c>
      <c r="AB343" t="str">
        <f t="shared" si="907"/>
        <v>Flexibility</v>
      </c>
      <c r="AC343">
        <f t="shared" ca="1" si="908"/>
        <v>1</v>
      </c>
      <c r="AD343">
        <v>284</v>
      </c>
      <c r="AE343" t="str">
        <f>IF(AND(ISNUMBER(SEARCH(O343,4)),ISNUMBER(SEARCH('(4) FCH pathway assessment'!$B$16,AB343)),ISNUMBER(SEARCH('(4) FCH pathway assessment'!$B$10,AA343))),AD343,"")</f>
        <v/>
      </c>
      <c r="AF343" t="str">
        <f t="shared" si="776"/>
        <v/>
      </c>
      <c r="AG343" t="str">
        <f>VLOOKUP(C343,Assumptions!$B$116:$C$162,2,FALSE)</f>
        <v>ELCTRLYZ_LRG_C</v>
      </c>
      <c r="AH343" t="str">
        <f>VLOOKUP(D343,Assumptions!$B$116:$C$162,2,FALSE)</f>
        <v>C_UNDRGRND_STRG</v>
      </c>
      <c r="AI343" t="str">
        <f>VLOOKUP(E343,Assumptions!$B$116:$C$162,2,FALSE)</f>
        <v>H2_BLND_NG_P</v>
      </c>
      <c r="AJ343" t="str">
        <f>VLOOKUP(F343,Assumptions!$B$116:$C$162,2,FALSE)</f>
        <v>H2_IND_BOIL_HEAT</v>
      </c>
    </row>
    <row r="344" spans="2:36" x14ac:dyDescent="0.25">
      <c r="B344" t="s">
        <v>112</v>
      </c>
      <c r="C344" t="s">
        <v>49</v>
      </c>
      <c r="D344" t="s">
        <v>62</v>
      </c>
      <c r="E344" t="s">
        <v>122</v>
      </c>
      <c r="F344" t="s">
        <v>570</v>
      </c>
      <c r="G344" t="s">
        <v>120</v>
      </c>
      <c r="H344" t="s">
        <v>432</v>
      </c>
      <c r="I344" t="s">
        <v>32</v>
      </c>
      <c r="J344" t="s">
        <v>80</v>
      </c>
      <c r="K344">
        <f t="shared" si="909"/>
        <v>1</v>
      </c>
      <c r="L344">
        <f t="shared" si="910"/>
        <v>0</v>
      </c>
      <c r="M344">
        <f t="shared" si="911"/>
        <v>1</v>
      </c>
      <c r="N344">
        <f t="shared" si="912"/>
        <v>1</v>
      </c>
      <c r="O344">
        <f t="shared" si="904"/>
        <v>3</v>
      </c>
      <c r="P344" t="str">
        <f t="shared" si="913"/>
        <v>Large centralized electrolysis-Flexibility</v>
      </c>
      <c r="Q344" t="str">
        <f t="shared" si="914"/>
        <v>Underground storage-Flexibility</v>
      </c>
      <c r="R344" t="str">
        <f t="shared" si="915"/>
        <v>Hydrogen transmission &amp; distribution pipeline-Flexibility</v>
      </c>
      <c r="S344" t="str">
        <f t="shared" si="916"/>
        <v>Industrial H2 boiler-Flexibility</v>
      </c>
      <c r="T344">
        <f ca="1">VLOOKUP($P344,'TA database'!$I$8:$J$79,2,FALSE)</f>
        <v>1</v>
      </c>
      <c r="U344">
        <v>0</v>
      </c>
      <c r="V344">
        <v>0</v>
      </c>
      <c r="W344">
        <v>0</v>
      </c>
      <c r="X344">
        <v>0</v>
      </c>
      <c r="Y344">
        <f t="shared" ca="1" si="917"/>
        <v>1</v>
      </c>
      <c r="Z344" t="str">
        <f t="shared" si="905"/>
        <v>ELCTRLYZ_LRG_C   →   C_UNDRGRND_STRG   →   H2_T&amp;D_P   →   H2_IND_BOIL_HEAT</v>
      </c>
      <c r="AA344" t="str">
        <f t="shared" si="906"/>
        <v>Industrial heat</v>
      </c>
      <c r="AB344" t="str">
        <f t="shared" si="907"/>
        <v>Flexibility</v>
      </c>
      <c r="AC344">
        <f t="shared" ca="1" si="908"/>
        <v>1</v>
      </c>
      <c r="AD344">
        <v>285</v>
      </c>
      <c r="AE344" t="str">
        <f>IF(AND(ISNUMBER(SEARCH(O344,4)),ISNUMBER(SEARCH('(4) FCH pathway assessment'!$B$16,AB344)),ISNUMBER(SEARCH('(4) FCH pathway assessment'!$B$10,AA344))),AD344,"")</f>
        <v/>
      </c>
      <c r="AF344" t="str">
        <f t="shared" si="776"/>
        <v/>
      </c>
      <c r="AG344" t="str">
        <f>VLOOKUP(C344,Assumptions!$B$116:$C$162,2,FALSE)</f>
        <v>ELCTRLYZ_LRG_C</v>
      </c>
      <c r="AH344" t="str">
        <f>VLOOKUP(D344,Assumptions!$B$116:$C$162,2,FALSE)</f>
        <v>C_UNDRGRND_STRG</v>
      </c>
      <c r="AI344" t="str">
        <f>VLOOKUP(E344,Assumptions!$B$116:$C$162,2,FALSE)</f>
        <v>H2_T&amp;D_P</v>
      </c>
      <c r="AJ344" t="str">
        <f>VLOOKUP(F344,Assumptions!$B$116:$C$162,2,FALSE)</f>
        <v>H2_IND_BOIL_HEAT</v>
      </c>
    </row>
    <row r="345" spans="2:36" x14ac:dyDescent="0.25">
      <c r="B345" t="s">
        <v>112</v>
      </c>
      <c r="C345" t="s">
        <v>49</v>
      </c>
      <c r="D345" t="s">
        <v>62</v>
      </c>
      <c r="E345" t="s">
        <v>116</v>
      </c>
      <c r="F345" t="s">
        <v>570</v>
      </c>
      <c r="G345" t="s">
        <v>120</v>
      </c>
      <c r="H345" t="s">
        <v>432</v>
      </c>
      <c r="I345" t="s">
        <v>32</v>
      </c>
      <c r="J345" t="s">
        <v>80</v>
      </c>
      <c r="K345">
        <f t="shared" si="909"/>
        <v>1</v>
      </c>
      <c r="L345">
        <f t="shared" si="910"/>
        <v>0</v>
      </c>
      <c r="M345">
        <f t="shared" si="911"/>
        <v>1</v>
      </c>
      <c r="N345">
        <f t="shared" si="912"/>
        <v>1</v>
      </c>
      <c r="O345">
        <f t="shared" si="904"/>
        <v>3</v>
      </c>
      <c r="P345" t="str">
        <f t="shared" si="913"/>
        <v>Large centralized electrolysis-Flexibility</v>
      </c>
      <c r="Q345" t="str">
        <f t="shared" si="914"/>
        <v>Underground storage-Flexibility</v>
      </c>
      <c r="R345" t="str">
        <f t="shared" si="915"/>
        <v>Liquid hydrogen truck-Flexibility</v>
      </c>
      <c r="S345" t="str">
        <f t="shared" si="916"/>
        <v>Industrial H2 boiler-Flexibility</v>
      </c>
      <c r="T345">
        <f ca="1">VLOOKUP($P345,'TA database'!$I$8:$J$79,2,FALSE)</f>
        <v>1</v>
      </c>
      <c r="U345">
        <v>0</v>
      </c>
      <c r="V345">
        <v>0</v>
      </c>
      <c r="W345">
        <v>0</v>
      </c>
      <c r="X345">
        <v>0</v>
      </c>
      <c r="Y345">
        <f t="shared" ca="1" si="917"/>
        <v>1</v>
      </c>
      <c r="Z345" t="str">
        <f t="shared" si="905"/>
        <v>ELCTRLYZ_LRG_C   →   C_UNDRGRND_STRG   →   LQ_TRUCK   →   H2_IND_BOIL_HEAT</v>
      </c>
      <c r="AA345" t="str">
        <f t="shared" si="906"/>
        <v>Industrial heat</v>
      </c>
      <c r="AB345" t="str">
        <f t="shared" si="907"/>
        <v>Flexibility</v>
      </c>
      <c r="AC345">
        <f t="shared" ca="1" si="908"/>
        <v>1</v>
      </c>
      <c r="AD345">
        <v>286</v>
      </c>
      <c r="AE345" t="str">
        <f>IF(AND(ISNUMBER(SEARCH(O345,4)),ISNUMBER(SEARCH('(4) FCH pathway assessment'!$B$16,AB345)),ISNUMBER(SEARCH('(4) FCH pathway assessment'!$B$10,AA345))),AD345,"")</f>
        <v/>
      </c>
      <c r="AF345" t="str">
        <f t="shared" si="776"/>
        <v/>
      </c>
      <c r="AG345" t="str">
        <f>VLOOKUP(C345,Assumptions!$B$116:$C$162,2,FALSE)</f>
        <v>ELCTRLYZ_LRG_C</v>
      </c>
      <c r="AH345" t="str">
        <f>VLOOKUP(D345,Assumptions!$B$116:$C$162,2,FALSE)</f>
        <v>C_UNDRGRND_STRG</v>
      </c>
      <c r="AI345" t="str">
        <f>VLOOKUP(E345,Assumptions!$B$116:$C$162,2,FALSE)</f>
        <v>LQ_TRUCK</v>
      </c>
      <c r="AJ345" t="str">
        <f>VLOOKUP(F345,Assumptions!$B$116:$C$162,2,FALSE)</f>
        <v>H2_IND_BOIL_HEAT</v>
      </c>
    </row>
    <row r="346" spans="2:36" x14ac:dyDescent="0.25">
      <c r="B346" t="s">
        <v>112</v>
      </c>
      <c r="C346" t="s">
        <v>49</v>
      </c>
      <c r="D346" t="s">
        <v>62</v>
      </c>
      <c r="E346" t="s">
        <v>66</v>
      </c>
      <c r="F346" t="s">
        <v>570</v>
      </c>
      <c r="G346" t="s">
        <v>120</v>
      </c>
      <c r="H346" t="s">
        <v>432</v>
      </c>
      <c r="I346" t="s">
        <v>32</v>
      </c>
      <c r="J346" t="s">
        <v>80</v>
      </c>
      <c r="K346">
        <f t="shared" si="909"/>
        <v>1</v>
      </c>
      <c r="L346">
        <f t="shared" si="910"/>
        <v>0</v>
      </c>
      <c r="M346">
        <f t="shared" si="911"/>
        <v>1</v>
      </c>
      <c r="N346">
        <f t="shared" si="912"/>
        <v>1</v>
      </c>
      <c r="O346">
        <f t="shared" si="904"/>
        <v>3</v>
      </c>
      <c r="P346" t="str">
        <f t="shared" si="913"/>
        <v>Large centralized electrolysis-Flexibility</v>
      </c>
      <c r="Q346" t="str">
        <f t="shared" si="914"/>
        <v>Underground storage-Flexibility</v>
      </c>
      <c r="R346" t="str">
        <f t="shared" si="915"/>
        <v>Onsite-Flexibility</v>
      </c>
      <c r="S346" t="str">
        <f t="shared" si="916"/>
        <v>Industrial H2 boiler-Flexibility</v>
      </c>
      <c r="T346">
        <f ca="1">VLOOKUP($P346,'TA database'!$I$8:$J$79,2,FALSE)</f>
        <v>1</v>
      </c>
      <c r="U346">
        <v>0</v>
      </c>
      <c r="V346">
        <v>0</v>
      </c>
      <c r="W346">
        <v>0</v>
      </c>
      <c r="X346">
        <v>0</v>
      </c>
      <c r="Y346">
        <f t="shared" ca="1" si="917"/>
        <v>1</v>
      </c>
      <c r="Z346" t="str">
        <f t="shared" si="905"/>
        <v>ELCTRLYZ_LRG_C   →   C_UNDRGRND_STRG   →   ONSITE_USE   →   H2_IND_BOIL_HEAT</v>
      </c>
      <c r="AA346" t="str">
        <f t="shared" si="906"/>
        <v>Industrial heat</v>
      </c>
      <c r="AB346" t="str">
        <f t="shared" si="907"/>
        <v>Flexibility</v>
      </c>
      <c r="AC346">
        <f t="shared" ca="1" si="908"/>
        <v>1</v>
      </c>
      <c r="AD346">
        <v>287</v>
      </c>
      <c r="AE346" t="str">
        <f>IF(AND(ISNUMBER(SEARCH(O346,4)),ISNUMBER(SEARCH('(4) FCH pathway assessment'!$B$16,AB346)),ISNUMBER(SEARCH('(4) FCH pathway assessment'!$B$10,AA346))),AD346,"")</f>
        <v/>
      </c>
      <c r="AF346" t="str">
        <f t="shared" si="776"/>
        <v/>
      </c>
      <c r="AG346" t="str">
        <f>VLOOKUP(C346,Assumptions!$B$116:$C$162,2,FALSE)</f>
        <v>ELCTRLYZ_LRG_C</v>
      </c>
      <c r="AH346" t="str">
        <f>VLOOKUP(D346,Assumptions!$B$116:$C$162,2,FALSE)</f>
        <v>C_UNDRGRND_STRG</v>
      </c>
      <c r="AI346" t="str">
        <f>VLOOKUP(E346,Assumptions!$B$116:$C$162,2,FALSE)</f>
        <v>ONSITE_USE</v>
      </c>
      <c r="AJ346" t="str">
        <f>VLOOKUP(F346,Assumptions!$B$116:$C$162,2,FALSE)</f>
        <v>H2_IND_BOIL_HEAT</v>
      </c>
    </row>
    <row r="347" spans="2:36" x14ac:dyDescent="0.25">
      <c r="B347" t="s">
        <v>112</v>
      </c>
      <c r="C347" t="s">
        <v>49</v>
      </c>
      <c r="D347" t="s">
        <v>155</v>
      </c>
      <c r="E347" t="s">
        <v>157</v>
      </c>
      <c r="F347" t="s">
        <v>570</v>
      </c>
      <c r="G347" t="s">
        <v>120</v>
      </c>
      <c r="H347" t="s">
        <v>432</v>
      </c>
      <c r="I347" t="s">
        <v>32</v>
      </c>
      <c r="J347" t="s">
        <v>80</v>
      </c>
      <c r="K347">
        <f t="shared" si="909"/>
        <v>1</v>
      </c>
      <c r="L347">
        <f t="shared" si="910"/>
        <v>1</v>
      </c>
      <c r="M347">
        <f t="shared" si="911"/>
        <v>0</v>
      </c>
      <c r="N347">
        <f t="shared" si="912"/>
        <v>1</v>
      </c>
      <c r="O347">
        <f t="shared" si="904"/>
        <v>3</v>
      </c>
      <c r="P347" t="str">
        <f t="shared" si="913"/>
        <v>Large centralized electrolysis-Flexibility</v>
      </c>
      <c r="Q347" t="str">
        <f t="shared" si="914"/>
        <v>Central gas storage-Flexibility</v>
      </c>
      <c r="R347" t="str">
        <f t="shared" si="915"/>
        <v>Blending in natural gas pipeline-Flexibility</v>
      </c>
      <c r="S347" t="str">
        <f t="shared" si="916"/>
        <v>Industrial H2 boiler-Flexibility</v>
      </c>
      <c r="T347">
        <f ca="1">VLOOKUP($P347,'TA database'!$I$8:$J$79,2,FALSE)</f>
        <v>1</v>
      </c>
      <c r="U347">
        <v>0</v>
      </c>
      <c r="V347">
        <v>0</v>
      </c>
      <c r="W347">
        <v>0</v>
      </c>
      <c r="X347">
        <v>0</v>
      </c>
      <c r="Y347">
        <f t="shared" ca="1" si="917"/>
        <v>1</v>
      </c>
      <c r="Z347" t="str">
        <f t="shared" si="905"/>
        <v>ELCTRLYZ_LRG_C   →   C_GAS_STRG   →   H2_BLND_NG_P   →   H2_IND_BOIL_HEAT</v>
      </c>
      <c r="AA347" t="str">
        <f t="shared" si="906"/>
        <v>Industrial heat</v>
      </c>
      <c r="AB347" t="str">
        <f t="shared" si="907"/>
        <v>Flexibility</v>
      </c>
      <c r="AC347">
        <f t="shared" ca="1" si="908"/>
        <v>1</v>
      </c>
      <c r="AD347">
        <v>288</v>
      </c>
      <c r="AE347" t="str">
        <f>IF(AND(ISNUMBER(SEARCH(O347,4)),ISNUMBER(SEARCH('(4) FCH pathway assessment'!$B$16,AB347)),ISNUMBER(SEARCH('(4) FCH pathway assessment'!$B$10,AA347))),AD347,"")</f>
        <v/>
      </c>
      <c r="AF347" t="str">
        <f t="shared" si="776"/>
        <v/>
      </c>
      <c r="AG347" t="str">
        <f>VLOOKUP(C347,Assumptions!$B$116:$C$162,2,FALSE)</f>
        <v>ELCTRLYZ_LRG_C</v>
      </c>
      <c r="AH347" t="str">
        <f>VLOOKUP(D347,Assumptions!$B$116:$C$162,2,FALSE)</f>
        <v>C_GAS_STRG</v>
      </c>
      <c r="AI347" t="str">
        <f>VLOOKUP(E347,Assumptions!$B$116:$C$162,2,FALSE)</f>
        <v>H2_BLND_NG_P</v>
      </c>
      <c r="AJ347" t="str">
        <f>VLOOKUP(F347,Assumptions!$B$116:$C$162,2,FALSE)</f>
        <v>H2_IND_BOIL_HEAT</v>
      </c>
    </row>
    <row r="348" spans="2:36" x14ac:dyDescent="0.25">
      <c r="B348" t="s">
        <v>112</v>
      </c>
      <c r="C348" t="s">
        <v>49</v>
      </c>
      <c r="D348" t="s">
        <v>155</v>
      </c>
      <c r="E348" t="s">
        <v>122</v>
      </c>
      <c r="F348" t="s">
        <v>570</v>
      </c>
      <c r="G348" t="s">
        <v>120</v>
      </c>
      <c r="H348" t="s">
        <v>432</v>
      </c>
      <c r="I348" t="s">
        <v>32</v>
      </c>
      <c r="J348" t="s">
        <v>80</v>
      </c>
      <c r="K348">
        <f t="shared" si="909"/>
        <v>1</v>
      </c>
      <c r="L348">
        <f t="shared" si="910"/>
        <v>1</v>
      </c>
      <c r="M348">
        <f t="shared" si="911"/>
        <v>1</v>
      </c>
      <c r="N348">
        <f t="shared" si="912"/>
        <v>1</v>
      </c>
      <c r="O348">
        <f t="shared" si="904"/>
        <v>4</v>
      </c>
      <c r="P348" t="str">
        <f t="shared" si="913"/>
        <v>Large centralized electrolysis-Flexibility</v>
      </c>
      <c r="Q348" t="str">
        <f t="shared" si="914"/>
        <v>Central gas storage-Flexibility</v>
      </c>
      <c r="R348" t="str">
        <f t="shared" si="915"/>
        <v>Hydrogen transmission &amp; distribution pipeline-Flexibility</v>
      </c>
      <c r="S348" t="str">
        <f t="shared" si="916"/>
        <v>Industrial H2 boiler-Flexibility</v>
      </c>
      <c r="T348">
        <f ca="1">VLOOKUP($P348,'TA database'!$I$8:$J$79,2,FALSE)</f>
        <v>1</v>
      </c>
      <c r="U348">
        <v>0</v>
      </c>
      <c r="V348">
        <v>0</v>
      </c>
      <c r="W348">
        <v>0</v>
      </c>
      <c r="X348">
        <v>0</v>
      </c>
      <c r="Y348">
        <f t="shared" ca="1" si="917"/>
        <v>1</v>
      </c>
      <c r="Z348" t="str">
        <f t="shared" si="905"/>
        <v>ELCTRLYZ_LRG_C   →   C_GAS_STRG   →   H2_T&amp;D_P   →   H2_IND_BOIL_HEAT</v>
      </c>
      <c r="AA348" t="str">
        <f t="shared" si="906"/>
        <v>Industrial heat</v>
      </c>
      <c r="AB348" t="str">
        <f t="shared" si="907"/>
        <v>Flexibility</v>
      </c>
      <c r="AC348">
        <f t="shared" ca="1" si="908"/>
        <v>1</v>
      </c>
      <c r="AD348">
        <v>289</v>
      </c>
      <c r="AE348" t="str">
        <f>IF(AND(ISNUMBER(SEARCH(O348,4)),ISNUMBER(SEARCH('(4) FCH pathway assessment'!$B$16,AB348)),ISNUMBER(SEARCH('(4) FCH pathway assessment'!$B$10,AA348))),AD348,"")</f>
        <v/>
      </c>
      <c r="AF348" t="str">
        <f t="shared" si="776"/>
        <v/>
      </c>
      <c r="AG348" t="str">
        <f>VLOOKUP(C348,Assumptions!$B$116:$C$162,2,FALSE)</f>
        <v>ELCTRLYZ_LRG_C</v>
      </c>
      <c r="AH348" t="str">
        <f>VLOOKUP(D348,Assumptions!$B$116:$C$162,2,FALSE)</f>
        <v>C_GAS_STRG</v>
      </c>
      <c r="AI348" t="str">
        <f>VLOOKUP(E348,Assumptions!$B$116:$C$162,2,FALSE)</f>
        <v>H2_T&amp;D_P</v>
      </c>
      <c r="AJ348" t="str">
        <f>VLOOKUP(F348,Assumptions!$B$116:$C$162,2,FALSE)</f>
        <v>H2_IND_BOIL_HEAT</v>
      </c>
    </row>
    <row r="349" spans="2:36" x14ac:dyDescent="0.25">
      <c r="B349" t="s">
        <v>112</v>
      </c>
      <c r="C349" t="s">
        <v>49</v>
      </c>
      <c r="D349" t="s">
        <v>155</v>
      </c>
      <c r="E349" t="s">
        <v>116</v>
      </c>
      <c r="F349" t="s">
        <v>570</v>
      </c>
      <c r="G349" t="s">
        <v>120</v>
      </c>
      <c r="H349" t="s">
        <v>432</v>
      </c>
      <c r="I349" t="s">
        <v>32</v>
      </c>
      <c r="J349" t="s">
        <v>80</v>
      </c>
      <c r="K349">
        <f t="shared" si="909"/>
        <v>1</v>
      </c>
      <c r="L349">
        <f t="shared" si="910"/>
        <v>1</v>
      </c>
      <c r="M349">
        <f t="shared" si="911"/>
        <v>1</v>
      </c>
      <c r="N349">
        <f t="shared" si="912"/>
        <v>1</v>
      </c>
      <c r="O349">
        <f t="shared" si="904"/>
        <v>4</v>
      </c>
      <c r="P349" t="str">
        <f t="shared" si="913"/>
        <v>Large centralized electrolysis-Flexibility</v>
      </c>
      <c r="Q349" t="str">
        <f t="shared" si="914"/>
        <v>Central gas storage-Flexibility</v>
      </c>
      <c r="R349" t="str">
        <f t="shared" si="915"/>
        <v>Liquid hydrogen truck-Flexibility</v>
      </c>
      <c r="S349" t="str">
        <f t="shared" si="916"/>
        <v>Industrial H2 boiler-Flexibility</v>
      </c>
      <c r="T349">
        <f ca="1">VLOOKUP($P349,'TA database'!$I$8:$J$79,2,FALSE)</f>
        <v>1</v>
      </c>
      <c r="U349">
        <v>0</v>
      </c>
      <c r="V349">
        <v>0</v>
      </c>
      <c r="W349">
        <v>0</v>
      </c>
      <c r="X349">
        <v>0</v>
      </c>
      <c r="Y349">
        <f t="shared" ca="1" si="917"/>
        <v>1</v>
      </c>
      <c r="Z349" t="str">
        <f t="shared" si="905"/>
        <v>ELCTRLYZ_LRG_C   →   C_GAS_STRG   →   LQ_TRUCK   →   H2_IND_BOIL_HEAT</v>
      </c>
      <c r="AA349" t="str">
        <f t="shared" si="906"/>
        <v>Industrial heat</v>
      </c>
      <c r="AB349" t="str">
        <f t="shared" si="907"/>
        <v>Flexibility</v>
      </c>
      <c r="AC349">
        <f t="shared" ca="1" si="908"/>
        <v>1</v>
      </c>
      <c r="AD349">
        <v>290</v>
      </c>
      <c r="AE349" t="str">
        <f>IF(AND(ISNUMBER(SEARCH(O349,4)),ISNUMBER(SEARCH('(4) FCH pathway assessment'!$B$16,AB349)),ISNUMBER(SEARCH('(4) FCH pathway assessment'!$B$10,AA349))),AD349,"")</f>
        <v/>
      </c>
      <c r="AF349" t="str">
        <f t="shared" si="776"/>
        <v/>
      </c>
      <c r="AG349" t="str">
        <f>VLOOKUP(C349,Assumptions!$B$116:$C$162,2,FALSE)</f>
        <v>ELCTRLYZ_LRG_C</v>
      </c>
      <c r="AH349" t="str">
        <f>VLOOKUP(D349,Assumptions!$B$116:$C$162,2,FALSE)</f>
        <v>C_GAS_STRG</v>
      </c>
      <c r="AI349" t="str">
        <f>VLOOKUP(E349,Assumptions!$B$116:$C$162,2,FALSE)</f>
        <v>LQ_TRUCK</v>
      </c>
      <c r="AJ349" t="str">
        <f>VLOOKUP(F349,Assumptions!$B$116:$C$162,2,FALSE)</f>
        <v>H2_IND_BOIL_HEAT</v>
      </c>
    </row>
    <row r="350" spans="2:36" x14ac:dyDescent="0.25">
      <c r="B350" t="s">
        <v>112</v>
      </c>
      <c r="C350" t="s">
        <v>49</v>
      </c>
      <c r="D350" t="s">
        <v>155</v>
      </c>
      <c r="E350" t="s">
        <v>66</v>
      </c>
      <c r="F350" t="s">
        <v>570</v>
      </c>
      <c r="G350" t="s">
        <v>120</v>
      </c>
      <c r="H350" t="s">
        <v>432</v>
      </c>
      <c r="I350" t="s">
        <v>32</v>
      </c>
      <c r="J350" t="s">
        <v>80</v>
      </c>
      <c r="K350">
        <f t="shared" si="909"/>
        <v>1</v>
      </c>
      <c r="L350">
        <f t="shared" si="910"/>
        <v>1</v>
      </c>
      <c r="M350">
        <f t="shared" si="911"/>
        <v>1</v>
      </c>
      <c r="N350">
        <f t="shared" si="912"/>
        <v>1</v>
      </c>
      <c r="O350">
        <f t="shared" si="904"/>
        <v>4</v>
      </c>
      <c r="P350" t="str">
        <f t="shared" si="913"/>
        <v>Large centralized electrolysis-Flexibility</v>
      </c>
      <c r="Q350" t="str">
        <f t="shared" si="914"/>
        <v>Central gas storage-Flexibility</v>
      </c>
      <c r="R350" t="str">
        <f t="shared" si="915"/>
        <v>Onsite-Flexibility</v>
      </c>
      <c r="S350" t="str">
        <f t="shared" si="916"/>
        <v>Industrial H2 boiler-Flexibility</v>
      </c>
      <c r="T350">
        <f ca="1">VLOOKUP($P350,'TA database'!$I$8:$J$79,2,FALSE)</f>
        <v>1</v>
      </c>
      <c r="U350">
        <v>0</v>
      </c>
      <c r="V350">
        <v>0</v>
      </c>
      <c r="W350">
        <v>0</v>
      </c>
      <c r="X350">
        <v>0</v>
      </c>
      <c r="Y350">
        <f t="shared" ca="1" si="917"/>
        <v>1</v>
      </c>
      <c r="Z350" t="str">
        <f t="shared" si="905"/>
        <v>ELCTRLYZ_LRG_C   →   C_GAS_STRG   →   ONSITE_USE   →   H2_IND_BOIL_HEAT</v>
      </c>
      <c r="AA350" t="str">
        <f t="shared" si="906"/>
        <v>Industrial heat</v>
      </c>
      <c r="AB350" t="str">
        <f t="shared" si="907"/>
        <v>Flexibility</v>
      </c>
      <c r="AC350">
        <f t="shared" ca="1" si="908"/>
        <v>1</v>
      </c>
      <c r="AD350">
        <v>291</v>
      </c>
      <c r="AE350" t="str">
        <f>IF(AND(ISNUMBER(SEARCH(O350,4)),ISNUMBER(SEARCH('(4) FCH pathway assessment'!$B$16,AB350)),ISNUMBER(SEARCH('(4) FCH pathway assessment'!$B$10,AA350))),AD350,"")</f>
        <v/>
      </c>
      <c r="AF350" t="str">
        <f t="shared" si="776"/>
        <v/>
      </c>
      <c r="AG350" t="str">
        <f>VLOOKUP(C350,Assumptions!$B$116:$C$162,2,FALSE)</f>
        <v>ELCTRLYZ_LRG_C</v>
      </c>
      <c r="AH350" t="str">
        <f>VLOOKUP(D350,Assumptions!$B$116:$C$162,2,FALSE)</f>
        <v>C_GAS_STRG</v>
      </c>
      <c r="AI350" t="str">
        <f>VLOOKUP(E350,Assumptions!$B$116:$C$162,2,FALSE)</f>
        <v>ONSITE_USE</v>
      </c>
      <c r="AJ350" t="str">
        <f>VLOOKUP(F350,Assumptions!$B$116:$C$162,2,FALSE)</f>
        <v>H2_IND_BOIL_HEAT</v>
      </c>
    </row>
    <row r="351" spans="2:36" x14ac:dyDescent="0.25">
      <c r="B351" t="s">
        <v>112</v>
      </c>
      <c r="C351" t="s">
        <v>51</v>
      </c>
      <c r="D351" t="s">
        <v>155</v>
      </c>
      <c r="E351" t="s">
        <v>157</v>
      </c>
      <c r="F351" t="s">
        <v>570</v>
      </c>
      <c r="G351" t="s">
        <v>120</v>
      </c>
      <c r="H351" t="s">
        <v>432</v>
      </c>
      <c r="I351" t="s">
        <v>32</v>
      </c>
      <c r="J351" t="s">
        <v>80</v>
      </c>
      <c r="K351">
        <f t="shared" ref="K351:K355" si="918">SUMPRODUCT(($C$7:$C$18=$C351)*($D$6:$H$6=$D351)*($D$7:$H$18))</f>
        <v>1</v>
      </c>
      <c r="L351">
        <f t="shared" ref="L351:L355" si="919">SUMPRODUCT(($C$19:$C$23=$D351)*($I$6:$O$6=$E351)*($I$19:$O$23))</f>
        <v>1</v>
      </c>
      <c r="M351">
        <f t="shared" ref="M351:M355" si="920">SUMPRODUCT(($C$24:$C$30=$E351)*($P$6:$AI$6=$F351)*($P$24:$AI$30))</f>
        <v>0</v>
      </c>
      <c r="N351">
        <f t="shared" ref="N351:N355" si="921">SUMPRODUCT(($C$31:$C$50=$F351)*($AJ$6:$AM$6=$G351)*($AJ$31:$AM$50))</f>
        <v>1</v>
      </c>
      <c r="O351">
        <f t="shared" ref="O351:O355" si="922">K351+L351+M351+N351</f>
        <v>3</v>
      </c>
      <c r="P351" t="str">
        <f t="shared" ref="P351:P355" si="923">CONCATENATE(C351,"-",J351)</f>
        <v>Medium centralized electrolysis-Flexibility</v>
      </c>
      <c r="Q351" t="str">
        <f t="shared" ref="Q351:Q355" si="924">CONCATENATE(D351,"-",J351)</f>
        <v>Central gas storage-Flexibility</v>
      </c>
      <c r="R351" t="str">
        <f t="shared" ref="R351:R355" si="925">CONCATENATE(E351,"-",J351)</f>
        <v>Blending in natural gas pipeline-Flexibility</v>
      </c>
      <c r="S351" t="str">
        <f t="shared" ref="S351:S355" si="926">CONCATENATE(F351,"-",J351)</f>
        <v>Industrial H2 boiler-Flexibility</v>
      </c>
      <c r="T351">
        <f ca="1">VLOOKUP($P351,'TA database'!$I$8:$J$79,2,FALSE)</f>
        <v>1</v>
      </c>
      <c r="U351">
        <v>0</v>
      </c>
      <c r="V351">
        <v>0</v>
      </c>
      <c r="W351">
        <v>0</v>
      </c>
      <c r="X351">
        <v>0</v>
      </c>
      <c r="Y351">
        <f t="shared" ca="1" si="917"/>
        <v>1</v>
      </c>
      <c r="Z351" t="str">
        <f t="shared" ref="Z351:Z355" si="927">CONCATENATE(AG351,"   →   ",AH351,"   →   ",AI351,"   →   ",AJ351)</f>
        <v>ELCTRLYZ_MED_C   →   C_GAS_STRG   →   H2_BLND_NG_P   →   H2_IND_BOIL_HEAT</v>
      </c>
      <c r="AA351" t="str">
        <f t="shared" ref="AA351:AA355" si="928">G351</f>
        <v>Industrial heat</v>
      </c>
      <c r="AB351" t="str">
        <f t="shared" ref="AB351:AB355" si="929">J351</f>
        <v>Flexibility</v>
      </c>
      <c r="AC351">
        <f t="shared" ref="AC351:AC355" ca="1" si="930">Y351</f>
        <v>1</v>
      </c>
      <c r="AD351">
        <v>292</v>
      </c>
      <c r="AE351" t="str">
        <f>IF(AND(ISNUMBER(SEARCH(O351,4)),ISNUMBER(SEARCH('(4) FCH pathway assessment'!$B$16,AB351)),ISNUMBER(SEARCH('(4) FCH pathway assessment'!$B$10,AA351))),AD351,"")</f>
        <v/>
      </c>
      <c r="AF351" t="str">
        <f t="shared" si="776"/>
        <v/>
      </c>
      <c r="AG351" t="str">
        <f>VLOOKUP(C351,Assumptions!$B$116:$C$162,2,FALSE)</f>
        <v>ELCTRLYZ_MED_C</v>
      </c>
      <c r="AH351" t="str">
        <f>VLOOKUP(D351,Assumptions!$B$116:$C$162,2,FALSE)</f>
        <v>C_GAS_STRG</v>
      </c>
      <c r="AI351" t="str">
        <f>VLOOKUP(E351,Assumptions!$B$116:$C$162,2,FALSE)</f>
        <v>H2_BLND_NG_P</v>
      </c>
      <c r="AJ351" t="str">
        <f>VLOOKUP(F351,Assumptions!$B$116:$C$162,2,FALSE)</f>
        <v>H2_IND_BOIL_HEAT</v>
      </c>
    </row>
    <row r="352" spans="2:36" x14ac:dyDescent="0.25">
      <c r="B352" t="s">
        <v>112</v>
      </c>
      <c r="C352" t="s">
        <v>51</v>
      </c>
      <c r="D352" t="s">
        <v>155</v>
      </c>
      <c r="E352" t="s">
        <v>122</v>
      </c>
      <c r="F352" t="s">
        <v>570</v>
      </c>
      <c r="G352" t="s">
        <v>120</v>
      </c>
      <c r="H352" t="s">
        <v>432</v>
      </c>
      <c r="I352" t="s">
        <v>32</v>
      </c>
      <c r="J352" t="s">
        <v>80</v>
      </c>
      <c r="K352">
        <f t="shared" si="918"/>
        <v>1</v>
      </c>
      <c r="L352">
        <f t="shared" si="919"/>
        <v>1</v>
      </c>
      <c r="M352">
        <f t="shared" si="920"/>
        <v>1</v>
      </c>
      <c r="N352">
        <f t="shared" si="921"/>
        <v>1</v>
      </c>
      <c r="O352">
        <f t="shared" si="922"/>
        <v>4</v>
      </c>
      <c r="P352" t="str">
        <f t="shared" si="923"/>
        <v>Medium centralized electrolysis-Flexibility</v>
      </c>
      <c r="Q352" t="str">
        <f t="shared" si="924"/>
        <v>Central gas storage-Flexibility</v>
      </c>
      <c r="R352" t="str">
        <f t="shared" si="925"/>
        <v>Hydrogen transmission &amp; distribution pipeline-Flexibility</v>
      </c>
      <c r="S352" t="str">
        <f t="shared" si="926"/>
        <v>Industrial H2 boiler-Flexibility</v>
      </c>
      <c r="T352">
        <f ca="1">VLOOKUP($P352,'TA database'!$I$8:$J$79,2,FALSE)</f>
        <v>1</v>
      </c>
      <c r="U352">
        <v>0</v>
      </c>
      <c r="V352">
        <v>0</v>
      </c>
      <c r="W352">
        <v>0</v>
      </c>
      <c r="X352">
        <v>0</v>
      </c>
      <c r="Y352">
        <f t="shared" ca="1" si="917"/>
        <v>1</v>
      </c>
      <c r="Z352" t="str">
        <f t="shared" si="927"/>
        <v>ELCTRLYZ_MED_C   →   C_GAS_STRG   →   H2_T&amp;D_P   →   H2_IND_BOIL_HEAT</v>
      </c>
      <c r="AA352" t="str">
        <f t="shared" si="928"/>
        <v>Industrial heat</v>
      </c>
      <c r="AB352" t="str">
        <f t="shared" si="929"/>
        <v>Flexibility</v>
      </c>
      <c r="AC352">
        <f t="shared" ca="1" si="930"/>
        <v>1</v>
      </c>
      <c r="AD352">
        <v>293</v>
      </c>
      <c r="AE352" t="str">
        <f>IF(AND(ISNUMBER(SEARCH(O352,4)),ISNUMBER(SEARCH('(4) FCH pathway assessment'!$B$16,AB352)),ISNUMBER(SEARCH('(4) FCH pathway assessment'!$B$10,AA352))),AD352,"")</f>
        <v/>
      </c>
      <c r="AF352" t="str">
        <f t="shared" si="776"/>
        <v/>
      </c>
      <c r="AG352" t="str">
        <f>VLOOKUP(C352,Assumptions!$B$116:$C$162,2,FALSE)</f>
        <v>ELCTRLYZ_MED_C</v>
      </c>
      <c r="AH352" t="str">
        <f>VLOOKUP(D352,Assumptions!$B$116:$C$162,2,FALSE)</f>
        <v>C_GAS_STRG</v>
      </c>
      <c r="AI352" t="str">
        <f>VLOOKUP(E352,Assumptions!$B$116:$C$162,2,FALSE)</f>
        <v>H2_T&amp;D_P</v>
      </c>
      <c r="AJ352" t="str">
        <f>VLOOKUP(F352,Assumptions!$B$116:$C$162,2,FALSE)</f>
        <v>H2_IND_BOIL_HEAT</v>
      </c>
    </row>
    <row r="353" spans="2:36" x14ac:dyDescent="0.25">
      <c r="B353" t="s">
        <v>112</v>
      </c>
      <c r="C353" t="s">
        <v>51</v>
      </c>
      <c r="D353" t="s">
        <v>155</v>
      </c>
      <c r="E353" t="s">
        <v>116</v>
      </c>
      <c r="F353" t="s">
        <v>570</v>
      </c>
      <c r="G353" t="s">
        <v>120</v>
      </c>
      <c r="H353" t="s">
        <v>432</v>
      </c>
      <c r="I353" t="s">
        <v>32</v>
      </c>
      <c r="J353" t="s">
        <v>80</v>
      </c>
      <c r="K353">
        <f t="shared" si="918"/>
        <v>1</v>
      </c>
      <c r="L353">
        <f t="shared" si="919"/>
        <v>1</v>
      </c>
      <c r="M353">
        <f t="shared" si="920"/>
        <v>1</v>
      </c>
      <c r="N353">
        <f t="shared" si="921"/>
        <v>1</v>
      </c>
      <c r="O353">
        <f t="shared" si="922"/>
        <v>4</v>
      </c>
      <c r="P353" t="str">
        <f t="shared" si="923"/>
        <v>Medium centralized electrolysis-Flexibility</v>
      </c>
      <c r="Q353" t="str">
        <f t="shared" si="924"/>
        <v>Central gas storage-Flexibility</v>
      </c>
      <c r="R353" t="str">
        <f t="shared" si="925"/>
        <v>Liquid hydrogen truck-Flexibility</v>
      </c>
      <c r="S353" t="str">
        <f t="shared" si="926"/>
        <v>Industrial H2 boiler-Flexibility</v>
      </c>
      <c r="T353">
        <f ca="1">VLOOKUP($P353,'TA database'!$I$8:$J$79,2,FALSE)</f>
        <v>1</v>
      </c>
      <c r="U353">
        <v>0</v>
      </c>
      <c r="V353">
        <v>0</v>
      </c>
      <c r="W353">
        <v>0</v>
      </c>
      <c r="X353">
        <v>0</v>
      </c>
      <c r="Y353">
        <f t="shared" ca="1" si="917"/>
        <v>1</v>
      </c>
      <c r="Z353" t="str">
        <f t="shared" si="927"/>
        <v>ELCTRLYZ_MED_C   →   C_GAS_STRG   →   LQ_TRUCK   →   H2_IND_BOIL_HEAT</v>
      </c>
      <c r="AA353" t="str">
        <f t="shared" si="928"/>
        <v>Industrial heat</v>
      </c>
      <c r="AB353" t="str">
        <f t="shared" si="929"/>
        <v>Flexibility</v>
      </c>
      <c r="AC353">
        <f t="shared" ca="1" si="930"/>
        <v>1</v>
      </c>
      <c r="AD353">
        <v>294</v>
      </c>
      <c r="AE353" t="str">
        <f>IF(AND(ISNUMBER(SEARCH(O353,4)),ISNUMBER(SEARCH('(4) FCH pathway assessment'!$B$16,AB353)),ISNUMBER(SEARCH('(4) FCH pathway assessment'!$B$10,AA353))),AD353,"")</f>
        <v/>
      </c>
      <c r="AF353" t="str">
        <f t="shared" si="776"/>
        <v/>
      </c>
      <c r="AG353" t="str">
        <f>VLOOKUP(C353,Assumptions!$B$116:$C$162,2,FALSE)</f>
        <v>ELCTRLYZ_MED_C</v>
      </c>
      <c r="AH353" t="str">
        <f>VLOOKUP(D353,Assumptions!$B$116:$C$162,2,FALSE)</f>
        <v>C_GAS_STRG</v>
      </c>
      <c r="AI353" t="str">
        <f>VLOOKUP(E353,Assumptions!$B$116:$C$162,2,FALSE)</f>
        <v>LQ_TRUCK</v>
      </c>
      <c r="AJ353" t="str">
        <f>VLOOKUP(F353,Assumptions!$B$116:$C$162,2,FALSE)</f>
        <v>H2_IND_BOIL_HEAT</v>
      </c>
    </row>
    <row r="354" spans="2:36" x14ac:dyDescent="0.25">
      <c r="B354" t="s">
        <v>112</v>
      </c>
      <c r="C354" t="s">
        <v>51</v>
      </c>
      <c r="D354" t="s">
        <v>155</v>
      </c>
      <c r="E354" t="s">
        <v>66</v>
      </c>
      <c r="F354" t="s">
        <v>570</v>
      </c>
      <c r="G354" t="s">
        <v>120</v>
      </c>
      <c r="H354" t="s">
        <v>432</v>
      </c>
      <c r="I354" t="s">
        <v>32</v>
      </c>
      <c r="J354" t="s">
        <v>80</v>
      </c>
      <c r="K354">
        <f t="shared" si="918"/>
        <v>1</v>
      </c>
      <c r="L354">
        <f t="shared" si="919"/>
        <v>1</v>
      </c>
      <c r="M354">
        <f t="shared" si="920"/>
        <v>1</v>
      </c>
      <c r="N354">
        <f t="shared" si="921"/>
        <v>1</v>
      </c>
      <c r="O354">
        <f t="shared" si="922"/>
        <v>4</v>
      </c>
      <c r="P354" t="str">
        <f t="shared" si="923"/>
        <v>Medium centralized electrolysis-Flexibility</v>
      </c>
      <c r="Q354" t="str">
        <f t="shared" si="924"/>
        <v>Central gas storage-Flexibility</v>
      </c>
      <c r="R354" t="str">
        <f t="shared" si="925"/>
        <v>Onsite-Flexibility</v>
      </c>
      <c r="S354" t="str">
        <f t="shared" si="926"/>
        <v>Industrial H2 boiler-Flexibility</v>
      </c>
      <c r="T354">
        <f ca="1">VLOOKUP($P354,'TA database'!$I$8:$J$79,2,FALSE)</f>
        <v>1</v>
      </c>
      <c r="U354">
        <v>0</v>
      </c>
      <c r="V354">
        <v>0</v>
      </c>
      <c r="W354">
        <v>0</v>
      </c>
      <c r="X354">
        <v>0</v>
      </c>
      <c r="Y354">
        <f t="shared" ca="1" si="917"/>
        <v>1</v>
      </c>
      <c r="Z354" t="str">
        <f t="shared" si="927"/>
        <v>ELCTRLYZ_MED_C   →   C_GAS_STRG   →   ONSITE_USE   →   H2_IND_BOIL_HEAT</v>
      </c>
      <c r="AA354" t="str">
        <f t="shared" si="928"/>
        <v>Industrial heat</v>
      </c>
      <c r="AB354" t="str">
        <f t="shared" si="929"/>
        <v>Flexibility</v>
      </c>
      <c r="AC354">
        <f t="shared" ca="1" si="930"/>
        <v>1</v>
      </c>
      <c r="AD354">
        <v>295</v>
      </c>
      <c r="AE354" t="str">
        <f>IF(AND(ISNUMBER(SEARCH(O354,4)),ISNUMBER(SEARCH('(4) FCH pathway assessment'!$B$16,AB354)),ISNUMBER(SEARCH('(4) FCH pathway assessment'!$B$10,AA354))),AD354,"")</f>
        <v/>
      </c>
      <c r="AF354" t="str">
        <f t="shared" si="776"/>
        <v/>
      </c>
      <c r="AG354" t="str">
        <f>VLOOKUP(C354,Assumptions!$B$116:$C$162,2,FALSE)</f>
        <v>ELCTRLYZ_MED_C</v>
      </c>
      <c r="AH354" t="str">
        <f>VLOOKUP(D354,Assumptions!$B$116:$C$162,2,FALSE)</f>
        <v>C_GAS_STRG</v>
      </c>
      <c r="AI354" t="str">
        <f>VLOOKUP(E354,Assumptions!$B$116:$C$162,2,FALSE)</f>
        <v>ONSITE_USE</v>
      </c>
      <c r="AJ354" t="str">
        <f>VLOOKUP(F354,Assumptions!$B$116:$C$162,2,FALSE)</f>
        <v>H2_IND_BOIL_HEAT</v>
      </c>
    </row>
    <row r="355" spans="2:36" x14ac:dyDescent="0.25">
      <c r="B355" t="s">
        <v>112</v>
      </c>
      <c r="C355" t="s">
        <v>52</v>
      </c>
      <c r="D355" s="60" t="s">
        <v>130</v>
      </c>
      <c r="E355" t="s">
        <v>66</v>
      </c>
      <c r="F355" t="s">
        <v>570</v>
      </c>
      <c r="G355" t="s">
        <v>120</v>
      </c>
      <c r="H355" t="s">
        <v>432</v>
      </c>
      <c r="I355" t="s">
        <v>32</v>
      </c>
      <c r="J355" t="s">
        <v>80</v>
      </c>
      <c r="K355">
        <f t="shared" si="918"/>
        <v>1</v>
      </c>
      <c r="L355">
        <f t="shared" si="919"/>
        <v>1</v>
      </c>
      <c r="M355">
        <f t="shared" si="920"/>
        <v>1</v>
      </c>
      <c r="N355">
        <f t="shared" si="921"/>
        <v>1</v>
      </c>
      <c r="O355">
        <f t="shared" si="922"/>
        <v>4</v>
      </c>
      <c r="P355" t="str">
        <f t="shared" si="923"/>
        <v>Small decentralized electrolysis-Flexibility</v>
      </c>
      <c r="Q355" t="str">
        <f t="shared" si="924"/>
        <v>Distributed gas storage-Flexibility</v>
      </c>
      <c r="R355" t="str">
        <f t="shared" si="925"/>
        <v>Onsite-Flexibility</v>
      </c>
      <c r="S355" t="str">
        <f t="shared" si="926"/>
        <v>Industrial H2 boiler-Flexibility</v>
      </c>
      <c r="T355">
        <f ca="1">VLOOKUP($P355,'TA database'!$I$8:$J$79,2,FALSE)</f>
        <v>0.14583333333333334</v>
      </c>
      <c r="U355">
        <v>0</v>
      </c>
      <c r="V355">
        <v>0</v>
      </c>
      <c r="W355">
        <v>0</v>
      </c>
      <c r="X355">
        <v>0</v>
      </c>
      <c r="Y355">
        <f t="shared" ref="Y355:Y359" ca="1" si="931">$T355</f>
        <v>0.14583333333333334</v>
      </c>
      <c r="Z355" t="str">
        <f t="shared" si="927"/>
        <v>ELCTRLYZ_SML_D   →   D_GAS_STRG   →   ONSITE_USE   →   H2_IND_BOIL_HEAT</v>
      </c>
      <c r="AA355" t="str">
        <f t="shared" si="928"/>
        <v>Industrial heat</v>
      </c>
      <c r="AB355" t="str">
        <f t="shared" si="929"/>
        <v>Flexibility</v>
      </c>
      <c r="AC355">
        <f t="shared" ca="1" si="930"/>
        <v>0.14583333333333334</v>
      </c>
      <c r="AD355">
        <v>296</v>
      </c>
      <c r="AE355" t="str">
        <f>IF(AND(ISNUMBER(SEARCH(O355,4)),ISNUMBER(SEARCH('(4) FCH pathway assessment'!$B$16,AB355)),ISNUMBER(SEARCH('(4) FCH pathway assessment'!$B$10,AA355))),AD355,"")</f>
        <v/>
      </c>
      <c r="AF355" t="str">
        <f t="shared" si="776"/>
        <v/>
      </c>
      <c r="AG355" t="str">
        <f>VLOOKUP(C355,Assumptions!$B$116:$C$162,2,FALSE)</f>
        <v>ELCTRLYZ_SML_D</v>
      </c>
      <c r="AH355" t="str">
        <f>VLOOKUP(D355,Assumptions!$B$116:$C$162,2,FALSE)</f>
        <v>D_GAS_STRG</v>
      </c>
      <c r="AI355" t="str">
        <f>VLOOKUP(E355,Assumptions!$B$116:$C$162,2,FALSE)</f>
        <v>ONSITE_USE</v>
      </c>
      <c r="AJ355" t="str">
        <f>VLOOKUP(F355,Assumptions!$B$116:$C$162,2,FALSE)</f>
        <v>H2_IND_BOIL_HEAT</v>
      </c>
    </row>
    <row r="356" spans="2:36" x14ac:dyDescent="0.25">
      <c r="B356" t="s">
        <v>127</v>
      </c>
      <c r="C356" t="s">
        <v>57</v>
      </c>
      <c r="D356" t="s">
        <v>62</v>
      </c>
      <c r="E356" t="s">
        <v>157</v>
      </c>
      <c r="F356" t="s">
        <v>570</v>
      </c>
      <c r="G356" t="s">
        <v>120</v>
      </c>
      <c r="H356" t="s">
        <v>432</v>
      </c>
      <c r="I356" t="s">
        <v>32</v>
      </c>
      <c r="J356" t="s">
        <v>80</v>
      </c>
      <c r="K356">
        <f t="shared" ref="K356:K364" si="932">SUMPRODUCT(($C$7:$C$18=$C356)*($D$6:$H$6=$D356)*($D$7:$H$18))</f>
        <v>1</v>
      </c>
      <c r="L356">
        <f t="shared" ref="L356:L364" si="933">SUMPRODUCT(($C$19:$C$23=$D356)*($I$6:$O$6=$E356)*($I$19:$O$23))</f>
        <v>0</v>
      </c>
      <c r="M356">
        <f t="shared" ref="M356:M364" si="934">SUMPRODUCT(($C$24:$C$30=$E356)*($P$6:$AI$6=$F356)*($P$24:$AI$30))</f>
        <v>0</v>
      </c>
      <c r="N356">
        <f t="shared" ref="N356:N364" si="935">SUMPRODUCT(($C$31:$C$50=$F356)*($AJ$6:$AM$6=$G356)*($AJ$31:$AM$50))</f>
        <v>1</v>
      </c>
      <c r="O356">
        <f t="shared" ref="O356:O364" si="936">K356+L356+M356+N356</f>
        <v>2</v>
      </c>
      <c r="P356" t="str">
        <f t="shared" ref="P356:P364" si="937">CONCATENATE(C356,"-",J356)</f>
        <v>Large centralized natural gas steam reforming-Flexibility</v>
      </c>
      <c r="Q356" t="str">
        <f t="shared" ref="Q356:Q364" si="938">CONCATENATE(D356,"-",J356)</f>
        <v>Underground storage-Flexibility</v>
      </c>
      <c r="R356" t="str">
        <f t="shared" ref="R356:R364" si="939">CONCATENATE(E356,"-",J356)</f>
        <v>Blending in natural gas pipeline-Flexibility</v>
      </c>
      <c r="S356" t="str">
        <f t="shared" ref="S356:S364" si="940">CONCATENATE(F356,"-",J356)</f>
        <v>Industrial H2 boiler-Flexibility</v>
      </c>
      <c r="T356">
        <f ca="1">VLOOKUP($P356,'TA database'!$I$8:$J$79,2,FALSE)</f>
        <v>0</v>
      </c>
      <c r="U356">
        <v>0</v>
      </c>
      <c r="V356">
        <v>0</v>
      </c>
      <c r="W356">
        <v>0</v>
      </c>
      <c r="X356">
        <v>0</v>
      </c>
      <c r="Y356">
        <f t="shared" ca="1" si="931"/>
        <v>0</v>
      </c>
      <c r="Z356" t="str">
        <f t="shared" ref="Z356:Z364" si="941">CONCATENATE(AG356,"   →   ",AH356,"   →   ",AI356,"   →   ",AJ356)</f>
        <v>NG_SR_LRG_C   →   C_UNDRGRND_STRG   →   H2_BLND_NG_P   →   H2_IND_BOIL_HEAT</v>
      </c>
      <c r="AA356" t="str">
        <f t="shared" ref="AA356:AA364" si="942">G356</f>
        <v>Industrial heat</v>
      </c>
      <c r="AB356" t="str">
        <f t="shared" ref="AB356:AB364" si="943">J356</f>
        <v>Flexibility</v>
      </c>
      <c r="AC356">
        <f t="shared" ref="AC356:AC364" ca="1" si="944">Y356</f>
        <v>0</v>
      </c>
      <c r="AD356">
        <v>297</v>
      </c>
      <c r="AE356" t="str">
        <f>IF(AND(ISNUMBER(SEARCH(O356,4)),ISNUMBER(SEARCH('(4) FCH pathway assessment'!$B$16,AB356)),ISNUMBER(SEARCH('(4) FCH pathway assessment'!$B$10,AA356))),AD356,"")</f>
        <v/>
      </c>
      <c r="AF356" t="str">
        <f t="shared" si="776"/>
        <v/>
      </c>
      <c r="AG356" t="str">
        <f>VLOOKUP(C356,Assumptions!$B$116:$C$162,2,FALSE)</f>
        <v>NG_SR_LRG_C</v>
      </c>
      <c r="AH356" t="str">
        <f>VLOOKUP(D356,Assumptions!$B$116:$C$162,2,FALSE)</f>
        <v>C_UNDRGRND_STRG</v>
      </c>
      <c r="AI356" t="str">
        <f>VLOOKUP(E356,Assumptions!$B$116:$C$162,2,FALSE)</f>
        <v>H2_BLND_NG_P</v>
      </c>
      <c r="AJ356" t="str">
        <f>VLOOKUP(F356,Assumptions!$B$116:$C$162,2,FALSE)</f>
        <v>H2_IND_BOIL_HEAT</v>
      </c>
    </row>
    <row r="357" spans="2:36" x14ac:dyDescent="0.25">
      <c r="B357" t="s">
        <v>127</v>
      </c>
      <c r="C357" t="s">
        <v>57</v>
      </c>
      <c r="D357" t="s">
        <v>62</v>
      </c>
      <c r="E357" t="s">
        <v>122</v>
      </c>
      <c r="F357" t="s">
        <v>570</v>
      </c>
      <c r="G357" t="s">
        <v>120</v>
      </c>
      <c r="H357" t="s">
        <v>432</v>
      </c>
      <c r="I357" t="s">
        <v>32</v>
      </c>
      <c r="J357" t="s">
        <v>80</v>
      </c>
      <c r="K357">
        <f t="shared" si="932"/>
        <v>1</v>
      </c>
      <c r="L357">
        <f t="shared" si="933"/>
        <v>0</v>
      </c>
      <c r="M357">
        <f t="shared" si="934"/>
        <v>1</v>
      </c>
      <c r="N357">
        <f t="shared" si="935"/>
        <v>1</v>
      </c>
      <c r="O357">
        <f t="shared" si="936"/>
        <v>3</v>
      </c>
      <c r="P357" t="str">
        <f t="shared" si="937"/>
        <v>Large centralized natural gas steam reforming-Flexibility</v>
      </c>
      <c r="Q357" t="str">
        <f t="shared" si="938"/>
        <v>Underground storage-Flexibility</v>
      </c>
      <c r="R357" t="str">
        <f t="shared" si="939"/>
        <v>Hydrogen transmission &amp; distribution pipeline-Flexibility</v>
      </c>
      <c r="S357" t="str">
        <f t="shared" si="940"/>
        <v>Industrial H2 boiler-Flexibility</v>
      </c>
      <c r="T357">
        <f ca="1">VLOOKUP($P357,'TA database'!$I$8:$J$79,2,FALSE)</f>
        <v>0</v>
      </c>
      <c r="U357">
        <v>0</v>
      </c>
      <c r="V357">
        <v>0</v>
      </c>
      <c r="W357">
        <v>0</v>
      </c>
      <c r="X357">
        <v>0</v>
      </c>
      <c r="Y357">
        <f t="shared" ca="1" si="931"/>
        <v>0</v>
      </c>
      <c r="Z357" t="str">
        <f t="shared" si="941"/>
        <v>NG_SR_LRG_C   →   C_UNDRGRND_STRG   →   H2_T&amp;D_P   →   H2_IND_BOIL_HEAT</v>
      </c>
      <c r="AA357" t="str">
        <f t="shared" si="942"/>
        <v>Industrial heat</v>
      </c>
      <c r="AB357" t="str">
        <f t="shared" si="943"/>
        <v>Flexibility</v>
      </c>
      <c r="AC357">
        <f t="shared" ca="1" si="944"/>
        <v>0</v>
      </c>
      <c r="AD357">
        <v>298</v>
      </c>
      <c r="AE357" t="str">
        <f>IF(AND(ISNUMBER(SEARCH(O357,4)),ISNUMBER(SEARCH('(4) FCH pathway assessment'!$B$16,AB357)),ISNUMBER(SEARCH('(4) FCH pathway assessment'!$B$10,AA357))),AD357,"")</f>
        <v/>
      </c>
      <c r="AF357" t="str">
        <f t="shared" si="776"/>
        <v/>
      </c>
      <c r="AG357" t="str">
        <f>VLOOKUP(C357,Assumptions!$B$116:$C$162,2,FALSE)</f>
        <v>NG_SR_LRG_C</v>
      </c>
      <c r="AH357" t="str">
        <f>VLOOKUP(D357,Assumptions!$B$116:$C$162,2,FALSE)</f>
        <v>C_UNDRGRND_STRG</v>
      </c>
      <c r="AI357" t="str">
        <f>VLOOKUP(E357,Assumptions!$B$116:$C$162,2,FALSE)</f>
        <v>H2_T&amp;D_P</v>
      </c>
      <c r="AJ357" t="str">
        <f>VLOOKUP(F357,Assumptions!$B$116:$C$162,2,FALSE)</f>
        <v>H2_IND_BOIL_HEAT</v>
      </c>
    </row>
    <row r="358" spans="2:36" x14ac:dyDescent="0.25">
      <c r="B358" t="s">
        <v>127</v>
      </c>
      <c r="C358" t="s">
        <v>57</v>
      </c>
      <c r="D358" t="s">
        <v>62</v>
      </c>
      <c r="E358" t="s">
        <v>116</v>
      </c>
      <c r="F358" t="s">
        <v>570</v>
      </c>
      <c r="G358" t="s">
        <v>120</v>
      </c>
      <c r="H358" t="s">
        <v>432</v>
      </c>
      <c r="I358" t="s">
        <v>32</v>
      </c>
      <c r="J358" t="s">
        <v>80</v>
      </c>
      <c r="K358">
        <f t="shared" si="932"/>
        <v>1</v>
      </c>
      <c r="L358">
        <f t="shared" si="933"/>
        <v>0</v>
      </c>
      <c r="M358">
        <f t="shared" si="934"/>
        <v>1</v>
      </c>
      <c r="N358">
        <f t="shared" si="935"/>
        <v>1</v>
      </c>
      <c r="O358">
        <f t="shared" si="936"/>
        <v>3</v>
      </c>
      <c r="P358" t="str">
        <f t="shared" si="937"/>
        <v>Large centralized natural gas steam reforming-Flexibility</v>
      </c>
      <c r="Q358" t="str">
        <f t="shared" si="938"/>
        <v>Underground storage-Flexibility</v>
      </c>
      <c r="R358" t="str">
        <f t="shared" si="939"/>
        <v>Liquid hydrogen truck-Flexibility</v>
      </c>
      <c r="S358" t="str">
        <f t="shared" si="940"/>
        <v>Industrial H2 boiler-Flexibility</v>
      </c>
      <c r="T358">
        <f ca="1">VLOOKUP($P358,'TA database'!$I$8:$J$79,2,FALSE)</f>
        <v>0</v>
      </c>
      <c r="U358">
        <v>0</v>
      </c>
      <c r="V358">
        <v>0</v>
      </c>
      <c r="W358">
        <v>0</v>
      </c>
      <c r="X358">
        <v>0</v>
      </c>
      <c r="Y358">
        <f t="shared" ca="1" si="931"/>
        <v>0</v>
      </c>
      <c r="Z358" t="str">
        <f t="shared" si="941"/>
        <v>NG_SR_LRG_C   →   C_UNDRGRND_STRG   →   LQ_TRUCK   →   H2_IND_BOIL_HEAT</v>
      </c>
      <c r="AA358" t="str">
        <f t="shared" si="942"/>
        <v>Industrial heat</v>
      </c>
      <c r="AB358" t="str">
        <f t="shared" si="943"/>
        <v>Flexibility</v>
      </c>
      <c r="AC358">
        <f t="shared" ca="1" si="944"/>
        <v>0</v>
      </c>
      <c r="AD358">
        <v>299</v>
      </c>
      <c r="AE358" t="str">
        <f>IF(AND(ISNUMBER(SEARCH(O358,4)),ISNUMBER(SEARCH('(4) FCH pathway assessment'!$B$16,AB358)),ISNUMBER(SEARCH('(4) FCH pathway assessment'!$B$10,AA358))),AD358,"")</f>
        <v/>
      </c>
      <c r="AF358" t="str">
        <f t="shared" si="776"/>
        <v/>
      </c>
      <c r="AG358" t="str">
        <f>VLOOKUP(C358,Assumptions!$B$116:$C$162,2,FALSE)</f>
        <v>NG_SR_LRG_C</v>
      </c>
      <c r="AH358" t="str">
        <f>VLOOKUP(D358,Assumptions!$B$116:$C$162,2,FALSE)</f>
        <v>C_UNDRGRND_STRG</v>
      </c>
      <c r="AI358" t="str">
        <f>VLOOKUP(E358,Assumptions!$B$116:$C$162,2,FALSE)</f>
        <v>LQ_TRUCK</v>
      </c>
      <c r="AJ358" t="str">
        <f>VLOOKUP(F358,Assumptions!$B$116:$C$162,2,FALSE)</f>
        <v>H2_IND_BOIL_HEAT</v>
      </c>
    </row>
    <row r="359" spans="2:36" x14ac:dyDescent="0.25">
      <c r="B359" t="s">
        <v>127</v>
      </c>
      <c r="C359" t="s">
        <v>57</v>
      </c>
      <c r="D359" t="s">
        <v>62</v>
      </c>
      <c r="E359" t="s">
        <v>66</v>
      </c>
      <c r="F359" t="s">
        <v>570</v>
      </c>
      <c r="G359" t="s">
        <v>120</v>
      </c>
      <c r="H359" t="s">
        <v>432</v>
      </c>
      <c r="I359" t="s">
        <v>32</v>
      </c>
      <c r="J359" t="s">
        <v>80</v>
      </c>
      <c r="K359">
        <f t="shared" si="932"/>
        <v>1</v>
      </c>
      <c r="L359">
        <f t="shared" si="933"/>
        <v>0</v>
      </c>
      <c r="M359">
        <f t="shared" si="934"/>
        <v>1</v>
      </c>
      <c r="N359">
        <f t="shared" si="935"/>
        <v>1</v>
      </c>
      <c r="O359">
        <f t="shared" si="936"/>
        <v>3</v>
      </c>
      <c r="P359" t="str">
        <f t="shared" si="937"/>
        <v>Large centralized natural gas steam reforming-Flexibility</v>
      </c>
      <c r="Q359" t="str">
        <f t="shared" si="938"/>
        <v>Underground storage-Flexibility</v>
      </c>
      <c r="R359" t="str">
        <f t="shared" si="939"/>
        <v>Onsite-Flexibility</v>
      </c>
      <c r="S359" t="str">
        <f t="shared" si="940"/>
        <v>Industrial H2 boiler-Flexibility</v>
      </c>
      <c r="T359">
        <f ca="1">VLOOKUP($P359,'TA database'!$I$8:$J$79,2,FALSE)</f>
        <v>0</v>
      </c>
      <c r="U359">
        <v>0</v>
      </c>
      <c r="V359">
        <v>0</v>
      </c>
      <c r="W359">
        <v>0</v>
      </c>
      <c r="X359">
        <v>0</v>
      </c>
      <c r="Y359">
        <f t="shared" ca="1" si="931"/>
        <v>0</v>
      </c>
      <c r="Z359" t="str">
        <f t="shared" si="941"/>
        <v>NG_SR_LRG_C   →   C_UNDRGRND_STRG   →   ONSITE_USE   →   H2_IND_BOIL_HEAT</v>
      </c>
      <c r="AA359" t="str">
        <f t="shared" si="942"/>
        <v>Industrial heat</v>
      </c>
      <c r="AB359" t="str">
        <f t="shared" si="943"/>
        <v>Flexibility</v>
      </c>
      <c r="AC359">
        <f t="shared" ca="1" si="944"/>
        <v>0</v>
      </c>
      <c r="AD359">
        <v>300</v>
      </c>
      <c r="AE359" t="str">
        <f>IF(AND(ISNUMBER(SEARCH(O359,4)),ISNUMBER(SEARCH('(4) FCH pathway assessment'!$B$16,AB359)),ISNUMBER(SEARCH('(4) FCH pathway assessment'!$B$10,AA359))),AD359,"")</f>
        <v/>
      </c>
      <c r="AF359" t="str">
        <f t="shared" si="776"/>
        <v/>
      </c>
      <c r="AG359" t="str">
        <f>VLOOKUP(C359,Assumptions!$B$116:$C$162,2,FALSE)</f>
        <v>NG_SR_LRG_C</v>
      </c>
      <c r="AH359" t="str">
        <f>VLOOKUP(D359,Assumptions!$B$116:$C$162,2,FALSE)</f>
        <v>C_UNDRGRND_STRG</v>
      </c>
      <c r="AI359" t="str">
        <f>VLOOKUP(E359,Assumptions!$B$116:$C$162,2,FALSE)</f>
        <v>ONSITE_USE</v>
      </c>
      <c r="AJ359" t="str">
        <f>VLOOKUP(F359,Assumptions!$B$116:$C$162,2,FALSE)</f>
        <v>H2_IND_BOIL_HEAT</v>
      </c>
    </row>
    <row r="360" spans="2:36" x14ac:dyDescent="0.25">
      <c r="B360" t="s">
        <v>127</v>
      </c>
      <c r="C360" t="s">
        <v>57</v>
      </c>
      <c r="D360" s="61" t="s">
        <v>63</v>
      </c>
      <c r="E360" t="s">
        <v>122</v>
      </c>
      <c r="F360" t="s">
        <v>570</v>
      </c>
      <c r="G360" t="s">
        <v>120</v>
      </c>
      <c r="H360" t="s">
        <v>432</v>
      </c>
      <c r="I360" t="s">
        <v>32</v>
      </c>
      <c r="J360" t="s">
        <v>80</v>
      </c>
      <c r="K360">
        <f t="shared" si="932"/>
        <v>1</v>
      </c>
      <c r="L360">
        <f t="shared" si="933"/>
        <v>1</v>
      </c>
      <c r="M360">
        <f t="shared" si="934"/>
        <v>1</v>
      </c>
      <c r="N360">
        <f t="shared" si="935"/>
        <v>1</v>
      </c>
      <c r="O360">
        <f t="shared" si="936"/>
        <v>4</v>
      </c>
      <c r="P360" t="str">
        <f t="shared" si="937"/>
        <v>Large centralized natural gas steam reforming-Flexibility</v>
      </c>
      <c r="Q360" t="str">
        <f t="shared" si="938"/>
        <v>No storage-Flexibility</v>
      </c>
      <c r="R360" t="str">
        <f t="shared" si="939"/>
        <v>Hydrogen transmission &amp; distribution pipeline-Flexibility</v>
      </c>
      <c r="S360" t="str">
        <f t="shared" si="940"/>
        <v>Industrial H2 boiler-Flexibility</v>
      </c>
      <c r="T360">
        <f ca="1">VLOOKUP($P360,'TA database'!$I$8:$J$79,2,FALSE)</f>
        <v>0</v>
      </c>
      <c r="U360">
        <v>0</v>
      </c>
      <c r="V360">
        <v>0</v>
      </c>
      <c r="W360">
        <v>0</v>
      </c>
      <c r="X360">
        <v>0</v>
      </c>
      <c r="Y360">
        <f t="shared" ref="Y360:Y364" ca="1" si="945">$T360</f>
        <v>0</v>
      </c>
      <c r="Z360" t="str">
        <f t="shared" si="941"/>
        <v>NG_SR_LRG_C   →   NO_STRG   →   H2_T&amp;D_P   →   H2_IND_BOIL_HEAT</v>
      </c>
      <c r="AA360" t="str">
        <f t="shared" si="942"/>
        <v>Industrial heat</v>
      </c>
      <c r="AB360" t="str">
        <f t="shared" si="943"/>
        <v>Flexibility</v>
      </c>
      <c r="AC360">
        <f t="shared" ca="1" si="944"/>
        <v>0</v>
      </c>
      <c r="AD360">
        <v>301</v>
      </c>
      <c r="AE360" t="str">
        <f>IF(AND(ISNUMBER(SEARCH(O360,4)),ISNUMBER(SEARCH('(4) FCH pathway assessment'!$B$16,AB360)),ISNUMBER(SEARCH('(4) FCH pathway assessment'!$B$10,AA360))),AD360,"")</f>
        <v/>
      </c>
      <c r="AF360" t="str">
        <f t="shared" si="776"/>
        <v/>
      </c>
      <c r="AG360" t="str">
        <f>VLOOKUP(C360,Assumptions!$B$116:$C$162,2,FALSE)</f>
        <v>NG_SR_LRG_C</v>
      </c>
      <c r="AH360" t="str">
        <f>VLOOKUP(D360,Assumptions!$B$116:$C$162,2,FALSE)</f>
        <v>NO_STRG</v>
      </c>
      <c r="AI360" t="str">
        <f>VLOOKUP(E360,Assumptions!$B$116:$C$162,2,FALSE)</f>
        <v>H2_T&amp;D_P</v>
      </c>
      <c r="AJ360" t="str">
        <f>VLOOKUP(F360,Assumptions!$B$116:$C$162,2,FALSE)</f>
        <v>H2_IND_BOIL_HEAT</v>
      </c>
    </row>
    <row r="361" spans="2:36" x14ac:dyDescent="0.25">
      <c r="B361" t="s">
        <v>127</v>
      </c>
      <c r="C361" t="s">
        <v>58</v>
      </c>
      <c r="D361" t="s">
        <v>155</v>
      </c>
      <c r="E361" t="s">
        <v>157</v>
      </c>
      <c r="F361" t="s">
        <v>570</v>
      </c>
      <c r="G361" t="s">
        <v>120</v>
      </c>
      <c r="H361" t="s">
        <v>432</v>
      </c>
      <c r="I361" t="s">
        <v>32</v>
      </c>
      <c r="J361" t="s">
        <v>80</v>
      </c>
      <c r="K361">
        <f t="shared" si="932"/>
        <v>1</v>
      </c>
      <c r="L361">
        <f t="shared" si="933"/>
        <v>1</v>
      </c>
      <c r="M361">
        <f t="shared" si="934"/>
        <v>0</v>
      </c>
      <c r="N361">
        <f t="shared" si="935"/>
        <v>1</v>
      </c>
      <c r="O361">
        <f t="shared" si="936"/>
        <v>3</v>
      </c>
      <c r="P361" t="str">
        <f t="shared" si="937"/>
        <v>Small centralized natural gas steam reforming-Flexibility</v>
      </c>
      <c r="Q361" t="str">
        <f t="shared" si="938"/>
        <v>Central gas storage-Flexibility</v>
      </c>
      <c r="R361" t="str">
        <f t="shared" si="939"/>
        <v>Blending in natural gas pipeline-Flexibility</v>
      </c>
      <c r="S361" t="str">
        <f t="shared" si="940"/>
        <v>Industrial H2 boiler-Flexibility</v>
      </c>
      <c r="T361">
        <f ca="1">VLOOKUP($P361,'TA database'!$I$8:$J$79,2,FALSE)</f>
        <v>0</v>
      </c>
      <c r="U361">
        <v>0</v>
      </c>
      <c r="V361">
        <v>0</v>
      </c>
      <c r="W361">
        <v>0</v>
      </c>
      <c r="X361">
        <v>0</v>
      </c>
      <c r="Y361">
        <f t="shared" ca="1" si="945"/>
        <v>0</v>
      </c>
      <c r="Z361" t="str">
        <f t="shared" si="941"/>
        <v>NG_SR_SML_C   →   C_GAS_STRG   →   H2_BLND_NG_P   →   H2_IND_BOIL_HEAT</v>
      </c>
      <c r="AA361" t="str">
        <f t="shared" si="942"/>
        <v>Industrial heat</v>
      </c>
      <c r="AB361" t="str">
        <f t="shared" si="943"/>
        <v>Flexibility</v>
      </c>
      <c r="AC361">
        <f t="shared" ca="1" si="944"/>
        <v>0</v>
      </c>
      <c r="AD361">
        <v>302</v>
      </c>
      <c r="AE361" t="str">
        <f>IF(AND(ISNUMBER(SEARCH(O361,4)),ISNUMBER(SEARCH('(4) FCH pathway assessment'!$B$16,AB361)),ISNUMBER(SEARCH('(4) FCH pathway assessment'!$B$10,AA361))),AD361,"")</f>
        <v/>
      </c>
      <c r="AF361" t="str">
        <f t="shared" si="776"/>
        <v/>
      </c>
      <c r="AG361" t="str">
        <f>VLOOKUP(C361,Assumptions!$B$116:$C$162,2,FALSE)</f>
        <v>NG_SR_SML_C</v>
      </c>
      <c r="AH361" t="str">
        <f>VLOOKUP(D361,Assumptions!$B$116:$C$162,2,FALSE)</f>
        <v>C_GAS_STRG</v>
      </c>
      <c r="AI361" t="str">
        <f>VLOOKUP(E361,Assumptions!$B$116:$C$162,2,FALSE)</f>
        <v>H2_BLND_NG_P</v>
      </c>
      <c r="AJ361" t="str">
        <f>VLOOKUP(F361,Assumptions!$B$116:$C$162,2,FALSE)</f>
        <v>H2_IND_BOIL_HEAT</v>
      </c>
    </row>
    <row r="362" spans="2:36" x14ac:dyDescent="0.25">
      <c r="B362" t="s">
        <v>127</v>
      </c>
      <c r="C362" t="s">
        <v>58</v>
      </c>
      <c r="D362" t="s">
        <v>155</v>
      </c>
      <c r="E362" t="s">
        <v>122</v>
      </c>
      <c r="F362" t="s">
        <v>570</v>
      </c>
      <c r="G362" t="s">
        <v>120</v>
      </c>
      <c r="H362" t="s">
        <v>432</v>
      </c>
      <c r="I362" t="s">
        <v>32</v>
      </c>
      <c r="J362" t="s">
        <v>80</v>
      </c>
      <c r="K362">
        <f t="shared" si="932"/>
        <v>1</v>
      </c>
      <c r="L362">
        <f t="shared" si="933"/>
        <v>1</v>
      </c>
      <c r="M362">
        <f t="shared" si="934"/>
        <v>1</v>
      </c>
      <c r="N362">
        <f t="shared" si="935"/>
        <v>1</v>
      </c>
      <c r="O362">
        <f t="shared" si="936"/>
        <v>4</v>
      </c>
      <c r="P362" t="str">
        <f t="shared" si="937"/>
        <v>Small centralized natural gas steam reforming-Flexibility</v>
      </c>
      <c r="Q362" t="str">
        <f t="shared" si="938"/>
        <v>Central gas storage-Flexibility</v>
      </c>
      <c r="R362" t="str">
        <f t="shared" si="939"/>
        <v>Hydrogen transmission &amp; distribution pipeline-Flexibility</v>
      </c>
      <c r="S362" t="str">
        <f t="shared" si="940"/>
        <v>Industrial H2 boiler-Flexibility</v>
      </c>
      <c r="T362">
        <f ca="1">VLOOKUP($P362,'TA database'!$I$8:$J$79,2,FALSE)</f>
        <v>0</v>
      </c>
      <c r="U362">
        <v>0</v>
      </c>
      <c r="V362">
        <v>0</v>
      </c>
      <c r="W362">
        <v>0</v>
      </c>
      <c r="X362">
        <v>0</v>
      </c>
      <c r="Y362">
        <f t="shared" ca="1" si="945"/>
        <v>0</v>
      </c>
      <c r="Z362" t="str">
        <f t="shared" si="941"/>
        <v>NG_SR_SML_C   →   C_GAS_STRG   →   H2_T&amp;D_P   →   H2_IND_BOIL_HEAT</v>
      </c>
      <c r="AA362" t="str">
        <f t="shared" si="942"/>
        <v>Industrial heat</v>
      </c>
      <c r="AB362" t="str">
        <f t="shared" si="943"/>
        <v>Flexibility</v>
      </c>
      <c r="AC362">
        <f t="shared" ca="1" si="944"/>
        <v>0</v>
      </c>
      <c r="AD362">
        <v>303</v>
      </c>
      <c r="AE362" t="str">
        <f>IF(AND(ISNUMBER(SEARCH(O362,4)),ISNUMBER(SEARCH('(4) FCH pathway assessment'!$B$16,AB362)),ISNUMBER(SEARCH('(4) FCH pathway assessment'!$B$10,AA362))),AD362,"")</f>
        <v/>
      </c>
      <c r="AF362" t="str">
        <f t="shared" si="776"/>
        <v/>
      </c>
      <c r="AG362" t="str">
        <f>VLOOKUP(C362,Assumptions!$B$116:$C$162,2,FALSE)</f>
        <v>NG_SR_SML_C</v>
      </c>
      <c r="AH362" t="str">
        <f>VLOOKUP(D362,Assumptions!$B$116:$C$162,2,FALSE)</f>
        <v>C_GAS_STRG</v>
      </c>
      <c r="AI362" t="str">
        <f>VLOOKUP(E362,Assumptions!$B$116:$C$162,2,FALSE)</f>
        <v>H2_T&amp;D_P</v>
      </c>
      <c r="AJ362" t="str">
        <f>VLOOKUP(F362,Assumptions!$B$116:$C$162,2,FALSE)</f>
        <v>H2_IND_BOIL_HEAT</v>
      </c>
    </row>
    <row r="363" spans="2:36" x14ac:dyDescent="0.25">
      <c r="B363" t="s">
        <v>127</v>
      </c>
      <c r="C363" t="s">
        <v>58</v>
      </c>
      <c r="D363" t="s">
        <v>155</v>
      </c>
      <c r="E363" t="s">
        <v>116</v>
      </c>
      <c r="F363" t="s">
        <v>570</v>
      </c>
      <c r="G363" t="s">
        <v>120</v>
      </c>
      <c r="H363" t="s">
        <v>432</v>
      </c>
      <c r="I363" t="s">
        <v>32</v>
      </c>
      <c r="J363" t="s">
        <v>80</v>
      </c>
      <c r="K363">
        <f t="shared" si="932"/>
        <v>1</v>
      </c>
      <c r="L363">
        <f t="shared" si="933"/>
        <v>1</v>
      </c>
      <c r="M363">
        <f t="shared" si="934"/>
        <v>1</v>
      </c>
      <c r="N363">
        <f t="shared" si="935"/>
        <v>1</v>
      </c>
      <c r="O363">
        <f t="shared" si="936"/>
        <v>4</v>
      </c>
      <c r="P363" t="str">
        <f t="shared" si="937"/>
        <v>Small centralized natural gas steam reforming-Flexibility</v>
      </c>
      <c r="Q363" t="str">
        <f t="shared" si="938"/>
        <v>Central gas storage-Flexibility</v>
      </c>
      <c r="R363" t="str">
        <f t="shared" si="939"/>
        <v>Liquid hydrogen truck-Flexibility</v>
      </c>
      <c r="S363" t="str">
        <f t="shared" si="940"/>
        <v>Industrial H2 boiler-Flexibility</v>
      </c>
      <c r="T363">
        <f ca="1">VLOOKUP($P363,'TA database'!$I$8:$J$79,2,FALSE)</f>
        <v>0</v>
      </c>
      <c r="U363">
        <v>0</v>
      </c>
      <c r="V363">
        <v>0</v>
      </c>
      <c r="W363">
        <v>0</v>
      </c>
      <c r="X363">
        <v>0</v>
      </c>
      <c r="Y363">
        <f t="shared" ca="1" si="945"/>
        <v>0</v>
      </c>
      <c r="Z363" t="str">
        <f t="shared" si="941"/>
        <v>NG_SR_SML_C   →   C_GAS_STRG   →   LQ_TRUCK   →   H2_IND_BOIL_HEAT</v>
      </c>
      <c r="AA363" t="str">
        <f t="shared" si="942"/>
        <v>Industrial heat</v>
      </c>
      <c r="AB363" t="str">
        <f t="shared" si="943"/>
        <v>Flexibility</v>
      </c>
      <c r="AC363">
        <f t="shared" ca="1" si="944"/>
        <v>0</v>
      </c>
      <c r="AD363">
        <v>304</v>
      </c>
      <c r="AE363" t="str">
        <f>IF(AND(ISNUMBER(SEARCH(O363,4)),ISNUMBER(SEARCH('(4) FCH pathway assessment'!$B$16,AB363)),ISNUMBER(SEARCH('(4) FCH pathway assessment'!$B$10,AA363))),AD363,"")</f>
        <v/>
      </c>
      <c r="AF363" t="str">
        <f t="shared" si="776"/>
        <v/>
      </c>
      <c r="AG363" t="str">
        <f>VLOOKUP(C363,Assumptions!$B$116:$C$162,2,FALSE)</f>
        <v>NG_SR_SML_C</v>
      </c>
      <c r="AH363" t="str">
        <f>VLOOKUP(D363,Assumptions!$B$116:$C$162,2,FALSE)</f>
        <v>C_GAS_STRG</v>
      </c>
      <c r="AI363" t="str">
        <f>VLOOKUP(E363,Assumptions!$B$116:$C$162,2,FALSE)</f>
        <v>LQ_TRUCK</v>
      </c>
      <c r="AJ363" t="str">
        <f>VLOOKUP(F363,Assumptions!$B$116:$C$162,2,FALSE)</f>
        <v>H2_IND_BOIL_HEAT</v>
      </c>
    </row>
    <row r="364" spans="2:36" x14ac:dyDescent="0.25">
      <c r="B364" t="s">
        <v>127</v>
      </c>
      <c r="C364" t="s">
        <v>58</v>
      </c>
      <c r="D364" t="s">
        <v>155</v>
      </c>
      <c r="E364" t="s">
        <v>66</v>
      </c>
      <c r="F364" t="s">
        <v>570</v>
      </c>
      <c r="G364" t="s">
        <v>120</v>
      </c>
      <c r="H364" t="s">
        <v>432</v>
      </c>
      <c r="I364" t="s">
        <v>32</v>
      </c>
      <c r="J364" t="s">
        <v>80</v>
      </c>
      <c r="K364">
        <f t="shared" si="932"/>
        <v>1</v>
      </c>
      <c r="L364">
        <f t="shared" si="933"/>
        <v>1</v>
      </c>
      <c r="M364">
        <f t="shared" si="934"/>
        <v>1</v>
      </c>
      <c r="N364">
        <f t="shared" si="935"/>
        <v>1</v>
      </c>
      <c r="O364">
        <f t="shared" si="936"/>
        <v>4</v>
      </c>
      <c r="P364" t="str">
        <f t="shared" si="937"/>
        <v>Small centralized natural gas steam reforming-Flexibility</v>
      </c>
      <c r="Q364" t="str">
        <f t="shared" si="938"/>
        <v>Central gas storage-Flexibility</v>
      </c>
      <c r="R364" t="str">
        <f t="shared" si="939"/>
        <v>Onsite-Flexibility</v>
      </c>
      <c r="S364" t="str">
        <f t="shared" si="940"/>
        <v>Industrial H2 boiler-Flexibility</v>
      </c>
      <c r="T364">
        <f ca="1">VLOOKUP($P364,'TA database'!$I$8:$J$79,2,FALSE)</f>
        <v>0</v>
      </c>
      <c r="U364">
        <v>0</v>
      </c>
      <c r="V364">
        <v>0</v>
      </c>
      <c r="W364">
        <v>0</v>
      </c>
      <c r="X364">
        <v>0</v>
      </c>
      <c r="Y364">
        <f t="shared" ca="1" si="945"/>
        <v>0</v>
      </c>
      <c r="Z364" t="str">
        <f t="shared" si="941"/>
        <v>NG_SR_SML_C   →   C_GAS_STRG   →   ONSITE_USE   →   H2_IND_BOIL_HEAT</v>
      </c>
      <c r="AA364" t="str">
        <f t="shared" si="942"/>
        <v>Industrial heat</v>
      </c>
      <c r="AB364" t="str">
        <f t="shared" si="943"/>
        <v>Flexibility</v>
      </c>
      <c r="AC364">
        <f t="shared" ca="1" si="944"/>
        <v>0</v>
      </c>
      <c r="AD364">
        <v>305</v>
      </c>
      <c r="AE364" t="str">
        <f>IF(AND(ISNUMBER(SEARCH(O364,4)),ISNUMBER(SEARCH('(4) FCH pathway assessment'!$B$16,AB364)),ISNUMBER(SEARCH('(4) FCH pathway assessment'!$B$10,AA364))),AD364,"")</f>
        <v/>
      </c>
      <c r="AF364" t="str">
        <f t="shared" si="776"/>
        <v/>
      </c>
      <c r="AG364" t="str">
        <f>VLOOKUP(C364,Assumptions!$B$116:$C$162,2,FALSE)</f>
        <v>NG_SR_SML_C</v>
      </c>
      <c r="AH364" t="str">
        <f>VLOOKUP(D364,Assumptions!$B$116:$C$162,2,FALSE)</f>
        <v>C_GAS_STRG</v>
      </c>
      <c r="AI364" t="str">
        <f>VLOOKUP(E364,Assumptions!$B$116:$C$162,2,FALSE)</f>
        <v>ONSITE_USE</v>
      </c>
      <c r="AJ364" t="str">
        <f>VLOOKUP(F364,Assumptions!$B$116:$C$162,2,FALSE)</f>
        <v>H2_IND_BOIL_HEAT</v>
      </c>
    </row>
    <row r="365" spans="2:36" x14ac:dyDescent="0.25">
      <c r="B365" t="s">
        <v>127</v>
      </c>
      <c r="C365" t="s">
        <v>59</v>
      </c>
      <c r="D365" s="60" t="s">
        <v>130</v>
      </c>
      <c r="E365" t="s">
        <v>66</v>
      </c>
      <c r="F365" t="s">
        <v>570</v>
      </c>
      <c r="G365" t="s">
        <v>120</v>
      </c>
      <c r="H365" t="s">
        <v>432</v>
      </c>
      <c r="I365" t="s">
        <v>32</v>
      </c>
      <c r="J365" t="s">
        <v>80</v>
      </c>
      <c r="K365">
        <f t="shared" ref="K365" si="946">SUMPRODUCT(($C$7:$C$18=$C365)*($D$6:$H$6=$D365)*($D$7:$H$18))</f>
        <v>1</v>
      </c>
      <c r="L365">
        <f t="shared" ref="L365" si="947">SUMPRODUCT(($C$19:$C$23=$D365)*($I$6:$O$6=$E365)*($I$19:$O$23))</f>
        <v>1</v>
      </c>
      <c r="M365">
        <f t="shared" ref="M365" si="948">SUMPRODUCT(($C$24:$C$30=$E365)*($P$6:$AI$6=$F365)*($P$24:$AI$30))</f>
        <v>1</v>
      </c>
      <c r="N365">
        <f t="shared" ref="N365" si="949">SUMPRODUCT(($C$31:$C$50=$F365)*($AJ$6:$AM$6=$G365)*($AJ$31:$AM$50))</f>
        <v>1</v>
      </c>
      <c r="O365">
        <f t="shared" ref="O365" si="950">K365+L365+M365+N365</f>
        <v>4</v>
      </c>
      <c r="P365" t="str">
        <f t="shared" ref="P365" si="951">CONCATENATE(C365,"-",J365)</f>
        <v>Medium decentralized natural gas steam reforming-Flexibility</v>
      </c>
      <c r="Q365" t="str">
        <f t="shared" ref="Q365" si="952">CONCATENATE(D365,"-",J365)</f>
        <v>Distributed gas storage-Flexibility</v>
      </c>
      <c r="R365" t="str">
        <f t="shared" ref="R365" si="953">CONCATENATE(E365,"-",J365)</f>
        <v>Onsite-Flexibility</v>
      </c>
      <c r="S365" t="str">
        <f t="shared" ref="S365" si="954">CONCATENATE(F365,"-",J365)</f>
        <v>Industrial H2 boiler-Flexibility</v>
      </c>
      <c r="T365">
        <f ca="1">VLOOKUP($P365,'TA database'!$I$8:$J$79,2,FALSE)</f>
        <v>0</v>
      </c>
      <c r="U365">
        <v>0</v>
      </c>
      <c r="V365">
        <v>0</v>
      </c>
      <c r="W365">
        <v>0</v>
      </c>
      <c r="X365">
        <v>0</v>
      </c>
      <c r="Y365">
        <f t="shared" ref="Y365:Y366" ca="1" si="955">$T365</f>
        <v>0</v>
      </c>
      <c r="Z365" t="str">
        <f t="shared" ref="Z365" si="956">CONCATENATE(AG365,"   →   ",AH365,"   →   ",AI365,"   →   ",AJ365)</f>
        <v>NG_SR_MED_D   →   D_GAS_STRG   →   ONSITE_USE   →   H2_IND_BOIL_HEAT</v>
      </c>
      <c r="AA365" t="str">
        <f t="shared" ref="AA365" si="957">G365</f>
        <v>Industrial heat</v>
      </c>
      <c r="AB365" t="str">
        <f t="shared" ref="AB365" si="958">J365</f>
        <v>Flexibility</v>
      </c>
      <c r="AC365">
        <f t="shared" ref="AC365" ca="1" si="959">Y365</f>
        <v>0</v>
      </c>
      <c r="AD365">
        <v>306</v>
      </c>
      <c r="AE365" t="str">
        <f>IF(AND(ISNUMBER(SEARCH(O365,4)),ISNUMBER(SEARCH('(4) FCH pathway assessment'!$B$16,AB365)),ISNUMBER(SEARCH('(4) FCH pathway assessment'!$B$10,AA365))),AD365,"")</f>
        <v/>
      </c>
      <c r="AF365" t="str">
        <f t="shared" si="776"/>
        <v/>
      </c>
      <c r="AG365" t="str">
        <f>VLOOKUP(C365,Assumptions!$B$116:$C$162,2,FALSE)</f>
        <v>NG_SR_MED_D</v>
      </c>
      <c r="AH365" t="str">
        <f>VLOOKUP(D365,Assumptions!$B$116:$C$162,2,FALSE)</f>
        <v>D_GAS_STRG</v>
      </c>
      <c r="AI365" t="str">
        <f>VLOOKUP(E365,Assumptions!$B$116:$C$162,2,FALSE)</f>
        <v>ONSITE_USE</v>
      </c>
      <c r="AJ365" t="str">
        <f>VLOOKUP(F365,Assumptions!$B$116:$C$162,2,FALSE)</f>
        <v>H2_IND_BOIL_HEAT</v>
      </c>
    </row>
    <row r="366" spans="2:36" x14ac:dyDescent="0.25">
      <c r="B366" t="s">
        <v>127</v>
      </c>
      <c r="C366" t="s">
        <v>60</v>
      </c>
      <c r="D366" s="60" t="s">
        <v>130</v>
      </c>
      <c r="E366" t="s">
        <v>66</v>
      </c>
      <c r="F366" t="s">
        <v>570</v>
      </c>
      <c r="G366" t="s">
        <v>120</v>
      </c>
      <c r="H366" t="s">
        <v>432</v>
      </c>
      <c r="I366" t="s">
        <v>32</v>
      </c>
      <c r="J366" t="s">
        <v>80</v>
      </c>
      <c r="K366">
        <f t="shared" ref="K366:K367" si="960">SUMPRODUCT(($C$7:$C$18=$C366)*($D$6:$H$6=$D366)*($D$7:$H$18))</f>
        <v>1</v>
      </c>
      <c r="L366">
        <f t="shared" ref="L366:L367" si="961">SUMPRODUCT(($C$19:$C$23=$D366)*($I$6:$O$6=$E366)*($I$19:$O$23))</f>
        <v>1</v>
      </c>
      <c r="M366">
        <f t="shared" ref="M366:M367" si="962">SUMPRODUCT(($C$24:$C$30=$E366)*($P$6:$AI$6=$F366)*($P$24:$AI$30))</f>
        <v>1</v>
      </c>
      <c r="N366">
        <f t="shared" ref="N366:N367" si="963">SUMPRODUCT(($C$31:$C$50=$F366)*($AJ$6:$AM$6=$G366)*($AJ$31:$AM$50))</f>
        <v>1</v>
      </c>
      <c r="O366">
        <f t="shared" ref="O366" si="964">K366+L366+M366+N366</f>
        <v>4</v>
      </c>
      <c r="P366" t="str">
        <f t="shared" ref="P366:P367" si="965">CONCATENATE(C366,"-",J366)</f>
        <v>Small decentralized natural gas steam reforming-Flexibility</v>
      </c>
      <c r="Q366" t="str">
        <f t="shared" ref="Q366:Q367" si="966">CONCATENATE(D366,"-",J366)</f>
        <v>Distributed gas storage-Flexibility</v>
      </c>
      <c r="R366" t="str">
        <f t="shared" ref="R366:R367" si="967">CONCATENATE(E366,"-",J366)</f>
        <v>Onsite-Flexibility</v>
      </c>
      <c r="S366" t="str">
        <f t="shared" ref="S366:S367" si="968">CONCATENATE(F366,"-",J366)</f>
        <v>Industrial H2 boiler-Flexibility</v>
      </c>
      <c r="T366">
        <f ca="1">VLOOKUP($P366,'TA database'!$I$8:$J$79,2,FALSE)</f>
        <v>0</v>
      </c>
      <c r="U366">
        <v>0</v>
      </c>
      <c r="V366">
        <v>0</v>
      </c>
      <c r="W366">
        <v>0</v>
      </c>
      <c r="X366">
        <v>0</v>
      </c>
      <c r="Y366">
        <f t="shared" ca="1" si="955"/>
        <v>0</v>
      </c>
      <c r="Z366" t="str">
        <f t="shared" ref="Z366" si="969">CONCATENATE(AG366,"   →   ",AH366,"   →   ",AI366,"   →   ",AJ366)</f>
        <v>NG_SR_SML_D   →   D_GAS_STRG   →   ONSITE_USE   →   H2_IND_BOIL_HEAT</v>
      </c>
      <c r="AA366" t="str">
        <f t="shared" ref="AA366" si="970">G366</f>
        <v>Industrial heat</v>
      </c>
      <c r="AB366" t="str">
        <f t="shared" ref="AB366" si="971">J366</f>
        <v>Flexibility</v>
      </c>
      <c r="AC366">
        <f t="shared" ref="AC366" ca="1" si="972">Y366</f>
        <v>0</v>
      </c>
      <c r="AD366">
        <v>307</v>
      </c>
      <c r="AE366" t="str">
        <f>IF(AND(ISNUMBER(SEARCH(O366,4)),ISNUMBER(SEARCH('(4) FCH pathway assessment'!$B$16,AB366)),ISNUMBER(SEARCH('(4) FCH pathway assessment'!$B$10,AA366))),AD366,"")</f>
        <v/>
      </c>
      <c r="AF366" t="str">
        <f t="shared" si="776"/>
        <v/>
      </c>
      <c r="AG366" t="str">
        <f>VLOOKUP(C366,Assumptions!$B$116:$C$162,2,FALSE)</f>
        <v>NG_SR_SML_D</v>
      </c>
      <c r="AH366" t="str">
        <f>VLOOKUP(D366,Assumptions!$B$116:$C$162,2,FALSE)</f>
        <v>D_GAS_STRG</v>
      </c>
      <c r="AI366" t="str">
        <f>VLOOKUP(E366,Assumptions!$B$116:$C$162,2,FALSE)</f>
        <v>ONSITE_USE</v>
      </c>
      <c r="AJ366" t="str">
        <f>VLOOKUP(F366,Assumptions!$B$116:$C$162,2,FALSE)</f>
        <v>H2_IND_BOIL_HEAT</v>
      </c>
    </row>
    <row r="367" spans="2:36" x14ac:dyDescent="0.25">
      <c r="B367" t="s">
        <v>117</v>
      </c>
      <c r="C367" t="s">
        <v>53</v>
      </c>
      <c r="D367" t="s">
        <v>155</v>
      </c>
      <c r="E367" t="s">
        <v>157</v>
      </c>
      <c r="F367" t="s">
        <v>549</v>
      </c>
      <c r="G367" t="s">
        <v>114</v>
      </c>
      <c r="H367" t="s">
        <v>433</v>
      </c>
      <c r="I367" t="s">
        <v>32</v>
      </c>
      <c r="J367" t="s">
        <v>80</v>
      </c>
      <c r="K367">
        <f t="shared" si="960"/>
        <v>0</v>
      </c>
      <c r="L367">
        <f t="shared" si="961"/>
        <v>1</v>
      </c>
      <c r="M367">
        <f t="shared" si="962"/>
        <v>0</v>
      </c>
      <c r="N367">
        <f t="shared" si="963"/>
        <v>0</v>
      </c>
      <c r="O367">
        <f t="shared" ref="O367:O374" si="973">K367+L367+M367+N367</f>
        <v>1</v>
      </c>
      <c r="P367" t="str">
        <f t="shared" si="965"/>
        <v>Medium centralized biomass gasification-Flexibility</v>
      </c>
      <c r="Q367" t="str">
        <f t="shared" si="966"/>
        <v>Central gas storage-Flexibility</v>
      </c>
      <c r="R367" t="str">
        <f t="shared" si="967"/>
        <v>Blending in natural gas pipeline-Flexibility</v>
      </c>
      <c r="S367" t="str">
        <f t="shared" si="968"/>
        <v>District-CHP with H2 fuel cell (power)-Flexibility</v>
      </c>
      <c r="T367">
        <f ca="1">VLOOKUP($P367,'TA database'!$I$8:$J$79,2,FALSE)</f>
        <v>0</v>
      </c>
      <c r="U367">
        <v>0</v>
      </c>
      <c r="V367">
        <v>0</v>
      </c>
      <c r="W367">
        <v>0</v>
      </c>
      <c r="X367">
        <v>0</v>
      </c>
      <c r="Y367">
        <f t="shared" ref="Y367:Y370" ca="1" si="974">$T367</f>
        <v>0</v>
      </c>
      <c r="Z367" t="str">
        <f t="shared" ref="Z367:Z374" si="975">CONCATENATE(AG367,"   →   ",AH367,"   →   ",AI367,"   →   ",AJ367)</f>
        <v>BIO_GSF_MED_C   →   C_GAS_STRG   →   H2_BLND_NG_P   →   H2_FC_DCHP_PWR</v>
      </c>
      <c r="AA367" t="str">
        <f t="shared" ref="AA367:AA374" si="976">G367</f>
        <v>Grid electricity</v>
      </c>
      <c r="AB367" t="str">
        <f t="shared" ref="AB367:AB374" si="977">J367</f>
        <v>Flexibility</v>
      </c>
      <c r="AC367">
        <f t="shared" ref="AC367:AC374" ca="1" si="978">Y367</f>
        <v>0</v>
      </c>
      <c r="AD367">
        <v>308</v>
      </c>
      <c r="AE367" t="str">
        <f>IF(AND(ISNUMBER(SEARCH(O367,4)),ISNUMBER(SEARCH('(4) FCH pathway assessment'!$B$16,AB367)),ISNUMBER(SEARCH('(4) FCH pathway assessment'!$B$10,AA367))),AD367,"")</f>
        <v/>
      </c>
      <c r="AF367" t="str">
        <f t="shared" si="776"/>
        <v/>
      </c>
      <c r="AG367" t="str">
        <f>VLOOKUP(C367,Assumptions!$B$116:$C$162,2,FALSE)</f>
        <v>BIO_GSF_MED_C</v>
      </c>
      <c r="AH367" t="str">
        <f>VLOOKUP(D367,Assumptions!$B$116:$C$162,2,FALSE)</f>
        <v>C_GAS_STRG</v>
      </c>
      <c r="AI367" t="str">
        <f>VLOOKUP(E367,Assumptions!$B$116:$C$162,2,FALSE)</f>
        <v>H2_BLND_NG_P</v>
      </c>
      <c r="AJ367" t="str">
        <f>VLOOKUP(F367,Assumptions!$B$116:$C$162,2,FALSE)</f>
        <v>H2_FC_DCHP_PWR</v>
      </c>
    </row>
    <row r="368" spans="2:36" x14ac:dyDescent="0.25">
      <c r="B368" t="s">
        <v>117</v>
      </c>
      <c r="C368" t="s">
        <v>53</v>
      </c>
      <c r="D368" t="s">
        <v>155</v>
      </c>
      <c r="E368" t="s">
        <v>122</v>
      </c>
      <c r="F368" t="s">
        <v>549</v>
      </c>
      <c r="G368" t="s">
        <v>114</v>
      </c>
      <c r="H368" t="s">
        <v>433</v>
      </c>
      <c r="I368" t="s">
        <v>32</v>
      </c>
      <c r="J368" t="s">
        <v>80</v>
      </c>
      <c r="K368">
        <f t="shared" ref="K368:K374" si="979">SUMPRODUCT(($C$7:$C$18=$C368)*($D$6:$H$6=$D368)*($D$7:$H$18))</f>
        <v>0</v>
      </c>
      <c r="L368">
        <f t="shared" ref="L368:L374" si="980">SUMPRODUCT(($C$19:$C$23=$D368)*($I$6:$O$6=$E368)*($I$19:$O$23))</f>
        <v>1</v>
      </c>
      <c r="M368">
        <f t="shared" ref="M368:M374" si="981">SUMPRODUCT(($C$24:$C$30=$E368)*($P$6:$AI$6=$F368)*($P$24:$AI$30))</f>
        <v>1</v>
      </c>
      <c r="N368">
        <f t="shared" ref="N368:N374" si="982">SUMPRODUCT(($C$31:$C$50=$F368)*($AJ$6:$AM$6=$G368)*($AJ$31:$AM$50))</f>
        <v>0</v>
      </c>
      <c r="O368">
        <f t="shared" si="973"/>
        <v>2</v>
      </c>
      <c r="P368" t="str">
        <f t="shared" ref="P368:P374" si="983">CONCATENATE(C368,"-",J368)</f>
        <v>Medium centralized biomass gasification-Flexibility</v>
      </c>
      <c r="Q368" t="str">
        <f t="shared" ref="Q368:Q374" si="984">CONCATENATE(D368,"-",J368)</f>
        <v>Central gas storage-Flexibility</v>
      </c>
      <c r="R368" t="str">
        <f t="shared" ref="R368:R374" si="985">CONCATENATE(E368,"-",J368)</f>
        <v>Hydrogen transmission &amp; distribution pipeline-Flexibility</v>
      </c>
      <c r="S368" t="str">
        <f t="shared" ref="S368:S374" si="986">CONCATENATE(F368,"-",J368)</f>
        <v>District-CHP with H2 fuel cell (power)-Flexibility</v>
      </c>
      <c r="T368">
        <f ca="1">VLOOKUP($P368,'TA database'!$I$8:$J$79,2,FALSE)</f>
        <v>0</v>
      </c>
      <c r="U368">
        <v>0</v>
      </c>
      <c r="V368">
        <v>0</v>
      </c>
      <c r="W368">
        <v>0</v>
      </c>
      <c r="X368">
        <v>0</v>
      </c>
      <c r="Y368">
        <f t="shared" ca="1" si="974"/>
        <v>0</v>
      </c>
      <c r="Z368" t="str">
        <f t="shared" si="975"/>
        <v>BIO_GSF_MED_C   →   C_GAS_STRG   →   H2_T&amp;D_P   →   H2_FC_DCHP_PWR</v>
      </c>
      <c r="AA368" t="str">
        <f t="shared" si="976"/>
        <v>Grid electricity</v>
      </c>
      <c r="AB368" t="str">
        <f t="shared" si="977"/>
        <v>Flexibility</v>
      </c>
      <c r="AC368">
        <f t="shared" ca="1" si="978"/>
        <v>0</v>
      </c>
      <c r="AD368">
        <v>309</v>
      </c>
      <c r="AE368" t="str">
        <f>IF(AND(ISNUMBER(SEARCH(O368,4)),ISNUMBER(SEARCH('(4) FCH pathway assessment'!$B$16,AB368)),ISNUMBER(SEARCH('(4) FCH pathway assessment'!$B$10,AA368))),AD368,"")</f>
        <v/>
      </c>
      <c r="AF368" t="str">
        <f t="shared" si="776"/>
        <v/>
      </c>
      <c r="AG368" t="str">
        <f>VLOOKUP(C368,Assumptions!$B$116:$C$162,2,FALSE)</f>
        <v>BIO_GSF_MED_C</v>
      </c>
      <c r="AH368" t="str">
        <f>VLOOKUP(D368,Assumptions!$B$116:$C$162,2,FALSE)</f>
        <v>C_GAS_STRG</v>
      </c>
      <c r="AI368" t="str">
        <f>VLOOKUP(E368,Assumptions!$B$116:$C$162,2,FALSE)</f>
        <v>H2_T&amp;D_P</v>
      </c>
      <c r="AJ368" t="str">
        <f>VLOOKUP(F368,Assumptions!$B$116:$C$162,2,FALSE)</f>
        <v>H2_FC_DCHP_PWR</v>
      </c>
    </row>
    <row r="369" spans="2:36" x14ac:dyDescent="0.25">
      <c r="B369" t="s">
        <v>117</v>
      </c>
      <c r="C369" t="s">
        <v>53</v>
      </c>
      <c r="D369" t="s">
        <v>155</v>
      </c>
      <c r="E369" t="s">
        <v>116</v>
      </c>
      <c r="F369" t="s">
        <v>549</v>
      </c>
      <c r="G369" t="s">
        <v>114</v>
      </c>
      <c r="H369" t="s">
        <v>433</v>
      </c>
      <c r="I369" t="s">
        <v>32</v>
      </c>
      <c r="J369" t="s">
        <v>80</v>
      </c>
      <c r="K369">
        <f t="shared" si="979"/>
        <v>0</v>
      </c>
      <c r="L369">
        <f t="shared" si="980"/>
        <v>1</v>
      </c>
      <c r="M369">
        <f t="shared" si="981"/>
        <v>1</v>
      </c>
      <c r="N369">
        <f t="shared" si="982"/>
        <v>0</v>
      </c>
      <c r="O369">
        <f t="shared" si="973"/>
        <v>2</v>
      </c>
      <c r="P369" t="str">
        <f t="shared" si="983"/>
        <v>Medium centralized biomass gasification-Flexibility</v>
      </c>
      <c r="Q369" t="str">
        <f t="shared" si="984"/>
        <v>Central gas storage-Flexibility</v>
      </c>
      <c r="R369" t="str">
        <f t="shared" si="985"/>
        <v>Liquid hydrogen truck-Flexibility</v>
      </c>
      <c r="S369" t="str">
        <f t="shared" si="986"/>
        <v>District-CHP with H2 fuel cell (power)-Flexibility</v>
      </c>
      <c r="T369">
        <f ca="1">VLOOKUP($P369,'TA database'!$I$8:$J$79,2,FALSE)</f>
        <v>0</v>
      </c>
      <c r="U369">
        <v>0</v>
      </c>
      <c r="V369">
        <v>0</v>
      </c>
      <c r="W369">
        <v>0</v>
      </c>
      <c r="X369">
        <v>0</v>
      </c>
      <c r="Y369">
        <f t="shared" ca="1" si="974"/>
        <v>0</v>
      </c>
      <c r="Z369" t="str">
        <f t="shared" si="975"/>
        <v>BIO_GSF_MED_C   →   C_GAS_STRG   →   LQ_TRUCK   →   H2_FC_DCHP_PWR</v>
      </c>
      <c r="AA369" t="str">
        <f t="shared" si="976"/>
        <v>Grid electricity</v>
      </c>
      <c r="AB369" t="str">
        <f t="shared" si="977"/>
        <v>Flexibility</v>
      </c>
      <c r="AC369">
        <f t="shared" ca="1" si="978"/>
        <v>0</v>
      </c>
      <c r="AD369">
        <v>310</v>
      </c>
      <c r="AE369" t="str">
        <f>IF(AND(ISNUMBER(SEARCH(O369,4)),ISNUMBER(SEARCH('(4) FCH pathway assessment'!$B$16,AB369)),ISNUMBER(SEARCH('(4) FCH pathway assessment'!$B$10,AA369))),AD369,"")</f>
        <v/>
      </c>
      <c r="AF369" t="str">
        <f t="shared" si="776"/>
        <v/>
      </c>
      <c r="AG369" t="str">
        <f>VLOOKUP(C369,Assumptions!$B$116:$C$162,2,FALSE)</f>
        <v>BIO_GSF_MED_C</v>
      </c>
      <c r="AH369" t="str">
        <f>VLOOKUP(D369,Assumptions!$B$116:$C$162,2,FALSE)</f>
        <v>C_GAS_STRG</v>
      </c>
      <c r="AI369" t="str">
        <f>VLOOKUP(E369,Assumptions!$B$116:$C$162,2,FALSE)</f>
        <v>LQ_TRUCK</v>
      </c>
      <c r="AJ369" t="str">
        <f>VLOOKUP(F369,Assumptions!$B$116:$C$162,2,FALSE)</f>
        <v>H2_FC_DCHP_PWR</v>
      </c>
    </row>
    <row r="370" spans="2:36" x14ac:dyDescent="0.25">
      <c r="B370" t="s">
        <v>117</v>
      </c>
      <c r="C370" t="s">
        <v>53</v>
      </c>
      <c r="D370" t="s">
        <v>155</v>
      </c>
      <c r="E370" t="s">
        <v>66</v>
      </c>
      <c r="F370" t="s">
        <v>549</v>
      </c>
      <c r="G370" t="s">
        <v>114</v>
      </c>
      <c r="H370" t="s">
        <v>433</v>
      </c>
      <c r="I370" t="s">
        <v>32</v>
      </c>
      <c r="J370" t="s">
        <v>80</v>
      </c>
      <c r="K370">
        <f t="shared" si="979"/>
        <v>0</v>
      </c>
      <c r="L370">
        <f t="shared" si="980"/>
        <v>1</v>
      </c>
      <c r="M370">
        <f t="shared" si="981"/>
        <v>1</v>
      </c>
      <c r="N370">
        <f t="shared" si="982"/>
        <v>0</v>
      </c>
      <c r="O370">
        <f t="shared" si="973"/>
        <v>2</v>
      </c>
      <c r="P370" t="str">
        <f t="shared" si="983"/>
        <v>Medium centralized biomass gasification-Flexibility</v>
      </c>
      <c r="Q370" t="str">
        <f t="shared" si="984"/>
        <v>Central gas storage-Flexibility</v>
      </c>
      <c r="R370" t="str">
        <f t="shared" si="985"/>
        <v>Onsite-Flexibility</v>
      </c>
      <c r="S370" t="str">
        <f t="shared" si="986"/>
        <v>District-CHP with H2 fuel cell (power)-Flexibility</v>
      </c>
      <c r="T370">
        <f ca="1">VLOOKUP($P370,'TA database'!$I$8:$J$79,2,FALSE)</f>
        <v>0</v>
      </c>
      <c r="U370">
        <v>0</v>
      </c>
      <c r="V370">
        <v>0</v>
      </c>
      <c r="W370">
        <v>0</v>
      </c>
      <c r="X370">
        <v>0</v>
      </c>
      <c r="Y370">
        <f t="shared" ca="1" si="974"/>
        <v>0</v>
      </c>
      <c r="Z370" t="str">
        <f t="shared" si="975"/>
        <v>BIO_GSF_MED_C   →   C_GAS_STRG   →   ONSITE_USE   →   H2_FC_DCHP_PWR</v>
      </c>
      <c r="AA370" t="str">
        <f t="shared" si="976"/>
        <v>Grid electricity</v>
      </c>
      <c r="AB370" t="str">
        <f t="shared" si="977"/>
        <v>Flexibility</v>
      </c>
      <c r="AC370">
        <f t="shared" ca="1" si="978"/>
        <v>0</v>
      </c>
      <c r="AD370">
        <v>311</v>
      </c>
      <c r="AE370" t="str">
        <f>IF(AND(ISNUMBER(SEARCH(O370,4)),ISNUMBER(SEARCH('(4) FCH pathway assessment'!$B$16,AB370)),ISNUMBER(SEARCH('(4) FCH pathway assessment'!$B$10,AA370))),AD370,"")</f>
        <v/>
      </c>
      <c r="AF370" t="str">
        <f t="shared" si="776"/>
        <v/>
      </c>
      <c r="AG370" t="str">
        <f>VLOOKUP(C370,Assumptions!$B$116:$C$162,2,FALSE)</f>
        <v>BIO_GSF_MED_C</v>
      </c>
      <c r="AH370" t="str">
        <f>VLOOKUP(D370,Assumptions!$B$116:$C$162,2,FALSE)</f>
        <v>C_GAS_STRG</v>
      </c>
      <c r="AI370" t="str">
        <f>VLOOKUP(E370,Assumptions!$B$116:$C$162,2,FALSE)</f>
        <v>ONSITE_USE</v>
      </c>
      <c r="AJ370" t="str">
        <f>VLOOKUP(F370,Assumptions!$B$116:$C$162,2,FALSE)</f>
        <v>H2_FC_DCHP_PWR</v>
      </c>
    </row>
    <row r="371" spans="2:36" x14ac:dyDescent="0.25">
      <c r="B371" t="s">
        <v>117</v>
      </c>
      <c r="C371" t="s">
        <v>54</v>
      </c>
      <c r="D371" t="s">
        <v>155</v>
      </c>
      <c r="E371" t="s">
        <v>157</v>
      </c>
      <c r="F371" t="s">
        <v>549</v>
      </c>
      <c r="G371" t="s">
        <v>114</v>
      </c>
      <c r="H371" t="s">
        <v>433</v>
      </c>
      <c r="I371" t="s">
        <v>32</v>
      </c>
      <c r="J371" t="s">
        <v>80</v>
      </c>
      <c r="K371">
        <f t="shared" si="979"/>
        <v>0</v>
      </c>
      <c r="L371">
        <f t="shared" si="980"/>
        <v>1</v>
      </c>
      <c r="M371">
        <f t="shared" si="981"/>
        <v>0</v>
      </c>
      <c r="N371">
        <f t="shared" si="982"/>
        <v>0</v>
      </c>
      <c r="O371">
        <f t="shared" si="973"/>
        <v>1</v>
      </c>
      <c r="P371" t="str">
        <f t="shared" si="983"/>
        <v>Medium centralized biomass gasification w/ CCS-Flexibility</v>
      </c>
      <c r="Q371" t="str">
        <f t="shared" si="984"/>
        <v>Central gas storage-Flexibility</v>
      </c>
      <c r="R371" t="str">
        <f t="shared" si="985"/>
        <v>Blending in natural gas pipeline-Flexibility</v>
      </c>
      <c r="S371" t="str">
        <f t="shared" si="986"/>
        <v>District-CHP with H2 fuel cell (power)-Flexibility</v>
      </c>
      <c r="T371">
        <f ca="1">VLOOKUP($P371,'TA database'!$I$8:$J$79,2,FALSE)</f>
        <v>0</v>
      </c>
      <c r="U371">
        <v>0</v>
      </c>
      <c r="V371">
        <v>0</v>
      </c>
      <c r="W371">
        <v>0</v>
      </c>
      <c r="X371">
        <v>0</v>
      </c>
      <c r="Y371">
        <f t="shared" ref="Y371:Y375" ca="1" si="987">$T371</f>
        <v>0</v>
      </c>
      <c r="Z371" t="str">
        <f t="shared" si="975"/>
        <v>BIO_GSF_CCS_MED_C   →   C_GAS_STRG   →   H2_BLND_NG_P   →   H2_FC_DCHP_PWR</v>
      </c>
      <c r="AA371" t="str">
        <f t="shared" si="976"/>
        <v>Grid electricity</v>
      </c>
      <c r="AB371" t="str">
        <f t="shared" si="977"/>
        <v>Flexibility</v>
      </c>
      <c r="AC371">
        <f t="shared" ca="1" si="978"/>
        <v>0</v>
      </c>
      <c r="AD371">
        <v>312</v>
      </c>
      <c r="AE371" t="str">
        <f>IF(AND(ISNUMBER(SEARCH(O371,4)),ISNUMBER(SEARCH('(4) FCH pathway assessment'!$B$16,AB371)),ISNUMBER(SEARCH('(4) FCH pathway assessment'!$B$10,AA371))),AD371,"")</f>
        <v/>
      </c>
      <c r="AF371" t="str">
        <f t="shared" si="776"/>
        <v/>
      </c>
      <c r="AG371" t="str">
        <f>VLOOKUP(C371,Assumptions!$B$116:$C$162,2,FALSE)</f>
        <v>BIO_GSF_CCS_MED_C</v>
      </c>
      <c r="AH371" t="str">
        <f>VLOOKUP(D371,Assumptions!$B$116:$C$162,2,FALSE)</f>
        <v>C_GAS_STRG</v>
      </c>
      <c r="AI371" t="str">
        <f>VLOOKUP(E371,Assumptions!$B$116:$C$162,2,FALSE)</f>
        <v>H2_BLND_NG_P</v>
      </c>
      <c r="AJ371" t="str">
        <f>VLOOKUP(F371,Assumptions!$B$116:$C$162,2,FALSE)</f>
        <v>H2_FC_DCHP_PWR</v>
      </c>
    </row>
    <row r="372" spans="2:36" x14ac:dyDescent="0.25">
      <c r="B372" t="s">
        <v>117</v>
      </c>
      <c r="C372" t="s">
        <v>54</v>
      </c>
      <c r="D372" t="s">
        <v>155</v>
      </c>
      <c r="E372" t="s">
        <v>122</v>
      </c>
      <c r="F372" t="s">
        <v>549</v>
      </c>
      <c r="G372" t="s">
        <v>114</v>
      </c>
      <c r="H372" t="s">
        <v>433</v>
      </c>
      <c r="I372" t="s">
        <v>32</v>
      </c>
      <c r="J372" t="s">
        <v>80</v>
      </c>
      <c r="K372">
        <f t="shared" si="979"/>
        <v>0</v>
      </c>
      <c r="L372">
        <f t="shared" si="980"/>
        <v>1</v>
      </c>
      <c r="M372">
        <f t="shared" si="981"/>
        <v>1</v>
      </c>
      <c r="N372">
        <f t="shared" si="982"/>
        <v>0</v>
      </c>
      <c r="O372">
        <f t="shared" si="973"/>
        <v>2</v>
      </c>
      <c r="P372" t="str">
        <f t="shared" si="983"/>
        <v>Medium centralized biomass gasification w/ CCS-Flexibility</v>
      </c>
      <c r="Q372" t="str">
        <f t="shared" si="984"/>
        <v>Central gas storage-Flexibility</v>
      </c>
      <c r="R372" t="str">
        <f t="shared" si="985"/>
        <v>Hydrogen transmission &amp; distribution pipeline-Flexibility</v>
      </c>
      <c r="S372" t="str">
        <f t="shared" si="986"/>
        <v>District-CHP with H2 fuel cell (power)-Flexibility</v>
      </c>
      <c r="T372">
        <f ca="1">VLOOKUP($P372,'TA database'!$I$8:$J$79,2,FALSE)</f>
        <v>0</v>
      </c>
      <c r="U372">
        <v>0</v>
      </c>
      <c r="V372">
        <v>0</v>
      </c>
      <c r="W372">
        <v>0</v>
      </c>
      <c r="X372">
        <v>0</v>
      </c>
      <c r="Y372">
        <f t="shared" ca="1" si="987"/>
        <v>0</v>
      </c>
      <c r="Z372" t="str">
        <f t="shared" si="975"/>
        <v>BIO_GSF_CCS_MED_C   →   C_GAS_STRG   →   H2_T&amp;D_P   →   H2_FC_DCHP_PWR</v>
      </c>
      <c r="AA372" t="str">
        <f t="shared" si="976"/>
        <v>Grid electricity</v>
      </c>
      <c r="AB372" t="str">
        <f t="shared" si="977"/>
        <v>Flexibility</v>
      </c>
      <c r="AC372">
        <f t="shared" ca="1" si="978"/>
        <v>0</v>
      </c>
      <c r="AD372">
        <v>313</v>
      </c>
      <c r="AE372" t="str">
        <f>IF(AND(ISNUMBER(SEARCH(O372,4)),ISNUMBER(SEARCH('(4) FCH pathway assessment'!$B$16,AB372)),ISNUMBER(SEARCH('(4) FCH pathway assessment'!$B$10,AA372))),AD372,"")</f>
        <v/>
      </c>
      <c r="AF372" t="str">
        <f t="shared" si="776"/>
        <v/>
      </c>
      <c r="AG372" t="str">
        <f>VLOOKUP(C372,Assumptions!$B$116:$C$162,2,FALSE)</f>
        <v>BIO_GSF_CCS_MED_C</v>
      </c>
      <c r="AH372" t="str">
        <f>VLOOKUP(D372,Assumptions!$B$116:$C$162,2,FALSE)</f>
        <v>C_GAS_STRG</v>
      </c>
      <c r="AI372" t="str">
        <f>VLOOKUP(E372,Assumptions!$B$116:$C$162,2,FALSE)</f>
        <v>H2_T&amp;D_P</v>
      </c>
      <c r="AJ372" t="str">
        <f>VLOOKUP(F372,Assumptions!$B$116:$C$162,2,FALSE)</f>
        <v>H2_FC_DCHP_PWR</v>
      </c>
    </row>
    <row r="373" spans="2:36" x14ac:dyDescent="0.25">
      <c r="B373" t="s">
        <v>117</v>
      </c>
      <c r="C373" t="s">
        <v>54</v>
      </c>
      <c r="D373" t="s">
        <v>155</v>
      </c>
      <c r="E373" t="s">
        <v>116</v>
      </c>
      <c r="F373" t="s">
        <v>549</v>
      </c>
      <c r="G373" t="s">
        <v>114</v>
      </c>
      <c r="H373" t="s">
        <v>433</v>
      </c>
      <c r="I373" t="s">
        <v>32</v>
      </c>
      <c r="J373" t="s">
        <v>80</v>
      </c>
      <c r="K373">
        <f t="shared" si="979"/>
        <v>0</v>
      </c>
      <c r="L373">
        <f t="shared" si="980"/>
        <v>1</v>
      </c>
      <c r="M373">
        <f t="shared" si="981"/>
        <v>1</v>
      </c>
      <c r="N373">
        <f t="shared" si="982"/>
        <v>0</v>
      </c>
      <c r="O373">
        <f t="shared" si="973"/>
        <v>2</v>
      </c>
      <c r="P373" t="str">
        <f t="shared" si="983"/>
        <v>Medium centralized biomass gasification w/ CCS-Flexibility</v>
      </c>
      <c r="Q373" t="str">
        <f t="shared" si="984"/>
        <v>Central gas storage-Flexibility</v>
      </c>
      <c r="R373" t="str">
        <f t="shared" si="985"/>
        <v>Liquid hydrogen truck-Flexibility</v>
      </c>
      <c r="S373" t="str">
        <f t="shared" si="986"/>
        <v>District-CHP with H2 fuel cell (power)-Flexibility</v>
      </c>
      <c r="T373">
        <f ca="1">VLOOKUP($P373,'TA database'!$I$8:$J$79,2,FALSE)</f>
        <v>0</v>
      </c>
      <c r="U373">
        <v>0</v>
      </c>
      <c r="V373">
        <v>0</v>
      </c>
      <c r="W373">
        <v>0</v>
      </c>
      <c r="X373">
        <v>0</v>
      </c>
      <c r="Y373">
        <f t="shared" ca="1" si="987"/>
        <v>0</v>
      </c>
      <c r="Z373" t="str">
        <f t="shared" si="975"/>
        <v>BIO_GSF_CCS_MED_C   →   C_GAS_STRG   →   LQ_TRUCK   →   H2_FC_DCHP_PWR</v>
      </c>
      <c r="AA373" t="str">
        <f t="shared" si="976"/>
        <v>Grid electricity</v>
      </c>
      <c r="AB373" t="str">
        <f t="shared" si="977"/>
        <v>Flexibility</v>
      </c>
      <c r="AC373">
        <f t="shared" ca="1" si="978"/>
        <v>0</v>
      </c>
      <c r="AD373">
        <v>314</v>
      </c>
      <c r="AE373" t="str">
        <f>IF(AND(ISNUMBER(SEARCH(O373,4)),ISNUMBER(SEARCH('(4) FCH pathway assessment'!$B$16,AB373)),ISNUMBER(SEARCH('(4) FCH pathway assessment'!$B$10,AA373))),AD373,"")</f>
        <v/>
      </c>
      <c r="AF373" t="str">
        <f t="shared" si="776"/>
        <v/>
      </c>
      <c r="AG373" t="str">
        <f>VLOOKUP(C373,Assumptions!$B$116:$C$162,2,FALSE)</f>
        <v>BIO_GSF_CCS_MED_C</v>
      </c>
      <c r="AH373" t="str">
        <f>VLOOKUP(D373,Assumptions!$B$116:$C$162,2,FALSE)</f>
        <v>C_GAS_STRG</v>
      </c>
      <c r="AI373" t="str">
        <f>VLOOKUP(E373,Assumptions!$B$116:$C$162,2,FALSE)</f>
        <v>LQ_TRUCK</v>
      </c>
      <c r="AJ373" t="str">
        <f>VLOOKUP(F373,Assumptions!$B$116:$C$162,2,FALSE)</f>
        <v>H2_FC_DCHP_PWR</v>
      </c>
    </row>
    <row r="374" spans="2:36" x14ac:dyDescent="0.25">
      <c r="B374" t="s">
        <v>117</v>
      </c>
      <c r="C374" t="s">
        <v>54</v>
      </c>
      <c r="D374" t="s">
        <v>155</v>
      </c>
      <c r="E374" t="s">
        <v>66</v>
      </c>
      <c r="F374" t="s">
        <v>549</v>
      </c>
      <c r="G374" t="s">
        <v>114</v>
      </c>
      <c r="H374" t="s">
        <v>433</v>
      </c>
      <c r="I374" t="s">
        <v>32</v>
      </c>
      <c r="J374" t="s">
        <v>80</v>
      </c>
      <c r="K374">
        <f t="shared" si="979"/>
        <v>0</v>
      </c>
      <c r="L374">
        <f t="shared" si="980"/>
        <v>1</v>
      </c>
      <c r="M374">
        <f t="shared" si="981"/>
        <v>1</v>
      </c>
      <c r="N374">
        <f t="shared" si="982"/>
        <v>0</v>
      </c>
      <c r="O374">
        <f t="shared" si="973"/>
        <v>2</v>
      </c>
      <c r="P374" t="str">
        <f t="shared" si="983"/>
        <v>Medium centralized biomass gasification w/ CCS-Flexibility</v>
      </c>
      <c r="Q374" t="str">
        <f t="shared" si="984"/>
        <v>Central gas storage-Flexibility</v>
      </c>
      <c r="R374" t="str">
        <f t="shared" si="985"/>
        <v>Onsite-Flexibility</v>
      </c>
      <c r="S374" t="str">
        <f t="shared" si="986"/>
        <v>District-CHP with H2 fuel cell (power)-Flexibility</v>
      </c>
      <c r="T374">
        <f ca="1">VLOOKUP($P374,'TA database'!$I$8:$J$79,2,FALSE)</f>
        <v>0</v>
      </c>
      <c r="U374">
        <v>0</v>
      </c>
      <c r="V374">
        <v>0</v>
      </c>
      <c r="W374">
        <v>0</v>
      </c>
      <c r="X374">
        <v>0</v>
      </c>
      <c r="Y374">
        <f t="shared" ca="1" si="987"/>
        <v>0</v>
      </c>
      <c r="Z374" t="str">
        <f t="shared" si="975"/>
        <v>BIO_GSF_CCS_MED_C   →   C_GAS_STRG   →   ONSITE_USE   →   H2_FC_DCHP_PWR</v>
      </c>
      <c r="AA374" t="str">
        <f t="shared" si="976"/>
        <v>Grid electricity</v>
      </c>
      <c r="AB374" t="str">
        <f t="shared" si="977"/>
        <v>Flexibility</v>
      </c>
      <c r="AC374">
        <f t="shared" ca="1" si="978"/>
        <v>0</v>
      </c>
      <c r="AD374">
        <v>315</v>
      </c>
      <c r="AE374" t="str">
        <f>IF(AND(ISNUMBER(SEARCH(O374,4)),ISNUMBER(SEARCH('(4) FCH pathway assessment'!$B$16,AB374)),ISNUMBER(SEARCH('(4) FCH pathway assessment'!$B$10,AA374))),AD374,"")</f>
        <v/>
      </c>
      <c r="AF374" t="str">
        <f t="shared" si="776"/>
        <v/>
      </c>
      <c r="AG374" t="str">
        <f>VLOOKUP(C374,Assumptions!$B$116:$C$162,2,FALSE)</f>
        <v>BIO_GSF_CCS_MED_C</v>
      </c>
      <c r="AH374" t="str">
        <f>VLOOKUP(D374,Assumptions!$B$116:$C$162,2,FALSE)</f>
        <v>C_GAS_STRG</v>
      </c>
      <c r="AI374" t="str">
        <f>VLOOKUP(E374,Assumptions!$B$116:$C$162,2,FALSE)</f>
        <v>ONSITE_USE</v>
      </c>
      <c r="AJ374" t="str">
        <f>VLOOKUP(F374,Assumptions!$B$116:$C$162,2,FALSE)</f>
        <v>H2_FC_DCHP_PWR</v>
      </c>
    </row>
    <row r="375" spans="2:36" x14ac:dyDescent="0.25">
      <c r="B375" t="s">
        <v>117</v>
      </c>
      <c r="C375" t="s">
        <v>55</v>
      </c>
      <c r="D375" s="60" t="s">
        <v>130</v>
      </c>
      <c r="E375" t="s">
        <v>66</v>
      </c>
      <c r="F375" t="s">
        <v>549</v>
      </c>
      <c r="G375" t="s">
        <v>114</v>
      </c>
      <c r="H375" t="s">
        <v>433</v>
      </c>
      <c r="I375" t="s">
        <v>32</v>
      </c>
      <c r="J375" t="s">
        <v>80</v>
      </c>
      <c r="K375">
        <f t="shared" ref="K375:K380" si="988">SUMPRODUCT(($C$7:$C$18=$C375)*($D$6:$H$6=$D375)*($D$7:$H$18))</f>
        <v>0</v>
      </c>
      <c r="L375">
        <f t="shared" ref="L375:L380" si="989">SUMPRODUCT(($C$19:$C$23=$D375)*($I$6:$O$6=$E375)*($I$19:$O$23))</f>
        <v>1</v>
      </c>
      <c r="M375">
        <f t="shared" ref="M375:M380" si="990">SUMPRODUCT(($C$24:$C$30=$E375)*($P$6:$AI$6=$F375)*($P$24:$AI$30))</f>
        <v>1</v>
      </c>
      <c r="N375">
        <f t="shared" ref="N375:N380" si="991">SUMPRODUCT(($C$31:$C$50=$F375)*($AJ$6:$AM$6=$G375)*($AJ$31:$AM$50))</f>
        <v>0</v>
      </c>
      <c r="O375">
        <f t="shared" ref="O375:O380" si="992">K375+L375+M375+N375</f>
        <v>2</v>
      </c>
      <c r="P375" t="str">
        <f t="shared" ref="P375:P380" si="993">CONCATENATE(C375,"-",J375)</f>
        <v>Small decentralized biomass gasification-Flexibility</v>
      </c>
      <c r="Q375" t="str">
        <f t="shared" ref="Q375:Q380" si="994">CONCATENATE(D375,"-",J375)</f>
        <v>Distributed gas storage-Flexibility</v>
      </c>
      <c r="R375" t="str">
        <f t="shared" ref="R375:R380" si="995">CONCATENATE(E375,"-",J375)</f>
        <v>Onsite-Flexibility</v>
      </c>
      <c r="S375" t="str">
        <f t="shared" ref="S375:S380" si="996">CONCATENATE(F375,"-",J375)</f>
        <v>District-CHP with H2 fuel cell (power)-Flexibility</v>
      </c>
      <c r="T375">
        <f ca="1">VLOOKUP($P375,'TA database'!$I$8:$J$79,2,FALSE)</f>
        <v>0</v>
      </c>
      <c r="U375">
        <v>0</v>
      </c>
      <c r="V375">
        <v>0</v>
      </c>
      <c r="W375">
        <v>0</v>
      </c>
      <c r="X375">
        <v>0</v>
      </c>
      <c r="Y375">
        <f t="shared" ca="1" si="987"/>
        <v>0</v>
      </c>
      <c r="Z375" t="str">
        <f t="shared" ref="Z375:Z380" si="997">CONCATENATE(AG375,"   →   ",AH375,"   →   ",AI375,"   →   ",AJ375)</f>
        <v>BIO_GSF_SML_D   →   D_GAS_STRG   →   ONSITE_USE   →   H2_FC_DCHP_PWR</v>
      </c>
      <c r="AA375" t="str">
        <f t="shared" ref="AA375:AA380" si="998">G375</f>
        <v>Grid electricity</v>
      </c>
      <c r="AB375" t="str">
        <f t="shared" ref="AB375:AB380" si="999">J375</f>
        <v>Flexibility</v>
      </c>
      <c r="AC375">
        <f t="shared" ref="AC375:AC380" ca="1" si="1000">Y375</f>
        <v>0</v>
      </c>
      <c r="AD375">
        <v>316</v>
      </c>
      <c r="AE375" t="str">
        <f>IF(AND(ISNUMBER(SEARCH(O375,4)),ISNUMBER(SEARCH('(4) FCH pathway assessment'!$B$16,AB375)),ISNUMBER(SEARCH('(4) FCH pathway assessment'!$B$10,AA375))),AD375,"")</f>
        <v/>
      </c>
      <c r="AF375" t="str">
        <f t="shared" si="776"/>
        <v/>
      </c>
      <c r="AG375" t="str">
        <f>VLOOKUP(C375,Assumptions!$B$116:$C$162,2,FALSE)</f>
        <v>BIO_GSF_SML_D</v>
      </c>
      <c r="AH375" t="str">
        <f>VLOOKUP(D375,Assumptions!$B$116:$C$162,2,FALSE)</f>
        <v>D_GAS_STRG</v>
      </c>
      <c r="AI375" t="str">
        <f>VLOOKUP(E375,Assumptions!$B$116:$C$162,2,FALSE)</f>
        <v>ONSITE_USE</v>
      </c>
      <c r="AJ375" t="str">
        <f>VLOOKUP(F375,Assumptions!$B$116:$C$162,2,FALSE)</f>
        <v>H2_FC_DCHP_PWR</v>
      </c>
    </row>
    <row r="376" spans="2:36" x14ac:dyDescent="0.25">
      <c r="B376" t="s">
        <v>117</v>
      </c>
      <c r="C376" t="s">
        <v>56</v>
      </c>
      <c r="D376" t="s">
        <v>62</v>
      </c>
      <c r="E376" t="s">
        <v>157</v>
      </c>
      <c r="F376" t="s">
        <v>549</v>
      </c>
      <c r="G376" t="s">
        <v>114</v>
      </c>
      <c r="H376" t="s">
        <v>433</v>
      </c>
      <c r="I376" t="s">
        <v>32</v>
      </c>
      <c r="J376" t="s">
        <v>80</v>
      </c>
      <c r="K376">
        <f t="shared" si="988"/>
        <v>0</v>
      </c>
      <c r="L376">
        <f t="shared" si="989"/>
        <v>0</v>
      </c>
      <c r="M376">
        <f t="shared" si="990"/>
        <v>0</v>
      </c>
      <c r="N376">
        <f t="shared" si="991"/>
        <v>0</v>
      </c>
      <c r="O376">
        <f t="shared" si="992"/>
        <v>0</v>
      </c>
      <c r="P376" t="str">
        <f t="shared" si="993"/>
        <v>Large centralized biomass steam reforming -Flexibility</v>
      </c>
      <c r="Q376" t="str">
        <f t="shared" si="994"/>
        <v>Underground storage-Flexibility</v>
      </c>
      <c r="R376" t="str">
        <f t="shared" si="995"/>
        <v>Blending in natural gas pipeline-Flexibility</v>
      </c>
      <c r="S376" t="str">
        <f t="shared" si="996"/>
        <v>District-CHP with H2 fuel cell (power)-Flexibility</v>
      </c>
      <c r="T376">
        <f ca="1">VLOOKUP($P376,'TA database'!$I$8:$J$79,2,FALSE)</f>
        <v>0</v>
      </c>
      <c r="U376">
        <v>0</v>
      </c>
      <c r="V376">
        <v>0</v>
      </c>
      <c r="W376">
        <v>0</v>
      </c>
      <c r="X376">
        <v>0</v>
      </c>
      <c r="Y376">
        <f t="shared" ref="Y376:Y388" ca="1" si="1001">$T376</f>
        <v>0</v>
      </c>
      <c r="Z376" t="str">
        <f t="shared" si="997"/>
        <v>BIO_SR_LRG_C   →   C_UNDRGRND_STRG   →   H2_BLND_NG_P   →   H2_FC_DCHP_PWR</v>
      </c>
      <c r="AA376" t="str">
        <f t="shared" si="998"/>
        <v>Grid electricity</v>
      </c>
      <c r="AB376" t="str">
        <f t="shared" si="999"/>
        <v>Flexibility</v>
      </c>
      <c r="AC376">
        <f t="shared" ca="1" si="1000"/>
        <v>0</v>
      </c>
      <c r="AD376">
        <v>317</v>
      </c>
      <c r="AE376" t="str">
        <f>IF(AND(ISNUMBER(SEARCH(O376,4)),ISNUMBER(SEARCH('(4) FCH pathway assessment'!$B$16,AB376)),ISNUMBER(SEARCH('(4) FCH pathway assessment'!$B$10,AA376))),AD376,"")</f>
        <v/>
      </c>
      <c r="AF376" t="str">
        <f t="shared" si="776"/>
        <v/>
      </c>
      <c r="AG376" t="str">
        <f>VLOOKUP(C376,Assumptions!$B$116:$C$162,2,FALSE)</f>
        <v>BIO_SR_LRG_C</v>
      </c>
      <c r="AH376" t="str">
        <f>VLOOKUP(D376,Assumptions!$B$116:$C$162,2,FALSE)</f>
        <v>C_UNDRGRND_STRG</v>
      </c>
      <c r="AI376" t="str">
        <f>VLOOKUP(E376,Assumptions!$B$116:$C$162,2,FALSE)</f>
        <v>H2_BLND_NG_P</v>
      </c>
      <c r="AJ376" t="str">
        <f>VLOOKUP(F376,Assumptions!$B$116:$C$162,2,FALSE)</f>
        <v>H2_FC_DCHP_PWR</v>
      </c>
    </row>
    <row r="377" spans="2:36" x14ac:dyDescent="0.25">
      <c r="B377" t="s">
        <v>117</v>
      </c>
      <c r="C377" t="s">
        <v>56</v>
      </c>
      <c r="D377" t="s">
        <v>62</v>
      </c>
      <c r="E377" t="s">
        <v>122</v>
      </c>
      <c r="F377" t="s">
        <v>549</v>
      </c>
      <c r="G377" t="s">
        <v>114</v>
      </c>
      <c r="H377" t="s">
        <v>433</v>
      </c>
      <c r="I377" t="s">
        <v>32</v>
      </c>
      <c r="J377" t="s">
        <v>80</v>
      </c>
      <c r="K377">
        <f t="shared" si="988"/>
        <v>0</v>
      </c>
      <c r="L377">
        <f t="shared" si="989"/>
        <v>0</v>
      </c>
      <c r="M377">
        <f t="shared" si="990"/>
        <v>1</v>
      </c>
      <c r="N377">
        <f t="shared" si="991"/>
        <v>0</v>
      </c>
      <c r="O377">
        <f t="shared" si="992"/>
        <v>1</v>
      </c>
      <c r="P377" t="str">
        <f t="shared" si="993"/>
        <v>Large centralized biomass steam reforming -Flexibility</v>
      </c>
      <c r="Q377" t="str">
        <f t="shared" si="994"/>
        <v>Underground storage-Flexibility</v>
      </c>
      <c r="R377" t="str">
        <f t="shared" si="995"/>
        <v>Hydrogen transmission &amp; distribution pipeline-Flexibility</v>
      </c>
      <c r="S377" t="str">
        <f t="shared" si="996"/>
        <v>District-CHP with H2 fuel cell (power)-Flexibility</v>
      </c>
      <c r="T377">
        <f ca="1">VLOOKUP($P377,'TA database'!$I$8:$J$79,2,FALSE)</f>
        <v>0</v>
      </c>
      <c r="U377">
        <v>0</v>
      </c>
      <c r="V377">
        <v>0</v>
      </c>
      <c r="W377">
        <v>0</v>
      </c>
      <c r="X377">
        <v>0</v>
      </c>
      <c r="Y377">
        <f t="shared" ca="1" si="1001"/>
        <v>0</v>
      </c>
      <c r="Z377" t="str">
        <f t="shared" si="997"/>
        <v>BIO_SR_LRG_C   →   C_UNDRGRND_STRG   →   H2_T&amp;D_P   →   H2_FC_DCHP_PWR</v>
      </c>
      <c r="AA377" t="str">
        <f t="shared" si="998"/>
        <v>Grid electricity</v>
      </c>
      <c r="AB377" t="str">
        <f t="shared" si="999"/>
        <v>Flexibility</v>
      </c>
      <c r="AC377">
        <f t="shared" ca="1" si="1000"/>
        <v>0</v>
      </c>
      <c r="AD377">
        <v>318</v>
      </c>
      <c r="AE377" t="str">
        <f>IF(AND(ISNUMBER(SEARCH(O377,4)),ISNUMBER(SEARCH('(4) FCH pathway assessment'!$B$16,AB377)),ISNUMBER(SEARCH('(4) FCH pathway assessment'!$B$10,AA377))),AD377,"")</f>
        <v/>
      </c>
      <c r="AF377" t="str">
        <f t="shared" si="776"/>
        <v/>
      </c>
      <c r="AG377" t="str">
        <f>VLOOKUP(C377,Assumptions!$B$116:$C$162,2,FALSE)</f>
        <v>BIO_SR_LRG_C</v>
      </c>
      <c r="AH377" t="str">
        <f>VLOOKUP(D377,Assumptions!$B$116:$C$162,2,FALSE)</f>
        <v>C_UNDRGRND_STRG</v>
      </c>
      <c r="AI377" t="str">
        <f>VLOOKUP(E377,Assumptions!$B$116:$C$162,2,FALSE)</f>
        <v>H2_T&amp;D_P</v>
      </c>
      <c r="AJ377" t="str">
        <f>VLOOKUP(F377,Assumptions!$B$116:$C$162,2,FALSE)</f>
        <v>H2_FC_DCHP_PWR</v>
      </c>
    </row>
    <row r="378" spans="2:36" x14ac:dyDescent="0.25">
      <c r="B378" t="s">
        <v>117</v>
      </c>
      <c r="C378" t="s">
        <v>56</v>
      </c>
      <c r="D378" t="s">
        <v>62</v>
      </c>
      <c r="E378" t="s">
        <v>116</v>
      </c>
      <c r="F378" t="s">
        <v>549</v>
      </c>
      <c r="G378" t="s">
        <v>114</v>
      </c>
      <c r="H378" t="s">
        <v>433</v>
      </c>
      <c r="I378" t="s">
        <v>32</v>
      </c>
      <c r="J378" t="s">
        <v>80</v>
      </c>
      <c r="K378">
        <f t="shared" si="988"/>
        <v>0</v>
      </c>
      <c r="L378">
        <f t="shared" si="989"/>
        <v>0</v>
      </c>
      <c r="M378">
        <f t="shared" si="990"/>
        <v>1</v>
      </c>
      <c r="N378">
        <f t="shared" si="991"/>
        <v>0</v>
      </c>
      <c r="O378">
        <f t="shared" si="992"/>
        <v>1</v>
      </c>
      <c r="P378" t="str">
        <f t="shared" si="993"/>
        <v>Large centralized biomass steam reforming -Flexibility</v>
      </c>
      <c r="Q378" t="str">
        <f t="shared" si="994"/>
        <v>Underground storage-Flexibility</v>
      </c>
      <c r="R378" t="str">
        <f t="shared" si="995"/>
        <v>Liquid hydrogen truck-Flexibility</v>
      </c>
      <c r="S378" t="str">
        <f t="shared" si="996"/>
        <v>District-CHP with H2 fuel cell (power)-Flexibility</v>
      </c>
      <c r="T378">
        <f ca="1">VLOOKUP($P378,'TA database'!$I$8:$J$79,2,FALSE)</f>
        <v>0</v>
      </c>
      <c r="U378">
        <v>0</v>
      </c>
      <c r="V378">
        <v>0</v>
      </c>
      <c r="W378">
        <v>0</v>
      </c>
      <c r="X378">
        <v>0</v>
      </c>
      <c r="Y378">
        <f t="shared" ca="1" si="1001"/>
        <v>0</v>
      </c>
      <c r="Z378" t="str">
        <f t="shared" si="997"/>
        <v>BIO_SR_LRG_C   →   C_UNDRGRND_STRG   →   LQ_TRUCK   →   H2_FC_DCHP_PWR</v>
      </c>
      <c r="AA378" t="str">
        <f t="shared" si="998"/>
        <v>Grid electricity</v>
      </c>
      <c r="AB378" t="str">
        <f t="shared" si="999"/>
        <v>Flexibility</v>
      </c>
      <c r="AC378">
        <f t="shared" ca="1" si="1000"/>
        <v>0</v>
      </c>
      <c r="AD378">
        <v>319</v>
      </c>
      <c r="AE378" t="str">
        <f>IF(AND(ISNUMBER(SEARCH(O378,4)),ISNUMBER(SEARCH('(4) FCH pathway assessment'!$B$16,AB378)),ISNUMBER(SEARCH('(4) FCH pathway assessment'!$B$10,AA378))),AD378,"")</f>
        <v/>
      </c>
      <c r="AF378" t="str">
        <f t="shared" si="776"/>
        <v/>
      </c>
      <c r="AG378" t="str">
        <f>VLOOKUP(C378,Assumptions!$B$116:$C$162,2,FALSE)</f>
        <v>BIO_SR_LRG_C</v>
      </c>
      <c r="AH378" t="str">
        <f>VLOOKUP(D378,Assumptions!$B$116:$C$162,2,FALSE)</f>
        <v>C_UNDRGRND_STRG</v>
      </c>
      <c r="AI378" t="str">
        <f>VLOOKUP(E378,Assumptions!$B$116:$C$162,2,FALSE)</f>
        <v>LQ_TRUCK</v>
      </c>
      <c r="AJ378" t="str">
        <f>VLOOKUP(F378,Assumptions!$B$116:$C$162,2,FALSE)</f>
        <v>H2_FC_DCHP_PWR</v>
      </c>
    </row>
    <row r="379" spans="2:36" x14ac:dyDescent="0.25">
      <c r="B379" t="s">
        <v>117</v>
      </c>
      <c r="C379" t="s">
        <v>56</v>
      </c>
      <c r="D379" t="s">
        <v>62</v>
      </c>
      <c r="E379" t="s">
        <v>66</v>
      </c>
      <c r="F379" t="s">
        <v>549</v>
      </c>
      <c r="G379" t="s">
        <v>114</v>
      </c>
      <c r="H379" t="s">
        <v>433</v>
      </c>
      <c r="I379" t="s">
        <v>32</v>
      </c>
      <c r="J379" t="s">
        <v>80</v>
      </c>
      <c r="K379">
        <f t="shared" si="988"/>
        <v>0</v>
      </c>
      <c r="L379">
        <f t="shared" si="989"/>
        <v>0</v>
      </c>
      <c r="M379">
        <f t="shared" si="990"/>
        <v>1</v>
      </c>
      <c r="N379">
        <f t="shared" si="991"/>
        <v>0</v>
      </c>
      <c r="O379">
        <f t="shared" si="992"/>
        <v>1</v>
      </c>
      <c r="P379" t="str">
        <f t="shared" si="993"/>
        <v>Large centralized biomass steam reforming -Flexibility</v>
      </c>
      <c r="Q379" t="str">
        <f t="shared" si="994"/>
        <v>Underground storage-Flexibility</v>
      </c>
      <c r="R379" t="str">
        <f t="shared" si="995"/>
        <v>Onsite-Flexibility</v>
      </c>
      <c r="S379" t="str">
        <f t="shared" si="996"/>
        <v>District-CHP with H2 fuel cell (power)-Flexibility</v>
      </c>
      <c r="T379">
        <f ca="1">VLOOKUP($P379,'TA database'!$I$8:$J$79,2,FALSE)</f>
        <v>0</v>
      </c>
      <c r="U379">
        <v>0</v>
      </c>
      <c r="V379">
        <v>0</v>
      </c>
      <c r="W379">
        <v>0</v>
      </c>
      <c r="X379">
        <v>0</v>
      </c>
      <c r="Y379">
        <f t="shared" ca="1" si="1001"/>
        <v>0</v>
      </c>
      <c r="Z379" t="str">
        <f t="shared" si="997"/>
        <v>BIO_SR_LRG_C   →   C_UNDRGRND_STRG   →   ONSITE_USE   →   H2_FC_DCHP_PWR</v>
      </c>
      <c r="AA379" t="str">
        <f t="shared" si="998"/>
        <v>Grid electricity</v>
      </c>
      <c r="AB379" t="str">
        <f t="shared" si="999"/>
        <v>Flexibility</v>
      </c>
      <c r="AC379">
        <f t="shared" ca="1" si="1000"/>
        <v>0</v>
      </c>
      <c r="AD379">
        <v>320</v>
      </c>
      <c r="AE379" t="str">
        <f>IF(AND(ISNUMBER(SEARCH(O379,4)),ISNUMBER(SEARCH('(4) FCH pathway assessment'!$B$16,AB379)),ISNUMBER(SEARCH('(4) FCH pathway assessment'!$B$10,AA379))),AD379,"")</f>
        <v/>
      </c>
      <c r="AF379" t="str">
        <f t="shared" si="776"/>
        <v/>
      </c>
      <c r="AG379" t="str">
        <f>VLOOKUP(C379,Assumptions!$B$116:$C$162,2,FALSE)</f>
        <v>BIO_SR_LRG_C</v>
      </c>
      <c r="AH379" t="str">
        <f>VLOOKUP(D379,Assumptions!$B$116:$C$162,2,FALSE)</f>
        <v>C_UNDRGRND_STRG</v>
      </c>
      <c r="AI379" t="str">
        <f>VLOOKUP(E379,Assumptions!$B$116:$C$162,2,FALSE)</f>
        <v>ONSITE_USE</v>
      </c>
      <c r="AJ379" t="str">
        <f>VLOOKUP(F379,Assumptions!$B$116:$C$162,2,FALSE)</f>
        <v>H2_FC_DCHP_PWR</v>
      </c>
    </row>
    <row r="380" spans="2:36" x14ac:dyDescent="0.25">
      <c r="B380" t="s">
        <v>117</v>
      </c>
      <c r="C380" t="s">
        <v>56</v>
      </c>
      <c r="D380" s="61" t="s">
        <v>63</v>
      </c>
      <c r="E380" t="s">
        <v>122</v>
      </c>
      <c r="F380" t="s">
        <v>549</v>
      </c>
      <c r="G380" t="s">
        <v>114</v>
      </c>
      <c r="H380" t="s">
        <v>433</v>
      </c>
      <c r="I380" t="s">
        <v>32</v>
      </c>
      <c r="J380" t="s">
        <v>80</v>
      </c>
      <c r="K380">
        <f t="shared" si="988"/>
        <v>0</v>
      </c>
      <c r="L380">
        <f t="shared" si="989"/>
        <v>1</v>
      </c>
      <c r="M380">
        <f t="shared" si="990"/>
        <v>1</v>
      </c>
      <c r="N380">
        <f t="shared" si="991"/>
        <v>0</v>
      </c>
      <c r="O380">
        <f t="shared" si="992"/>
        <v>2</v>
      </c>
      <c r="P380" t="str">
        <f t="shared" si="993"/>
        <v>Large centralized biomass steam reforming -Flexibility</v>
      </c>
      <c r="Q380" t="str">
        <f t="shared" si="994"/>
        <v>No storage-Flexibility</v>
      </c>
      <c r="R380" t="str">
        <f t="shared" si="995"/>
        <v>Hydrogen transmission &amp; distribution pipeline-Flexibility</v>
      </c>
      <c r="S380" t="str">
        <f t="shared" si="996"/>
        <v>District-CHP with H2 fuel cell (power)-Flexibility</v>
      </c>
      <c r="T380">
        <f ca="1">VLOOKUP($P380,'TA database'!$I$8:$J$79,2,FALSE)</f>
        <v>0</v>
      </c>
      <c r="U380">
        <v>0</v>
      </c>
      <c r="V380">
        <v>0</v>
      </c>
      <c r="W380">
        <v>0</v>
      </c>
      <c r="X380">
        <v>0</v>
      </c>
      <c r="Y380">
        <f t="shared" ca="1" si="1001"/>
        <v>0</v>
      </c>
      <c r="Z380" t="str">
        <f t="shared" si="997"/>
        <v>BIO_SR_LRG_C   →   NO_STRG   →   H2_T&amp;D_P   →   H2_FC_DCHP_PWR</v>
      </c>
      <c r="AA380" t="str">
        <f t="shared" si="998"/>
        <v>Grid electricity</v>
      </c>
      <c r="AB380" t="str">
        <f t="shared" si="999"/>
        <v>Flexibility</v>
      </c>
      <c r="AC380">
        <f t="shared" ca="1" si="1000"/>
        <v>0</v>
      </c>
      <c r="AD380">
        <v>321</v>
      </c>
      <c r="AE380" t="str">
        <f>IF(AND(ISNUMBER(SEARCH(O380,4)),ISNUMBER(SEARCH('(4) FCH pathway assessment'!$B$16,AB380)),ISNUMBER(SEARCH('(4) FCH pathway assessment'!$B$10,AA380))),AD380,"")</f>
        <v/>
      </c>
      <c r="AF380" t="str">
        <f t="shared" ref="AF380:AF443" si="1002">IFERROR(SMALL($AE$60:$AE$1991,AD380),"")</f>
        <v/>
      </c>
      <c r="AG380" t="str">
        <f>VLOOKUP(C380,Assumptions!$B$116:$C$162,2,FALSE)</f>
        <v>BIO_SR_LRG_C</v>
      </c>
      <c r="AH380" t="str">
        <f>VLOOKUP(D380,Assumptions!$B$116:$C$162,2,FALSE)</f>
        <v>NO_STRG</v>
      </c>
      <c r="AI380" t="str">
        <f>VLOOKUP(E380,Assumptions!$B$116:$C$162,2,FALSE)</f>
        <v>H2_T&amp;D_P</v>
      </c>
      <c r="AJ380" t="str">
        <f>VLOOKUP(F380,Assumptions!$B$116:$C$162,2,FALSE)</f>
        <v>H2_FC_DCHP_PWR</v>
      </c>
    </row>
    <row r="381" spans="2:36" x14ac:dyDescent="0.25">
      <c r="B381" t="s">
        <v>112</v>
      </c>
      <c r="C381" t="s">
        <v>49</v>
      </c>
      <c r="D381" t="s">
        <v>62</v>
      </c>
      <c r="E381" t="s">
        <v>157</v>
      </c>
      <c r="F381" t="s">
        <v>549</v>
      </c>
      <c r="G381" t="s">
        <v>114</v>
      </c>
      <c r="H381" t="s">
        <v>433</v>
      </c>
      <c r="I381" t="s">
        <v>32</v>
      </c>
      <c r="J381" t="s">
        <v>80</v>
      </c>
      <c r="K381">
        <f t="shared" ref="K381:K392" si="1003">SUMPRODUCT(($C$7:$C$18=$C381)*($D$6:$H$6=$D381)*($D$7:$H$18))</f>
        <v>1</v>
      </c>
      <c r="L381">
        <f t="shared" ref="L381:L392" si="1004">SUMPRODUCT(($C$19:$C$23=$D381)*($I$6:$O$6=$E381)*($I$19:$O$23))</f>
        <v>0</v>
      </c>
      <c r="M381">
        <f t="shared" ref="M381:M392" si="1005">SUMPRODUCT(($C$24:$C$30=$E381)*($P$6:$AI$6=$F381)*($P$24:$AI$30))</f>
        <v>0</v>
      </c>
      <c r="N381">
        <f t="shared" ref="N381:N392" si="1006">SUMPRODUCT(($C$31:$C$50=$F381)*($AJ$6:$AM$6=$G381)*($AJ$31:$AM$50))</f>
        <v>0</v>
      </c>
      <c r="O381">
        <f t="shared" ref="O381:O392" si="1007">K381+L381+M381+N381</f>
        <v>1</v>
      </c>
      <c r="P381" t="str">
        <f t="shared" ref="P381:P392" si="1008">CONCATENATE(C381,"-",J381)</f>
        <v>Large centralized electrolysis-Flexibility</v>
      </c>
      <c r="Q381" t="str">
        <f t="shared" ref="Q381:Q392" si="1009">CONCATENATE(D381,"-",J381)</f>
        <v>Underground storage-Flexibility</v>
      </c>
      <c r="R381" t="str">
        <f t="shared" ref="R381:R392" si="1010">CONCATENATE(E381,"-",J381)</f>
        <v>Blending in natural gas pipeline-Flexibility</v>
      </c>
      <c r="S381" t="str">
        <f t="shared" ref="S381:S392" si="1011">CONCATENATE(F381,"-",J381)</f>
        <v>District-CHP with H2 fuel cell (power)-Flexibility</v>
      </c>
      <c r="T381">
        <f ca="1">VLOOKUP($P381,'TA database'!$I$8:$J$79,2,FALSE)</f>
        <v>1</v>
      </c>
      <c r="U381">
        <v>0</v>
      </c>
      <c r="V381">
        <v>0</v>
      </c>
      <c r="W381">
        <v>0</v>
      </c>
      <c r="X381">
        <v>0</v>
      </c>
      <c r="Y381">
        <f t="shared" ca="1" si="1001"/>
        <v>1</v>
      </c>
      <c r="Z381" t="str">
        <f t="shared" ref="Z381:Z392" si="1012">CONCATENATE(AG381,"   →   ",AH381,"   →   ",AI381,"   →   ",AJ381)</f>
        <v>ELCTRLYZ_LRG_C   →   C_UNDRGRND_STRG   →   H2_BLND_NG_P   →   H2_FC_DCHP_PWR</v>
      </c>
      <c r="AA381" t="str">
        <f t="shared" ref="AA381:AA392" si="1013">G381</f>
        <v>Grid electricity</v>
      </c>
      <c r="AB381" t="str">
        <f t="shared" ref="AB381:AB392" si="1014">J381</f>
        <v>Flexibility</v>
      </c>
      <c r="AC381">
        <f t="shared" ref="AC381:AC392" ca="1" si="1015">Y381</f>
        <v>1</v>
      </c>
      <c r="AD381">
        <v>322</v>
      </c>
      <c r="AE381" t="str">
        <f>IF(AND(ISNUMBER(SEARCH(O381,4)),ISNUMBER(SEARCH('(4) FCH pathway assessment'!$B$16,AB381)),ISNUMBER(SEARCH('(4) FCH pathway assessment'!$B$10,AA381))),AD381,"")</f>
        <v/>
      </c>
      <c r="AF381" t="str">
        <f t="shared" si="1002"/>
        <v/>
      </c>
      <c r="AG381" t="str">
        <f>VLOOKUP(C381,Assumptions!$B$116:$C$162,2,FALSE)</f>
        <v>ELCTRLYZ_LRG_C</v>
      </c>
      <c r="AH381" t="str">
        <f>VLOOKUP(D381,Assumptions!$B$116:$C$162,2,FALSE)</f>
        <v>C_UNDRGRND_STRG</v>
      </c>
      <c r="AI381" t="str">
        <f>VLOOKUP(E381,Assumptions!$B$116:$C$162,2,FALSE)</f>
        <v>H2_BLND_NG_P</v>
      </c>
      <c r="AJ381" t="str">
        <f>VLOOKUP(F381,Assumptions!$B$116:$C$162,2,FALSE)</f>
        <v>H2_FC_DCHP_PWR</v>
      </c>
    </row>
    <row r="382" spans="2:36" x14ac:dyDescent="0.25">
      <c r="B382" t="s">
        <v>112</v>
      </c>
      <c r="C382" t="s">
        <v>49</v>
      </c>
      <c r="D382" t="s">
        <v>62</v>
      </c>
      <c r="E382" t="s">
        <v>122</v>
      </c>
      <c r="F382" t="s">
        <v>549</v>
      </c>
      <c r="G382" t="s">
        <v>114</v>
      </c>
      <c r="H382" t="s">
        <v>433</v>
      </c>
      <c r="I382" t="s">
        <v>32</v>
      </c>
      <c r="J382" t="s">
        <v>80</v>
      </c>
      <c r="K382">
        <f t="shared" si="1003"/>
        <v>1</v>
      </c>
      <c r="L382">
        <f t="shared" si="1004"/>
        <v>0</v>
      </c>
      <c r="M382">
        <f t="shared" si="1005"/>
        <v>1</v>
      </c>
      <c r="N382">
        <f t="shared" si="1006"/>
        <v>0</v>
      </c>
      <c r="O382">
        <f t="shared" si="1007"/>
        <v>2</v>
      </c>
      <c r="P382" t="str">
        <f t="shared" si="1008"/>
        <v>Large centralized electrolysis-Flexibility</v>
      </c>
      <c r="Q382" t="str">
        <f t="shared" si="1009"/>
        <v>Underground storage-Flexibility</v>
      </c>
      <c r="R382" t="str">
        <f t="shared" si="1010"/>
        <v>Hydrogen transmission &amp; distribution pipeline-Flexibility</v>
      </c>
      <c r="S382" t="str">
        <f t="shared" si="1011"/>
        <v>District-CHP with H2 fuel cell (power)-Flexibility</v>
      </c>
      <c r="T382">
        <f ca="1">VLOOKUP($P382,'TA database'!$I$8:$J$79,2,FALSE)</f>
        <v>1</v>
      </c>
      <c r="U382">
        <v>0</v>
      </c>
      <c r="V382">
        <v>0</v>
      </c>
      <c r="W382">
        <v>0</v>
      </c>
      <c r="X382">
        <v>0</v>
      </c>
      <c r="Y382">
        <f t="shared" ca="1" si="1001"/>
        <v>1</v>
      </c>
      <c r="Z382" t="str">
        <f t="shared" si="1012"/>
        <v>ELCTRLYZ_LRG_C   →   C_UNDRGRND_STRG   →   H2_T&amp;D_P   →   H2_FC_DCHP_PWR</v>
      </c>
      <c r="AA382" t="str">
        <f t="shared" si="1013"/>
        <v>Grid electricity</v>
      </c>
      <c r="AB382" t="str">
        <f t="shared" si="1014"/>
        <v>Flexibility</v>
      </c>
      <c r="AC382">
        <f t="shared" ca="1" si="1015"/>
        <v>1</v>
      </c>
      <c r="AD382">
        <v>323</v>
      </c>
      <c r="AE382" t="str">
        <f>IF(AND(ISNUMBER(SEARCH(O382,4)),ISNUMBER(SEARCH('(4) FCH pathway assessment'!$B$16,AB382)),ISNUMBER(SEARCH('(4) FCH pathway assessment'!$B$10,AA382))),AD382,"")</f>
        <v/>
      </c>
      <c r="AF382" t="str">
        <f t="shared" si="1002"/>
        <v/>
      </c>
      <c r="AG382" t="str">
        <f>VLOOKUP(C382,Assumptions!$B$116:$C$162,2,FALSE)</f>
        <v>ELCTRLYZ_LRG_C</v>
      </c>
      <c r="AH382" t="str">
        <f>VLOOKUP(D382,Assumptions!$B$116:$C$162,2,FALSE)</f>
        <v>C_UNDRGRND_STRG</v>
      </c>
      <c r="AI382" t="str">
        <f>VLOOKUP(E382,Assumptions!$B$116:$C$162,2,FALSE)</f>
        <v>H2_T&amp;D_P</v>
      </c>
      <c r="AJ382" t="str">
        <f>VLOOKUP(F382,Assumptions!$B$116:$C$162,2,FALSE)</f>
        <v>H2_FC_DCHP_PWR</v>
      </c>
    </row>
    <row r="383" spans="2:36" x14ac:dyDescent="0.25">
      <c r="B383" t="s">
        <v>112</v>
      </c>
      <c r="C383" t="s">
        <v>49</v>
      </c>
      <c r="D383" t="s">
        <v>62</v>
      </c>
      <c r="E383" t="s">
        <v>116</v>
      </c>
      <c r="F383" t="s">
        <v>549</v>
      </c>
      <c r="G383" t="s">
        <v>114</v>
      </c>
      <c r="H383" t="s">
        <v>433</v>
      </c>
      <c r="I383" t="s">
        <v>32</v>
      </c>
      <c r="J383" t="s">
        <v>80</v>
      </c>
      <c r="K383">
        <f t="shared" si="1003"/>
        <v>1</v>
      </c>
      <c r="L383">
        <f t="shared" si="1004"/>
        <v>0</v>
      </c>
      <c r="M383">
        <f t="shared" si="1005"/>
        <v>1</v>
      </c>
      <c r="N383">
        <f t="shared" si="1006"/>
        <v>0</v>
      </c>
      <c r="O383">
        <f t="shared" si="1007"/>
        <v>2</v>
      </c>
      <c r="P383" t="str">
        <f t="shared" si="1008"/>
        <v>Large centralized electrolysis-Flexibility</v>
      </c>
      <c r="Q383" t="str">
        <f t="shared" si="1009"/>
        <v>Underground storage-Flexibility</v>
      </c>
      <c r="R383" t="str">
        <f t="shared" si="1010"/>
        <v>Liquid hydrogen truck-Flexibility</v>
      </c>
      <c r="S383" t="str">
        <f t="shared" si="1011"/>
        <v>District-CHP with H2 fuel cell (power)-Flexibility</v>
      </c>
      <c r="T383">
        <f ca="1">VLOOKUP($P383,'TA database'!$I$8:$J$79,2,FALSE)</f>
        <v>1</v>
      </c>
      <c r="U383">
        <v>0</v>
      </c>
      <c r="V383">
        <v>0</v>
      </c>
      <c r="W383">
        <v>0</v>
      </c>
      <c r="X383">
        <v>0</v>
      </c>
      <c r="Y383">
        <f t="shared" ca="1" si="1001"/>
        <v>1</v>
      </c>
      <c r="Z383" t="str">
        <f t="shared" si="1012"/>
        <v>ELCTRLYZ_LRG_C   →   C_UNDRGRND_STRG   →   LQ_TRUCK   →   H2_FC_DCHP_PWR</v>
      </c>
      <c r="AA383" t="str">
        <f t="shared" si="1013"/>
        <v>Grid electricity</v>
      </c>
      <c r="AB383" t="str">
        <f t="shared" si="1014"/>
        <v>Flexibility</v>
      </c>
      <c r="AC383">
        <f t="shared" ca="1" si="1015"/>
        <v>1</v>
      </c>
      <c r="AD383">
        <v>324</v>
      </c>
      <c r="AE383" t="str">
        <f>IF(AND(ISNUMBER(SEARCH(O383,4)),ISNUMBER(SEARCH('(4) FCH pathway assessment'!$B$16,AB383)),ISNUMBER(SEARCH('(4) FCH pathway assessment'!$B$10,AA383))),AD383,"")</f>
        <v/>
      </c>
      <c r="AF383" t="str">
        <f t="shared" si="1002"/>
        <v/>
      </c>
      <c r="AG383" t="str">
        <f>VLOOKUP(C383,Assumptions!$B$116:$C$162,2,FALSE)</f>
        <v>ELCTRLYZ_LRG_C</v>
      </c>
      <c r="AH383" t="str">
        <f>VLOOKUP(D383,Assumptions!$B$116:$C$162,2,FALSE)</f>
        <v>C_UNDRGRND_STRG</v>
      </c>
      <c r="AI383" t="str">
        <f>VLOOKUP(E383,Assumptions!$B$116:$C$162,2,FALSE)</f>
        <v>LQ_TRUCK</v>
      </c>
      <c r="AJ383" t="str">
        <f>VLOOKUP(F383,Assumptions!$B$116:$C$162,2,FALSE)</f>
        <v>H2_FC_DCHP_PWR</v>
      </c>
    </row>
    <row r="384" spans="2:36" x14ac:dyDescent="0.25">
      <c r="B384" t="s">
        <v>112</v>
      </c>
      <c r="C384" t="s">
        <v>49</v>
      </c>
      <c r="D384" t="s">
        <v>62</v>
      </c>
      <c r="E384" t="s">
        <v>66</v>
      </c>
      <c r="F384" t="s">
        <v>549</v>
      </c>
      <c r="G384" t="s">
        <v>114</v>
      </c>
      <c r="H384" t="s">
        <v>433</v>
      </c>
      <c r="I384" t="s">
        <v>32</v>
      </c>
      <c r="J384" t="s">
        <v>80</v>
      </c>
      <c r="K384">
        <f t="shared" si="1003"/>
        <v>1</v>
      </c>
      <c r="L384">
        <f t="shared" si="1004"/>
        <v>0</v>
      </c>
      <c r="M384">
        <f t="shared" si="1005"/>
        <v>1</v>
      </c>
      <c r="N384">
        <f t="shared" si="1006"/>
        <v>0</v>
      </c>
      <c r="O384">
        <f t="shared" si="1007"/>
        <v>2</v>
      </c>
      <c r="P384" t="str">
        <f t="shared" si="1008"/>
        <v>Large centralized electrolysis-Flexibility</v>
      </c>
      <c r="Q384" t="str">
        <f t="shared" si="1009"/>
        <v>Underground storage-Flexibility</v>
      </c>
      <c r="R384" t="str">
        <f t="shared" si="1010"/>
        <v>Onsite-Flexibility</v>
      </c>
      <c r="S384" t="str">
        <f t="shared" si="1011"/>
        <v>District-CHP with H2 fuel cell (power)-Flexibility</v>
      </c>
      <c r="T384">
        <f ca="1">VLOOKUP($P384,'TA database'!$I$8:$J$79,2,FALSE)</f>
        <v>1</v>
      </c>
      <c r="U384">
        <v>0</v>
      </c>
      <c r="V384">
        <v>0</v>
      </c>
      <c r="W384">
        <v>0</v>
      </c>
      <c r="X384">
        <v>0</v>
      </c>
      <c r="Y384">
        <f t="shared" ca="1" si="1001"/>
        <v>1</v>
      </c>
      <c r="Z384" t="str">
        <f t="shared" si="1012"/>
        <v>ELCTRLYZ_LRG_C   →   C_UNDRGRND_STRG   →   ONSITE_USE   →   H2_FC_DCHP_PWR</v>
      </c>
      <c r="AA384" t="str">
        <f t="shared" si="1013"/>
        <v>Grid electricity</v>
      </c>
      <c r="AB384" t="str">
        <f t="shared" si="1014"/>
        <v>Flexibility</v>
      </c>
      <c r="AC384">
        <f t="shared" ca="1" si="1015"/>
        <v>1</v>
      </c>
      <c r="AD384">
        <v>325</v>
      </c>
      <c r="AE384" t="str">
        <f>IF(AND(ISNUMBER(SEARCH(O384,4)),ISNUMBER(SEARCH('(4) FCH pathway assessment'!$B$16,AB384)),ISNUMBER(SEARCH('(4) FCH pathway assessment'!$B$10,AA384))),AD384,"")</f>
        <v/>
      </c>
      <c r="AF384" t="str">
        <f t="shared" si="1002"/>
        <v/>
      </c>
      <c r="AG384" t="str">
        <f>VLOOKUP(C384,Assumptions!$B$116:$C$162,2,FALSE)</f>
        <v>ELCTRLYZ_LRG_C</v>
      </c>
      <c r="AH384" t="str">
        <f>VLOOKUP(D384,Assumptions!$B$116:$C$162,2,FALSE)</f>
        <v>C_UNDRGRND_STRG</v>
      </c>
      <c r="AI384" t="str">
        <f>VLOOKUP(E384,Assumptions!$B$116:$C$162,2,FALSE)</f>
        <v>ONSITE_USE</v>
      </c>
      <c r="AJ384" t="str">
        <f>VLOOKUP(F384,Assumptions!$B$116:$C$162,2,FALSE)</f>
        <v>H2_FC_DCHP_PWR</v>
      </c>
    </row>
    <row r="385" spans="2:36" x14ac:dyDescent="0.25">
      <c r="B385" t="s">
        <v>112</v>
      </c>
      <c r="C385" t="s">
        <v>49</v>
      </c>
      <c r="D385" t="s">
        <v>155</v>
      </c>
      <c r="E385" t="s">
        <v>157</v>
      </c>
      <c r="F385" t="s">
        <v>549</v>
      </c>
      <c r="G385" t="s">
        <v>114</v>
      </c>
      <c r="H385" t="s">
        <v>433</v>
      </c>
      <c r="I385" t="s">
        <v>32</v>
      </c>
      <c r="J385" t="s">
        <v>80</v>
      </c>
      <c r="K385">
        <f t="shared" si="1003"/>
        <v>1</v>
      </c>
      <c r="L385">
        <f t="shared" si="1004"/>
        <v>1</v>
      </c>
      <c r="M385">
        <f t="shared" si="1005"/>
        <v>0</v>
      </c>
      <c r="N385">
        <f t="shared" si="1006"/>
        <v>0</v>
      </c>
      <c r="O385">
        <f t="shared" si="1007"/>
        <v>2</v>
      </c>
      <c r="P385" t="str">
        <f t="shared" si="1008"/>
        <v>Large centralized electrolysis-Flexibility</v>
      </c>
      <c r="Q385" t="str">
        <f t="shared" si="1009"/>
        <v>Central gas storage-Flexibility</v>
      </c>
      <c r="R385" t="str">
        <f t="shared" si="1010"/>
        <v>Blending in natural gas pipeline-Flexibility</v>
      </c>
      <c r="S385" t="str">
        <f t="shared" si="1011"/>
        <v>District-CHP with H2 fuel cell (power)-Flexibility</v>
      </c>
      <c r="T385">
        <f ca="1">VLOOKUP($P385,'TA database'!$I$8:$J$79,2,FALSE)</f>
        <v>1</v>
      </c>
      <c r="U385">
        <v>0</v>
      </c>
      <c r="V385">
        <v>0</v>
      </c>
      <c r="W385">
        <v>0</v>
      </c>
      <c r="X385">
        <v>0</v>
      </c>
      <c r="Y385">
        <f t="shared" ca="1" si="1001"/>
        <v>1</v>
      </c>
      <c r="Z385" t="str">
        <f t="shared" si="1012"/>
        <v>ELCTRLYZ_LRG_C   →   C_GAS_STRG   →   H2_BLND_NG_P   →   H2_FC_DCHP_PWR</v>
      </c>
      <c r="AA385" t="str">
        <f t="shared" si="1013"/>
        <v>Grid electricity</v>
      </c>
      <c r="AB385" t="str">
        <f t="shared" si="1014"/>
        <v>Flexibility</v>
      </c>
      <c r="AC385">
        <f t="shared" ca="1" si="1015"/>
        <v>1</v>
      </c>
      <c r="AD385">
        <v>326</v>
      </c>
      <c r="AE385" t="str">
        <f>IF(AND(ISNUMBER(SEARCH(O385,4)),ISNUMBER(SEARCH('(4) FCH pathway assessment'!$B$16,AB385)),ISNUMBER(SEARCH('(4) FCH pathway assessment'!$B$10,AA385))),AD385,"")</f>
        <v/>
      </c>
      <c r="AF385" t="str">
        <f t="shared" si="1002"/>
        <v/>
      </c>
      <c r="AG385" t="str">
        <f>VLOOKUP(C385,Assumptions!$B$116:$C$162,2,FALSE)</f>
        <v>ELCTRLYZ_LRG_C</v>
      </c>
      <c r="AH385" t="str">
        <f>VLOOKUP(D385,Assumptions!$B$116:$C$162,2,FALSE)</f>
        <v>C_GAS_STRG</v>
      </c>
      <c r="AI385" t="str">
        <f>VLOOKUP(E385,Assumptions!$B$116:$C$162,2,FALSE)</f>
        <v>H2_BLND_NG_P</v>
      </c>
      <c r="AJ385" t="str">
        <f>VLOOKUP(F385,Assumptions!$B$116:$C$162,2,FALSE)</f>
        <v>H2_FC_DCHP_PWR</v>
      </c>
    </row>
    <row r="386" spans="2:36" x14ac:dyDescent="0.25">
      <c r="B386" t="s">
        <v>112</v>
      </c>
      <c r="C386" t="s">
        <v>49</v>
      </c>
      <c r="D386" t="s">
        <v>155</v>
      </c>
      <c r="E386" t="s">
        <v>122</v>
      </c>
      <c r="F386" t="s">
        <v>549</v>
      </c>
      <c r="G386" t="s">
        <v>114</v>
      </c>
      <c r="H386" t="s">
        <v>433</v>
      </c>
      <c r="I386" t="s">
        <v>32</v>
      </c>
      <c r="J386" t="s">
        <v>80</v>
      </c>
      <c r="K386">
        <f t="shared" si="1003"/>
        <v>1</v>
      </c>
      <c r="L386">
        <f t="shared" si="1004"/>
        <v>1</v>
      </c>
      <c r="M386">
        <f t="shared" si="1005"/>
        <v>1</v>
      </c>
      <c r="N386">
        <f t="shared" si="1006"/>
        <v>0</v>
      </c>
      <c r="O386">
        <f t="shared" si="1007"/>
        <v>3</v>
      </c>
      <c r="P386" t="str">
        <f t="shared" si="1008"/>
        <v>Large centralized electrolysis-Flexibility</v>
      </c>
      <c r="Q386" t="str">
        <f t="shared" si="1009"/>
        <v>Central gas storage-Flexibility</v>
      </c>
      <c r="R386" t="str">
        <f t="shared" si="1010"/>
        <v>Hydrogen transmission &amp; distribution pipeline-Flexibility</v>
      </c>
      <c r="S386" t="str">
        <f t="shared" si="1011"/>
        <v>District-CHP with H2 fuel cell (power)-Flexibility</v>
      </c>
      <c r="T386">
        <f ca="1">VLOOKUP($P386,'TA database'!$I$8:$J$79,2,FALSE)</f>
        <v>1</v>
      </c>
      <c r="U386">
        <v>0</v>
      </c>
      <c r="V386">
        <v>0</v>
      </c>
      <c r="W386">
        <v>0</v>
      </c>
      <c r="X386">
        <v>0</v>
      </c>
      <c r="Y386">
        <f t="shared" ca="1" si="1001"/>
        <v>1</v>
      </c>
      <c r="Z386" t="str">
        <f t="shared" si="1012"/>
        <v>ELCTRLYZ_LRG_C   →   C_GAS_STRG   →   H2_T&amp;D_P   →   H2_FC_DCHP_PWR</v>
      </c>
      <c r="AA386" t="str">
        <f t="shared" si="1013"/>
        <v>Grid electricity</v>
      </c>
      <c r="AB386" t="str">
        <f t="shared" si="1014"/>
        <v>Flexibility</v>
      </c>
      <c r="AC386">
        <f t="shared" ca="1" si="1015"/>
        <v>1</v>
      </c>
      <c r="AD386">
        <v>327</v>
      </c>
      <c r="AE386" t="str">
        <f>IF(AND(ISNUMBER(SEARCH(O386,4)),ISNUMBER(SEARCH('(4) FCH pathway assessment'!$B$16,AB386)),ISNUMBER(SEARCH('(4) FCH pathway assessment'!$B$10,AA386))),AD386,"")</f>
        <v/>
      </c>
      <c r="AF386" t="str">
        <f t="shared" si="1002"/>
        <v/>
      </c>
      <c r="AG386" t="str">
        <f>VLOOKUP(C386,Assumptions!$B$116:$C$162,2,FALSE)</f>
        <v>ELCTRLYZ_LRG_C</v>
      </c>
      <c r="AH386" t="str">
        <f>VLOOKUP(D386,Assumptions!$B$116:$C$162,2,FALSE)</f>
        <v>C_GAS_STRG</v>
      </c>
      <c r="AI386" t="str">
        <f>VLOOKUP(E386,Assumptions!$B$116:$C$162,2,FALSE)</f>
        <v>H2_T&amp;D_P</v>
      </c>
      <c r="AJ386" t="str">
        <f>VLOOKUP(F386,Assumptions!$B$116:$C$162,2,FALSE)</f>
        <v>H2_FC_DCHP_PWR</v>
      </c>
    </row>
    <row r="387" spans="2:36" x14ac:dyDescent="0.25">
      <c r="B387" t="s">
        <v>112</v>
      </c>
      <c r="C387" t="s">
        <v>49</v>
      </c>
      <c r="D387" t="s">
        <v>155</v>
      </c>
      <c r="E387" t="s">
        <v>116</v>
      </c>
      <c r="F387" t="s">
        <v>549</v>
      </c>
      <c r="G387" t="s">
        <v>114</v>
      </c>
      <c r="H387" t="s">
        <v>433</v>
      </c>
      <c r="I387" t="s">
        <v>32</v>
      </c>
      <c r="J387" t="s">
        <v>80</v>
      </c>
      <c r="K387">
        <f t="shared" si="1003"/>
        <v>1</v>
      </c>
      <c r="L387">
        <f t="shared" si="1004"/>
        <v>1</v>
      </c>
      <c r="M387">
        <f t="shared" si="1005"/>
        <v>1</v>
      </c>
      <c r="N387">
        <f t="shared" si="1006"/>
        <v>0</v>
      </c>
      <c r="O387">
        <f t="shared" si="1007"/>
        <v>3</v>
      </c>
      <c r="P387" t="str">
        <f t="shared" si="1008"/>
        <v>Large centralized electrolysis-Flexibility</v>
      </c>
      <c r="Q387" t="str">
        <f t="shared" si="1009"/>
        <v>Central gas storage-Flexibility</v>
      </c>
      <c r="R387" t="str">
        <f t="shared" si="1010"/>
        <v>Liquid hydrogen truck-Flexibility</v>
      </c>
      <c r="S387" t="str">
        <f t="shared" si="1011"/>
        <v>District-CHP with H2 fuel cell (power)-Flexibility</v>
      </c>
      <c r="T387">
        <f ca="1">VLOOKUP($P387,'TA database'!$I$8:$J$79,2,FALSE)</f>
        <v>1</v>
      </c>
      <c r="U387">
        <v>0</v>
      </c>
      <c r="V387">
        <v>0</v>
      </c>
      <c r="W387">
        <v>0</v>
      </c>
      <c r="X387">
        <v>0</v>
      </c>
      <c r="Y387">
        <f t="shared" ca="1" si="1001"/>
        <v>1</v>
      </c>
      <c r="Z387" t="str">
        <f t="shared" si="1012"/>
        <v>ELCTRLYZ_LRG_C   →   C_GAS_STRG   →   LQ_TRUCK   →   H2_FC_DCHP_PWR</v>
      </c>
      <c r="AA387" t="str">
        <f t="shared" si="1013"/>
        <v>Grid electricity</v>
      </c>
      <c r="AB387" t="str">
        <f t="shared" si="1014"/>
        <v>Flexibility</v>
      </c>
      <c r="AC387">
        <f t="shared" ca="1" si="1015"/>
        <v>1</v>
      </c>
      <c r="AD387">
        <v>328</v>
      </c>
      <c r="AE387" t="str">
        <f>IF(AND(ISNUMBER(SEARCH(O387,4)),ISNUMBER(SEARCH('(4) FCH pathway assessment'!$B$16,AB387)),ISNUMBER(SEARCH('(4) FCH pathway assessment'!$B$10,AA387))),AD387,"")</f>
        <v/>
      </c>
      <c r="AF387" t="str">
        <f t="shared" si="1002"/>
        <v/>
      </c>
      <c r="AG387" t="str">
        <f>VLOOKUP(C387,Assumptions!$B$116:$C$162,2,FALSE)</f>
        <v>ELCTRLYZ_LRG_C</v>
      </c>
      <c r="AH387" t="str">
        <f>VLOOKUP(D387,Assumptions!$B$116:$C$162,2,FALSE)</f>
        <v>C_GAS_STRG</v>
      </c>
      <c r="AI387" t="str">
        <f>VLOOKUP(E387,Assumptions!$B$116:$C$162,2,FALSE)</f>
        <v>LQ_TRUCK</v>
      </c>
      <c r="AJ387" t="str">
        <f>VLOOKUP(F387,Assumptions!$B$116:$C$162,2,FALSE)</f>
        <v>H2_FC_DCHP_PWR</v>
      </c>
    </row>
    <row r="388" spans="2:36" x14ac:dyDescent="0.25">
      <c r="B388" t="s">
        <v>112</v>
      </c>
      <c r="C388" t="s">
        <v>49</v>
      </c>
      <c r="D388" t="s">
        <v>155</v>
      </c>
      <c r="E388" t="s">
        <v>66</v>
      </c>
      <c r="F388" t="s">
        <v>549</v>
      </c>
      <c r="G388" t="s">
        <v>114</v>
      </c>
      <c r="H388" t="s">
        <v>433</v>
      </c>
      <c r="I388" t="s">
        <v>32</v>
      </c>
      <c r="J388" t="s">
        <v>80</v>
      </c>
      <c r="K388">
        <f t="shared" si="1003"/>
        <v>1</v>
      </c>
      <c r="L388">
        <f t="shared" si="1004"/>
        <v>1</v>
      </c>
      <c r="M388">
        <f t="shared" si="1005"/>
        <v>1</v>
      </c>
      <c r="N388">
        <f t="shared" si="1006"/>
        <v>0</v>
      </c>
      <c r="O388">
        <f t="shared" si="1007"/>
        <v>3</v>
      </c>
      <c r="P388" t="str">
        <f t="shared" si="1008"/>
        <v>Large centralized electrolysis-Flexibility</v>
      </c>
      <c r="Q388" t="str">
        <f t="shared" si="1009"/>
        <v>Central gas storage-Flexibility</v>
      </c>
      <c r="R388" t="str">
        <f t="shared" si="1010"/>
        <v>Onsite-Flexibility</v>
      </c>
      <c r="S388" t="str">
        <f t="shared" si="1011"/>
        <v>District-CHP with H2 fuel cell (power)-Flexibility</v>
      </c>
      <c r="T388">
        <f ca="1">VLOOKUP($P388,'TA database'!$I$8:$J$79,2,FALSE)</f>
        <v>1</v>
      </c>
      <c r="U388">
        <v>0</v>
      </c>
      <c r="V388">
        <v>0</v>
      </c>
      <c r="W388">
        <v>0</v>
      </c>
      <c r="X388">
        <v>0</v>
      </c>
      <c r="Y388">
        <f t="shared" ca="1" si="1001"/>
        <v>1</v>
      </c>
      <c r="Z388" t="str">
        <f t="shared" si="1012"/>
        <v>ELCTRLYZ_LRG_C   →   C_GAS_STRG   →   ONSITE_USE   →   H2_FC_DCHP_PWR</v>
      </c>
      <c r="AA388" t="str">
        <f t="shared" si="1013"/>
        <v>Grid electricity</v>
      </c>
      <c r="AB388" t="str">
        <f t="shared" si="1014"/>
        <v>Flexibility</v>
      </c>
      <c r="AC388">
        <f t="shared" ca="1" si="1015"/>
        <v>1</v>
      </c>
      <c r="AD388">
        <v>329</v>
      </c>
      <c r="AE388" t="str">
        <f>IF(AND(ISNUMBER(SEARCH(O388,4)),ISNUMBER(SEARCH('(4) FCH pathway assessment'!$B$16,AB388)),ISNUMBER(SEARCH('(4) FCH pathway assessment'!$B$10,AA388))),AD388,"")</f>
        <v/>
      </c>
      <c r="AF388" t="str">
        <f t="shared" si="1002"/>
        <v/>
      </c>
      <c r="AG388" t="str">
        <f>VLOOKUP(C388,Assumptions!$B$116:$C$162,2,FALSE)</f>
        <v>ELCTRLYZ_LRG_C</v>
      </c>
      <c r="AH388" t="str">
        <f>VLOOKUP(D388,Assumptions!$B$116:$C$162,2,FALSE)</f>
        <v>C_GAS_STRG</v>
      </c>
      <c r="AI388" t="str">
        <f>VLOOKUP(E388,Assumptions!$B$116:$C$162,2,FALSE)</f>
        <v>ONSITE_USE</v>
      </c>
      <c r="AJ388" t="str">
        <f>VLOOKUP(F388,Assumptions!$B$116:$C$162,2,FALSE)</f>
        <v>H2_FC_DCHP_PWR</v>
      </c>
    </row>
    <row r="389" spans="2:36" x14ac:dyDescent="0.25">
      <c r="B389" t="s">
        <v>112</v>
      </c>
      <c r="C389" t="s">
        <v>51</v>
      </c>
      <c r="D389" t="s">
        <v>155</v>
      </c>
      <c r="E389" t="s">
        <v>157</v>
      </c>
      <c r="F389" t="s">
        <v>549</v>
      </c>
      <c r="G389" t="s">
        <v>114</v>
      </c>
      <c r="H389" t="s">
        <v>433</v>
      </c>
      <c r="I389" t="s">
        <v>32</v>
      </c>
      <c r="J389" t="s">
        <v>80</v>
      </c>
      <c r="K389">
        <f t="shared" si="1003"/>
        <v>1</v>
      </c>
      <c r="L389">
        <f t="shared" si="1004"/>
        <v>1</v>
      </c>
      <c r="M389">
        <f t="shared" si="1005"/>
        <v>0</v>
      </c>
      <c r="N389">
        <f t="shared" si="1006"/>
        <v>0</v>
      </c>
      <c r="O389">
        <f t="shared" si="1007"/>
        <v>2</v>
      </c>
      <c r="P389" t="str">
        <f t="shared" si="1008"/>
        <v>Medium centralized electrolysis-Flexibility</v>
      </c>
      <c r="Q389" t="str">
        <f t="shared" si="1009"/>
        <v>Central gas storage-Flexibility</v>
      </c>
      <c r="R389" t="str">
        <f t="shared" si="1010"/>
        <v>Blending in natural gas pipeline-Flexibility</v>
      </c>
      <c r="S389" t="str">
        <f t="shared" si="1011"/>
        <v>District-CHP with H2 fuel cell (power)-Flexibility</v>
      </c>
      <c r="T389">
        <f ca="1">VLOOKUP($P389,'TA database'!$I$8:$J$79,2,FALSE)</f>
        <v>1</v>
      </c>
      <c r="U389">
        <v>0</v>
      </c>
      <c r="V389">
        <v>0</v>
      </c>
      <c r="W389">
        <v>0</v>
      </c>
      <c r="X389">
        <v>0</v>
      </c>
      <c r="Y389">
        <f t="shared" ref="Y389:Y392" ca="1" si="1016">$T389</f>
        <v>1</v>
      </c>
      <c r="Z389" t="str">
        <f t="shared" si="1012"/>
        <v>ELCTRLYZ_MED_C   →   C_GAS_STRG   →   H2_BLND_NG_P   →   H2_FC_DCHP_PWR</v>
      </c>
      <c r="AA389" t="str">
        <f t="shared" si="1013"/>
        <v>Grid electricity</v>
      </c>
      <c r="AB389" t="str">
        <f t="shared" si="1014"/>
        <v>Flexibility</v>
      </c>
      <c r="AC389">
        <f t="shared" ca="1" si="1015"/>
        <v>1</v>
      </c>
      <c r="AD389">
        <v>330</v>
      </c>
      <c r="AE389" t="str">
        <f>IF(AND(ISNUMBER(SEARCH(O389,4)),ISNUMBER(SEARCH('(4) FCH pathway assessment'!$B$16,AB389)),ISNUMBER(SEARCH('(4) FCH pathway assessment'!$B$10,AA389))),AD389,"")</f>
        <v/>
      </c>
      <c r="AF389" t="str">
        <f t="shared" si="1002"/>
        <v/>
      </c>
      <c r="AG389" t="str">
        <f>VLOOKUP(C389,Assumptions!$B$116:$C$162,2,FALSE)</f>
        <v>ELCTRLYZ_MED_C</v>
      </c>
      <c r="AH389" t="str">
        <f>VLOOKUP(D389,Assumptions!$B$116:$C$162,2,FALSE)</f>
        <v>C_GAS_STRG</v>
      </c>
      <c r="AI389" t="str">
        <f>VLOOKUP(E389,Assumptions!$B$116:$C$162,2,FALSE)</f>
        <v>H2_BLND_NG_P</v>
      </c>
      <c r="AJ389" t="str">
        <f>VLOOKUP(F389,Assumptions!$B$116:$C$162,2,FALSE)</f>
        <v>H2_FC_DCHP_PWR</v>
      </c>
    </row>
    <row r="390" spans="2:36" x14ac:dyDescent="0.25">
      <c r="B390" t="s">
        <v>112</v>
      </c>
      <c r="C390" t="s">
        <v>51</v>
      </c>
      <c r="D390" t="s">
        <v>155</v>
      </c>
      <c r="E390" t="s">
        <v>122</v>
      </c>
      <c r="F390" t="s">
        <v>549</v>
      </c>
      <c r="G390" t="s">
        <v>114</v>
      </c>
      <c r="H390" t="s">
        <v>433</v>
      </c>
      <c r="I390" t="s">
        <v>32</v>
      </c>
      <c r="J390" t="s">
        <v>80</v>
      </c>
      <c r="K390">
        <f t="shared" si="1003"/>
        <v>1</v>
      </c>
      <c r="L390">
        <f t="shared" si="1004"/>
        <v>1</v>
      </c>
      <c r="M390">
        <f t="shared" si="1005"/>
        <v>1</v>
      </c>
      <c r="N390">
        <f t="shared" si="1006"/>
        <v>0</v>
      </c>
      <c r="O390">
        <f t="shared" si="1007"/>
        <v>3</v>
      </c>
      <c r="P390" t="str">
        <f t="shared" si="1008"/>
        <v>Medium centralized electrolysis-Flexibility</v>
      </c>
      <c r="Q390" t="str">
        <f t="shared" si="1009"/>
        <v>Central gas storage-Flexibility</v>
      </c>
      <c r="R390" t="str">
        <f t="shared" si="1010"/>
        <v>Hydrogen transmission &amp; distribution pipeline-Flexibility</v>
      </c>
      <c r="S390" t="str">
        <f t="shared" si="1011"/>
        <v>District-CHP with H2 fuel cell (power)-Flexibility</v>
      </c>
      <c r="T390">
        <f ca="1">VLOOKUP($P390,'TA database'!$I$8:$J$79,2,FALSE)</f>
        <v>1</v>
      </c>
      <c r="U390">
        <v>0</v>
      </c>
      <c r="V390">
        <v>0</v>
      </c>
      <c r="W390">
        <v>0</v>
      </c>
      <c r="X390">
        <v>0</v>
      </c>
      <c r="Y390">
        <f t="shared" ca="1" si="1016"/>
        <v>1</v>
      </c>
      <c r="Z390" t="str">
        <f t="shared" si="1012"/>
        <v>ELCTRLYZ_MED_C   →   C_GAS_STRG   →   H2_T&amp;D_P   →   H2_FC_DCHP_PWR</v>
      </c>
      <c r="AA390" t="str">
        <f t="shared" si="1013"/>
        <v>Grid electricity</v>
      </c>
      <c r="AB390" t="str">
        <f t="shared" si="1014"/>
        <v>Flexibility</v>
      </c>
      <c r="AC390">
        <f t="shared" ca="1" si="1015"/>
        <v>1</v>
      </c>
      <c r="AD390">
        <v>331</v>
      </c>
      <c r="AE390" t="str">
        <f>IF(AND(ISNUMBER(SEARCH(O390,4)),ISNUMBER(SEARCH('(4) FCH pathway assessment'!$B$16,AB390)),ISNUMBER(SEARCH('(4) FCH pathway assessment'!$B$10,AA390))),AD390,"")</f>
        <v/>
      </c>
      <c r="AF390" t="str">
        <f t="shared" si="1002"/>
        <v/>
      </c>
      <c r="AG390" t="str">
        <f>VLOOKUP(C390,Assumptions!$B$116:$C$162,2,FALSE)</f>
        <v>ELCTRLYZ_MED_C</v>
      </c>
      <c r="AH390" t="str">
        <f>VLOOKUP(D390,Assumptions!$B$116:$C$162,2,FALSE)</f>
        <v>C_GAS_STRG</v>
      </c>
      <c r="AI390" t="str">
        <f>VLOOKUP(E390,Assumptions!$B$116:$C$162,2,FALSE)</f>
        <v>H2_T&amp;D_P</v>
      </c>
      <c r="AJ390" t="str">
        <f>VLOOKUP(F390,Assumptions!$B$116:$C$162,2,FALSE)</f>
        <v>H2_FC_DCHP_PWR</v>
      </c>
    </row>
    <row r="391" spans="2:36" x14ac:dyDescent="0.25">
      <c r="B391" t="s">
        <v>112</v>
      </c>
      <c r="C391" t="s">
        <v>51</v>
      </c>
      <c r="D391" t="s">
        <v>155</v>
      </c>
      <c r="E391" t="s">
        <v>116</v>
      </c>
      <c r="F391" t="s">
        <v>549</v>
      </c>
      <c r="G391" t="s">
        <v>114</v>
      </c>
      <c r="H391" t="s">
        <v>433</v>
      </c>
      <c r="I391" t="s">
        <v>32</v>
      </c>
      <c r="J391" t="s">
        <v>80</v>
      </c>
      <c r="K391">
        <f t="shared" si="1003"/>
        <v>1</v>
      </c>
      <c r="L391">
        <f t="shared" si="1004"/>
        <v>1</v>
      </c>
      <c r="M391">
        <f t="shared" si="1005"/>
        <v>1</v>
      </c>
      <c r="N391">
        <f t="shared" si="1006"/>
        <v>0</v>
      </c>
      <c r="O391">
        <f t="shared" si="1007"/>
        <v>3</v>
      </c>
      <c r="P391" t="str">
        <f t="shared" si="1008"/>
        <v>Medium centralized electrolysis-Flexibility</v>
      </c>
      <c r="Q391" t="str">
        <f t="shared" si="1009"/>
        <v>Central gas storage-Flexibility</v>
      </c>
      <c r="R391" t="str">
        <f t="shared" si="1010"/>
        <v>Liquid hydrogen truck-Flexibility</v>
      </c>
      <c r="S391" t="str">
        <f t="shared" si="1011"/>
        <v>District-CHP with H2 fuel cell (power)-Flexibility</v>
      </c>
      <c r="T391">
        <f ca="1">VLOOKUP($P391,'TA database'!$I$8:$J$79,2,FALSE)</f>
        <v>1</v>
      </c>
      <c r="U391">
        <v>0</v>
      </c>
      <c r="V391">
        <v>0</v>
      </c>
      <c r="W391">
        <v>0</v>
      </c>
      <c r="X391">
        <v>0</v>
      </c>
      <c r="Y391">
        <f t="shared" ca="1" si="1016"/>
        <v>1</v>
      </c>
      <c r="Z391" t="str">
        <f t="shared" si="1012"/>
        <v>ELCTRLYZ_MED_C   →   C_GAS_STRG   →   LQ_TRUCK   →   H2_FC_DCHP_PWR</v>
      </c>
      <c r="AA391" t="str">
        <f t="shared" si="1013"/>
        <v>Grid electricity</v>
      </c>
      <c r="AB391" t="str">
        <f t="shared" si="1014"/>
        <v>Flexibility</v>
      </c>
      <c r="AC391">
        <f t="shared" ca="1" si="1015"/>
        <v>1</v>
      </c>
      <c r="AD391">
        <v>332</v>
      </c>
      <c r="AE391" t="str">
        <f>IF(AND(ISNUMBER(SEARCH(O391,4)),ISNUMBER(SEARCH('(4) FCH pathway assessment'!$B$16,AB391)),ISNUMBER(SEARCH('(4) FCH pathway assessment'!$B$10,AA391))),AD391,"")</f>
        <v/>
      </c>
      <c r="AF391" t="str">
        <f t="shared" si="1002"/>
        <v/>
      </c>
      <c r="AG391" t="str">
        <f>VLOOKUP(C391,Assumptions!$B$116:$C$162,2,FALSE)</f>
        <v>ELCTRLYZ_MED_C</v>
      </c>
      <c r="AH391" t="str">
        <f>VLOOKUP(D391,Assumptions!$B$116:$C$162,2,FALSE)</f>
        <v>C_GAS_STRG</v>
      </c>
      <c r="AI391" t="str">
        <f>VLOOKUP(E391,Assumptions!$B$116:$C$162,2,FALSE)</f>
        <v>LQ_TRUCK</v>
      </c>
      <c r="AJ391" t="str">
        <f>VLOOKUP(F391,Assumptions!$B$116:$C$162,2,FALSE)</f>
        <v>H2_FC_DCHP_PWR</v>
      </c>
    </row>
    <row r="392" spans="2:36" x14ac:dyDescent="0.25">
      <c r="B392" t="s">
        <v>112</v>
      </c>
      <c r="C392" t="s">
        <v>51</v>
      </c>
      <c r="D392" t="s">
        <v>155</v>
      </c>
      <c r="E392" t="s">
        <v>66</v>
      </c>
      <c r="F392" t="s">
        <v>549</v>
      </c>
      <c r="G392" t="s">
        <v>114</v>
      </c>
      <c r="H392" t="s">
        <v>433</v>
      </c>
      <c r="I392" t="s">
        <v>32</v>
      </c>
      <c r="J392" t="s">
        <v>80</v>
      </c>
      <c r="K392">
        <f t="shared" si="1003"/>
        <v>1</v>
      </c>
      <c r="L392">
        <f t="shared" si="1004"/>
        <v>1</v>
      </c>
      <c r="M392">
        <f t="shared" si="1005"/>
        <v>1</v>
      </c>
      <c r="N392">
        <f t="shared" si="1006"/>
        <v>0</v>
      </c>
      <c r="O392">
        <f t="shared" si="1007"/>
        <v>3</v>
      </c>
      <c r="P392" t="str">
        <f t="shared" si="1008"/>
        <v>Medium centralized electrolysis-Flexibility</v>
      </c>
      <c r="Q392" t="str">
        <f t="shared" si="1009"/>
        <v>Central gas storage-Flexibility</v>
      </c>
      <c r="R392" t="str">
        <f t="shared" si="1010"/>
        <v>Onsite-Flexibility</v>
      </c>
      <c r="S392" t="str">
        <f t="shared" si="1011"/>
        <v>District-CHP with H2 fuel cell (power)-Flexibility</v>
      </c>
      <c r="T392">
        <f ca="1">VLOOKUP($P392,'TA database'!$I$8:$J$79,2,FALSE)</f>
        <v>1</v>
      </c>
      <c r="U392">
        <v>0</v>
      </c>
      <c r="V392">
        <v>0</v>
      </c>
      <c r="W392">
        <v>0</v>
      </c>
      <c r="X392">
        <v>0</v>
      </c>
      <c r="Y392">
        <f t="shared" ca="1" si="1016"/>
        <v>1</v>
      </c>
      <c r="Z392" t="str">
        <f t="shared" si="1012"/>
        <v>ELCTRLYZ_MED_C   →   C_GAS_STRG   →   ONSITE_USE   →   H2_FC_DCHP_PWR</v>
      </c>
      <c r="AA392" t="str">
        <f t="shared" si="1013"/>
        <v>Grid electricity</v>
      </c>
      <c r="AB392" t="str">
        <f t="shared" si="1014"/>
        <v>Flexibility</v>
      </c>
      <c r="AC392">
        <f t="shared" ca="1" si="1015"/>
        <v>1</v>
      </c>
      <c r="AD392">
        <v>333</v>
      </c>
      <c r="AE392" t="str">
        <f>IF(AND(ISNUMBER(SEARCH(O392,4)),ISNUMBER(SEARCH('(4) FCH pathway assessment'!$B$16,AB392)),ISNUMBER(SEARCH('(4) FCH pathway assessment'!$B$10,AA392))),AD392,"")</f>
        <v/>
      </c>
      <c r="AF392" t="str">
        <f t="shared" si="1002"/>
        <v/>
      </c>
      <c r="AG392" t="str">
        <f>VLOOKUP(C392,Assumptions!$B$116:$C$162,2,FALSE)</f>
        <v>ELCTRLYZ_MED_C</v>
      </c>
      <c r="AH392" t="str">
        <f>VLOOKUP(D392,Assumptions!$B$116:$C$162,2,FALSE)</f>
        <v>C_GAS_STRG</v>
      </c>
      <c r="AI392" t="str">
        <f>VLOOKUP(E392,Assumptions!$B$116:$C$162,2,FALSE)</f>
        <v>ONSITE_USE</v>
      </c>
      <c r="AJ392" t="str">
        <f>VLOOKUP(F392,Assumptions!$B$116:$C$162,2,FALSE)</f>
        <v>H2_FC_DCHP_PWR</v>
      </c>
    </row>
    <row r="393" spans="2:36" x14ac:dyDescent="0.25">
      <c r="B393" t="s">
        <v>112</v>
      </c>
      <c r="C393" t="s">
        <v>52</v>
      </c>
      <c r="D393" s="60" t="s">
        <v>130</v>
      </c>
      <c r="E393" t="s">
        <v>66</v>
      </c>
      <c r="F393" t="s">
        <v>549</v>
      </c>
      <c r="G393" t="s">
        <v>114</v>
      </c>
      <c r="H393" t="s">
        <v>433</v>
      </c>
      <c r="I393" t="s">
        <v>32</v>
      </c>
      <c r="J393" t="s">
        <v>80</v>
      </c>
      <c r="K393">
        <f t="shared" ref="K393:K397" si="1017">SUMPRODUCT(($C$7:$C$18=$C393)*($D$6:$H$6=$D393)*($D$7:$H$18))</f>
        <v>1</v>
      </c>
      <c r="L393">
        <f t="shared" ref="L393:L397" si="1018">SUMPRODUCT(($C$19:$C$23=$D393)*($I$6:$O$6=$E393)*($I$19:$O$23))</f>
        <v>1</v>
      </c>
      <c r="M393">
        <f t="shared" ref="M393:M397" si="1019">SUMPRODUCT(($C$24:$C$30=$E393)*($P$6:$AI$6=$F393)*($P$24:$AI$30))</f>
        <v>1</v>
      </c>
      <c r="N393">
        <f t="shared" ref="N393:N397" si="1020">SUMPRODUCT(($C$31:$C$50=$F393)*($AJ$6:$AM$6=$G393)*($AJ$31:$AM$50))</f>
        <v>0</v>
      </c>
      <c r="O393">
        <f t="shared" ref="O393:O397" si="1021">K393+L393+M393+N393</f>
        <v>3</v>
      </c>
      <c r="P393" t="str">
        <f t="shared" ref="P393:P397" si="1022">CONCATENATE(C393,"-",J393)</f>
        <v>Small decentralized electrolysis-Flexibility</v>
      </c>
      <c r="Q393" t="str">
        <f t="shared" ref="Q393:Q397" si="1023">CONCATENATE(D393,"-",J393)</f>
        <v>Distributed gas storage-Flexibility</v>
      </c>
      <c r="R393" t="str">
        <f t="shared" ref="R393:R397" si="1024">CONCATENATE(E393,"-",J393)</f>
        <v>Onsite-Flexibility</v>
      </c>
      <c r="S393" t="str">
        <f t="shared" ref="S393:S397" si="1025">CONCATENATE(F393,"-",J393)</f>
        <v>District-CHP with H2 fuel cell (power)-Flexibility</v>
      </c>
      <c r="T393">
        <f ca="1">VLOOKUP($P393,'TA database'!$I$8:$J$79,2,FALSE)</f>
        <v>0.14583333333333334</v>
      </c>
      <c r="U393">
        <v>0</v>
      </c>
      <c r="V393">
        <v>0</v>
      </c>
      <c r="W393">
        <v>0</v>
      </c>
      <c r="X393">
        <v>0</v>
      </c>
      <c r="Y393">
        <f t="shared" ref="Y393:Y398" ca="1" si="1026">$T393</f>
        <v>0.14583333333333334</v>
      </c>
      <c r="Z393" t="str">
        <f t="shared" ref="Z393:Z397" si="1027">CONCATENATE(AG393,"   →   ",AH393,"   →   ",AI393,"   →   ",AJ393)</f>
        <v>ELCTRLYZ_SML_D   →   D_GAS_STRG   →   ONSITE_USE   →   H2_FC_DCHP_PWR</v>
      </c>
      <c r="AA393" t="str">
        <f t="shared" ref="AA393:AA397" si="1028">G393</f>
        <v>Grid electricity</v>
      </c>
      <c r="AB393" t="str">
        <f t="shared" ref="AB393:AB397" si="1029">J393</f>
        <v>Flexibility</v>
      </c>
      <c r="AC393">
        <f t="shared" ref="AC393:AC397" ca="1" si="1030">Y393</f>
        <v>0.14583333333333334</v>
      </c>
      <c r="AD393">
        <v>334</v>
      </c>
      <c r="AE393" t="str">
        <f>IF(AND(ISNUMBER(SEARCH(O393,4)),ISNUMBER(SEARCH('(4) FCH pathway assessment'!$B$16,AB393)),ISNUMBER(SEARCH('(4) FCH pathway assessment'!$B$10,AA393))),AD393,"")</f>
        <v/>
      </c>
      <c r="AF393" t="str">
        <f t="shared" si="1002"/>
        <v/>
      </c>
      <c r="AG393" t="str">
        <f>VLOOKUP(C393,Assumptions!$B$116:$C$162,2,FALSE)</f>
        <v>ELCTRLYZ_SML_D</v>
      </c>
      <c r="AH393" t="str">
        <f>VLOOKUP(D393,Assumptions!$B$116:$C$162,2,FALSE)</f>
        <v>D_GAS_STRG</v>
      </c>
      <c r="AI393" t="str">
        <f>VLOOKUP(E393,Assumptions!$B$116:$C$162,2,FALSE)</f>
        <v>ONSITE_USE</v>
      </c>
      <c r="AJ393" t="str">
        <f>VLOOKUP(F393,Assumptions!$B$116:$C$162,2,FALSE)</f>
        <v>H2_FC_DCHP_PWR</v>
      </c>
    </row>
    <row r="394" spans="2:36" x14ac:dyDescent="0.25">
      <c r="B394" t="s">
        <v>127</v>
      </c>
      <c r="C394" t="s">
        <v>57</v>
      </c>
      <c r="D394" t="s">
        <v>62</v>
      </c>
      <c r="E394" t="s">
        <v>157</v>
      </c>
      <c r="F394" t="s">
        <v>549</v>
      </c>
      <c r="G394" t="s">
        <v>114</v>
      </c>
      <c r="H394" t="s">
        <v>433</v>
      </c>
      <c r="I394" t="s">
        <v>32</v>
      </c>
      <c r="J394" t="s">
        <v>80</v>
      </c>
      <c r="K394">
        <f t="shared" si="1017"/>
        <v>1</v>
      </c>
      <c r="L394">
        <f t="shared" si="1018"/>
        <v>0</v>
      </c>
      <c r="M394">
        <f t="shared" si="1019"/>
        <v>0</v>
      </c>
      <c r="N394">
        <f t="shared" si="1020"/>
        <v>0</v>
      </c>
      <c r="O394">
        <f t="shared" si="1021"/>
        <v>1</v>
      </c>
      <c r="P394" t="str">
        <f t="shared" si="1022"/>
        <v>Large centralized natural gas steam reforming-Flexibility</v>
      </c>
      <c r="Q394" t="str">
        <f t="shared" si="1023"/>
        <v>Underground storage-Flexibility</v>
      </c>
      <c r="R394" t="str">
        <f t="shared" si="1024"/>
        <v>Blending in natural gas pipeline-Flexibility</v>
      </c>
      <c r="S394" t="str">
        <f t="shared" si="1025"/>
        <v>District-CHP with H2 fuel cell (power)-Flexibility</v>
      </c>
      <c r="T394">
        <f ca="1">VLOOKUP($P394,'TA database'!$I$8:$J$79,2,FALSE)</f>
        <v>0</v>
      </c>
      <c r="U394">
        <v>0</v>
      </c>
      <c r="V394">
        <v>0</v>
      </c>
      <c r="W394">
        <v>0</v>
      </c>
      <c r="X394">
        <v>0</v>
      </c>
      <c r="Y394">
        <f t="shared" ca="1" si="1026"/>
        <v>0</v>
      </c>
      <c r="Z394" t="str">
        <f t="shared" si="1027"/>
        <v>NG_SR_LRG_C   →   C_UNDRGRND_STRG   →   H2_BLND_NG_P   →   H2_FC_DCHP_PWR</v>
      </c>
      <c r="AA394" t="str">
        <f t="shared" si="1028"/>
        <v>Grid electricity</v>
      </c>
      <c r="AB394" t="str">
        <f t="shared" si="1029"/>
        <v>Flexibility</v>
      </c>
      <c r="AC394">
        <f t="shared" ca="1" si="1030"/>
        <v>0</v>
      </c>
      <c r="AD394">
        <v>335</v>
      </c>
      <c r="AE394" t="str">
        <f>IF(AND(ISNUMBER(SEARCH(O394,4)),ISNUMBER(SEARCH('(4) FCH pathway assessment'!$B$16,AB394)),ISNUMBER(SEARCH('(4) FCH pathway assessment'!$B$10,AA394))),AD394,"")</f>
        <v/>
      </c>
      <c r="AF394" t="str">
        <f t="shared" si="1002"/>
        <v/>
      </c>
      <c r="AG394" t="str">
        <f>VLOOKUP(C394,Assumptions!$B$116:$C$162,2,FALSE)</f>
        <v>NG_SR_LRG_C</v>
      </c>
      <c r="AH394" t="str">
        <f>VLOOKUP(D394,Assumptions!$B$116:$C$162,2,FALSE)</f>
        <v>C_UNDRGRND_STRG</v>
      </c>
      <c r="AI394" t="str">
        <f>VLOOKUP(E394,Assumptions!$B$116:$C$162,2,FALSE)</f>
        <v>H2_BLND_NG_P</v>
      </c>
      <c r="AJ394" t="str">
        <f>VLOOKUP(F394,Assumptions!$B$116:$C$162,2,FALSE)</f>
        <v>H2_FC_DCHP_PWR</v>
      </c>
    </row>
    <row r="395" spans="2:36" x14ac:dyDescent="0.25">
      <c r="B395" t="s">
        <v>127</v>
      </c>
      <c r="C395" t="s">
        <v>57</v>
      </c>
      <c r="D395" t="s">
        <v>62</v>
      </c>
      <c r="E395" t="s">
        <v>122</v>
      </c>
      <c r="F395" t="s">
        <v>549</v>
      </c>
      <c r="G395" t="s">
        <v>114</v>
      </c>
      <c r="H395" t="s">
        <v>433</v>
      </c>
      <c r="I395" t="s">
        <v>32</v>
      </c>
      <c r="J395" t="s">
        <v>80</v>
      </c>
      <c r="K395">
        <f t="shared" si="1017"/>
        <v>1</v>
      </c>
      <c r="L395">
        <f t="shared" si="1018"/>
        <v>0</v>
      </c>
      <c r="M395">
        <f t="shared" si="1019"/>
        <v>1</v>
      </c>
      <c r="N395">
        <f t="shared" si="1020"/>
        <v>0</v>
      </c>
      <c r="O395">
        <f t="shared" si="1021"/>
        <v>2</v>
      </c>
      <c r="P395" t="str">
        <f t="shared" si="1022"/>
        <v>Large centralized natural gas steam reforming-Flexibility</v>
      </c>
      <c r="Q395" t="str">
        <f t="shared" si="1023"/>
        <v>Underground storage-Flexibility</v>
      </c>
      <c r="R395" t="str">
        <f t="shared" si="1024"/>
        <v>Hydrogen transmission &amp; distribution pipeline-Flexibility</v>
      </c>
      <c r="S395" t="str">
        <f t="shared" si="1025"/>
        <v>District-CHP with H2 fuel cell (power)-Flexibility</v>
      </c>
      <c r="T395">
        <f ca="1">VLOOKUP($P395,'TA database'!$I$8:$J$79,2,FALSE)</f>
        <v>0</v>
      </c>
      <c r="U395">
        <v>0</v>
      </c>
      <c r="V395">
        <v>0</v>
      </c>
      <c r="W395">
        <v>0</v>
      </c>
      <c r="X395">
        <v>0</v>
      </c>
      <c r="Y395">
        <f t="shared" ca="1" si="1026"/>
        <v>0</v>
      </c>
      <c r="Z395" t="str">
        <f t="shared" si="1027"/>
        <v>NG_SR_LRG_C   →   C_UNDRGRND_STRG   →   H2_T&amp;D_P   →   H2_FC_DCHP_PWR</v>
      </c>
      <c r="AA395" t="str">
        <f t="shared" si="1028"/>
        <v>Grid electricity</v>
      </c>
      <c r="AB395" t="str">
        <f t="shared" si="1029"/>
        <v>Flexibility</v>
      </c>
      <c r="AC395">
        <f t="shared" ca="1" si="1030"/>
        <v>0</v>
      </c>
      <c r="AD395">
        <v>336</v>
      </c>
      <c r="AE395" t="str">
        <f>IF(AND(ISNUMBER(SEARCH(O395,4)),ISNUMBER(SEARCH('(4) FCH pathway assessment'!$B$16,AB395)),ISNUMBER(SEARCH('(4) FCH pathway assessment'!$B$10,AA395))),AD395,"")</f>
        <v/>
      </c>
      <c r="AF395" t="str">
        <f t="shared" si="1002"/>
        <v/>
      </c>
      <c r="AG395" t="str">
        <f>VLOOKUP(C395,Assumptions!$B$116:$C$162,2,FALSE)</f>
        <v>NG_SR_LRG_C</v>
      </c>
      <c r="AH395" t="str">
        <f>VLOOKUP(D395,Assumptions!$B$116:$C$162,2,FALSE)</f>
        <v>C_UNDRGRND_STRG</v>
      </c>
      <c r="AI395" t="str">
        <f>VLOOKUP(E395,Assumptions!$B$116:$C$162,2,FALSE)</f>
        <v>H2_T&amp;D_P</v>
      </c>
      <c r="AJ395" t="str">
        <f>VLOOKUP(F395,Assumptions!$B$116:$C$162,2,FALSE)</f>
        <v>H2_FC_DCHP_PWR</v>
      </c>
    </row>
    <row r="396" spans="2:36" x14ac:dyDescent="0.25">
      <c r="B396" t="s">
        <v>127</v>
      </c>
      <c r="C396" t="s">
        <v>57</v>
      </c>
      <c r="D396" t="s">
        <v>62</v>
      </c>
      <c r="E396" t="s">
        <v>116</v>
      </c>
      <c r="F396" t="s">
        <v>549</v>
      </c>
      <c r="G396" t="s">
        <v>114</v>
      </c>
      <c r="H396" t="s">
        <v>433</v>
      </c>
      <c r="I396" t="s">
        <v>32</v>
      </c>
      <c r="J396" t="s">
        <v>80</v>
      </c>
      <c r="K396">
        <f t="shared" si="1017"/>
        <v>1</v>
      </c>
      <c r="L396">
        <f t="shared" si="1018"/>
        <v>0</v>
      </c>
      <c r="M396">
        <f t="shared" si="1019"/>
        <v>1</v>
      </c>
      <c r="N396">
        <f t="shared" si="1020"/>
        <v>0</v>
      </c>
      <c r="O396">
        <f t="shared" si="1021"/>
        <v>2</v>
      </c>
      <c r="P396" t="str">
        <f t="shared" si="1022"/>
        <v>Large centralized natural gas steam reforming-Flexibility</v>
      </c>
      <c r="Q396" t="str">
        <f t="shared" si="1023"/>
        <v>Underground storage-Flexibility</v>
      </c>
      <c r="R396" t="str">
        <f t="shared" si="1024"/>
        <v>Liquid hydrogen truck-Flexibility</v>
      </c>
      <c r="S396" t="str">
        <f t="shared" si="1025"/>
        <v>District-CHP with H2 fuel cell (power)-Flexibility</v>
      </c>
      <c r="T396">
        <f ca="1">VLOOKUP($P396,'TA database'!$I$8:$J$79,2,FALSE)</f>
        <v>0</v>
      </c>
      <c r="U396">
        <v>0</v>
      </c>
      <c r="V396">
        <v>0</v>
      </c>
      <c r="W396">
        <v>0</v>
      </c>
      <c r="X396">
        <v>0</v>
      </c>
      <c r="Y396">
        <f t="shared" ca="1" si="1026"/>
        <v>0</v>
      </c>
      <c r="Z396" t="str">
        <f t="shared" si="1027"/>
        <v>NG_SR_LRG_C   →   C_UNDRGRND_STRG   →   LQ_TRUCK   →   H2_FC_DCHP_PWR</v>
      </c>
      <c r="AA396" t="str">
        <f t="shared" si="1028"/>
        <v>Grid electricity</v>
      </c>
      <c r="AB396" t="str">
        <f t="shared" si="1029"/>
        <v>Flexibility</v>
      </c>
      <c r="AC396">
        <f t="shared" ca="1" si="1030"/>
        <v>0</v>
      </c>
      <c r="AD396">
        <v>337</v>
      </c>
      <c r="AE396" t="str">
        <f>IF(AND(ISNUMBER(SEARCH(O396,4)),ISNUMBER(SEARCH('(4) FCH pathway assessment'!$B$16,AB396)),ISNUMBER(SEARCH('(4) FCH pathway assessment'!$B$10,AA396))),AD396,"")</f>
        <v/>
      </c>
      <c r="AF396" t="str">
        <f t="shared" si="1002"/>
        <v/>
      </c>
      <c r="AG396" t="str">
        <f>VLOOKUP(C396,Assumptions!$B$116:$C$162,2,FALSE)</f>
        <v>NG_SR_LRG_C</v>
      </c>
      <c r="AH396" t="str">
        <f>VLOOKUP(D396,Assumptions!$B$116:$C$162,2,FALSE)</f>
        <v>C_UNDRGRND_STRG</v>
      </c>
      <c r="AI396" t="str">
        <f>VLOOKUP(E396,Assumptions!$B$116:$C$162,2,FALSE)</f>
        <v>LQ_TRUCK</v>
      </c>
      <c r="AJ396" t="str">
        <f>VLOOKUP(F396,Assumptions!$B$116:$C$162,2,FALSE)</f>
        <v>H2_FC_DCHP_PWR</v>
      </c>
    </row>
    <row r="397" spans="2:36" x14ac:dyDescent="0.25">
      <c r="B397" t="s">
        <v>127</v>
      </c>
      <c r="C397" t="s">
        <v>57</v>
      </c>
      <c r="D397" t="s">
        <v>62</v>
      </c>
      <c r="E397" t="s">
        <v>66</v>
      </c>
      <c r="F397" t="s">
        <v>549</v>
      </c>
      <c r="G397" t="s">
        <v>114</v>
      </c>
      <c r="H397" t="s">
        <v>433</v>
      </c>
      <c r="I397" t="s">
        <v>32</v>
      </c>
      <c r="J397" t="s">
        <v>80</v>
      </c>
      <c r="K397">
        <f t="shared" si="1017"/>
        <v>1</v>
      </c>
      <c r="L397">
        <f t="shared" si="1018"/>
        <v>0</v>
      </c>
      <c r="M397">
        <f t="shared" si="1019"/>
        <v>1</v>
      </c>
      <c r="N397">
        <f t="shared" si="1020"/>
        <v>0</v>
      </c>
      <c r="O397">
        <f t="shared" si="1021"/>
        <v>2</v>
      </c>
      <c r="P397" t="str">
        <f t="shared" si="1022"/>
        <v>Large centralized natural gas steam reforming-Flexibility</v>
      </c>
      <c r="Q397" t="str">
        <f t="shared" si="1023"/>
        <v>Underground storage-Flexibility</v>
      </c>
      <c r="R397" t="str">
        <f t="shared" si="1024"/>
        <v>Onsite-Flexibility</v>
      </c>
      <c r="S397" t="str">
        <f t="shared" si="1025"/>
        <v>District-CHP with H2 fuel cell (power)-Flexibility</v>
      </c>
      <c r="T397">
        <f ca="1">VLOOKUP($P397,'TA database'!$I$8:$J$79,2,FALSE)</f>
        <v>0</v>
      </c>
      <c r="U397">
        <v>0</v>
      </c>
      <c r="V397">
        <v>0</v>
      </c>
      <c r="W397">
        <v>0</v>
      </c>
      <c r="X397">
        <v>0</v>
      </c>
      <c r="Y397">
        <f t="shared" ca="1" si="1026"/>
        <v>0</v>
      </c>
      <c r="Z397" t="str">
        <f t="shared" si="1027"/>
        <v>NG_SR_LRG_C   →   C_UNDRGRND_STRG   →   ONSITE_USE   →   H2_FC_DCHP_PWR</v>
      </c>
      <c r="AA397" t="str">
        <f t="shared" si="1028"/>
        <v>Grid electricity</v>
      </c>
      <c r="AB397" t="str">
        <f t="shared" si="1029"/>
        <v>Flexibility</v>
      </c>
      <c r="AC397">
        <f t="shared" ca="1" si="1030"/>
        <v>0</v>
      </c>
      <c r="AD397">
        <v>338</v>
      </c>
      <c r="AE397" t="str">
        <f>IF(AND(ISNUMBER(SEARCH(O397,4)),ISNUMBER(SEARCH('(4) FCH pathway assessment'!$B$16,AB397)),ISNUMBER(SEARCH('(4) FCH pathway assessment'!$B$10,AA397))),AD397,"")</f>
        <v/>
      </c>
      <c r="AF397" t="str">
        <f t="shared" si="1002"/>
        <v/>
      </c>
      <c r="AG397" t="str">
        <f>VLOOKUP(C397,Assumptions!$B$116:$C$162,2,FALSE)</f>
        <v>NG_SR_LRG_C</v>
      </c>
      <c r="AH397" t="str">
        <f>VLOOKUP(D397,Assumptions!$B$116:$C$162,2,FALSE)</f>
        <v>C_UNDRGRND_STRG</v>
      </c>
      <c r="AI397" t="str">
        <f>VLOOKUP(E397,Assumptions!$B$116:$C$162,2,FALSE)</f>
        <v>ONSITE_USE</v>
      </c>
      <c r="AJ397" t="str">
        <f>VLOOKUP(F397,Assumptions!$B$116:$C$162,2,FALSE)</f>
        <v>H2_FC_DCHP_PWR</v>
      </c>
    </row>
    <row r="398" spans="2:36" x14ac:dyDescent="0.25">
      <c r="B398" t="s">
        <v>127</v>
      </c>
      <c r="C398" t="s">
        <v>57</v>
      </c>
      <c r="D398" s="61" t="s">
        <v>63</v>
      </c>
      <c r="E398" t="s">
        <v>122</v>
      </c>
      <c r="F398" t="s">
        <v>549</v>
      </c>
      <c r="G398" t="s">
        <v>114</v>
      </c>
      <c r="H398" t="s">
        <v>433</v>
      </c>
      <c r="I398" t="s">
        <v>32</v>
      </c>
      <c r="J398" t="s">
        <v>80</v>
      </c>
      <c r="K398">
        <f t="shared" ref="K398:K402" si="1031">SUMPRODUCT(($C$7:$C$18=$C398)*($D$6:$H$6=$D398)*($D$7:$H$18))</f>
        <v>1</v>
      </c>
      <c r="L398">
        <f t="shared" ref="L398:L402" si="1032">SUMPRODUCT(($C$19:$C$23=$D398)*($I$6:$O$6=$E398)*($I$19:$O$23))</f>
        <v>1</v>
      </c>
      <c r="M398">
        <f t="shared" ref="M398:M402" si="1033">SUMPRODUCT(($C$24:$C$30=$E398)*($P$6:$AI$6=$F398)*($P$24:$AI$30))</f>
        <v>1</v>
      </c>
      <c r="N398">
        <f t="shared" ref="N398:N402" si="1034">SUMPRODUCT(($C$31:$C$50=$F398)*($AJ$6:$AM$6=$G398)*($AJ$31:$AM$50))</f>
        <v>0</v>
      </c>
      <c r="O398">
        <f t="shared" ref="O398:O402" si="1035">K398+L398+M398+N398</f>
        <v>3</v>
      </c>
      <c r="P398" t="str">
        <f t="shared" ref="P398:P402" si="1036">CONCATENATE(C398,"-",J398)</f>
        <v>Large centralized natural gas steam reforming-Flexibility</v>
      </c>
      <c r="Q398" t="str">
        <f t="shared" ref="Q398:Q402" si="1037">CONCATENATE(D398,"-",J398)</f>
        <v>No storage-Flexibility</v>
      </c>
      <c r="R398" t="str">
        <f t="shared" ref="R398:R402" si="1038">CONCATENATE(E398,"-",J398)</f>
        <v>Hydrogen transmission &amp; distribution pipeline-Flexibility</v>
      </c>
      <c r="S398" t="str">
        <f t="shared" ref="S398:S402" si="1039">CONCATENATE(F398,"-",J398)</f>
        <v>District-CHP with H2 fuel cell (power)-Flexibility</v>
      </c>
      <c r="T398">
        <f ca="1">VLOOKUP($P398,'TA database'!$I$8:$J$79,2,FALSE)</f>
        <v>0</v>
      </c>
      <c r="U398">
        <v>0</v>
      </c>
      <c r="V398">
        <v>0</v>
      </c>
      <c r="W398">
        <v>0</v>
      </c>
      <c r="X398">
        <v>0</v>
      </c>
      <c r="Y398">
        <f t="shared" ca="1" si="1026"/>
        <v>0</v>
      </c>
      <c r="Z398" t="str">
        <f t="shared" ref="Z398:Z402" si="1040">CONCATENATE(AG398,"   →   ",AH398,"   →   ",AI398,"   →   ",AJ398)</f>
        <v>NG_SR_LRG_C   →   NO_STRG   →   H2_T&amp;D_P   →   H2_FC_DCHP_PWR</v>
      </c>
      <c r="AA398" t="str">
        <f t="shared" ref="AA398:AA402" si="1041">G398</f>
        <v>Grid electricity</v>
      </c>
      <c r="AB398" t="str">
        <f t="shared" ref="AB398:AB402" si="1042">J398</f>
        <v>Flexibility</v>
      </c>
      <c r="AC398">
        <f t="shared" ref="AC398:AC402" ca="1" si="1043">Y398</f>
        <v>0</v>
      </c>
      <c r="AD398">
        <v>339</v>
      </c>
      <c r="AE398" t="str">
        <f>IF(AND(ISNUMBER(SEARCH(O398,4)),ISNUMBER(SEARCH('(4) FCH pathway assessment'!$B$16,AB398)),ISNUMBER(SEARCH('(4) FCH pathway assessment'!$B$10,AA398))),AD398,"")</f>
        <v/>
      </c>
      <c r="AF398" t="str">
        <f t="shared" si="1002"/>
        <v/>
      </c>
      <c r="AG398" t="str">
        <f>VLOOKUP(C398,Assumptions!$B$116:$C$162,2,FALSE)</f>
        <v>NG_SR_LRG_C</v>
      </c>
      <c r="AH398" t="str">
        <f>VLOOKUP(D398,Assumptions!$B$116:$C$162,2,FALSE)</f>
        <v>NO_STRG</v>
      </c>
      <c r="AI398" t="str">
        <f>VLOOKUP(E398,Assumptions!$B$116:$C$162,2,FALSE)</f>
        <v>H2_T&amp;D_P</v>
      </c>
      <c r="AJ398" t="str">
        <f>VLOOKUP(F398,Assumptions!$B$116:$C$162,2,FALSE)</f>
        <v>H2_FC_DCHP_PWR</v>
      </c>
    </row>
    <row r="399" spans="2:36" x14ac:dyDescent="0.25">
      <c r="B399" t="s">
        <v>127</v>
      </c>
      <c r="C399" t="s">
        <v>58</v>
      </c>
      <c r="D399" t="s">
        <v>155</v>
      </c>
      <c r="E399" t="s">
        <v>157</v>
      </c>
      <c r="F399" t="s">
        <v>549</v>
      </c>
      <c r="G399" t="s">
        <v>114</v>
      </c>
      <c r="H399" t="s">
        <v>433</v>
      </c>
      <c r="I399" t="s">
        <v>32</v>
      </c>
      <c r="J399" t="s">
        <v>80</v>
      </c>
      <c r="K399">
        <f t="shared" si="1031"/>
        <v>1</v>
      </c>
      <c r="L399">
        <f t="shared" si="1032"/>
        <v>1</v>
      </c>
      <c r="M399">
        <f t="shared" si="1033"/>
        <v>0</v>
      </c>
      <c r="N399">
        <f t="shared" si="1034"/>
        <v>0</v>
      </c>
      <c r="O399">
        <f t="shared" si="1035"/>
        <v>2</v>
      </c>
      <c r="P399" t="str">
        <f t="shared" si="1036"/>
        <v>Small centralized natural gas steam reforming-Flexibility</v>
      </c>
      <c r="Q399" t="str">
        <f t="shared" si="1037"/>
        <v>Central gas storage-Flexibility</v>
      </c>
      <c r="R399" t="str">
        <f t="shared" si="1038"/>
        <v>Blending in natural gas pipeline-Flexibility</v>
      </c>
      <c r="S399" t="str">
        <f t="shared" si="1039"/>
        <v>District-CHP with H2 fuel cell (power)-Flexibility</v>
      </c>
      <c r="T399">
        <f ca="1">VLOOKUP($P399,'TA database'!$I$8:$J$79,2,FALSE)</f>
        <v>0</v>
      </c>
      <c r="U399">
        <v>0</v>
      </c>
      <c r="V399">
        <v>0</v>
      </c>
      <c r="W399">
        <v>0</v>
      </c>
      <c r="X399">
        <v>0</v>
      </c>
      <c r="Y399">
        <f t="shared" ref="Y399:Y403" ca="1" si="1044">$T399</f>
        <v>0</v>
      </c>
      <c r="Z399" t="str">
        <f t="shared" si="1040"/>
        <v>NG_SR_SML_C   →   C_GAS_STRG   →   H2_BLND_NG_P   →   H2_FC_DCHP_PWR</v>
      </c>
      <c r="AA399" t="str">
        <f t="shared" si="1041"/>
        <v>Grid electricity</v>
      </c>
      <c r="AB399" t="str">
        <f t="shared" si="1042"/>
        <v>Flexibility</v>
      </c>
      <c r="AC399">
        <f t="shared" ca="1" si="1043"/>
        <v>0</v>
      </c>
      <c r="AD399">
        <v>340</v>
      </c>
      <c r="AE399" t="str">
        <f>IF(AND(ISNUMBER(SEARCH(O399,4)),ISNUMBER(SEARCH('(4) FCH pathway assessment'!$B$16,AB399)),ISNUMBER(SEARCH('(4) FCH pathway assessment'!$B$10,AA399))),AD399,"")</f>
        <v/>
      </c>
      <c r="AF399" t="str">
        <f t="shared" si="1002"/>
        <v/>
      </c>
      <c r="AG399" t="str">
        <f>VLOOKUP(C399,Assumptions!$B$116:$C$162,2,FALSE)</f>
        <v>NG_SR_SML_C</v>
      </c>
      <c r="AH399" t="str">
        <f>VLOOKUP(D399,Assumptions!$B$116:$C$162,2,FALSE)</f>
        <v>C_GAS_STRG</v>
      </c>
      <c r="AI399" t="str">
        <f>VLOOKUP(E399,Assumptions!$B$116:$C$162,2,FALSE)</f>
        <v>H2_BLND_NG_P</v>
      </c>
      <c r="AJ399" t="str">
        <f>VLOOKUP(F399,Assumptions!$B$116:$C$162,2,FALSE)</f>
        <v>H2_FC_DCHP_PWR</v>
      </c>
    </row>
    <row r="400" spans="2:36" x14ac:dyDescent="0.25">
      <c r="B400" t="s">
        <v>127</v>
      </c>
      <c r="C400" t="s">
        <v>58</v>
      </c>
      <c r="D400" t="s">
        <v>155</v>
      </c>
      <c r="E400" t="s">
        <v>122</v>
      </c>
      <c r="F400" t="s">
        <v>549</v>
      </c>
      <c r="G400" t="s">
        <v>114</v>
      </c>
      <c r="H400" t="s">
        <v>433</v>
      </c>
      <c r="I400" t="s">
        <v>32</v>
      </c>
      <c r="J400" t="s">
        <v>80</v>
      </c>
      <c r="K400">
        <f t="shared" si="1031"/>
        <v>1</v>
      </c>
      <c r="L400">
        <f t="shared" si="1032"/>
        <v>1</v>
      </c>
      <c r="M400">
        <f t="shared" si="1033"/>
        <v>1</v>
      </c>
      <c r="N400">
        <f t="shared" si="1034"/>
        <v>0</v>
      </c>
      <c r="O400">
        <f t="shared" si="1035"/>
        <v>3</v>
      </c>
      <c r="P400" t="str">
        <f t="shared" si="1036"/>
        <v>Small centralized natural gas steam reforming-Flexibility</v>
      </c>
      <c r="Q400" t="str">
        <f t="shared" si="1037"/>
        <v>Central gas storage-Flexibility</v>
      </c>
      <c r="R400" t="str">
        <f t="shared" si="1038"/>
        <v>Hydrogen transmission &amp; distribution pipeline-Flexibility</v>
      </c>
      <c r="S400" t="str">
        <f t="shared" si="1039"/>
        <v>District-CHP with H2 fuel cell (power)-Flexibility</v>
      </c>
      <c r="T400">
        <f ca="1">VLOOKUP($P400,'TA database'!$I$8:$J$79,2,FALSE)</f>
        <v>0</v>
      </c>
      <c r="U400">
        <v>0</v>
      </c>
      <c r="V400">
        <v>0</v>
      </c>
      <c r="W400">
        <v>0</v>
      </c>
      <c r="X400">
        <v>0</v>
      </c>
      <c r="Y400">
        <f t="shared" ca="1" si="1044"/>
        <v>0</v>
      </c>
      <c r="Z400" t="str">
        <f t="shared" si="1040"/>
        <v>NG_SR_SML_C   →   C_GAS_STRG   →   H2_T&amp;D_P   →   H2_FC_DCHP_PWR</v>
      </c>
      <c r="AA400" t="str">
        <f t="shared" si="1041"/>
        <v>Grid electricity</v>
      </c>
      <c r="AB400" t="str">
        <f t="shared" si="1042"/>
        <v>Flexibility</v>
      </c>
      <c r="AC400">
        <f t="shared" ca="1" si="1043"/>
        <v>0</v>
      </c>
      <c r="AD400">
        <v>341</v>
      </c>
      <c r="AE400" t="str">
        <f>IF(AND(ISNUMBER(SEARCH(O400,4)),ISNUMBER(SEARCH('(4) FCH pathway assessment'!$B$16,AB400)),ISNUMBER(SEARCH('(4) FCH pathway assessment'!$B$10,AA400))),AD400,"")</f>
        <v/>
      </c>
      <c r="AF400" t="str">
        <f t="shared" si="1002"/>
        <v/>
      </c>
      <c r="AG400" t="str">
        <f>VLOOKUP(C400,Assumptions!$B$116:$C$162,2,FALSE)</f>
        <v>NG_SR_SML_C</v>
      </c>
      <c r="AH400" t="str">
        <f>VLOOKUP(D400,Assumptions!$B$116:$C$162,2,FALSE)</f>
        <v>C_GAS_STRG</v>
      </c>
      <c r="AI400" t="str">
        <f>VLOOKUP(E400,Assumptions!$B$116:$C$162,2,FALSE)</f>
        <v>H2_T&amp;D_P</v>
      </c>
      <c r="AJ400" t="str">
        <f>VLOOKUP(F400,Assumptions!$B$116:$C$162,2,FALSE)</f>
        <v>H2_FC_DCHP_PWR</v>
      </c>
    </row>
    <row r="401" spans="2:36" x14ac:dyDescent="0.25">
      <c r="B401" t="s">
        <v>127</v>
      </c>
      <c r="C401" t="s">
        <v>58</v>
      </c>
      <c r="D401" t="s">
        <v>155</v>
      </c>
      <c r="E401" t="s">
        <v>116</v>
      </c>
      <c r="F401" t="s">
        <v>549</v>
      </c>
      <c r="G401" t="s">
        <v>114</v>
      </c>
      <c r="H401" t="s">
        <v>433</v>
      </c>
      <c r="I401" t="s">
        <v>32</v>
      </c>
      <c r="J401" t="s">
        <v>80</v>
      </c>
      <c r="K401">
        <f t="shared" si="1031"/>
        <v>1</v>
      </c>
      <c r="L401">
        <f t="shared" si="1032"/>
        <v>1</v>
      </c>
      <c r="M401">
        <f t="shared" si="1033"/>
        <v>1</v>
      </c>
      <c r="N401">
        <f t="shared" si="1034"/>
        <v>0</v>
      </c>
      <c r="O401">
        <f t="shared" si="1035"/>
        <v>3</v>
      </c>
      <c r="P401" t="str">
        <f t="shared" si="1036"/>
        <v>Small centralized natural gas steam reforming-Flexibility</v>
      </c>
      <c r="Q401" t="str">
        <f t="shared" si="1037"/>
        <v>Central gas storage-Flexibility</v>
      </c>
      <c r="R401" t="str">
        <f t="shared" si="1038"/>
        <v>Liquid hydrogen truck-Flexibility</v>
      </c>
      <c r="S401" t="str">
        <f t="shared" si="1039"/>
        <v>District-CHP with H2 fuel cell (power)-Flexibility</v>
      </c>
      <c r="T401">
        <f ca="1">VLOOKUP($P401,'TA database'!$I$8:$J$79,2,FALSE)</f>
        <v>0</v>
      </c>
      <c r="U401">
        <v>0</v>
      </c>
      <c r="V401">
        <v>0</v>
      </c>
      <c r="W401">
        <v>0</v>
      </c>
      <c r="X401">
        <v>0</v>
      </c>
      <c r="Y401">
        <f t="shared" ca="1" si="1044"/>
        <v>0</v>
      </c>
      <c r="Z401" t="str">
        <f t="shared" si="1040"/>
        <v>NG_SR_SML_C   →   C_GAS_STRG   →   LQ_TRUCK   →   H2_FC_DCHP_PWR</v>
      </c>
      <c r="AA401" t="str">
        <f t="shared" si="1041"/>
        <v>Grid electricity</v>
      </c>
      <c r="AB401" t="str">
        <f t="shared" si="1042"/>
        <v>Flexibility</v>
      </c>
      <c r="AC401">
        <f t="shared" ca="1" si="1043"/>
        <v>0</v>
      </c>
      <c r="AD401">
        <v>342</v>
      </c>
      <c r="AE401" t="str">
        <f>IF(AND(ISNUMBER(SEARCH(O401,4)),ISNUMBER(SEARCH('(4) FCH pathway assessment'!$B$16,AB401)),ISNUMBER(SEARCH('(4) FCH pathway assessment'!$B$10,AA401))),AD401,"")</f>
        <v/>
      </c>
      <c r="AF401" t="str">
        <f t="shared" si="1002"/>
        <v/>
      </c>
      <c r="AG401" t="str">
        <f>VLOOKUP(C401,Assumptions!$B$116:$C$162,2,FALSE)</f>
        <v>NG_SR_SML_C</v>
      </c>
      <c r="AH401" t="str">
        <f>VLOOKUP(D401,Assumptions!$B$116:$C$162,2,FALSE)</f>
        <v>C_GAS_STRG</v>
      </c>
      <c r="AI401" t="str">
        <f>VLOOKUP(E401,Assumptions!$B$116:$C$162,2,FALSE)</f>
        <v>LQ_TRUCK</v>
      </c>
      <c r="AJ401" t="str">
        <f>VLOOKUP(F401,Assumptions!$B$116:$C$162,2,FALSE)</f>
        <v>H2_FC_DCHP_PWR</v>
      </c>
    </row>
    <row r="402" spans="2:36" x14ac:dyDescent="0.25">
      <c r="B402" t="s">
        <v>127</v>
      </c>
      <c r="C402" t="s">
        <v>58</v>
      </c>
      <c r="D402" t="s">
        <v>155</v>
      </c>
      <c r="E402" t="s">
        <v>66</v>
      </c>
      <c r="F402" t="s">
        <v>549</v>
      </c>
      <c r="G402" t="s">
        <v>114</v>
      </c>
      <c r="H402" t="s">
        <v>433</v>
      </c>
      <c r="I402" t="s">
        <v>32</v>
      </c>
      <c r="J402" t="s">
        <v>80</v>
      </c>
      <c r="K402">
        <f t="shared" si="1031"/>
        <v>1</v>
      </c>
      <c r="L402">
        <f t="shared" si="1032"/>
        <v>1</v>
      </c>
      <c r="M402">
        <f t="shared" si="1033"/>
        <v>1</v>
      </c>
      <c r="N402">
        <f t="shared" si="1034"/>
        <v>0</v>
      </c>
      <c r="O402">
        <f t="shared" si="1035"/>
        <v>3</v>
      </c>
      <c r="P402" t="str">
        <f t="shared" si="1036"/>
        <v>Small centralized natural gas steam reforming-Flexibility</v>
      </c>
      <c r="Q402" t="str">
        <f t="shared" si="1037"/>
        <v>Central gas storage-Flexibility</v>
      </c>
      <c r="R402" t="str">
        <f t="shared" si="1038"/>
        <v>Onsite-Flexibility</v>
      </c>
      <c r="S402" t="str">
        <f t="shared" si="1039"/>
        <v>District-CHP with H2 fuel cell (power)-Flexibility</v>
      </c>
      <c r="T402">
        <f ca="1">VLOOKUP($P402,'TA database'!$I$8:$J$79,2,FALSE)</f>
        <v>0</v>
      </c>
      <c r="U402">
        <v>0</v>
      </c>
      <c r="V402">
        <v>0</v>
      </c>
      <c r="W402">
        <v>0</v>
      </c>
      <c r="X402">
        <v>0</v>
      </c>
      <c r="Y402">
        <f t="shared" ca="1" si="1044"/>
        <v>0</v>
      </c>
      <c r="Z402" t="str">
        <f t="shared" si="1040"/>
        <v>NG_SR_SML_C   →   C_GAS_STRG   →   ONSITE_USE   →   H2_FC_DCHP_PWR</v>
      </c>
      <c r="AA402" t="str">
        <f t="shared" si="1041"/>
        <v>Grid electricity</v>
      </c>
      <c r="AB402" t="str">
        <f t="shared" si="1042"/>
        <v>Flexibility</v>
      </c>
      <c r="AC402">
        <f t="shared" ca="1" si="1043"/>
        <v>0</v>
      </c>
      <c r="AD402">
        <v>343</v>
      </c>
      <c r="AE402" t="str">
        <f>IF(AND(ISNUMBER(SEARCH(O402,4)),ISNUMBER(SEARCH('(4) FCH pathway assessment'!$B$16,AB402)),ISNUMBER(SEARCH('(4) FCH pathway assessment'!$B$10,AA402))),AD402,"")</f>
        <v/>
      </c>
      <c r="AF402" t="str">
        <f t="shared" si="1002"/>
        <v/>
      </c>
      <c r="AG402" t="str">
        <f>VLOOKUP(C402,Assumptions!$B$116:$C$162,2,FALSE)</f>
        <v>NG_SR_SML_C</v>
      </c>
      <c r="AH402" t="str">
        <f>VLOOKUP(D402,Assumptions!$B$116:$C$162,2,FALSE)</f>
        <v>C_GAS_STRG</v>
      </c>
      <c r="AI402" t="str">
        <f>VLOOKUP(E402,Assumptions!$B$116:$C$162,2,FALSE)</f>
        <v>ONSITE_USE</v>
      </c>
      <c r="AJ402" t="str">
        <f>VLOOKUP(F402,Assumptions!$B$116:$C$162,2,FALSE)</f>
        <v>H2_FC_DCHP_PWR</v>
      </c>
    </row>
    <row r="403" spans="2:36" x14ac:dyDescent="0.25">
      <c r="B403" t="s">
        <v>127</v>
      </c>
      <c r="C403" t="s">
        <v>59</v>
      </c>
      <c r="D403" s="60" t="s">
        <v>130</v>
      </c>
      <c r="E403" t="s">
        <v>66</v>
      </c>
      <c r="F403" t="s">
        <v>549</v>
      </c>
      <c r="G403" t="s">
        <v>114</v>
      </c>
      <c r="H403" t="s">
        <v>433</v>
      </c>
      <c r="I403" t="s">
        <v>32</v>
      </c>
      <c r="J403" t="s">
        <v>80</v>
      </c>
      <c r="K403">
        <f t="shared" ref="K403:K404" si="1045">SUMPRODUCT(($C$7:$C$18=$C403)*($D$6:$H$6=$D403)*($D$7:$H$18))</f>
        <v>1</v>
      </c>
      <c r="L403">
        <f t="shared" ref="L403:L404" si="1046">SUMPRODUCT(($C$19:$C$23=$D403)*($I$6:$O$6=$E403)*($I$19:$O$23))</f>
        <v>1</v>
      </c>
      <c r="M403">
        <f t="shared" ref="M403:M404" si="1047">SUMPRODUCT(($C$24:$C$30=$E403)*($P$6:$AI$6=$F403)*($P$24:$AI$30))</f>
        <v>1</v>
      </c>
      <c r="N403">
        <f t="shared" ref="N403:N404" si="1048">SUMPRODUCT(($C$31:$C$50=$F403)*($AJ$6:$AM$6=$G403)*($AJ$31:$AM$50))</f>
        <v>0</v>
      </c>
      <c r="O403">
        <f t="shared" ref="O403:O404" si="1049">K403+L403+M403+N403</f>
        <v>3</v>
      </c>
      <c r="P403" t="str">
        <f t="shared" ref="P403:P404" si="1050">CONCATENATE(C403,"-",J403)</f>
        <v>Medium decentralized natural gas steam reforming-Flexibility</v>
      </c>
      <c r="Q403" t="str">
        <f t="shared" ref="Q403:Q404" si="1051">CONCATENATE(D403,"-",J403)</f>
        <v>Distributed gas storage-Flexibility</v>
      </c>
      <c r="R403" t="str">
        <f t="shared" ref="R403:R404" si="1052">CONCATENATE(E403,"-",J403)</f>
        <v>Onsite-Flexibility</v>
      </c>
      <c r="S403" t="str">
        <f t="shared" ref="S403:S404" si="1053">CONCATENATE(F403,"-",J403)</f>
        <v>District-CHP with H2 fuel cell (power)-Flexibility</v>
      </c>
      <c r="T403">
        <f ca="1">VLOOKUP($P403,'TA database'!$I$8:$J$79,2,FALSE)</f>
        <v>0</v>
      </c>
      <c r="U403">
        <v>0</v>
      </c>
      <c r="V403">
        <v>0</v>
      </c>
      <c r="W403">
        <v>0</v>
      </c>
      <c r="X403">
        <v>0</v>
      </c>
      <c r="Y403">
        <f t="shared" ca="1" si="1044"/>
        <v>0</v>
      </c>
      <c r="Z403" t="str">
        <f t="shared" ref="Z403:Z404" si="1054">CONCATENATE(AG403,"   →   ",AH403,"   →   ",AI403,"   →   ",AJ403)</f>
        <v>NG_SR_MED_D   →   D_GAS_STRG   →   ONSITE_USE   →   H2_FC_DCHP_PWR</v>
      </c>
      <c r="AA403" t="str">
        <f t="shared" ref="AA403:AA404" si="1055">G403</f>
        <v>Grid electricity</v>
      </c>
      <c r="AB403" t="str">
        <f t="shared" ref="AB403:AB404" si="1056">J403</f>
        <v>Flexibility</v>
      </c>
      <c r="AC403">
        <f t="shared" ref="AC403:AC404" ca="1" si="1057">Y403</f>
        <v>0</v>
      </c>
      <c r="AD403">
        <v>344</v>
      </c>
      <c r="AE403" t="str">
        <f>IF(AND(ISNUMBER(SEARCH(O403,4)),ISNUMBER(SEARCH('(4) FCH pathway assessment'!$B$16,AB403)),ISNUMBER(SEARCH('(4) FCH pathway assessment'!$B$10,AA403))),AD403,"")</f>
        <v/>
      </c>
      <c r="AF403" t="str">
        <f t="shared" si="1002"/>
        <v/>
      </c>
      <c r="AG403" t="str">
        <f>VLOOKUP(C403,Assumptions!$B$116:$C$162,2,FALSE)</f>
        <v>NG_SR_MED_D</v>
      </c>
      <c r="AH403" t="str">
        <f>VLOOKUP(D403,Assumptions!$B$116:$C$162,2,FALSE)</f>
        <v>D_GAS_STRG</v>
      </c>
      <c r="AI403" t="str">
        <f>VLOOKUP(E403,Assumptions!$B$116:$C$162,2,FALSE)</f>
        <v>ONSITE_USE</v>
      </c>
      <c r="AJ403" t="str">
        <f>VLOOKUP(F403,Assumptions!$B$116:$C$162,2,FALSE)</f>
        <v>H2_FC_DCHP_PWR</v>
      </c>
    </row>
    <row r="404" spans="2:36" x14ac:dyDescent="0.25">
      <c r="B404" t="s">
        <v>127</v>
      </c>
      <c r="C404" t="s">
        <v>60</v>
      </c>
      <c r="D404" s="60" t="s">
        <v>130</v>
      </c>
      <c r="E404" t="s">
        <v>66</v>
      </c>
      <c r="F404" t="s">
        <v>549</v>
      </c>
      <c r="G404" t="s">
        <v>114</v>
      </c>
      <c r="H404" t="s">
        <v>433</v>
      </c>
      <c r="I404" t="s">
        <v>32</v>
      </c>
      <c r="J404" t="s">
        <v>80</v>
      </c>
      <c r="K404">
        <f t="shared" si="1045"/>
        <v>1</v>
      </c>
      <c r="L404">
        <f t="shared" si="1046"/>
        <v>1</v>
      </c>
      <c r="M404">
        <f t="shared" si="1047"/>
        <v>1</v>
      </c>
      <c r="N404">
        <f t="shared" si="1048"/>
        <v>0</v>
      </c>
      <c r="O404">
        <f t="shared" si="1049"/>
        <v>3</v>
      </c>
      <c r="P404" t="str">
        <f t="shared" si="1050"/>
        <v>Small decentralized natural gas steam reforming-Flexibility</v>
      </c>
      <c r="Q404" t="str">
        <f t="shared" si="1051"/>
        <v>Distributed gas storage-Flexibility</v>
      </c>
      <c r="R404" t="str">
        <f t="shared" si="1052"/>
        <v>Onsite-Flexibility</v>
      </c>
      <c r="S404" t="str">
        <f t="shared" si="1053"/>
        <v>District-CHP with H2 fuel cell (power)-Flexibility</v>
      </c>
      <c r="T404">
        <f ca="1">VLOOKUP($P404,'TA database'!$I$8:$J$79,2,FALSE)</f>
        <v>0</v>
      </c>
      <c r="U404">
        <v>0</v>
      </c>
      <c r="V404">
        <v>0</v>
      </c>
      <c r="W404">
        <v>0</v>
      </c>
      <c r="X404">
        <v>0</v>
      </c>
      <c r="Y404">
        <f t="shared" ref="Y404" ca="1" si="1058">$T404</f>
        <v>0</v>
      </c>
      <c r="Z404" t="str">
        <f t="shared" si="1054"/>
        <v>NG_SR_SML_D   →   D_GAS_STRG   →   ONSITE_USE   →   H2_FC_DCHP_PWR</v>
      </c>
      <c r="AA404" t="str">
        <f t="shared" si="1055"/>
        <v>Grid electricity</v>
      </c>
      <c r="AB404" t="str">
        <f t="shared" si="1056"/>
        <v>Flexibility</v>
      </c>
      <c r="AC404">
        <f t="shared" ca="1" si="1057"/>
        <v>0</v>
      </c>
      <c r="AD404">
        <v>345</v>
      </c>
      <c r="AE404" t="str">
        <f>IF(AND(ISNUMBER(SEARCH(O404,4)),ISNUMBER(SEARCH('(4) FCH pathway assessment'!$B$16,AB404)),ISNUMBER(SEARCH('(4) FCH pathway assessment'!$B$10,AA404))),AD404,"")</f>
        <v/>
      </c>
      <c r="AF404" t="str">
        <f t="shared" si="1002"/>
        <v/>
      </c>
      <c r="AG404" t="str">
        <f>VLOOKUP(C404,Assumptions!$B$116:$C$162,2,FALSE)</f>
        <v>NG_SR_SML_D</v>
      </c>
      <c r="AH404" t="str">
        <f>VLOOKUP(D404,Assumptions!$B$116:$C$162,2,FALSE)</f>
        <v>D_GAS_STRG</v>
      </c>
      <c r="AI404" t="str">
        <f>VLOOKUP(E404,Assumptions!$B$116:$C$162,2,FALSE)</f>
        <v>ONSITE_USE</v>
      </c>
      <c r="AJ404" t="str">
        <f>VLOOKUP(F404,Assumptions!$B$116:$C$162,2,FALSE)</f>
        <v>H2_FC_DCHP_PWR</v>
      </c>
    </row>
    <row r="405" spans="2:36" x14ac:dyDescent="0.25">
      <c r="B405" t="s">
        <v>117</v>
      </c>
      <c r="C405" t="s">
        <v>53</v>
      </c>
      <c r="D405" t="s">
        <v>155</v>
      </c>
      <c r="E405" t="s">
        <v>65</v>
      </c>
      <c r="F405" t="s">
        <v>550</v>
      </c>
      <c r="G405" t="s">
        <v>114</v>
      </c>
      <c r="H405" t="s">
        <v>433</v>
      </c>
      <c r="I405" t="s">
        <v>32</v>
      </c>
      <c r="J405" t="s">
        <v>80</v>
      </c>
      <c r="K405">
        <f t="shared" ref="K405" si="1059">SUMPRODUCT(($C$7:$C$18=$C405)*($D$6:$H$6=$D405)*($D$7:$H$18))</f>
        <v>0</v>
      </c>
      <c r="L405">
        <f t="shared" ref="L405" si="1060">SUMPRODUCT(($C$19:$C$23=$D405)*($I$6:$O$6=$E405)*($I$19:$O$23))</f>
        <v>1</v>
      </c>
      <c r="M405">
        <f t="shared" ref="M405" si="1061">SUMPRODUCT(($C$24:$C$30=$E405)*($P$6:$AI$6=$F405)*($P$24:$AI$30))</f>
        <v>0</v>
      </c>
      <c r="N405">
        <f t="shared" ref="N405" si="1062">SUMPRODUCT(($C$31:$C$50=$F405)*($AJ$6:$AM$6=$G405)*($AJ$31:$AM$50))</f>
        <v>1</v>
      </c>
      <c r="O405">
        <f t="shared" ref="O405" si="1063">K405+L405+M405+N405</f>
        <v>2</v>
      </c>
      <c r="P405" t="str">
        <f t="shared" ref="P405" si="1064">CONCATENATE(C405,"-",J405)</f>
        <v>Medium centralized biomass gasification-Flexibility</v>
      </c>
      <c r="Q405" t="str">
        <f t="shared" ref="Q405" si="1065">CONCATENATE(D405,"-",J405)</f>
        <v>Central gas storage-Flexibility</v>
      </c>
      <c r="R405" t="str">
        <f t="shared" ref="R405" si="1066">CONCATENATE(E405,"-",J405)</f>
        <v>Methanation-Flexibility</v>
      </c>
      <c r="S405" t="str">
        <f t="shared" ref="S405" si="1067">CONCATENATE(F405,"-",J405)</f>
        <v>District-CHP with natural gas fuel cell (power)-Flexibility</v>
      </c>
      <c r="T405">
        <f ca="1">VLOOKUP($P405,'TA database'!$I$8:$J$79,2,FALSE)</f>
        <v>0</v>
      </c>
      <c r="U405">
        <v>0</v>
      </c>
      <c r="V405">
        <v>0</v>
      </c>
      <c r="W405">
        <v>0</v>
      </c>
      <c r="X405">
        <v>0</v>
      </c>
      <c r="Y405">
        <f t="shared" ref="Y405:Y406" ca="1" si="1068">$T405</f>
        <v>0</v>
      </c>
      <c r="Z405" t="str">
        <f t="shared" ref="Z405" si="1069">CONCATENATE(AG405,"   →   ",AH405,"   →   ",AI405,"   →   ",AJ405)</f>
        <v>BIO_GSF_MED_C   →   C_GAS_STRG   →   METHANATION   →   NG_FC_DCHP_PWR</v>
      </c>
      <c r="AA405" t="str">
        <f t="shared" ref="AA405" si="1070">G405</f>
        <v>Grid electricity</v>
      </c>
      <c r="AB405" t="str">
        <f t="shared" ref="AB405" si="1071">J405</f>
        <v>Flexibility</v>
      </c>
      <c r="AC405">
        <f t="shared" ref="AC405" ca="1" si="1072">Y405</f>
        <v>0</v>
      </c>
      <c r="AD405">
        <v>346</v>
      </c>
      <c r="AE405" t="str">
        <f>IF(AND(ISNUMBER(SEARCH(O405,4)),ISNUMBER(SEARCH('(4) FCH pathway assessment'!$B$16,AB405)),ISNUMBER(SEARCH('(4) FCH pathway assessment'!$B$10,AA405))),AD405,"")</f>
        <v/>
      </c>
      <c r="AF405" t="str">
        <f t="shared" si="1002"/>
        <v/>
      </c>
      <c r="AG405" t="str">
        <f>VLOOKUP(C405,Assumptions!$B$116:$C$162,2,FALSE)</f>
        <v>BIO_GSF_MED_C</v>
      </c>
      <c r="AH405" t="str">
        <f>VLOOKUP(D405,Assumptions!$B$116:$C$162,2,FALSE)</f>
        <v>C_GAS_STRG</v>
      </c>
      <c r="AI405" t="str">
        <f>VLOOKUP(E405,Assumptions!$B$116:$C$162,2,FALSE)</f>
        <v>METHANATION</v>
      </c>
      <c r="AJ405" t="str">
        <f>VLOOKUP(F405,Assumptions!$B$116:$C$162,2,FALSE)</f>
        <v>NG_FC_DCHP_PWR</v>
      </c>
    </row>
    <row r="406" spans="2:36" x14ac:dyDescent="0.25">
      <c r="B406" t="s">
        <v>117</v>
      </c>
      <c r="C406" t="s">
        <v>54</v>
      </c>
      <c r="D406" t="s">
        <v>155</v>
      </c>
      <c r="E406" t="s">
        <v>65</v>
      </c>
      <c r="F406" t="s">
        <v>550</v>
      </c>
      <c r="G406" t="s">
        <v>114</v>
      </c>
      <c r="H406" t="s">
        <v>433</v>
      </c>
      <c r="I406" t="s">
        <v>32</v>
      </c>
      <c r="J406" t="s">
        <v>80</v>
      </c>
      <c r="K406">
        <f t="shared" ref="K406" si="1073">SUMPRODUCT(($C$7:$C$18=$C406)*($D$6:$H$6=$D406)*($D$7:$H$18))</f>
        <v>0</v>
      </c>
      <c r="L406">
        <f t="shared" ref="L406" si="1074">SUMPRODUCT(($C$19:$C$23=$D406)*($I$6:$O$6=$E406)*($I$19:$O$23))</f>
        <v>1</v>
      </c>
      <c r="M406">
        <f t="shared" ref="M406" si="1075">SUMPRODUCT(($C$24:$C$30=$E406)*($P$6:$AI$6=$F406)*($P$24:$AI$30))</f>
        <v>0</v>
      </c>
      <c r="N406">
        <f t="shared" ref="N406" si="1076">SUMPRODUCT(($C$31:$C$50=$F406)*($AJ$6:$AM$6=$G406)*($AJ$31:$AM$50))</f>
        <v>1</v>
      </c>
      <c r="O406">
        <f t="shared" ref="O406" si="1077">K406+L406+M406+N406</f>
        <v>2</v>
      </c>
      <c r="P406" t="str">
        <f t="shared" ref="P406" si="1078">CONCATENATE(C406,"-",J406)</f>
        <v>Medium centralized biomass gasification w/ CCS-Flexibility</v>
      </c>
      <c r="Q406" t="str">
        <f t="shared" ref="Q406" si="1079">CONCATENATE(D406,"-",J406)</f>
        <v>Central gas storage-Flexibility</v>
      </c>
      <c r="R406" t="str">
        <f t="shared" ref="R406" si="1080">CONCATENATE(E406,"-",J406)</f>
        <v>Methanation-Flexibility</v>
      </c>
      <c r="S406" t="str">
        <f t="shared" ref="S406" si="1081">CONCATENATE(F406,"-",J406)</f>
        <v>District-CHP with natural gas fuel cell (power)-Flexibility</v>
      </c>
      <c r="T406">
        <f ca="1">VLOOKUP($P406,'TA database'!$I$8:$J$79,2,FALSE)</f>
        <v>0</v>
      </c>
      <c r="U406">
        <v>0</v>
      </c>
      <c r="V406">
        <v>0</v>
      </c>
      <c r="W406">
        <v>0</v>
      </c>
      <c r="X406">
        <v>0</v>
      </c>
      <c r="Y406">
        <f t="shared" ca="1" si="1068"/>
        <v>0</v>
      </c>
      <c r="Z406" t="str">
        <f t="shared" ref="Z406" si="1082">CONCATENATE(AG406,"   →   ",AH406,"   →   ",AI406,"   →   ",AJ406)</f>
        <v>BIO_GSF_CCS_MED_C   →   C_GAS_STRG   →   METHANATION   →   NG_FC_DCHP_PWR</v>
      </c>
      <c r="AA406" t="str">
        <f t="shared" ref="AA406" si="1083">G406</f>
        <v>Grid electricity</v>
      </c>
      <c r="AB406" t="str">
        <f t="shared" ref="AB406" si="1084">J406</f>
        <v>Flexibility</v>
      </c>
      <c r="AC406">
        <f t="shared" ref="AC406" ca="1" si="1085">Y406</f>
        <v>0</v>
      </c>
      <c r="AD406">
        <v>347</v>
      </c>
      <c r="AE406" t="str">
        <f>IF(AND(ISNUMBER(SEARCH(O406,4)),ISNUMBER(SEARCH('(4) FCH pathway assessment'!$B$16,AB406)),ISNUMBER(SEARCH('(4) FCH pathway assessment'!$B$10,AA406))),AD406,"")</f>
        <v/>
      </c>
      <c r="AF406" t="str">
        <f t="shared" si="1002"/>
        <v/>
      </c>
      <c r="AG406" t="str">
        <f>VLOOKUP(C406,Assumptions!$B$116:$C$162,2,FALSE)</f>
        <v>BIO_GSF_CCS_MED_C</v>
      </c>
      <c r="AH406" t="str">
        <f>VLOOKUP(D406,Assumptions!$B$116:$C$162,2,FALSE)</f>
        <v>C_GAS_STRG</v>
      </c>
      <c r="AI406" t="str">
        <f>VLOOKUP(E406,Assumptions!$B$116:$C$162,2,FALSE)</f>
        <v>METHANATION</v>
      </c>
      <c r="AJ406" t="str">
        <f>VLOOKUP(F406,Assumptions!$B$116:$C$162,2,FALSE)</f>
        <v>NG_FC_DCHP_PWR</v>
      </c>
    </row>
    <row r="407" spans="2:36" x14ac:dyDescent="0.25">
      <c r="B407" t="s">
        <v>117</v>
      </c>
      <c r="C407" t="s">
        <v>56</v>
      </c>
      <c r="D407" t="s">
        <v>62</v>
      </c>
      <c r="E407" t="s">
        <v>65</v>
      </c>
      <c r="F407" t="s">
        <v>550</v>
      </c>
      <c r="G407" t="s">
        <v>114</v>
      </c>
      <c r="H407" t="s">
        <v>433</v>
      </c>
      <c r="I407" t="s">
        <v>32</v>
      </c>
      <c r="J407" t="s">
        <v>80</v>
      </c>
      <c r="K407">
        <f t="shared" ref="K407:K409" si="1086">SUMPRODUCT(($C$7:$C$18=$C407)*($D$6:$H$6=$D407)*($D$7:$H$18))</f>
        <v>0</v>
      </c>
      <c r="L407">
        <f t="shared" ref="L407:L409" si="1087">SUMPRODUCT(($C$19:$C$23=$D407)*($I$6:$O$6=$E407)*($I$19:$O$23))</f>
        <v>0</v>
      </c>
      <c r="M407">
        <f t="shared" ref="M407:M409" si="1088">SUMPRODUCT(($C$24:$C$30=$E407)*($P$6:$AI$6=$F407)*($P$24:$AI$30))</f>
        <v>0</v>
      </c>
      <c r="N407">
        <f t="shared" ref="N407:N409" si="1089">SUMPRODUCT(($C$31:$C$50=$F407)*($AJ$6:$AM$6=$G407)*($AJ$31:$AM$50))</f>
        <v>1</v>
      </c>
      <c r="O407">
        <f t="shared" ref="O407:O409" si="1090">K407+L407+M407+N407</f>
        <v>1</v>
      </c>
      <c r="P407" t="str">
        <f t="shared" ref="P407:P409" si="1091">CONCATENATE(C407,"-",J407)</f>
        <v>Large centralized biomass steam reforming -Flexibility</v>
      </c>
      <c r="Q407" t="str">
        <f t="shared" ref="Q407:Q409" si="1092">CONCATENATE(D407,"-",J407)</f>
        <v>Underground storage-Flexibility</v>
      </c>
      <c r="R407" t="str">
        <f t="shared" ref="R407:R409" si="1093">CONCATENATE(E407,"-",J407)</f>
        <v>Methanation-Flexibility</v>
      </c>
      <c r="S407" t="str">
        <f t="shared" ref="S407:S409" si="1094">CONCATENATE(F407,"-",J407)</f>
        <v>District-CHP with natural gas fuel cell (power)-Flexibility</v>
      </c>
      <c r="T407">
        <f ca="1">VLOOKUP($P407,'TA database'!$I$8:$J$79,2,FALSE)</f>
        <v>0</v>
      </c>
      <c r="U407">
        <v>0</v>
      </c>
      <c r="V407">
        <v>0</v>
      </c>
      <c r="W407">
        <v>0</v>
      </c>
      <c r="X407">
        <v>0</v>
      </c>
      <c r="Y407">
        <f t="shared" ref="Y407" ca="1" si="1095">$T407</f>
        <v>0</v>
      </c>
      <c r="Z407" t="str">
        <f t="shared" ref="Z407:Z409" si="1096">CONCATENATE(AG407,"   →   ",AH407,"   →   ",AI407,"   →   ",AJ407)</f>
        <v>BIO_SR_LRG_C   →   C_UNDRGRND_STRG   →   METHANATION   →   NG_FC_DCHP_PWR</v>
      </c>
      <c r="AA407" t="str">
        <f t="shared" ref="AA407:AA409" si="1097">G407</f>
        <v>Grid electricity</v>
      </c>
      <c r="AB407" t="str">
        <f t="shared" ref="AB407:AB409" si="1098">J407</f>
        <v>Flexibility</v>
      </c>
      <c r="AC407">
        <f t="shared" ref="AC407:AC409" ca="1" si="1099">Y407</f>
        <v>0</v>
      </c>
      <c r="AD407">
        <v>348</v>
      </c>
      <c r="AE407" t="str">
        <f>IF(AND(ISNUMBER(SEARCH(O407,4)),ISNUMBER(SEARCH('(4) FCH pathway assessment'!$B$16,AB407)),ISNUMBER(SEARCH('(4) FCH pathway assessment'!$B$10,AA407))),AD407,"")</f>
        <v/>
      </c>
      <c r="AF407" t="str">
        <f t="shared" si="1002"/>
        <v/>
      </c>
      <c r="AG407" t="str">
        <f>VLOOKUP(C407,Assumptions!$B$116:$C$162,2,FALSE)</f>
        <v>BIO_SR_LRG_C</v>
      </c>
      <c r="AH407" t="str">
        <f>VLOOKUP(D407,Assumptions!$B$116:$C$162,2,FALSE)</f>
        <v>C_UNDRGRND_STRG</v>
      </c>
      <c r="AI407" t="str">
        <f>VLOOKUP(E407,Assumptions!$B$116:$C$162,2,FALSE)</f>
        <v>METHANATION</v>
      </c>
      <c r="AJ407" t="str">
        <f>VLOOKUP(F407,Assumptions!$B$116:$C$162,2,FALSE)</f>
        <v>NG_FC_DCHP_PWR</v>
      </c>
    </row>
    <row r="408" spans="2:36" x14ac:dyDescent="0.25">
      <c r="B408" t="s">
        <v>112</v>
      </c>
      <c r="C408" t="s">
        <v>49</v>
      </c>
      <c r="D408" t="s">
        <v>62</v>
      </c>
      <c r="E408" t="s">
        <v>65</v>
      </c>
      <c r="F408" t="s">
        <v>550</v>
      </c>
      <c r="G408" t="s">
        <v>114</v>
      </c>
      <c r="H408" t="s">
        <v>433</v>
      </c>
      <c r="I408" t="s">
        <v>32</v>
      </c>
      <c r="J408" t="s">
        <v>80</v>
      </c>
      <c r="K408">
        <f t="shared" si="1086"/>
        <v>1</v>
      </c>
      <c r="L408">
        <f t="shared" si="1087"/>
        <v>0</v>
      </c>
      <c r="M408">
        <f t="shared" si="1088"/>
        <v>0</v>
      </c>
      <c r="N408">
        <f t="shared" si="1089"/>
        <v>1</v>
      </c>
      <c r="O408">
        <f t="shared" si="1090"/>
        <v>2</v>
      </c>
      <c r="P408" t="str">
        <f t="shared" si="1091"/>
        <v>Large centralized electrolysis-Flexibility</v>
      </c>
      <c r="Q408" t="str">
        <f t="shared" si="1092"/>
        <v>Underground storage-Flexibility</v>
      </c>
      <c r="R408" t="str">
        <f t="shared" si="1093"/>
        <v>Methanation-Flexibility</v>
      </c>
      <c r="S408" t="str">
        <f t="shared" si="1094"/>
        <v>District-CHP with natural gas fuel cell (power)-Flexibility</v>
      </c>
      <c r="T408">
        <f ca="1">VLOOKUP($P408,'TA database'!$I$8:$J$79,2,FALSE)</f>
        <v>1</v>
      </c>
      <c r="U408">
        <v>0</v>
      </c>
      <c r="V408">
        <v>0</v>
      </c>
      <c r="W408">
        <v>0</v>
      </c>
      <c r="X408">
        <v>0</v>
      </c>
      <c r="Y408">
        <f t="shared" ref="Y408:Y409" ca="1" si="1100">$T408</f>
        <v>1</v>
      </c>
      <c r="Z408" t="str">
        <f t="shared" si="1096"/>
        <v>ELCTRLYZ_LRG_C   →   C_UNDRGRND_STRG   →   METHANATION   →   NG_FC_DCHP_PWR</v>
      </c>
      <c r="AA408" t="str">
        <f t="shared" si="1097"/>
        <v>Grid electricity</v>
      </c>
      <c r="AB408" t="str">
        <f t="shared" si="1098"/>
        <v>Flexibility</v>
      </c>
      <c r="AC408">
        <f t="shared" ca="1" si="1099"/>
        <v>1</v>
      </c>
      <c r="AD408">
        <v>349</v>
      </c>
      <c r="AE408" t="str">
        <f>IF(AND(ISNUMBER(SEARCH(O408,4)),ISNUMBER(SEARCH('(4) FCH pathway assessment'!$B$16,AB408)),ISNUMBER(SEARCH('(4) FCH pathway assessment'!$B$10,AA408))),AD408,"")</f>
        <v/>
      </c>
      <c r="AF408" t="str">
        <f t="shared" si="1002"/>
        <v/>
      </c>
      <c r="AG408" t="str">
        <f>VLOOKUP(C408,Assumptions!$B$116:$C$162,2,FALSE)</f>
        <v>ELCTRLYZ_LRG_C</v>
      </c>
      <c r="AH408" t="str">
        <f>VLOOKUP(D408,Assumptions!$B$116:$C$162,2,FALSE)</f>
        <v>C_UNDRGRND_STRG</v>
      </c>
      <c r="AI408" t="str">
        <f>VLOOKUP(E408,Assumptions!$B$116:$C$162,2,FALSE)</f>
        <v>METHANATION</v>
      </c>
      <c r="AJ408" t="str">
        <f>VLOOKUP(F408,Assumptions!$B$116:$C$162,2,FALSE)</f>
        <v>NG_FC_DCHP_PWR</v>
      </c>
    </row>
    <row r="409" spans="2:36" x14ac:dyDescent="0.25">
      <c r="B409" t="s">
        <v>112</v>
      </c>
      <c r="C409" t="s">
        <v>49</v>
      </c>
      <c r="D409" t="s">
        <v>155</v>
      </c>
      <c r="E409" t="s">
        <v>65</v>
      </c>
      <c r="F409" t="s">
        <v>550</v>
      </c>
      <c r="G409" t="s">
        <v>114</v>
      </c>
      <c r="H409" t="s">
        <v>433</v>
      </c>
      <c r="I409" t="s">
        <v>32</v>
      </c>
      <c r="J409" t="s">
        <v>80</v>
      </c>
      <c r="K409">
        <f t="shared" si="1086"/>
        <v>1</v>
      </c>
      <c r="L409">
        <f t="shared" si="1087"/>
        <v>1</v>
      </c>
      <c r="M409">
        <f t="shared" si="1088"/>
        <v>0</v>
      </c>
      <c r="N409">
        <f t="shared" si="1089"/>
        <v>1</v>
      </c>
      <c r="O409">
        <f t="shared" si="1090"/>
        <v>3</v>
      </c>
      <c r="P409" t="str">
        <f t="shared" si="1091"/>
        <v>Large centralized electrolysis-Flexibility</v>
      </c>
      <c r="Q409" t="str">
        <f t="shared" si="1092"/>
        <v>Central gas storage-Flexibility</v>
      </c>
      <c r="R409" t="str">
        <f t="shared" si="1093"/>
        <v>Methanation-Flexibility</v>
      </c>
      <c r="S409" t="str">
        <f t="shared" si="1094"/>
        <v>District-CHP with natural gas fuel cell (power)-Flexibility</v>
      </c>
      <c r="T409">
        <f ca="1">VLOOKUP($P409,'TA database'!$I$8:$J$79,2,FALSE)</f>
        <v>1</v>
      </c>
      <c r="U409">
        <v>0</v>
      </c>
      <c r="V409">
        <v>0</v>
      </c>
      <c r="W409">
        <v>0</v>
      </c>
      <c r="X409">
        <v>0</v>
      </c>
      <c r="Y409">
        <f t="shared" ca="1" si="1100"/>
        <v>1</v>
      </c>
      <c r="Z409" t="str">
        <f t="shared" si="1096"/>
        <v>ELCTRLYZ_LRG_C   →   C_GAS_STRG   →   METHANATION   →   NG_FC_DCHP_PWR</v>
      </c>
      <c r="AA409" t="str">
        <f t="shared" si="1097"/>
        <v>Grid electricity</v>
      </c>
      <c r="AB409" t="str">
        <f t="shared" si="1098"/>
        <v>Flexibility</v>
      </c>
      <c r="AC409">
        <f t="shared" ca="1" si="1099"/>
        <v>1</v>
      </c>
      <c r="AD409">
        <v>350</v>
      </c>
      <c r="AE409" t="str">
        <f>IF(AND(ISNUMBER(SEARCH(O409,4)),ISNUMBER(SEARCH('(4) FCH pathway assessment'!$B$16,AB409)),ISNUMBER(SEARCH('(4) FCH pathway assessment'!$B$10,AA409))),AD409,"")</f>
        <v/>
      </c>
      <c r="AF409" t="str">
        <f t="shared" si="1002"/>
        <v/>
      </c>
      <c r="AG409" t="str">
        <f>VLOOKUP(C409,Assumptions!$B$116:$C$162,2,FALSE)</f>
        <v>ELCTRLYZ_LRG_C</v>
      </c>
      <c r="AH409" t="str">
        <f>VLOOKUP(D409,Assumptions!$B$116:$C$162,2,FALSE)</f>
        <v>C_GAS_STRG</v>
      </c>
      <c r="AI409" t="str">
        <f>VLOOKUP(E409,Assumptions!$B$116:$C$162,2,FALSE)</f>
        <v>METHANATION</v>
      </c>
      <c r="AJ409" t="str">
        <f>VLOOKUP(F409,Assumptions!$B$116:$C$162,2,FALSE)</f>
        <v>NG_FC_DCHP_PWR</v>
      </c>
    </row>
    <row r="410" spans="2:36" x14ac:dyDescent="0.25">
      <c r="B410" t="s">
        <v>112</v>
      </c>
      <c r="C410" t="s">
        <v>51</v>
      </c>
      <c r="D410" t="s">
        <v>155</v>
      </c>
      <c r="E410" t="s">
        <v>65</v>
      </c>
      <c r="F410" t="s">
        <v>550</v>
      </c>
      <c r="G410" t="s">
        <v>114</v>
      </c>
      <c r="H410" t="s">
        <v>433</v>
      </c>
      <c r="I410" t="s">
        <v>32</v>
      </c>
      <c r="J410" t="s">
        <v>80</v>
      </c>
      <c r="K410">
        <f t="shared" ref="K410" si="1101">SUMPRODUCT(($C$7:$C$18=$C410)*($D$6:$H$6=$D410)*($D$7:$H$18))</f>
        <v>1</v>
      </c>
      <c r="L410">
        <f t="shared" ref="L410" si="1102">SUMPRODUCT(($C$19:$C$23=$D410)*($I$6:$O$6=$E410)*($I$19:$O$23))</f>
        <v>1</v>
      </c>
      <c r="M410">
        <f t="shared" ref="M410" si="1103">SUMPRODUCT(($C$24:$C$30=$E410)*($P$6:$AI$6=$F410)*($P$24:$AI$30))</f>
        <v>0</v>
      </c>
      <c r="N410">
        <f t="shared" ref="N410" si="1104">SUMPRODUCT(($C$31:$C$50=$F410)*($AJ$6:$AM$6=$G410)*($AJ$31:$AM$50))</f>
        <v>1</v>
      </c>
      <c r="O410">
        <f t="shared" ref="O410" si="1105">K410+L410+M410+N410</f>
        <v>3</v>
      </c>
      <c r="P410" t="str">
        <f t="shared" ref="P410" si="1106">CONCATENATE(C410,"-",J410)</f>
        <v>Medium centralized electrolysis-Flexibility</v>
      </c>
      <c r="Q410" t="str">
        <f t="shared" ref="Q410" si="1107">CONCATENATE(D410,"-",J410)</f>
        <v>Central gas storage-Flexibility</v>
      </c>
      <c r="R410" t="str">
        <f t="shared" ref="R410" si="1108">CONCATENATE(E410,"-",J410)</f>
        <v>Methanation-Flexibility</v>
      </c>
      <c r="S410" t="str">
        <f t="shared" ref="S410" si="1109">CONCATENATE(F410,"-",J410)</f>
        <v>District-CHP with natural gas fuel cell (power)-Flexibility</v>
      </c>
      <c r="T410">
        <f ca="1">VLOOKUP($P410,'TA database'!$I$8:$J$79,2,FALSE)</f>
        <v>1</v>
      </c>
      <c r="U410">
        <v>0</v>
      </c>
      <c r="V410">
        <v>0</v>
      </c>
      <c r="W410">
        <v>0</v>
      </c>
      <c r="X410">
        <v>0</v>
      </c>
      <c r="Y410">
        <f t="shared" ref="Y410" ca="1" si="1110">$T410</f>
        <v>1</v>
      </c>
      <c r="Z410" t="str">
        <f t="shared" ref="Z410" si="1111">CONCATENATE(AG410,"   →   ",AH410,"   →   ",AI410,"   →   ",AJ410)</f>
        <v>ELCTRLYZ_MED_C   →   C_GAS_STRG   →   METHANATION   →   NG_FC_DCHP_PWR</v>
      </c>
      <c r="AA410" t="str">
        <f t="shared" ref="AA410" si="1112">G410</f>
        <v>Grid electricity</v>
      </c>
      <c r="AB410" t="str">
        <f t="shared" ref="AB410" si="1113">J410</f>
        <v>Flexibility</v>
      </c>
      <c r="AC410">
        <f t="shared" ref="AC410" ca="1" si="1114">Y410</f>
        <v>1</v>
      </c>
      <c r="AD410">
        <v>351</v>
      </c>
      <c r="AE410" t="str">
        <f>IF(AND(ISNUMBER(SEARCH(O410,4)),ISNUMBER(SEARCH('(4) FCH pathway assessment'!$B$16,AB410)),ISNUMBER(SEARCH('(4) FCH pathway assessment'!$B$10,AA410))),AD410,"")</f>
        <v/>
      </c>
      <c r="AF410" t="str">
        <f t="shared" si="1002"/>
        <v/>
      </c>
      <c r="AG410" t="str">
        <f>VLOOKUP(C410,Assumptions!$B$116:$C$162,2,FALSE)</f>
        <v>ELCTRLYZ_MED_C</v>
      </c>
      <c r="AH410" t="str">
        <f>VLOOKUP(D410,Assumptions!$B$116:$C$162,2,FALSE)</f>
        <v>C_GAS_STRG</v>
      </c>
      <c r="AI410" t="str">
        <f>VLOOKUP(E410,Assumptions!$B$116:$C$162,2,FALSE)</f>
        <v>METHANATION</v>
      </c>
      <c r="AJ410" t="str">
        <f>VLOOKUP(F410,Assumptions!$B$116:$C$162,2,FALSE)</f>
        <v>NG_FC_DCHP_PWR</v>
      </c>
    </row>
    <row r="411" spans="2:36" x14ac:dyDescent="0.25">
      <c r="B411" t="s">
        <v>127</v>
      </c>
      <c r="C411" t="s">
        <v>57</v>
      </c>
      <c r="D411" t="s">
        <v>62</v>
      </c>
      <c r="E411" t="s">
        <v>65</v>
      </c>
      <c r="F411" t="s">
        <v>550</v>
      </c>
      <c r="G411" t="s">
        <v>114</v>
      </c>
      <c r="H411" t="s">
        <v>433</v>
      </c>
      <c r="I411" t="s">
        <v>32</v>
      </c>
      <c r="J411" t="s">
        <v>80</v>
      </c>
      <c r="K411">
        <f t="shared" ref="K411:K412" si="1115">SUMPRODUCT(($C$7:$C$18=$C411)*($D$6:$H$6=$D411)*($D$7:$H$18))</f>
        <v>1</v>
      </c>
      <c r="L411">
        <f t="shared" ref="L411:L412" si="1116">SUMPRODUCT(($C$19:$C$23=$D411)*($I$6:$O$6=$E411)*($I$19:$O$23))</f>
        <v>0</v>
      </c>
      <c r="M411">
        <f t="shared" ref="M411:M412" si="1117">SUMPRODUCT(($C$24:$C$30=$E411)*($P$6:$AI$6=$F411)*($P$24:$AI$30))</f>
        <v>0</v>
      </c>
      <c r="N411">
        <f t="shared" ref="N411:N412" si="1118">SUMPRODUCT(($C$31:$C$50=$F411)*($AJ$6:$AM$6=$G411)*($AJ$31:$AM$50))</f>
        <v>1</v>
      </c>
      <c r="O411">
        <f t="shared" ref="O411:O412" si="1119">K411+L411+M411+N411</f>
        <v>2</v>
      </c>
      <c r="P411" t="str">
        <f t="shared" ref="P411:P412" si="1120">CONCATENATE(C411,"-",J411)</f>
        <v>Large centralized natural gas steam reforming-Flexibility</v>
      </c>
      <c r="Q411" t="str">
        <f t="shared" ref="Q411:Q412" si="1121">CONCATENATE(D411,"-",J411)</f>
        <v>Underground storage-Flexibility</v>
      </c>
      <c r="R411" t="str">
        <f t="shared" ref="R411:R412" si="1122">CONCATENATE(E411,"-",J411)</f>
        <v>Methanation-Flexibility</v>
      </c>
      <c r="S411" t="str">
        <f t="shared" ref="S411:S412" si="1123">CONCATENATE(F411,"-",J411)</f>
        <v>District-CHP with natural gas fuel cell (power)-Flexibility</v>
      </c>
      <c r="T411">
        <f ca="1">VLOOKUP($P411,'TA database'!$I$8:$J$79,2,FALSE)</f>
        <v>0</v>
      </c>
      <c r="U411">
        <v>0</v>
      </c>
      <c r="V411">
        <v>0</v>
      </c>
      <c r="W411">
        <v>0</v>
      </c>
      <c r="X411">
        <v>0</v>
      </c>
      <c r="Y411">
        <f t="shared" ref="Y411:Y412" ca="1" si="1124">$T411</f>
        <v>0</v>
      </c>
      <c r="Z411" t="str">
        <f t="shared" ref="Z411:Z412" si="1125">CONCATENATE(AG411,"   →   ",AH411,"   →   ",AI411,"   →   ",AJ411)</f>
        <v>NG_SR_LRG_C   →   C_UNDRGRND_STRG   →   METHANATION   →   NG_FC_DCHP_PWR</v>
      </c>
      <c r="AA411" t="str">
        <f t="shared" ref="AA411:AA412" si="1126">G411</f>
        <v>Grid electricity</v>
      </c>
      <c r="AB411" t="str">
        <f t="shared" ref="AB411:AB412" si="1127">J411</f>
        <v>Flexibility</v>
      </c>
      <c r="AC411">
        <f t="shared" ref="AC411:AC412" ca="1" si="1128">Y411</f>
        <v>0</v>
      </c>
      <c r="AD411">
        <v>352</v>
      </c>
      <c r="AE411" t="str">
        <f>IF(AND(ISNUMBER(SEARCH(O411,4)),ISNUMBER(SEARCH('(4) FCH pathway assessment'!$B$16,AB411)),ISNUMBER(SEARCH('(4) FCH pathway assessment'!$B$10,AA411))),AD411,"")</f>
        <v/>
      </c>
      <c r="AF411" t="str">
        <f t="shared" si="1002"/>
        <v/>
      </c>
      <c r="AG411" t="str">
        <f>VLOOKUP(C411,Assumptions!$B$116:$C$162,2,FALSE)</f>
        <v>NG_SR_LRG_C</v>
      </c>
      <c r="AH411" t="str">
        <f>VLOOKUP(D411,Assumptions!$B$116:$C$162,2,FALSE)</f>
        <v>C_UNDRGRND_STRG</v>
      </c>
      <c r="AI411" t="str">
        <f>VLOOKUP(E411,Assumptions!$B$116:$C$162,2,FALSE)</f>
        <v>METHANATION</v>
      </c>
      <c r="AJ411" t="str">
        <f>VLOOKUP(F411,Assumptions!$B$116:$C$162,2,FALSE)</f>
        <v>NG_FC_DCHP_PWR</v>
      </c>
    </row>
    <row r="412" spans="2:36" x14ac:dyDescent="0.25">
      <c r="B412" t="s">
        <v>127</v>
      </c>
      <c r="C412" t="s">
        <v>58</v>
      </c>
      <c r="D412" t="s">
        <v>155</v>
      </c>
      <c r="E412" t="s">
        <v>65</v>
      </c>
      <c r="F412" t="s">
        <v>550</v>
      </c>
      <c r="G412" t="s">
        <v>114</v>
      </c>
      <c r="H412" t="s">
        <v>433</v>
      </c>
      <c r="I412" t="s">
        <v>32</v>
      </c>
      <c r="J412" t="s">
        <v>80</v>
      </c>
      <c r="K412">
        <f t="shared" si="1115"/>
        <v>1</v>
      </c>
      <c r="L412">
        <f t="shared" si="1116"/>
        <v>1</v>
      </c>
      <c r="M412">
        <f t="shared" si="1117"/>
        <v>0</v>
      </c>
      <c r="N412">
        <f t="shared" si="1118"/>
        <v>1</v>
      </c>
      <c r="O412">
        <f t="shared" si="1119"/>
        <v>3</v>
      </c>
      <c r="P412" t="str">
        <f t="shared" si="1120"/>
        <v>Small centralized natural gas steam reforming-Flexibility</v>
      </c>
      <c r="Q412" t="str">
        <f t="shared" si="1121"/>
        <v>Central gas storage-Flexibility</v>
      </c>
      <c r="R412" t="str">
        <f t="shared" si="1122"/>
        <v>Methanation-Flexibility</v>
      </c>
      <c r="S412" t="str">
        <f t="shared" si="1123"/>
        <v>District-CHP with natural gas fuel cell (power)-Flexibility</v>
      </c>
      <c r="T412">
        <f ca="1">VLOOKUP($P412,'TA database'!$I$8:$J$79,2,FALSE)</f>
        <v>0</v>
      </c>
      <c r="U412">
        <v>0</v>
      </c>
      <c r="V412">
        <v>0</v>
      </c>
      <c r="W412">
        <v>0</v>
      </c>
      <c r="X412">
        <v>0</v>
      </c>
      <c r="Y412">
        <f t="shared" ca="1" si="1124"/>
        <v>0</v>
      </c>
      <c r="Z412" t="str">
        <f t="shared" si="1125"/>
        <v>NG_SR_SML_C   →   C_GAS_STRG   →   METHANATION   →   NG_FC_DCHP_PWR</v>
      </c>
      <c r="AA412" t="str">
        <f t="shared" si="1126"/>
        <v>Grid electricity</v>
      </c>
      <c r="AB412" t="str">
        <f t="shared" si="1127"/>
        <v>Flexibility</v>
      </c>
      <c r="AC412">
        <f t="shared" ca="1" si="1128"/>
        <v>0</v>
      </c>
      <c r="AD412">
        <v>353</v>
      </c>
      <c r="AE412" t="str">
        <f>IF(AND(ISNUMBER(SEARCH(O412,4)),ISNUMBER(SEARCH('(4) FCH pathway assessment'!$B$16,AB412)),ISNUMBER(SEARCH('(4) FCH pathway assessment'!$B$10,AA412))),AD412,"")</f>
        <v/>
      </c>
      <c r="AF412" t="str">
        <f t="shared" si="1002"/>
        <v/>
      </c>
      <c r="AG412" t="str">
        <f>VLOOKUP(C412,Assumptions!$B$116:$C$162,2,FALSE)</f>
        <v>NG_SR_SML_C</v>
      </c>
      <c r="AH412" t="str">
        <f>VLOOKUP(D412,Assumptions!$B$116:$C$162,2,FALSE)</f>
        <v>C_GAS_STRG</v>
      </c>
      <c r="AI412" t="str">
        <f>VLOOKUP(E412,Assumptions!$B$116:$C$162,2,FALSE)</f>
        <v>METHANATION</v>
      </c>
      <c r="AJ412" t="str">
        <f>VLOOKUP(F412,Assumptions!$B$116:$C$162,2,FALSE)</f>
        <v>NG_FC_DCHP_PWR</v>
      </c>
    </row>
    <row r="413" spans="2:36" x14ac:dyDescent="0.25">
      <c r="B413" t="s">
        <v>127</v>
      </c>
      <c r="C413" t="s">
        <v>174</v>
      </c>
      <c r="D413" s="61" t="s">
        <v>177</v>
      </c>
      <c r="E413" t="s">
        <v>180</v>
      </c>
      <c r="F413" t="s">
        <v>550</v>
      </c>
      <c r="G413" t="s">
        <v>114</v>
      </c>
      <c r="H413" t="s">
        <v>433</v>
      </c>
      <c r="I413" t="s">
        <v>32</v>
      </c>
      <c r="J413" t="s">
        <v>80</v>
      </c>
      <c r="K413">
        <f t="shared" ref="K413" si="1129">SUMPRODUCT(($C$7:$C$18=$C413)*($D$6:$H$6=$D413)*($D$7:$H$18))</f>
        <v>1</v>
      </c>
      <c r="L413">
        <f t="shared" ref="L413" si="1130">SUMPRODUCT(($C$19:$C$23=$D413)*($I$6:$O$6=$E413)*($I$19:$O$23))</f>
        <v>1</v>
      </c>
      <c r="M413">
        <f t="shared" ref="M413" si="1131">SUMPRODUCT(($C$24:$C$30=$E413)*($P$6:$AI$6=$F413)*($P$24:$AI$30))</f>
        <v>1</v>
      </c>
      <c r="N413">
        <f t="shared" ref="N413" si="1132">SUMPRODUCT(($C$31:$C$50=$F413)*($AJ$6:$AM$6=$G413)*($AJ$31:$AM$50))</f>
        <v>1</v>
      </c>
      <c r="O413">
        <f t="shared" ref="O413" si="1133">K413+L413+M413+N413</f>
        <v>4</v>
      </c>
      <c r="P413" t="str">
        <f t="shared" ref="P413" si="1134">CONCATENATE(C413,"-",J413)</f>
        <v>Natural gas production-Flexibility</v>
      </c>
      <c r="Q413" t="str">
        <f t="shared" ref="Q413" si="1135">CONCATENATE(D413,"-",J413)</f>
        <v>Natural gas storage-Flexibility</v>
      </c>
      <c r="R413" t="str">
        <f t="shared" ref="R413" si="1136">CONCATENATE(E413,"-",J413)</f>
        <v>Natural gas transport-Flexibility</v>
      </c>
      <c r="S413" t="str">
        <f t="shared" ref="S413" si="1137">CONCATENATE(F413,"-",J413)</f>
        <v>District-CHP with natural gas fuel cell (power)-Flexibility</v>
      </c>
      <c r="T413">
        <f ca="1">VLOOKUP($P413,'TA database'!$I$8:$J$79,2,FALSE)</f>
        <v>0</v>
      </c>
      <c r="U413">
        <v>0</v>
      </c>
      <c r="V413">
        <v>0</v>
      </c>
      <c r="W413">
        <v>0</v>
      </c>
      <c r="X413">
        <v>0</v>
      </c>
      <c r="Y413">
        <f t="shared" ref="Y413:Y417" ca="1" si="1138">$T413</f>
        <v>0</v>
      </c>
      <c r="Z413" t="str">
        <f t="shared" ref="Z413" si="1139">CONCATENATE(AG413,"   →   ",AH413,"   →   ",AI413,"   →   ",AJ413)</f>
        <v>[NG_PROD]   →   [NG_STRG]   →   [NG_TRNSP]   →   NG_FC_DCHP_PWR</v>
      </c>
      <c r="AA413" t="str">
        <f t="shared" ref="AA413" si="1140">G413</f>
        <v>Grid electricity</v>
      </c>
      <c r="AB413" t="str">
        <f t="shared" ref="AB413" si="1141">J413</f>
        <v>Flexibility</v>
      </c>
      <c r="AC413">
        <f t="shared" ref="AC413" ca="1" si="1142">Y413</f>
        <v>0</v>
      </c>
      <c r="AD413">
        <v>354</v>
      </c>
      <c r="AE413" t="str">
        <f>IF(AND(ISNUMBER(SEARCH(O413,4)),ISNUMBER(SEARCH('(4) FCH pathway assessment'!$B$16,AB413)),ISNUMBER(SEARCH('(4) FCH pathway assessment'!$B$10,AA413))),AD413,"")</f>
        <v/>
      </c>
      <c r="AF413" t="str">
        <f t="shared" si="1002"/>
        <v/>
      </c>
      <c r="AG413" t="str">
        <f>VLOOKUP(C413,Assumptions!$B$116:$C$162,2,FALSE)</f>
        <v>[NG_PROD]</v>
      </c>
      <c r="AH413" t="str">
        <f>VLOOKUP(D413,Assumptions!$B$116:$C$162,2,FALSE)</f>
        <v>[NG_STRG]</v>
      </c>
      <c r="AI413" t="str">
        <f>VLOOKUP(E413,Assumptions!$B$116:$C$162,2,FALSE)</f>
        <v>[NG_TRNSP]</v>
      </c>
      <c r="AJ413" t="str">
        <f>VLOOKUP(F413,Assumptions!$B$116:$C$162,2,FALSE)</f>
        <v>NG_FC_DCHP_PWR</v>
      </c>
    </row>
    <row r="414" spans="2:36" x14ac:dyDescent="0.25">
      <c r="B414" t="s">
        <v>117</v>
      </c>
      <c r="C414" t="s">
        <v>53</v>
      </c>
      <c r="D414" t="s">
        <v>155</v>
      </c>
      <c r="E414" t="s">
        <v>157</v>
      </c>
      <c r="F414" t="s">
        <v>163</v>
      </c>
      <c r="G414" t="s">
        <v>114</v>
      </c>
      <c r="H414" t="s">
        <v>433</v>
      </c>
      <c r="I414" t="s">
        <v>32</v>
      </c>
      <c r="J414" t="s">
        <v>80</v>
      </c>
      <c r="K414">
        <f t="shared" ref="K414:K421" si="1143">SUMPRODUCT(($C$7:$C$18=$C414)*($D$6:$H$6=$D414)*($D$7:$H$18))</f>
        <v>0</v>
      </c>
      <c r="L414">
        <f t="shared" ref="L414:L421" si="1144">SUMPRODUCT(($C$19:$C$23=$D414)*($I$6:$O$6=$E414)*($I$19:$O$23))</f>
        <v>1</v>
      </c>
      <c r="M414">
        <f t="shared" ref="M414:M421" si="1145">SUMPRODUCT(($C$24:$C$30=$E414)*($P$6:$AI$6=$F414)*($P$24:$AI$30))</f>
        <v>0</v>
      </c>
      <c r="N414">
        <f t="shared" ref="N414:N421" si="1146">SUMPRODUCT(($C$31:$C$50=$F414)*($AJ$6:$AM$6=$G414)*($AJ$31:$AM$50))</f>
        <v>0</v>
      </c>
      <c r="O414">
        <f t="shared" ref="O414:O421" si="1147">K414+L414+M414+N414</f>
        <v>1</v>
      </c>
      <c r="P414" t="str">
        <f t="shared" ref="P414:P421" si="1148">CONCATENATE(C414,"-",J414)</f>
        <v>Medium centralized biomass gasification-Flexibility</v>
      </c>
      <c r="Q414" t="str">
        <f t="shared" ref="Q414:Q421" si="1149">CONCATENATE(D414,"-",J414)</f>
        <v>Central gas storage-Flexibility</v>
      </c>
      <c r="R414" t="str">
        <f t="shared" ref="R414:R421" si="1150">CONCATENATE(E414,"-",J414)</f>
        <v>Blending in natural gas pipeline-Flexibility</v>
      </c>
      <c r="S414" t="str">
        <f t="shared" ref="S414:S421" si="1151">CONCATENATE(F414,"-",J414)</f>
        <v>Hydrogen turbine (CC)-Flexibility</v>
      </c>
      <c r="T414">
        <f ca="1">VLOOKUP($P414,'TA database'!$I$8:$J$79,2,FALSE)</f>
        <v>0</v>
      </c>
      <c r="U414">
        <v>0</v>
      </c>
      <c r="V414">
        <v>0</v>
      </c>
      <c r="W414">
        <v>0</v>
      </c>
      <c r="X414">
        <v>0</v>
      </c>
      <c r="Y414">
        <f t="shared" ca="1" si="1138"/>
        <v>0</v>
      </c>
      <c r="Z414" t="str">
        <f t="shared" ref="Z414:Z421" si="1152">CONCATENATE(AG414,"   →   ",AH414,"   →   ",AI414,"   →   ",AJ414)</f>
        <v>BIO_GSF_MED_C   →   C_GAS_STRG   →   H2_BLND_NG_P   →   H2_CCGT_PWR</v>
      </c>
      <c r="AA414" t="str">
        <f t="shared" ref="AA414:AA421" si="1153">G414</f>
        <v>Grid electricity</v>
      </c>
      <c r="AB414" t="str">
        <f t="shared" ref="AB414:AB421" si="1154">J414</f>
        <v>Flexibility</v>
      </c>
      <c r="AC414">
        <f t="shared" ref="AC414:AC421" ca="1" si="1155">Y414</f>
        <v>0</v>
      </c>
      <c r="AD414">
        <v>355</v>
      </c>
      <c r="AE414" t="str">
        <f>IF(AND(ISNUMBER(SEARCH(O414,4)),ISNUMBER(SEARCH('(4) FCH pathway assessment'!$B$16,AB414)),ISNUMBER(SEARCH('(4) FCH pathway assessment'!$B$10,AA414))),AD414,"")</f>
        <v/>
      </c>
      <c r="AF414" t="str">
        <f t="shared" si="1002"/>
        <v/>
      </c>
      <c r="AG414" t="str">
        <f>VLOOKUP(C414,Assumptions!$B$116:$C$162,2,FALSE)</f>
        <v>BIO_GSF_MED_C</v>
      </c>
      <c r="AH414" t="str">
        <f>VLOOKUP(D414,Assumptions!$B$116:$C$162,2,FALSE)</f>
        <v>C_GAS_STRG</v>
      </c>
      <c r="AI414" t="str">
        <f>VLOOKUP(E414,Assumptions!$B$116:$C$162,2,FALSE)</f>
        <v>H2_BLND_NG_P</v>
      </c>
      <c r="AJ414" t="str">
        <f>VLOOKUP(F414,Assumptions!$B$116:$C$162,2,FALSE)</f>
        <v>H2_CCGT_PWR</v>
      </c>
    </row>
    <row r="415" spans="2:36" x14ac:dyDescent="0.25">
      <c r="B415" t="s">
        <v>117</v>
      </c>
      <c r="C415" t="s">
        <v>53</v>
      </c>
      <c r="D415" t="s">
        <v>155</v>
      </c>
      <c r="E415" t="s">
        <v>122</v>
      </c>
      <c r="F415" t="s">
        <v>163</v>
      </c>
      <c r="G415" t="s">
        <v>114</v>
      </c>
      <c r="H415" t="s">
        <v>433</v>
      </c>
      <c r="I415" t="s">
        <v>32</v>
      </c>
      <c r="J415" t="s">
        <v>80</v>
      </c>
      <c r="K415">
        <f t="shared" si="1143"/>
        <v>0</v>
      </c>
      <c r="L415">
        <f t="shared" si="1144"/>
        <v>1</v>
      </c>
      <c r="M415">
        <f t="shared" si="1145"/>
        <v>1</v>
      </c>
      <c r="N415">
        <f t="shared" si="1146"/>
        <v>0</v>
      </c>
      <c r="O415">
        <f t="shared" si="1147"/>
        <v>2</v>
      </c>
      <c r="P415" t="str">
        <f t="shared" si="1148"/>
        <v>Medium centralized biomass gasification-Flexibility</v>
      </c>
      <c r="Q415" t="str">
        <f t="shared" si="1149"/>
        <v>Central gas storage-Flexibility</v>
      </c>
      <c r="R415" t="str">
        <f t="shared" si="1150"/>
        <v>Hydrogen transmission &amp; distribution pipeline-Flexibility</v>
      </c>
      <c r="S415" t="str">
        <f t="shared" si="1151"/>
        <v>Hydrogen turbine (CC)-Flexibility</v>
      </c>
      <c r="T415">
        <f ca="1">VLOOKUP($P415,'TA database'!$I$8:$J$79,2,FALSE)</f>
        <v>0</v>
      </c>
      <c r="U415">
        <v>0</v>
      </c>
      <c r="V415">
        <v>0</v>
      </c>
      <c r="W415">
        <v>0</v>
      </c>
      <c r="X415">
        <v>0</v>
      </c>
      <c r="Y415">
        <f t="shared" ca="1" si="1138"/>
        <v>0</v>
      </c>
      <c r="Z415" t="str">
        <f t="shared" si="1152"/>
        <v>BIO_GSF_MED_C   →   C_GAS_STRG   →   H2_T&amp;D_P   →   H2_CCGT_PWR</v>
      </c>
      <c r="AA415" t="str">
        <f t="shared" si="1153"/>
        <v>Grid electricity</v>
      </c>
      <c r="AB415" t="str">
        <f t="shared" si="1154"/>
        <v>Flexibility</v>
      </c>
      <c r="AC415">
        <f t="shared" ca="1" si="1155"/>
        <v>0</v>
      </c>
      <c r="AD415">
        <v>356</v>
      </c>
      <c r="AE415" t="str">
        <f>IF(AND(ISNUMBER(SEARCH(O415,4)),ISNUMBER(SEARCH('(4) FCH pathway assessment'!$B$16,AB415)),ISNUMBER(SEARCH('(4) FCH pathway assessment'!$B$10,AA415))),AD415,"")</f>
        <v/>
      </c>
      <c r="AF415" t="str">
        <f t="shared" si="1002"/>
        <v/>
      </c>
      <c r="AG415" t="str">
        <f>VLOOKUP(C415,Assumptions!$B$116:$C$162,2,FALSE)</f>
        <v>BIO_GSF_MED_C</v>
      </c>
      <c r="AH415" t="str">
        <f>VLOOKUP(D415,Assumptions!$B$116:$C$162,2,FALSE)</f>
        <v>C_GAS_STRG</v>
      </c>
      <c r="AI415" t="str">
        <f>VLOOKUP(E415,Assumptions!$B$116:$C$162,2,FALSE)</f>
        <v>H2_T&amp;D_P</v>
      </c>
      <c r="AJ415" t="str">
        <f>VLOOKUP(F415,Assumptions!$B$116:$C$162,2,FALSE)</f>
        <v>H2_CCGT_PWR</v>
      </c>
    </row>
    <row r="416" spans="2:36" x14ac:dyDescent="0.25">
      <c r="B416" t="s">
        <v>117</v>
      </c>
      <c r="C416" t="s">
        <v>53</v>
      </c>
      <c r="D416" t="s">
        <v>155</v>
      </c>
      <c r="E416" t="s">
        <v>116</v>
      </c>
      <c r="F416" t="s">
        <v>163</v>
      </c>
      <c r="G416" t="s">
        <v>114</v>
      </c>
      <c r="H416" t="s">
        <v>433</v>
      </c>
      <c r="I416" t="s">
        <v>32</v>
      </c>
      <c r="J416" t="s">
        <v>80</v>
      </c>
      <c r="K416">
        <f t="shared" si="1143"/>
        <v>0</v>
      </c>
      <c r="L416">
        <f t="shared" si="1144"/>
        <v>1</v>
      </c>
      <c r="M416">
        <f t="shared" si="1145"/>
        <v>1</v>
      </c>
      <c r="N416">
        <f t="shared" si="1146"/>
        <v>0</v>
      </c>
      <c r="O416">
        <f t="shared" si="1147"/>
        <v>2</v>
      </c>
      <c r="P416" t="str">
        <f t="shared" si="1148"/>
        <v>Medium centralized biomass gasification-Flexibility</v>
      </c>
      <c r="Q416" t="str">
        <f t="shared" si="1149"/>
        <v>Central gas storage-Flexibility</v>
      </c>
      <c r="R416" t="str">
        <f t="shared" si="1150"/>
        <v>Liquid hydrogen truck-Flexibility</v>
      </c>
      <c r="S416" t="str">
        <f t="shared" si="1151"/>
        <v>Hydrogen turbine (CC)-Flexibility</v>
      </c>
      <c r="T416">
        <f ca="1">VLOOKUP($P416,'TA database'!$I$8:$J$79,2,FALSE)</f>
        <v>0</v>
      </c>
      <c r="U416">
        <v>0</v>
      </c>
      <c r="V416">
        <v>0</v>
      </c>
      <c r="W416">
        <v>0</v>
      </c>
      <c r="X416">
        <v>0</v>
      </c>
      <c r="Y416">
        <f t="shared" ca="1" si="1138"/>
        <v>0</v>
      </c>
      <c r="Z416" t="str">
        <f t="shared" si="1152"/>
        <v>BIO_GSF_MED_C   →   C_GAS_STRG   →   LQ_TRUCK   →   H2_CCGT_PWR</v>
      </c>
      <c r="AA416" t="str">
        <f t="shared" si="1153"/>
        <v>Grid electricity</v>
      </c>
      <c r="AB416" t="str">
        <f t="shared" si="1154"/>
        <v>Flexibility</v>
      </c>
      <c r="AC416">
        <f t="shared" ca="1" si="1155"/>
        <v>0</v>
      </c>
      <c r="AD416">
        <v>357</v>
      </c>
      <c r="AE416" t="str">
        <f>IF(AND(ISNUMBER(SEARCH(O416,4)),ISNUMBER(SEARCH('(4) FCH pathway assessment'!$B$16,AB416)),ISNUMBER(SEARCH('(4) FCH pathway assessment'!$B$10,AA416))),AD416,"")</f>
        <v/>
      </c>
      <c r="AF416" t="str">
        <f t="shared" si="1002"/>
        <v/>
      </c>
      <c r="AG416" t="str">
        <f>VLOOKUP(C416,Assumptions!$B$116:$C$162,2,FALSE)</f>
        <v>BIO_GSF_MED_C</v>
      </c>
      <c r="AH416" t="str">
        <f>VLOOKUP(D416,Assumptions!$B$116:$C$162,2,FALSE)</f>
        <v>C_GAS_STRG</v>
      </c>
      <c r="AI416" t="str">
        <f>VLOOKUP(E416,Assumptions!$B$116:$C$162,2,FALSE)</f>
        <v>LQ_TRUCK</v>
      </c>
      <c r="AJ416" t="str">
        <f>VLOOKUP(F416,Assumptions!$B$116:$C$162,2,FALSE)</f>
        <v>H2_CCGT_PWR</v>
      </c>
    </row>
    <row r="417" spans="2:36" x14ac:dyDescent="0.25">
      <c r="B417" t="s">
        <v>117</v>
      </c>
      <c r="C417" t="s">
        <v>53</v>
      </c>
      <c r="D417" t="s">
        <v>155</v>
      </c>
      <c r="E417" t="s">
        <v>66</v>
      </c>
      <c r="F417" t="s">
        <v>163</v>
      </c>
      <c r="G417" t="s">
        <v>114</v>
      </c>
      <c r="H417" t="s">
        <v>433</v>
      </c>
      <c r="I417" t="s">
        <v>32</v>
      </c>
      <c r="J417" t="s">
        <v>80</v>
      </c>
      <c r="K417">
        <f t="shared" si="1143"/>
        <v>0</v>
      </c>
      <c r="L417">
        <f t="shared" si="1144"/>
        <v>1</v>
      </c>
      <c r="M417">
        <f t="shared" si="1145"/>
        <v>1</v>
      </c>
      <c r="N417">
        <f t="shared" si="1146"/>
        <v>0</v>
      </c>
      <c r="O417">
        <f t="shared" si="1147"/>
        <v>2</v>
      </c>
      <c r="P417" t="str">
        <f t="shared" si="1148"/>
        <v>Medium centralized biomass gasification-Flexibility</v>
      </c>
      <c r="Q417" t="str">
        <f t="shared" si="1149"/>
        <v>Central gas storage-Flexibility</v>
      </c>
      <c r="R417" t="str">
        <f t="shared" si="1150"/>
        <v>Onsite-Flexibility</v>
      </c>
      <c r="S417" t="str">
        <f t="shared" si="1151"/>
        <v>Hydrogen turbine (CC)-Flexibility</v>
      </c>
      <c r="T417">
        <f ca="1">VLOOKUP($P417,'TA database'!$I$8:$J$79,2,FALSE)</f>
        <v>0</v>
      </c>
      <c r="U417">
        <v>0</v>
      </c>
      <c r="V417">
        <v>0</v>
      </c>
      <c r="W417">
        <v>0</v>
      </c>
      <c r="X417">
        <v>0</v>
      </c>
      <c r="Y417">
        <f t="shared" ca="1" si="1138"/>
        <v>0</v>
      </c>
      <c r="Z417" t="str">
        <f t="shared" si="1152"/>
        <v>BIO_GSF_MED_C   →   C_GAS_STRG   →   ONSITE_USE   →   H2_CCGT_PWR</v>
      </c>
      <c r="AA417" t="str">
        <f t="shared" si="1153"/>
        <v>Grid electricity</v>
      </c>
      <c r="AB417" t="str">
        <f t="shared" si="1154"/>
        <v>Flexibility</v>
      </c>
      <c r="AC417">
        <f t="shared" ca="1" si="1155"/>
        <v>0</v>
      </c>
      <c r="AD417">
        <v>358</v>
      </c>
      <c r="AE417" t="str">
        <f>IF(AND(ISNUMBER(SEARCH(O417,4)),ISNUMBER(SEARCH('(4) FCH pathway assessment'!$B$16,AB417)),ISNUMBER(SEARCH('(4) FCH pathway assessment'!$B$10,AA417))),AD417,"")</f>
        <v/>
      </c>
      <c r="AF417" t="str">
        <f t="shared" si="1002"/>
        <v/>
      </c>
      <c r="AG417" t="str">
        <f>VLOOKUP(C417,Assumptions!$B$116:$C$162,2,FALSE)</f>
        <v>BIO_GSF_MED_C</v>
      </c>
      <c r="AH417" t="str">
        <f>VLOOKUP(D417,Assumptions!$B$116:$C$162,2,FALSE)</f>
        <v>C_GAS_STRG</v>
      </c>
      <c r="AI417" t="str">
        <f>VLOOKUP(E417,Assumptions!$B$116:$C$162,2,FALSE)</f>
        <v>ONSITE_USE</v>
      </c>
      <c r="AJ417" t="str">
        <f>VLOOKUP(F417,Assumptions!$B$116:$C$162,2,FALSE)</f>
        <v>H2_CCGT_PWR</v>
      </c>
    </row>
    <row r="418" spans="2:36" x14ac:dyDescent="0.25">
      <c r="B418" t="s">
        <v>117</v>
      </c>
      <c r="C418" t="s">
        <v>54</v>
      </c>
      <c r="D418" t="s">
        <v>155</v>
      </c>
      <c r="E418" t="s">
        <v>157</v>
      </c>
      <c r="F418" t="s">
        <v>163</v>
      </c>
      <c r="G418" t="s">
        <v>114</v>
      </c>
      <c r="H418" t="s">
        <v>433</v>
      </c>
      <c r="I418" t="s">
        <v>32</v>
      </c>
      <c r="J418" t="s">
        <v>80</v>
      </c>
      <c r="K418">
        <f t="shared" si="1143"/>
        <v>0</v>
      </c>
      <c r="L418">
        <f t="shared" si="1144"/>
        <v>1</v>
      </c>
      <c r="M418">
        <f t="shared" si="1145"/>
        <v>0</v>
      </c>
      <c r="N418">
        <f t="shared" si="1146"/>
        <v>0</v>
      </c>
      <c r="O418">
        <f t="shared" si="1147"/>
        <v>1</v>
      </c>
      <c r="P418" t="str">
        <f t="shared" si="1148"/>
        <v>Medium centralized biomass gasification w/ CCS-Flexibility</v>
      </c>
      <c r="Q418" t="str">
        <f t="shared" si="1149"/>
        <v>Central gas storage-Flexibility</v>
      </c>
      <c r="R418" t="str">
        <f t="shared" si="1150"/>
        <v>Blending in natural gas pipeline-Flexibility</v>
      </c>
      <c r="S418" t="str">
        <f t="shared" si="1151"/>
        <v>Hydrogen turbine (CC)-Flexibility</v>
      </c>
      <c r="T418">
        <f ca="1">VLOOKUP($P418,'TA database'!$I$8:$J$79,2,FALSE)</f>
        <v>0</v>
      </c>
      <c r="U418">
        <v>0</v>
      </c>
      <c r="V418">
        <v>0</v>
      </c>
      <c r="W418">
        <v>0</v>
      </c>
      <c r="X418">
        <v>0</v>
      </c>
      <c r="Y418">
        <f t="shared" ref="Y418:Y421" ca="1" si="1156">$T418</f>
        <v>0</v>
      </c>
      <c r="Z418" t="str">
        <f t="shared" si="1152"/>
        <v>BIO_GSF_CCS_MED_C   →   C_GAS_STRG   →   H2_BLND_NG_P   →   H2_CCGT_PWR</v>
      </c>
      <c r="AA418" t="str">
        <f t="shared" si="1153"/>
        <v>Grid electricity</v>
      </c>
      <c r="AB418" t="str">
        <f t="shared" si="1154"/>
        <v>Flexibility</v>
      </c>
      <c r="AC418">
        <f t="shared" ca="1" si="1155"/>
        <v>0</v>
      </c>
      <c r="AD418">
        <v>359</v>
      </c>
      <c r="AE418" t="str">
        <f>IF(AND(ISNUMBER(SEARCH(O418,4)),ISNUMBER(SEARCH('(4) FCH pathway assessment'!$B$16,AB418)),ISNUMBER(SEARCH('(4) FCH pathway assessment'!$B$10,AA418))),AD418,"")</f>
        <v/>
      </c>
      <c r="AF418" t="str">
        <f t="shared" si="1002"/>
        <v/>
      </c>
      <c r="AG418" t="str">
        <f>VLOOKUP(C418,Assumptions!$B$116:$C$162,2,FALSE)</f>
        <v>BIO_GSF_CCS_MED_C</v>
      </c>
      <c r="AH418" t="str">
        <f>VLOOKUP(D418,Assumptions!$B$116:$C$162,2,FALSE)</f>
        <v>C_GAS_STRG</v>
      </c>
      <c r="AI418" t="str">
        <f>VLOOKUP(E418,Assumptions!$B$116:$C$162,2,FALSE)</f>
        <v>H2_BLND_NG_P</v>
      </c>
      <c r="AJ418" t="str">
        <f>VLOOKUP(F418,Assumptions!$B$116:$C$162,2,FALSE)</f>
        <v>H2_CCGT_PWR</v>
      </c>
    </row>
    <row r="419" spans="2:36" x14ac:dyDescent="0.25">
      <c r="B419" t="s">
        <v>117</v>
      </c>
      <c r="C419" t="s">
        <v>54</v>
      </c>
      <c r="D419" t="s">
        <v>155</v>
      </c>
      <c r="E419" t="s">
        <v>122</v>
      </c>
      <c r="F419" t="s">
        <v>163</v>
      </c>
      <c r="G419" t="s">
        <v>114</v>
      </c>
      <c r="H419" t="s">
        <v>433</v>
      </c>
      <c r="I419" t="s">
        <v>32</v>
      </c>
      <c r="J419" t="s">
        <v>80</v>
      </c>
      <c r="K419">
        <f t="shared" si="1143"/>
        <v>0</v>
      </c>
      <c r="L419">
        <f t="shared" si="1144"/>
        <v>1</v>
      </c>
      <c r="M419">
        <f t="shared" si="1145"/>
        <v>1</v>
      </c>
      <c r="N419">
        <f t="shared" si="1146"/>
        <v>0</v>
      </c>
      <c r="O419">
        <f t="shared" si="1147"/>
        <v>2</v>
      </c>
      <c r="P419" t="str">
        <f t="shared" si="1148"/>
        <v>Medium centralized biomass gasification w/ CCS-Flexibility</v>
      </c>
      <c r="Q419" t="str">
        <f t="shared" si="1149"/>
        <v>Central gas storage-Flexibility</v>
      </c>
      <c r="R419" t="str">
        <f t="shared" si="1150"/>
        <v>Hydrogen transmission &amp; distribution pipeline-Flexibility</v>
      </c>
      <c r="S419" t="str">
        <f t="shared" si="1151"/>
        <v>Hydrogen turbine (CC)-Flexibility</v>
      </c>
      <c r="T419">
        <f ca="1">VLOOKUP($P419,'TA database'!$I$8:$J$79,2,FALSE)</f>
        <v>0</v>
      </c>
      <c r="U419">
        <v>0</v>
      </c>
      <c r="V419">
        <v>0</v>
      </c>
      <c r="W419">
        <v>0</v>
      </c>
      <c r="X419">
        <v>0</v>
      </c>
      <c r="Y419">
        <f t="shared" ca="1" si="1156"/>
        <v>0</v>
      </c>
      <c r="Z419" t="str">
        <f t="shared" si="1152"/>
        <v>BIO_GSF_CCS_MED_C   →   C_GAS_STRG   →   H2_T&amp;D_P   →   H2_CCGT_PWR</v>
      </c>
      <c r="AA419" t="str">
        <f t="shared" si="1153"/>
        <v>Grid electricity</v>
      </c>
      <c r="AB419" t="str">
        <f t="shared" si="1154"/>
        <v>Flexibility</v>
      </c>
      <c r="AC419">
        <f t="shared" ca="1" si="1155"/>
        <v>0</v>
      </c>
      <c r="AD419">
        <v>360</v>
      </c>
      <c r="AE419" t="str">
        <f>IF(AND(ISNUMBER(SEARCH(O419,4)),ISNUMBER(SEARCH('(4) FCH pathway assessment'!$B$16,AB419)),ISNUMBER(SEARCH('(4) FCH pathway assessment'!$B$10,AA419))),AD419,"")</f>
        <v/>
      </c>
      <c r="AF419" t="str">
        <f t="shared" si="1002"/>
        <v/>
      </c>
      <c r="AG419" t="str">
        <f>VLOOKUP(C419,Assumptions!$B$116:$C$162,2,FALSE)</f>
        <v>BIO_GSF_CCS_MED_C</v>
      </c>
      <c r="AH419" t="str">
        <f>VLOOKUP(D419,Assumptions!$B$116:$C$162,2,FALSE)</f>
        <v>C_GAS_STRG</v>
      </c>
      <c r="AI419" t="str">
        <f>VLOOKUP(E419,Assumptions!$B$116:$C$162,2,FALSE)</f>
        <v>H2_T&amp;D_P</v>
      </c>
      <c r="AJ419" t="str">
        <f>VLOOKUP(F419,Assumptions!$B$116:$C$162,2,FALSE)</f>
        <v>H2_CCGT_PWR</v>
      </c>
    </row>
    <row r="420" spans="2:36" x14ac:dyDescent="0.25">
      <c r="B420" t="s">
        <v>117</v>
      </c>
      <c r="C420" t="s">
        <v>54</v>
      </c>
      <c r="D420" t="s">
        <v>155</v>
      </c>
      <c r="E420" t="s">
        <v>116</v>
      </c>
      <c r="F420" t="s">
        <v>163</v>
      </c>
      <c r="G420" t="s">
        <v>114</v>
      </c>
      <c r="H420" t="s">
        <v>433</v>
      </c>
      <c r="I420" t="s">
        <v>32</v>
      </c>
      <c r="J420" t="s">
        <v>80</v>
      </c>
      <c r="K420">
        <f t="shared" si="1143"/>
        <v>0</v>
      </c>
      <c r="L420">
        <f t="shared" si="1144"/>
        <v>1</v>
      </c>
      <c r="M420">
        <f t="shared" si="1145"/>
        <v>1</v>
      </c>
      <c r="N420">
        <f t="shared" si="1146"/>
        <v>0</v>
      </c>
      <c r="O420">
        <f t="shared" si="1147"/>
        <v>2</v>
      </c>
      <c r="P420" t="str">
        <f t="shared" si="1148"/>
        <v>Medium centralized biomass gasification w/ CCS-Flexibility</v>
      </c>
      <c r="Q420" t="str">
        <f t="shared" si="1149"/>
        <v>Central gas storage-Flexibility</v>
      </c>
      <c r="R420" t="str">
        <f t="shared" si="1150"/>
        <v>Liquid hydrogen truck-Flexibility</v>
      </c>
      <c r="S420" t="str">
        <f t="shared" si="1151"/>
        <v>Hydrogen turbine (CC)-Flexibility</v>
      </c>
      <c r="T420">
        <f ca="1">VLOOKUP($P420,'TA database'!$I$8:$J$79,2,FALSE)</f>
        <v>0</v>
      </c>
      <c r="U420">
        <v>0</v>
      </c>
      <c r="V420">
        <v>0</v>
      </c>
      <c r="W420">
        <v>0</v>
      </c>
      <c r="X420">
        <v>0</v>
      </c>
      <c r="Y420">
        <f t="shared" ca="1" si="1156"/>
        <v>0</v>
      </c>
      <c r="Z420" t="str">
        <f t="shared" si="1152"/>
        <v>BIO_GSF_CCS_MED_C   →   C_GAS_STRG   →   LQ_TRUCK   →   H2_CCGT_PWR</v>
      </c>
      <c r="AA420" t="str">
        <f t="shared" si="1153"/>
        <v>Grid electricity</v>
      </c>
      <c r="AB420" t="str">
        <f t="shared" si="1154"/>
        <v>Flexibility</v>
      </c>
      <c r="AC420">
        <f t="shared" ca="1" si="1155"/>
        <v>0</v>
      </c>
      <c r="AD420">
        <v>361</v>
      </c>
      <c r="AE420" t="str">
        <f>IF(AND(ISNUMBER(SEARCH(O420,4)),ISNUMBER(SEARCH('(4) FCH pathway assessment'!$B$16,AB420)),ISNUMBER(SEARCH('(4) FCH pathway assessment'!$B$10,AA420))),AD420,"")</f>
        <v/>
      </c>
      <c r="AF420" t="str">
        <f t="shared" si="1002"/>
        <v/>
      </c>
      <c r="AG420" t="str">
        <f>VLOOKUP(C420,Assumptions!$B$116:$C$162,2,FALSE)</f>
        <v>BIO_GSF_CCS_MED_C</v>
      </c>
      <c r="AH420" t="str">
        <f>VLOOKUP(D420,Assumptions!$B$116:$C$162,2,FALSE)</f>
        <v>C_GAS_STRG</v>
      </c>
      <c r="AI420" t="str">
        <f>VLOOKUP(E420,Assumptions!$B$116:$C$162,2,FALSE)</f>
        <v>LQ_TRUCK</v>
      </c>
      <c r="AJ420" t="str">
        <f>VLOOKUP(F420,Assumptions!$B$116:$C$162,2,FALSE)</f>
        <v>H2_CCGT_PWR</v>
      </c>
    </row>
    <row r="421" spans="2:36" x14ac:dyDescent="0.25">
      <c r="B421" t="s">
        <v>117</v>
      </c>
      <c r="C421" t="s">
        <v>54</v>
      </c>
      <c r="D421" t="s">
        <v>155</v>
      </c>
      <c r="E421" t="s">
        <v>66</v>
      </c>
      <c r="F421" t="s">
        <v>163</v>
      </c>
      <c r="G421" t="s">
        <v>114</v>
      </c>
      <c r="H421" t="s">
        <v>433</v>
      </c>
      <c r="I421" t="s">
        <v>32</v>
      </c>
      <c r="J421" t="s">
        <v>80</v>
      </c>
      <c r="K421">
        <f t="shared" si="1143"/>
        <v>0</v>
      </c>
      <c r="L421">
        <f t="shared" si="1144"/>
        <v>1</v>
      </c>
      <c r="M421">
        <f t="shared" si="1145"/>
        <v>1</v>
      </c>
      <c r="N421">
        <f t="shared" si="1146"/>
        <v>0</v>
      </c>
      <c r="O421">
        <f t="shared" si="1147"/>
        <v>2</v>
      </c>
      <c r="P421" t="str">
        <f t="shared" si="1148"/>
        <v>Medium centralized biomass gasification w/ CCS-Flexibility</v>
      </c>
      <c r="Q421" t="str">
        <f t="shared" si="1149"/>
        <v>Central gas storage-Flexibility</v>
      </c>
      <c r="R421" t="str">
        <f t="shared" si="1150"/>
        <v>Onsite-Flexibility</v>
      </c>
      <c r="S421" t="str">
        <f t="shared" si="1151"/>
        <v>Hydrogen turbine (CC)-Flexibility</v>
      </c>
      <c r="T421">
        <f ca="1">VLOOKUP($P421,'TA database'!$I$8:$J$79,2,FALSE)</f>
        <v>0</v>
      </c>
      <c r="U421">
        <v>0</v>
      </c>
      <c r="V421">
        <v>0</v>
      </c>
      <c r="W421">
        <v>0</v>
      </c>
      <c r="X421">
        <v>0</v>
      </c>
      <c r="Y421">
        <f t="shared" ca="1" si="1156"/>
        <v>0</v>
      </c>
      <c r="Z421" t="str">
        <f t="shared" si="1152"/>
        <v>BIO_GSF_CCS_MED_C   →   C_GAS_STRG   →   ONSITE_USE   →   H2_CCGT_PWR</v>
      </c>
      <c r="AA421" t="str">
        <f t="shared" si="1153"/>
        <v>Grid electricity</v>
      </c>
      <c r="AB421" t="str">
        <f t="shared" si="1154"/>
        <v>Flexibility</v>
      </c>
      <c r="AC421">
        <f t="shared" ca="1" si="1155"/>
        <v>0</v>
      </c>
      <c r="AD421">
        <v>362</v>
      </c>
      <c r="AE421" t="str">
        <f>IF(AND(ISNUMBER(SEARCH(O421,4)),ISNUMBER(SEARCH('(4) FCH pathway assessment'!$B$16,AB421)),ISNUMBER(SEARCH('(4) FCH pathway assessment'!$B$10,AA421))),AD421,"")</f>
        <v/>
      </c>
      <c r="AF421" t="str">
        <f t="shared" si="1002"/>
        <v/>
      </c>
      <c r="AG421" t="str">
        <f>VLOOKUP(C421,Assumptions!$B$116:$C$162,2,FALSE)</f>
        <v>BIO_GSF_CCS_MED_C</v>
      </c>
      <c r="AH421" t="str">
        <f>VLOOKUP(D421,Assumptions!$B$116:$C$162,2,FALSE)</f>
        <v>C_GAS_STRG</v>
      </c>
      <c r="AI421" t="str">
        <f>VLOOKUP(E421,Assumptions!$B$116:$C$162,2,FALSE)</f>
        <v>ONSITE_USE</v>
      </c>
      <c r="AJ421" t="str">
        <f>VLOOKUP(F421,Assumptions!$B$116:$C$162,2,FALSE)</f>
        <v>H2_CCGT_PWR</v>
      </c>
    </row>
    <row r="422" spans="2:36" x14ac:dyDescent="0.25">
      <c r="B422" t="s">
        <v>117</v>
      </c>
      <c r="C422" t="s">
        <v>55</v>
      </c>
      <c r="D422" s="60" t="s">
        <v>130</v>
      </c>
      <c r="E422" t="s">
        <v>66</v>
      </c>
      <c r="F422" t="s">
        <v>163</v>
      </c>
      <c r="G422" t="s">
        <v>114</v>
      </c>
      <c r="H422" t="s">
        <v>433</v>
      </c>
      <c r="I422" t="s">
        <v>32</v>
      </c>
      <c r="J422" t="s">
        <v>80</v>
      </c>
      <c r="K422">
        <f t="shared" ref="K422:K427" si="1157">SUMPRODUCT(($C$7:$C$18=$C422)*($D$6:$H$6=$D422)*($D$7:$H$18))</f>
        <v>0</v>
      </c>
      <c r="L422">
        <f t="shared" ref="L422:L427" si="1158">SUMPRODUCT(($C$19:$C$23=$D422)*($I$6:$O$6=$E422)*($I$19:$O$23))</f>
        <v>1</v>
      </c>
      <c r="M422">
        <f t="shared" ref="M422:M427" si="1159">SUMPRODUCT(($C$24:$C$30=$E422)*($P$6:$AI$6=$F422)*($P$24:$AI$30))</f>
        <v>1</v>
      </c>
      <c r="N422">
        <f t="shared" ref="N422:N427" si="1160">SUMPRODUCT(($C$31:$C$50=$F422)*($AJ$6:$AM$6=$G422)*($AJ$31:$AM$50))</f>
        <v>0</v>
      </c>
      <c r="O422">
        <f t="shared" ref="O422:O426" si="1161">K422+L422+M422+N422</f>
        <v>2</v>
      </c>
      <c r="P422" t="str">
        <f t="shared" ref="P422:P427" si="1162">CONCATENATE(C422,"-",J422)</f>
        <v>Small decentralized biomass gasification-Flexibility</v>
      </c>
      <c r="Q422" t="str">
        <f t="shared" ref="Q422:Q427" si="1163">CONCATENATE(D422,"-",J422)</f>
        <v>Distributed gas storage-Flexibility</v>
      </c>
      <c r="R422" t="str">
        <f t="shared" ref="R422:R427" si="1164">CONCATENATE(E422,"-",J422)</f>
        <v>Onsite-Flexibility</v>
      </c>
      <c r="S422" t="str">
        <f t="shared" ref="S422:S427" si="1165">CONCATENATE(F422,"-",J422)</f>
        <v>Hydrogen turbine (CC)-Flexibility</v>
      </c>
      <c r="T422">
        <f ca="1">VLOOKUP($P422,'TA database'!$I$8:$J$79,2,FALSE)</f>
        <v>0</v>
      </c>
      <c r="U422">
        <v>0</v>
      </c>
      <c r="V422">
        <v>0</v>
      </c>
      <c r="W422">
        <v>0</v>
      </c>
      <c r="X422">
        <v>0</v>
      </c>
      <c r="Y422">
        <f t="shared" ref="Y422:Y431" ca="1" si="1166">$T422</f>
        <v>0</v>
      </c>
      <c r="Z422" t="str">
        <f t="shared" ref="Z422:Z426" si="1167">CONCATENATE(AG422,"   →   ",AH422,"   →   ",AI422,"   →   ",AJ422)</f>
        <v>BIO_GSF_SML_D   →   D_GAS_STRG   →   ONSITE_USE   →   H2_CCGT_PWR</v>
      </c>
      <c r="AA422" t="str">
        <f t="shared" ref="AA422:AA426" si="1168">G422</f>
        <v>Grid electricity</v>
      </c>
      <c r="AB422" t="str">
        <f t="shared" ref="AB422:AB426" si="1169">J422</f>
        <v>Flexibility</v>
      </c>
      <c r="AC422">
        <f t="shared" ref="AC422:AC426" ca="1" si="1170">Y422</f>
        <v>0</v>
      </c>
      <c r="AD422">
        <v>363</v>
      </c>
      <c r="AE422" t="str">
        <f>IF(AND(ISNUMBER(SEARCH(O422,4)),ISNUMBER(SEARCH('(4) FCH pathway assessment'!$B$16,AB422)),ISNUMBER(SEARCH('(4) FCH pathway assessment'!$B$10,AA422))),AD422,"")</f>
        <v/>
      </c>
      <c r="AF422" t="str">
        <f t="shared" si="1002"/>
        <v/>
      </c>
      <c r="AG422" t="str">
        <f>VLOOKUP(C422,Assumptions!$B$116:$C$162,2,FALSE)</f>
        <v>BIO_GSF_SML_D</v>
      </c>
      <c r="AH422" t="str">
        <f>VLOOKUP(D422,Assumptions!$B$116:$C$162,2,FALSE)</f>
        <v>D_GAS_STRG</v>
      </c>
      <c r="AI422" t="str">
        <f>VLOOKUP(E422,Assumptions!$B$116:$C$162,2,FALSE)</f>
        <v>ONSITE_USE</v>
      </c>
      <c r="AJ422" t="str">
        <f>VLOOKUP(F422,Assumptions!$B$116:$C$162,2,FALSE)</f>
        <v>H2_CCGT_PWR</v>
      </c>
    </row>
    <row r="423" spans="2:36" x14ac:dyDescent="0.25">
      <c r="B423" t="s">
        <v>117</v>
      </c>
      <c r="C423" t="s">
        <v>56</v>
      </c>
      <c r="D423" t="s">
        <v>62</v>
      </c>
      <c r="E423" t="s">
        <v>157</v>
      </c>
      <c r="F423" t="s">
        <v>163</v>
      </c>
      <c r="G423" t="s">
        <v>114</v>
      </c>
      <c r="H423" t="s">
        <v>433</v>
      </c>
      <c r="I423" t="s">
        <v>32</v>
      </c>
      <c r="J423" t="s">
        <v>80</v>
      </c>
      <c r="K423">
        <f t="shared" si="1157"/>
        <v>0</v>
      </c>
      <c r="L423">
        <f t="shared" si="1158"/>
        <v>0</v>
      </c>
      <c r="M423">
        <f t="shared" si="1159"/>
        <v>0</v>
      </c>
      <c r="N423">
        <f t="shared" si="1160"/>
        <v>0</v>
      </c>
      <c r="O423">
        <f t="shared" si="1161"/>
        <v>0</v>
      </c>
      <c r="P423" t="str">
        <f t="shared" si="1162"/>
        <v>Large centralized biomass steam reforming -Flexibility</v>
      </c>
      <c r="Q423" t="str">
        <f t="shared" si="1163"/>
        <v>Underground storage-Flexibility</v>
      </c>
      <c r="R423" t="str">
        <f t="shared" si="1164"/>
        <v>Blending in natural gas pipeline-Flexibility</v>
      </c>
      <c r="S423" t="str">
        <f t="shared" si="1165"/>
        <v>Hydrogen turbine (CC)-Flexibility</v>
      </c>
      <c r="T423">
        <f ca="1">VLOOKUP($P423,'TA database'!$I$8:$J$79,2,FALSE)</f>
        <v>0</v>
      </c>
      <c r="U423">
        <v>0</v>
      </c>
      <c r="V423">
        <v>0</v>
      </c>
      <c r="W423">
        <v>0</v>
      </c>
      <c r="X423">
        <v>0</v>
      </c>
      <c r="Y423">
        <f t="shared" ca="1" si="1166"/>
        <v>0</v>
      </c>
      <c r="Z423" t="str">
        <f t="shared" si="1167"/>
        <v>BIO_SR_LRG_C   →   C_UNDRGRND_STRG   →   H2_BLND_NG_P   →   H2_CCGT_PWR</v>
      </c>
      <c r="AA423" t="str">
        <f t="shared" si="1168"/>
        <v>Grid electricity</v>
      </c>
      <c r="AB423" t="str">
        <f t="shared" si="1169"/>
        <v>Flexibility</v>
      </c>
      <c r="AC423">
        <f t="shared" ca="1" si="1170"/>
        <v>0</v>
      </c>
      <c r="AD423">
        <v>364</v>
      </c>
      <c r="AE423" t="str">
        <f>IF(AND(ISNUMBER(SEARCH(O423,4)),ISNUMBER(SEARCH('(4) FCH pathway assessment'!$B$16,AB423)),ISNUMBER(SEARCH('(4) FCH pathway assessment'!$B$10,AA423))),AD423,"")</f>
        <v/>
      </c>
      <c r="AF423" t="str">
        <f t="shared" si="1002"/>
        <v/>
      </c>
      <c r="AG423" t="str">
        <f>VLOOKUP(C423,Assumptions!$B$116:$C$162,2,FALSE)</f>
        <v>BIO_SR_LRG_C</v>
      </c>
      <c r="AH423" t="str">
        <f>VLOOKUP(D423,Assumptions!$B$116:$C$162,2,FALSE)</f>
        <v>C_UNDRGRND_STRG</v>
      </c>
      <c r="AI423" t="str">
        <f>VLOOKUP(E423,Assumptions!$B$116:$C$162,2,FALSE)</f>
        <v>H2_BLND_NG_P</v>
      </c>
      <c r="AJ423" t="str">
        <f>VLOOKUP(F423,Assumptions!$B$116:$C$162,2,FALSE)</f>
        <v>H2_CCGT_PWR</v>
      </c>
    </row>
    <row r="424" spans="2:36" x14ac:dyDescent="0.25">
      <c r="B424" t="s">
        <v>117</v>
      </c>
      <c r="C424" t="s">
        <v>56</v>
      </c>
      <c r="D424" t="s">
        <v>62</v>
      </c>
      <c r="E424" t="s">
        <v>122</v>
      </c>
      <c r="F424" t="s">
        <v>163</v>
      </c>
      <c r="G424" t="s">
        <v>114</v>
      </c>
      <c r="H424" t="s">
        <v>433</v>
      </c>
      <c r="I424" t="s">
        <v>32</v>
      </c>
      <c r="J424" t="s">
        <v>80</v>
      </c>
      <c r="K424">
        <f t="shared" si="1157"/>
        <v>0</v>
      </c>
      <c r="L424">
        <f t="shared" si="1158"/>
        <v>0</v>
      </c>
      <c r="M424">
        <f t="shared" si="1159"/>
        <v>1</v>
      </c>
      <c r="N424">
        <f t="shared" si="1160"/>
        <v>0</v>
      </c>
      <c r="O424">
        <f t="shared" si="1161"/>
        <v>1</v>
      </c>
      <c r="P424" t="str">
        <f t="shared" si="1162"/>
        <v>Large centralized biomass steam reforming -Flexibility</v>
      </c>
      <c r="Q424" t="str">
        <f t="shared" si="1163"/>
        <v>Underground storage-Flexibility</v>
      </c>
      <c r="R424" t="str">
        <f t="shared" si="1164"/>
        <v>Hydrogen transmission &amp; distribution pipeline-Flexibility</v>
      </c>
      <c r="S424" t="str">
        <f t="shared" si="1165"/>
        <v>Hydrogen turbine (CC)-Flexibility</v>
      </c>
      <c r="T424">
        <f ca="1">VLOOKUP($P424,'TA database'!$I$8:$J$79,2,FALSE)</f>
        <v>0</v>
      </c>
      <c r="U424">
        <v>0</v>
      </c>
      <c r="V424">
        <v>0</v>
      </c>
      <c r="W424">
        <v>0</v>
      </c>
      <c r="X424">
        <v>0</v>
      </c>
      <c r="Y424">
        <f t="shared" ca="1" si="1166"/>
        <v>0</v>
      </c>
      <c r="Z424" t="str">
        <f t="shared" si="1167"/>
        <v>BIO_SR_LRG_C   →   C_UNDRGRND_STRG   →   H2_T&amp;D_P   →   H2_CCGT_PWR</v>
      </c>
      <c r="AA424" t="str">
        <f t="shared" si="1168"/>
        <v>Grid electricity</v>
      </c>
      <c r="AB424" t="str">
        <f t="shared" si="1169"/>
        <v>Flexibility</v>
      </c>
      <c r="AC424">
        <f t="shared" ca="1" si="1170"/>
        <v>0</v>
      </c>
      <c r="AD424">
        <v>365</v>
      </c>
      <c r="AE424" t="str">
        <f>IF(AND(ISNUMBER(SEARCH(O424,4)),ISNUMBER(SEARCH('(4) FCH pathway assessment'!$B$16,AB424)),ISNUMBER(SEARCH('(4) FCH pathway assessment'!$B$10,AA424))),AD424,"")</f>
        <v/>
      </c>
      <c r="AF424" t="str">
        <f t="shared" si="1002"/>
        <v/>
      </c>
      <c r="AG424" t="str">
        <f>VLOOKUP(C424,Assumptions!$B$116:$C$162,2,FALSE)</f>
        <v>BIO_SR_LRG_C</v>
      </c>
      <c r="AH424" t="str">
        <f>VLOOKUP(D424,Assumptions!$B$116:$C$162,2,FALSE)</f>
        <v>C_UNDRGRND_STRG</v>
      </c>
      <c r="AI424" t="str">
        <f>VLOOKUP(E424,Assumptions!$B$116:$C$162,2,FALSE)</f>
        <v>H2_T&amp;D_P</v>
      </c>
      <c r="AJ424" t="str">
        <f>VLOOKUP(F424,Assumptions!$B$116:$C$162,2,FALSE)</f>
        <v>H2_CCGT_PWR</v>
      </c>
    </row>
    <row r="425" spans="2:36" x14ac:dyDescent="0.25">
      <c r="B425" t="s">
        <v>117</v>
      </c>
      <c r="C425" t="s">
        <v>56</v>
      </c>
      <c r="D425" t="s">
        <v>62</v>
      </c>
      <c r="E425" t="s">
        <v>116</v>
      </c>
      <c r="F425" t="s">
        <v>163</v>
      </c>
      <c r="G425" t="s">
        <v>114</v>
      </c>
      <c r="H425" t="s">
        <v>433</v>
      </c>
      <c r="I425" t="s">
        <v>32</v>
      </c>
      <c r="J425" t="s">
        <v>80</v>
      </c>
      <c r="K425">
        <f t="shared" si="1157"/>
        <v>0</v>
      </c>
      <c r="L425">
        <f t="shared" si="1158"/>
        <v>0</v>
      </c>
      <c r="M425">
        <f t="shared" si="1159"/>
        <v>1</v>
      </c>
      <c r="N425">
        <f t="shared" si="1160"/>
        <v>0</v>
      </c>
      <c r="O425">
        <f t="shared" si="1161"/>
        <v>1</v>
      </c>
      <c r="P425" t="str">
        <f t="shared" si="1162"/>
        <v>Large centralized biomass steam reforming -Flexibility</v>
      </c>
      <c r="Q425" t="str">
        <f t="shared" si="1163"/>
        <v>Underground storage-Flexibility</v>
      </c>
      <c r="R425" t="str">
        <f t="shared" si="1164"/>
        <v>Liquid hydrogen truck-Flexibility</v>
      </c>
      <c r="S425" t="str">
        <f t="shared" si="1165"/>
        <v>Hydrogen turbine (CC)-Flexibility</v>
      </c>
      <c r="T425">
        <f ca="1">VLOOKUP($P425,'TA database'!$I$8:$J$79,2,FALSE)</f>
        <v>0</v>
      </c>
      <c r="U425">
        <v>0</v>
      </c>
      <c r="V425">
        <v>0</v>
      </c>
      <c r="W425">
        <v>0</v>
      </c>
      <c r="X425">
        <v>0</v>
      </c>
      <c r="Y425">
        <f t="shared" ca="1" si="1166"/>
        <v>0</v>
      </c>
      <c r="Z425" t="str">
        <f t="shared" si="1167"/>
        <v>BIO_SR_LRG_C   →   C_UNDRGRND_STRG   →   LQ_TRUCK   →   H2_CCGT_PWR</v>
      </c>
      <c r="AA425" t="str">
        <f t="shared" si="1168"/>
        <v>Grid electricity</v>
      </c>
      <c r="AB425" t="str">
        <f t="shared" si="1169"/>
        <v>Flexibility</v>
      </c>
      <c r="AC425">
        <f t="shared" ca="1" si="1170"/>
        <v>0</v>
      </c>
      <c r="AD425">
        <v>366</v>
      </c>
      <c r="AE425" t="str">
        <f>IF(AND(ISNUMBER(SEARCH(O425,4)),ISNUMBER(SEARCH('(4) FCH pathway assessment'!$B$16,AB425)),ISNUMBER(SEARCH('(4) FCH pathway assessment'!$B$10,AA425))),AD425,"")</f>
        <v/>
      </c>
      <c r="AF425" t="str">
        <f t="shared" si="1002"/>
        <v/>
      </c>
      <c r="AG425" t="str">
        <f>VLOOKUP(C425,Assumptions!$B$116:$C$162,2,FALSE)</f>
        <v>BIO_SR_LRG_C</v>
      </c>
      <c r="AH425" t="str">
        <f>VLOOKUP(D425,Assumptions!$B$116:$C$162,2,FALSE)</f>
        <v>C_UNDRGRND_STRG</v>
      </c>
      <c r="AI425" t="str">
        <f>VLOOKUP(E425,Assumptions!$B$116:$C$162,2,FALSE)</f>
        <v>LQ_TRUCK</v>
      </c>
      <c r="AJ425" t="str">
        <f>VLOOKUP(F425,Assumptions!$B$116:$C$162,2,FALSE)</f>
        <v>H2_CCGT_PWR</v>
      </c>
    </row>
    <row r="426" spans="2:36" x14ac:dyDescent="0.25">
      <c r="B426" t="s">
        <v>117</v>
      </c>
      <c r="C426" t="s">
        <v>56</v>
      </c>
      <c r="D426" t="s">
        <v>62</v>
      </c>
      <c r="E426" t="s">
        <v>66</v>
      </c>
      <c r="F426" t="s">
        <v>163</v>
      </c>
      <c r="G426" t="s">
        <v>114</v>
      </c>
      <c r="H426" t="s">
        <v>433</v>
      </c>
      <c r="I426" t="s">
        <v>32</v>
      </c>
      <c r="J426" t="s">
        <v>80</v>
      </c>
      <c r="K426">
        <f t="shared" si="1157"/>
        <v>0</v>
      </c>
      <c r="L426">
        <f t="shared" si="1158"/>
        <v>0</v>
      </c>
      <c r="M426">
        <f t="shared" si="1159"/>
        <v>1</v>
      </c>
      <c r="N426">
        <f t="shared" si="1160"/>
        <v>0</v>
      </c>
      <c r="O426">
        <f t="shared" si="1161"/>
        <v>1</v>
      </c>
      <c r="P426" t="str">
        <f t="shared" si="1162"/>
        <v>Large centralized biomass steam reforming -Flexibility</v>
      </c>
      <c r="Q426" t="str">
        <f t="shared" si="1163"/>
        <v>Underground storage-Flexibility</v>
      </c>
      <c r="R426" t="str">
        <f t="shared" si="1164"/>
        <v>Onsite-Flexibility</v>
      </c>
      <c r="S426" t="str">
        <f t="shared" si="1165"/>
        <v>Hydrogen turbine (CC)-Flexibility</v>
      </c>
      <c r="T426">
        <f ca="1">VLOOKUP($P426,'TA database'!$I$8:$J$79,2,FALSE)</f>
        <v>0</v>
      </c>
      <c r="U426">
        <v>0</v>
      </c>
      <c r="V426">
        <v>0</v>
      </c>
      <c r="W426">
        <v>0</v>
      </c>
      <c r="X426">
        <v>0</v>
      </c>
      <c r="Y426">
        <f t="shared" ca="1" si="1166"/>
        <v>0</v>
      </c>
      <c r="Z426" t="str">
        <f t="shared" si="1167"/>
        <v>BIO_SR_LRG_C   →   C_UNDRGRND_STRG   →   ONSITE_USE   →   H2_CCGT_PWR</v>
      </c>
      <c r="AA426" t="str">
        <f t="shared" si="1168"/>
        <v>Grid electricity</v>
      </c>
      <c r="AB426" t="str">
        <f t="shared" si="1169"/>
        <v>Flexibility</v>
      </c>
      <c r="AC426">
        <f t="shared" ca="1" si="1170"/>
        <v>0</v>
      </c>
      <c r="AD426">
        <v>367</v>
      </c>
      <c r="AE426" t="str">
        <f>IF(AND(ISNUMBER(SEARCH(O426,4)),ISNUMBER(SEARCH('(4) FCH pathway assessment'!$B$16,AB426)),ISNUMBER(SEARCH('(4) FCH pathway assessment'!$B$10,AA426))),AD426,"")</f>
        <v/>
      </c>
      <c r="AF426" t="str">
        <f t="shared" si="1002"/>
        <v/>
      </c>
      <c r="AG426" t="str">
        <f>VLOOKUP(C426,Assumptions!$B$116:$C$162,2,FALSE)</f>
        <v>BIO_SR_LRG_C</v>
      </c>
      <c r="AH426" t="str">
        <f>VLOOKUP(D426,Assumptions!$B$116:$C$162,2,FALSE)</f>
        <v>C_UNDRGRND_STRG</v>
      </c>
      <c r="AI426" t="str">
        <f>VLOOKUP(E426,Assumptions!$B$116:$C$162,2,FALSE)</f>
        <v>ONSITE_USE</v>
      </c>
      <c r="AJ426" t="str">
        <f>VLOOKUP(F426,Assumptions!$B$116:$C$162,2,FALSE)</f>
        <v>H2_CCGT_PWR</v>
      </c>
    </row>
    <row r="427" spans="2:36" x14ac:dyDescent="0.25">
      <c r="B427" t="s">
        <v>117</v>
      </c>
      <c r="C427" t="s">
        <v>56</v>
      </c>
      <c r="D427" s="61" t="s">
        <v>63</v>
      </c>
      <c r="E427" t="s">
        <v>122</v>
      </c>
      <c r="F427" t="s">
        <v>163</v>
      </c>
      <c r="G427" t="s">
        <v>114</v>
      </c>
      <c r="H427" t="s">
        <v>433</v>
      </c>
      <c r="I427" t="s">
        <v>32</v>
      </c>
      <c r="J427" t="s">
        <v>80</v>
      </c>
      <c r="K427">
        <f t="shared" si="1157"/>
        <v>0</v>
      </c>
      <c r="L427">
        <f t="shared" si="1158"/>
        <v>1</v>
      </c>
      <c r="M427">
        <f t="shared" si="1159"/>
        <v>1</v>
      </c>
      <c r="N427">
        <f t="shared" si="1160"/>
        <v>0</v>
      </c>
      <c r="O427">
        <f t="shared" ref="O427:O439" si="1171">K427+L427+M427+N427</f>
        <v>2</v>
      </c>
      <c r="P427" t="str">
        <f t="shared" si="1162"/>
        <v>Large centralized biomass steam reforming -Flexibility</v>
      </c>
      <c r="Q427" t="str">
        <f t="shared" si="1163"/>
        <v>No storage-Flexibility</v>
      </c>
      <c r="R427" t="str">
        <f t="shared" si="1164"/>
        <v>Hydrogen transmission &amp; distribution pipeline-Flexibility</v>
      </c>
      <c r="S427" t="str">
        <f t="shared" si="1165"/>
        <v>Hydrogen turbine (CC)-Flexibility</v>
      </c>
      <c r="T427">
        <f ca="1">VLOOKUP($P427,'TA database'!$I$8:$J$79,2,FALSE)</f>
        <v>0</v>
      </c>
      <c r="U427">
        <v>0</v>
      </c>
      <c r="V427">
        <v>0</v>
      </c>
      <c r="W427">
        <v>0</v>
      </c>
      <c r="X427">
        <v>0</v>
      </c>
      <c r="Y427">
        <f t="shared" ca="1" si="1166"/>
        <v>0</v>
      </c>
      <c r="Z427" t="str">
        <f t="shared" ref="Z427:Z439" si="1172">CONCATENATE(AG427,"   →   ",AH427,"   →   ",AI427,"   →   ",AJ427)</f>
        <v>BIO_SR_LRG_C   →   NO_STRG   →   H2_T&amp;D_P   →   H2_CCGT_PWR</v>
      </c>
      <c r="AA427" t="str">
        <f t="shared" ref="AA427:AA439" si="1173">G427</f>
        <v>Grid electricity</v>
      </c>
      <c r="AB427" t="str">
        <f t="shared" ref="AB427:AB439" si="1174">J427</f>
        <v>Flexibility</v>
      </c>
      <c r="AC427">
        <f t="shared" ref="AC427:AC439" ca="1" si="1175">Y427</f>
        <v>0</v>
      </c>
      <c r="AD427">
        <v>368</v>
      </c>
      <c r="AE427" t="str">
        <f>IF(AND(ISNUMBER(SEARCH(O427,4)),ISNUMBER(SEARCH('(4) FCH pathway assessment'!$B$16,AB427)),ISNUMBER(SEARCH('(4) FCH pathway assessment'!$B$10,AA427))),AD427,"")</f>
        <v/>
      </c>
      <c r="AF427" t="str">
        <f t="shared" si="1002"/>
        <v/>
      </c>
      <c r="AG427" t="str">
        <f>VLOOKUP(C427,Assumptions!$B$116:$C$162,2,FALSE)</f>
        <v>BIO_SR_LRG_C</v>
      </c>
      <c r="AH427" t="str">
        <f>VLOOKUP(D427,Assumptions!$B$116:$C$162,2,FALSE)</f>
        <v>NO_STRG</v>
      </c>
      <c r="AI427" t="str">
        <f>VLOOKUP(E427,Assumptions!$B$116:$C$162,2,FALSE)</f>
        <v>H2_T&amp;D_P</v>
      </c>
      <c r="AJ427" t="str">
        <f>VLOOKUP(F427,Assumptions!$B$116:$C$162,2,FALSE)</f>
        <v>H2_CCGT_PWR</v>
      </c>
    </row>
    <row r="428" spans="2:36" x14ac:dyDescent="0.25">
      <c r="B428" t="s">
        <v>112</v>
      </c>
      <c r="C428" t="s">
        <v>49</v>
      </c>
      <c r="D428" t="s">
        <v>62</v>
      </c>
      <c r="E428" t="s">
        <v>157</v>
      </c>
      <c r="F428" t="s">
        <v>163</v>
      </c>
      <c r="G428" t="s">
        <v>114</v>
      </c>
      <c r="H428" t="s">
        <v>433</v>
      </c>
      <c r="I428" t="s">
        <v>32</v>
      </c>
      <c r="J428" t="s">
        <v>80</v>
      </c>
      <c r="K428">
        <f t="shared" ref="K428:K439" si="1176">SUMPRODUCT(($C$7:$C$18=$C428)*($D$6:$H$6=$D428)*($D$7:$H$18))</f>
        <v>1</v>
      </c>
      <c r="L428">
        <f t="shared" ref="L428:L439" si="1177">SUMPRODUCT(($C$19:$C$23=$D428)*($I$6:$O$6=$E428)*($I$19:$O$23))</f>
        <v>0</v>
      </c>
      <c r="M428">
        <f t="shared" ref="M428:M439" si="1178">SUMPRODUCT(($C$24:$C$30=$E428)*($P$6:$AI$6=$F428)*($P$24:$AI$30))</f>
        <v>0</v>
      </c>
      <c r="N428">
        <f t="shared" ref="N428:N439" si="1179">SUMPRODUCT(($C$31:$C$50=$F428)*($AJ$6:$AM$6=$G428)*($AJ$31:$AM$50))</f>
        <v>0</v>
      </c>
      <c r="O428">
        <f t="shared" si="1171"/>
        <v>1</v>
      </c>
      <c r="P428" t="str">
        <f t="shared" ref="P428:P439" si="1180">CONCATENATE(C428,"-",J428)</f>
        <v>Large centralized electrolysis-Flexibility</v>
      </c>
      <c r="Q428" t="str">
        <f t="shared" ref="Q428:Q439" si="1181">CONCATENATE(D428,"-",J428)</f>
        <v>Underground storage-Flexibility</v>
      </c>
      <c r="R428" t="str">
        <f t="shared" ref="R428:R439" si="1182">CONCATENATE(E428,"-",J428)</f>
        <v>Blending in natural gas pipeline-Flexibility</v>
      </c>
      <c r="S428" t="str">
        <f t="shared" ref="S428:S439" si="1183">CONCATENATE(F428,"-",J428)</f>
        <v>Hydrogen turbine (CC)-Flexibility</v>
      </c>
      <c r="T428">
        <f ca="1">VLOOKUP($P428,'TA database'!$I$8:$J$79,2,FALSE)</f>
        <v>1</v>
      </c>
      <c r="U428">
        <v>0</v>
      </c>
      <c r="V428">
        <v>0</v>
      </c>
      <c r="W428">
        <v>0</v>
      </c>
      <c r="X428">
        <v>0</v>
      </c>
      <c r="Y428">
        <f t="shared" ca="1" si="1166"/>
        <v>1</v>
      </c>
      <c r="Z428" t="str">
        <f t="shared" si="1172"/>
        <v>ELCTRLYZ_LRG_C   →   C_UNDRGRND_STRG   →   H2_BLND_NG_P   →   H2_CCGT_PWR</v>
      </c>
      <c r="AA428" t="str">
        <f t="shared" si="1173"/>
        <v>Grid electricity</v>
      </c>
      <c r="AB428" t="str">
        <f t="shared" si="1174"/>
        <v>Flexibility</v>
      </c>
      <c r="AC428">
        <f t="shared" ca="1" si="1175"/>
        <v>1</v>
      </c>
      <c r="AD428">
        <v>369</v>
      </c>
      <c r="AE428" t="str">
        <f>IF(AND(ISNUMBER(SEARCH(O428,4)),ISNUMBER(SEARCH('(4) FCH pathway assessment'!$B$16,AB428)),ISNUMBER(SEARCH('(4) FCH pathway assessment'!$B$10,AA428))),AD428,"")</f>
        <v/>
      </c>
      <c r="AF428" t="str">
        <f t="shared" si="1002"/>
        <v/>
      </c>
      <c r="AG428" t="str">
        <f>VLOOKUP(C428,Assumptions!$B$116:$C$162,2,FALSE)</f>
        <v>ELCTRLYZ_LRG_C</v>
      </c>
      <c r="AH428" t="str">
        <f>VLOOKUP(D428,Assumptions!$B$116:$C$162,2,FALSE)</f>
        <v>C_UNDRGRND_STRG</v>
      </c>
      <c r="AI428" t="str">
        <f>VLOOKUP(E428,Assumptions!$B$116:$C$162,2,FALSE)</f>
        <v>H2_BLND_NG_P</v>
      </c>
      <c r="AJ428" t="str">
        <f>VLOOKUP(F428,Assumptions!$B$116:$C$162,2,FALSE)</f>
        <v>H2_CCGT_PWR</v>
      </c>
    </row>
    <row r="429" spans="2:36" x14ac:dyDescent="0.25">
      <c r="B429" t="s">
        <v>112</v>
      </c>
      <c r="C429" t="s">
        <v>49</v>
      </c>
      <c r="D429" t="s">
        <v>62</v>
      </c>
      <c r="E429" t="s">
        <v>122</v>
      </c>
      <c r="F429" t="s">
        <v>163</v>
      </c>
      <c r="G429" t="s">
        <v>114</v>
      </c>
      <c r="H429" t="s">
        <v>433</v>
      </c>
      <c r="I429" t="s">
        <v>32</v>
      </c>
      <c r="J429" t="s">
        <v>80</v>
      </c>
      <c r="K429">
        <f t="shared" si="1176"/>
        <v>1</v>
      </c>
      <c r="L429">
        <f t="shared" si="1177"/>
        <v>0</v>
      </c>
      <c r="M429">
        <f t="shared" si="1178"/>
        <v>1</v>
      </c>
      <c r="N429">
        <f t="shared" si="1179"/>
        <v>0</v>
      </c>
      <c r="O429">
        <f t="shared" si="1171"/>
        <v>2</v>
      </c>
      <c r="P429" t="str">
        <f t="shared" si="1180"/>
        <v>Large centralized electrolysis-Flexibility</v>
      </c>
      <c r="Q429" t="str">
        <f t="shared" si="1181"/>
        <v>Underground storage-Flexibility</v>
      </c>
      <c r="R429" t="str">
        <f t="shared" si="1182"/>
        <v>Hydrogen transmission &amp; distribution pipeline-Flexibility</v>
      </c>
      <c r="S429" t="str">
        <f t="shared" si="1183"/>
        <v>Hydrogen turbine (CC)-Flexibility</v>
      </c>
      <c r="T429">
        <f ca="1">VLOOKUP($P429,'TA database'!$I$8:$J$79,2,FALSE)</f>
        <v>1</v>
      </c>
      <c r="U429">
        <v>0</v>
      </c>
      <c r="V429">
        <v>0</v>
      </c>
      <c r="W429">
        <v>0</v>
      </c>
      <c r="X429">
        <v>0</v>
      </c>
      <c r="Y429">
        <f t="shared" ca="1" si="1166"/>
        <v>1</v>
      </c>
      <c r="Z429" t="str">
        <f t="shared" si="1172"/>
        <v>ELCTRLYZ_LRG_C   →   C_UNDRGRND_STRG   →   H2_T&amp;D_P   →   H2_CCGT_PWR</v>
      </c>
      <c r="AA429" t="str">
        <f t="shared" si="1173"/>
        <v>Grid electricity</v>
      </c>
      <c r="AB429" t="str">
        <f t="shared" si="1174"/>
        <v>Flexibility</v>
      </c>
      <c r="AC429">
        <f t="shared" ca="1" si="1175"/>
        <v>1</v>
      </c>
      <c r="AD429">
        <v>370</v>
      </c>
      <c r="AE429" t="str">
        <f>IF(AND(ISNUMBER(SEARCH(O429,4)),ISNUMBER(SEARCH('(4) FCH pathway assessment'!$B$16,AB429)),ISNUMBER(SEARCH('(4) FCH pathway assessment'!$B$10,AA429))),AD429,"")</f>
        <v/>
      </c>
      <c r="AF429" t="str">
        <f t="shared" si="1002"/>
        <v/>
      </c>
      <c r="AG429" t="str">
        <f>VLOOKUP(C429,Assumptions!$B$116:$C$162,2,FALSE)</f>
        <v>ELCTRLYZ_LRG_C</v>
      </c>
      <c r="AH429" t="str">
        <f>VLOOKUP(D429,Assumptions!$B$116:$C$162,2,FALSE)</f>
        <v>C_UNDRGRND_STRG</v>
      </c>
      <c r="AI429" t="str">
        <f>VLOOKUP(E429,Assumptions!$B$116:$C$162,2,FALSE)</f>
        <v>H2_T&amp;D_P</v>
      </c>
      <c r="AJ429" t="str">
        <f>VLOOKUP(F429,Assumptions!$B$116:$C$162,2,FALSE)</f>
        <v>H2_CCGT_PWR</v>
      </c>
    </row>
    <row r="430" spans="2:36" x14ac:dyDescent="0.25">
      <c r="B430" t="s">
        <v>112</v>
      </c>
      <c r="C430" t="s">
        <v>49</v>
      </c>
      <c r="D430" t="s">
        <v>62</v>
      </c>
      <c r="E430" t="s">
        <v>116</v>
      </c>
      <c r="F430" t="s">
        <v>163</v>
      </c>
      <c r="G430" t="s">
        <v>114</v>
      </c>
      <c r="H430" t="s">
        <v>433</v>
      </c>
      <c r="I430" t="s">
        <v>32</v>
      </c>
      <c r="J430" t="s">
        <v>80</v>
      </c>
      <c r="K430">
        <f t="shared" si="1176"/>
        <v>1</v>
      </c>
      <c r="L430">
        <f t="shared" si="1177"/>
        <v>0</v>
      </c>
      <c r="M430">
        <f t="shared" si="1178"/>
        <v>1</v>
      </c>
      <c r="N430">
        <f t="shared" si="1179"/>
        <v>0</v>
      </c>
      <c r="O430">
        <f t="shared" si="1171"/>
        <v>2</v>
      </c>
      <c r="P430" t="str">
        <f t="shared" si="1180"/>
        <v>Large centralized electrolysis-Flexibility</v>
      </c>
      <c r="Q430" t="str">
        <f t="shared" si="1181"/>
        <v>Underground storage-Flexibility</v>
      </c>
      <c r="R430" t="str">
        <f t="shared" si="1182"/>
        <v>Liquid hydrogen truck-Flexibility</v>
      </c>
      <c r="S430" t="str">
        <f t="shared" si="1183"/>
        <v>Hydrogen turbine (CC)-Flexibility</v>
      </c>
      <c r="T430">
        <f ca="1">VLOOKUP($P430,'TA database'!$I$8:$J$79,2,FALSE)</f>
        <v>1</v>
      </c>
      <c r="U430">
        <v>0</v>
      </c>
      <c r="V430">
        <v>0</v>
      </c>
      <c r="W430">
        <v>0</v>
      </c>
      <c r="X430">
        <v>0</v>
      </c>
      <c r="Y430">
        <f t="shared" ca="1" si="1166"/>
        <v>1</v>
      </c>
      <c r="Z430" t="str">
        <f t="shared" si="1172"/>
        <v>ELCTRLYZ_LRG_C   →   C_UNDRGRND_STRG   →   LQ_TRUCK   →   H2_CCGT_PWR</v>
      </c>
      <c r="AA430" t="str">
        <f t="shared" si="1173"/>
        <v>Grid electricity</v>
      </c>
      <c r="AB430" t="str">
        <f t="shared" si="1174"/>
        <v>Flexibility</v>
      </c>
      <c r="AC430">
        <f t="shared" ca="1" si="1175"/>
        <v>1</v>
      </c>
      <c r="AD430">
        <v>371</v>
      </c>
      <c r="AE430" t="str">
        <f>IF(AND(ISNUMBER(SEARCH(O430,4)),ISNUMBER(SEARCH('(4) FCH pathway assessment'!$B$16,AB430)),ISNUMBER(SEARCH('(4) FCH pathway assessment'!$B$10,AA430))),AD430,"")</f>
        <v/>
      </c>
      <c r="AF430" t="str">
        <f t="shared" si="1002"/>
        <v/>
      </c>
      <c r="AG430" t="str">
        <f>VLOOKUP(C430,Assumptions!$B$116:$C$162,2,FALSE)</f>
        <v>ELCTRLYZ_LRG_C</v>
      </c>
      <c r="AH430" t="str">
        <f>VLOOKUP(D430,Assumptions!$B$116:$C$162,2,FALSE)</f>
        <v>C_UNDRGRND_STRG</v>
      </c>
      <c r="AI430" t="str">
        <f>VLOOKUP(E430,Assumptions!$B$116:$C$162,2,FALSE)</f>
        <v>LQ_TRUCK</v>
      </c>
      <c r="AJ430" t="str">
        <f>VLOOKUP(F430,Assumptions!$B$116:$C$162,2,FALSE)</f>
        <v>H2_CCGT_PWR</v>
      </c>
    </row>
    <row r="431" spans="2:36" x14ac:dyDescent="0.25">
      <c r="B431" t="s">
        <v>112</v>
      </c>
      <c r="C431" t="s">
        <v>49</v>
      </c>
      <c r="D431" t="s">
        <v>62</v>
      </c>
      <c r="E431" t="s">
        <v>66</v>
      </c>
      <c r="F431" t="s">
        <v>163</v>
      </c>
      <c r="G431" t="s">
        <v>114</v>
      </c>
      <c r="H431" t="s">
        <v>433</v>
      </c>
      <c r="I431" t="s">
        <v>32</v>
      </c>
      <c r="J431" t="s">
        <v>80</v>
      </c>
      <c r="K431">
        <f t="shared" si="1176"/>
        <v>1</v>
      </c>
      <c r="L431">
        <f t="shared" si="1177"/>
        <v>0</v>
      </c>
      <c r="M431">
        <f t="shared" si="1178"/>
        <v>1</v>
      </c>
      <c r="N431">
        <f t="shared" si="1179"/>
        <v>0</v>
      </c>
      <c r="O431">
        <f t="shared" si="1171"/>
        <v>2</v>
      </c>
      <c r="P431" t="str">
        <f t="shared" si="1180"/>
        <v>Large centralized electrolysis-Flexibility</v>
      </c>
      <c r="Q431" t="str">
        <f t="shared" si="1181"/>
        <v>Underground storage-Flexibility</v>
      </c>
      <c r="R431" t="str">
        <f t="shared" si="1182"/>
        <v>Onsite-Flexibility</v>
      </c>
      <c r="S431" t="str">
        <f t="shared" si="1183"/>
        <v>Hydrogen turbine (CC)-Flexibility</v>
      </c>
      <c r="T431">
        <f ca="1">VLOOKUP($P431,'TA database'!$I$8:$J$79,2,FALSE)</f>
        <v>1</v>
      </c>
      <c r="U431">
        <v>0</v>
      </c>
      <c r="V431">
        <v>0</v>
      </c>
      <c r="W431">
        <v>0</v>
      </c>
      <c r="X431">
        <v>0</v>
      </c>
      <c r="Y431">
        <f t="shared" ca="1" si="1166"/>
        <v>1</v>
      </c>
      <c r="Z431" t="str">
        <f t="shared" si="1172"/>
        <v>ELCTRLYZ_LRG_C   →   C_UNDRGRND_STRG   →   ONSITE_USE   →   H2_CCGT_PWR</v>
      </c>
      <c r="AA431" t="str">
        <f t="shared" si="1173"/>
        <v>Grid electricity</v>
      </c>
      <c r="AB431" t="str">
        <f t="shared" si="1174"/>
        <v>Flexibility</v>
      </c>
      <c r="AC431">
        <f t="shared" ca="1" si="1175"/>
        <v>1</v>
      </c>
      <c r="AD431">
        <v>372</v>
      </c>
      <c r="AE431" t="str">
        <f>IF(AND(ISNUMBER(SEARCH(O431,4)),ISNUMBER(SEARCH('(4) FCH pathway assessment'!$B$16,AB431)),ISNUMBER(SEARCH('(4) FCH pathway assessment'!$B$10,AA431))),AD431,"")</f>
        <v/>
      </c>
      <c r="AF431" t="str">
        <f t="shared" si="1002"/>
        <v/>
      </c>
      <c r="AG431" t="str">
        <f>VLOOKUP(C431,Assumptions!$B$116:$C$162,2,FALSE)</f>
        <v>ELCTRLYZ_LRG_C</v>
      </c>
      <c r="AH431" t="str">
        <f>VLOOKUP(D431,Assumptions!$B$116:$C$162,2,FALSE)</f>
        <v>C_UNDRGRND_STRG</v>
      </c>
      <c r="AI431" t="str">
        <f>VLOOKUP(E431,Assumptions!$B$116:$C$162,2,FALSE)</f>
        <v>ONSITE_USE</v>
      </c>
      <c r="AJ431" t="str">
        <f>VLOOKUP(F431,Assumptions!$B$116:$C$162,2,FALSE)</f>
        <v>H2_CCGT_PWR</v>
      </c>
    </row>
    <row r="432" spans="2:36" x14ac:dyDescent="0.25">
      <c r="B432" t="s">
        <v>112</v>
      </c>
      <c r="C432" t="s">
        <v>49</v>
      </c>
      <c r="D432" t="s">
        <v>155</v>
      </c>
      <c r="E432" t="s">
        <v>157</v>
      </c>
      <c r="F432" t="s">
        <v>163</v>
      </c>
      <c r="G432" t="s">
        <v>114</v>
      </c>
      <c r="H432" t="s">
        <v>433</v>
      </c>
      <c r="I432" t="s">
        <v>32</v>
      </c>
      <c r="J432" t="s">
        <v>80</v>
      </c>
      <c r="K432">
        <f t="shared" si="1176"/>
        <v>1</v>
      </c>
      <c r="L432">
        <f t="shared" si="1177"/>
        <v>1</v>
      </c>
      <c r="M432">
        <f t="shared" si="1178"/>
        <v>0</v>
      </c>
      <c r="N432">
        <f t="shared" si="1179"/>
        <v>0</v>
      </c>
      <c r="O432">
        <f t="shared" si="1171"/>
        <v>2</v>
      </c>
      <c r="P432" t="str">
        <f t="shared" si="1180"/>
        <v>Large centralized electrolysis-Flexibility</v>
      </c>
      <c r="Q432" t="str">
        <f t="shared" si="1181"/>
        <v>Central gas storage-Flexibility</v>
      </c>
      <c r="R432" t="str">
        <f t="shared" si="1182"/>
        <v>Blending in natural gas pipeline-Flexibility</v>
      </c>
      <c r="S432" t="str">
        <f t="shared" si="1183"/>
        <v>Hydrogen turbine (CC)-Flexibility</v>
      </c>
      <c r="T432">
        <f ca="1">VLOOKUP($P432,'TA database'!$I$8:$J$79,2,FALSE)</f>
        <v>1</v>
      </c>
      <c r="U432">
        <v>0</v>
      </c>
      <c r="V432">
        <v>0</v>
      </c>
      <c r="W432">
        <v>0</v>
      </c>
      <c r="X432">
        <v>0</v>
      </c>
      <c r="Y432">
        <f t="shared" ref="Y432:Y439" ca="1" si="1184">$T432</f>
        <v>1</v>
      </c>
      <c r="Z432" t="str">
        <f t="shared" si="1172"/>
        <v>ELCTRLYZ_LRG_C   →   C_GAS_STRG   →   H2_BLND_NG_P   →   H2_CCGT_PWR</v>
      </c>
      <c r="AA432" t="str">
        <f t="shared" si="1173"/>
        <v>Grid electricity</v>
      </c>
      <c r="AB432" t="str">
        <f t="shared" si="1174"/>
        <v>Flexibility</v>
      </c>
      <c r="AC432">
        <f t="shared" ca="1" si="1175"/>
        <v>1</v>
      </c>
      <c r="AD432">
        <v>373</v>
      </c>
      <c r="AE432" t="str">
        <f>IF(AND(ISNUMBER(SEARCH(O432,4)),ISNUMBER(SEARCH('(4) FCH pathway assessment'!$B$16,AB432)),ISNUMBER(SEARCH('(4) FCH pathway assessment'!$B$10,AA432))),AD432,"")</f>
        <v/>
      </c>
      <c r="AF432" t="str">
        <f t="shared" si="1002"/>
        <v/>
      </c>
      <c r="AG432" t="str">
        <f>VLOOKUP(C432,Assumptions!$B$116:$C$162,2,FALSE)</f>
        <v>ELCTRLYZ_LRG_C</v>
      </c>
      <c r="AH432" t="str">
        <f>VLOOKUP(D432,Assumptions!$B$116:$C$162,2,FALSE)</f>
        <v>C_GAS_STRG</v>
      </c>
      <c r="AI432" t="str">
        <f>VLOOKUP(E432,Assumptions!$B$116:$C$162,2,FALSE)</f>
        <v>H2_BLND_NG_P</v>
      </c>
      <c r="AJ432" t="str">
        <f>VLOOKUP(F432,Assumptions!$B$116:$C$162,2,FALSE)</f>
        <v>H2_CCGT_PWR</v>
      </c>
    </row>
    <row r="433" spans="2:36" x14ac:dyDescent="0.25">
      <c r="B433" t="s">
        <v>112</v>
      </c>
      <c r="C433" t="s">
        <v>49</v>
      </c>
      <c r="D433" t="s">
        <v>155</v>
      </c>
      <c r="E433" t="s">
        <v>122</v>
      </c>
      <c r="F433" t="s">
        <v>163</v>
      </c>
      <c r="G433" t="s">
        <v>114</v>
      </c>
      <c r="H433" t="s">
        <v>433</v>
      </c>
      <c r="I433" t="s">
        <v>32</v>
      </c>
      <c r="J433" t="s">
        <v>80</v>
      </c>
      <c r="K433">
        <f t="shared" si="1176"/>
        <v>1</v>
      </c>
      <c r="L433">
        <f t="shared" si="1177"/>
        <v>1</v>
      </c>
      <c r="M433">
        <f t="shared" si="1178"/>
        <v>1</v>
      </c>
      <c r="N433">
        <f t="shared" si="1179"/>
        <v>0</v>
      </c>
      <c r="O433">
        <f t="shared" si="1171"/>
        <v>3</v>
      </c>
      <c r="P433" t="str">
        <f t="shared" si="1180"/>
        <v>Large centralized electrolysis-Flexibility</v>
      </c>
      <c r="Q433" t="str">
        <f t="shared" si="1181"/>
        <v>Central gas storage-Flexibility</v>
      </c>
      <c r="R433" t="str">
        <f t="shared" si="1182"/>
        <v>Hydrogen transmission &amp; distribution pipeline-Flexibility</v>
      </c>
      <c r="S433" t="str">
        <f t="shared" si="1183"/>
        <v>Hydrogen turbine (CC)-Flexibility</v>
      </c>
      <c r="T433">
        <f ca="1">VLOOKUP($P433,'TA database'!$I$8:$J$79,2,FALSE)</f>
        <v>1</v>
      </c>
      <c r="U433">
        <v>0</v>
      </c>
      <c r="V433">
        <v>0</v>
      </c>
      <c r="W433">
        <v>0</v>
      </c>
      <c r="X433">
        <v>0</v>
      </c>
      <c r="Y433">
        <f t="shared" ca="1" si="1184"/>
        <v>1</v>
      </c>
      <c r="Z433" t="str">
        <f t="shared" si="1172"/>
        <v>ELCTRLYZ_LRG_C   →   C_GAS_STRG   →   H2_T&amp;D_P   →   H2_CCGT_PWR</v>
      </c>
      <c r="AA433" t="str">
        <f t="shared" si="1173"/>
        <v>Grid electricity</v>
      </c>
      <c r="AB433" t="str">
        <f t="shared" si="1174"/>
        <v>Flexibility</v>
      </c>
      <c r="AC433">
        <f t="shared" ca="1" si="1175"/>
        <v>1</v>
      </c>
      <c r="AD433">
        <v>374</v>
      </c>
      <c r="AE433" t="str">
        <f>IF(AND(ISNUMBER(SEARCH(O433,4)),ISNUMBER(SEARCH('(4) FCH pathway assessment'!$B$16,AB433)),ISNUMBER(SEARCH('(4) FCH pathway assessment'!$B$10,AA433))),AD433,"")</f>
        <v/>
      </c>
      <c r="AF433" t="str">
        <f t="shared" si="1002"/>
        <v/>
      </c>
      <c r="AG433" t="str">
        <f>VLOOKUP(C433,Assumptions!$B$116:$C$162,2,FALSE)</f>
        <v>ELCTRLYZ_LRG_C</v>
      </c>
      <c r="AH433" t="str">
        <f>VLOOKUP(D433,Assumptions!$B$116:$C$162,2,FALSE)</f>
        <v>C_GAS_STRG</v>
      </c>
      <c r="AI433" t="str">
        <f>VLOOKUP(E433,Assumptions!$B$116:$C$162,2,FALSE)</f>
        <v>H2_T&amp;D_P</v>
      </c>
      <c r="AJ433" t="str">
        <f>VLOOKUP(F433,Assumptions!$B$116:$C$162,2,FALSE)</f>
        <v>H2_CCGT_PWR</v>
      </c>
    </row>
    <row r="434" spans="2:36" x14ac:dyDescent="0.25">
      <c r="B434" t="s">
        <v>112</v>
      </c>
      <c r="C434" t="s">
        <v>49</v>
      </c>
      <c r="D434" t="s">
        <v>155</v>
      </c>
      <c r="E434" t="s">
        <v>116</v>
      </c>
      <c r="F434" t="s">
        <v>163</v>
      </c>
      <c r="G434" t="s">
        <v>114</v>
      </c>
      <c r="H434" t="s">
        <v>433</v>
      </c>
      <c r="I434" t="s">
        <v>32</v>
      </c>
      <c r="J434" t="s">
        <v>80</v>
      </c>
      <c r="K434">
        <f t="shared" si="1176"/>
        <v>1</v>
      </c>
      <c r="L434">
        <f t="shared" si="1177"/>
        <v>1</v>
      </c>
      <c r="M434">
        <f t="shared" si="1178"/>
        <v>1</v>
      </c>
      <c r="N434">
        <f t="shared" si="1179"/>
        <v>0</v>
      </c>
      <c r="O434">
        <f t="shared" si="1171"/>
        <v>3</v>
      </c>
      <c r="P434" t="str">
        <f t="shared" si="1180"/>
        <v>Large centralized electrolysis-Flexibility</v>
      </c>
      <c r="Q434" t="str">
        <f t="shared" si="1181"/>
        <v>Central gas storage-Flexibility</v>
      </c>
      <c r="R434" t="str">
        <f t="shared" si="1182"/>
        <v>Liquid hydrogen truck-Flexibility</v>
      </c>
      <c r="S434" t="str">
        <f t="shared" si="1183"/>
        <v>Hydrogen turbine (CC)-Flexibility</v>
      </c>
      <c r="T434">
        <f ca="1">VLOOKUP($P434,'TA database'!$I$8:$J$79,2,FALSE)</f>
        <v>1</v>
      </c>
      <c r="U434">
        <v>0</v>
      </c>
      <c r="V434">
        <v>0</v>
      </c>
      <c r="W434">
        <v>0</v>
      </c>
      <c r="X434">
        <v>0</v>
      </c>
      <c r="Y434">
        <f t="shared" ca="1" si="1184"/>
        <v>1</v>
      </c>
      <c r="Z434" t="str">
        <f t="shared" si="1172"/>
        <v>ELCTRLYZ_LRG_C   →   C_GAS_STRG   →   LQ_TRUCK   →   H2_CCGT_PWR</v>
      </c>
      <c r="AA434" t="str">
        <f t="shared" si="1173"/>
        <v>Grid electricity</v>
      </c>
      <c r="AB434" t="str">
        <f t="shared" si="1174"/>
        <v>Flexibility</v>
      </c>
      <c r="AC434">
        <f t="shared" ca="1" si="1175"/>
        <v>1</v>
      </c>
      <c r="AD434">
        <v>375</v>
      </c>
      <c r="AE434" t="str">
        <f>IF(AND(ISNUMBER(SEARCH(O434,4)),ISNUMBER(SEARCH('(4) FCH pathway assessment'!$B$16,AB434)),ISNUMBER(SEARCH('(4) FCH pathway assessment'!$B$10,AA434))),AD434,"")</f>
        <v/>
      </c>
      <c r="AF434" t="str">
        <f t="shared" si="1002"/>
        <v/>
      </c>
      <c r="AG434" t="str">
        <f>VLOOKUP(C434,Assumptions!$B$116:$C$162,2,FALSE)</f>
        <v>ELCTRLYZ_LRG_C</v>
      </c>
      <c r="AH434" t="str">
        <f>VLOOKUP(D434,Assumptions!$B$116:$C$162,2,FALSE)</f>
        <v>C_GAS_STRG</v>
      </c>
      <c r="AI434" t="str">
        <f>VLOOKUP(E434,Assumptions!$B$116:$C$162,2,FALSE)</f>
        <v>LQ_TRUCK</v>
      </c>
      <c r="AJ434" t="str">
        <f>VLOOKUP(F434,Assumptions!$B$116:$C$162,2,FALSE)</f>
        <v>H2_CCGT_PWR</v>
      </c>
    </row>
    <row r="435" spans="2:36" x14ac:dyDescent="0.25">
      <c r="B435" t="s">
        <v>112</v>
      </c>
      <c r="C435" t="s">
        <v>49</v>
      </c>
      <c r="D435" t="s">
        <v>155</v>
      </c>
      <c r="E435" t="s">
        <v>66</v>
      </c>
      <c r="F435" t="s">
        <v>163</v>
      </c>
      <c r="G435" t="s">
        <v>114</v>
      </c>
      <c r="H435" t="s">
        <v>433</v>
      </c>
      <c r="I435" t="s">
        <v>32</v>
      </c>
      <c r="J435" t="s">
        <v>80</v>
      </c>
      <c r="K435">
        <f t="shared" si="1176"/>
        <v>1</v>
      </c>
      <c r="L435">
        <f t="shared" si="1177"/>
        <v>1</v>
      </c>
      <c r="M435">
        <f t="shared" si="1178"/>
        <v>1</v>
      </c>
      <c r="N435">
        <f t="shared" si="1179"/>
        <v>0</v>
      </c>
      <c r="O435">
        <f t="shared" si="1171"/>
        <v>3</v>
      </c>
      <c r="P435" t="str">
        <f t="shared" si="1180"/>
        <v>Large centralized electrolysis-Flexibility</v>
      </c>
      <c r="Q435" t="str">
        <f t="shared" si="1181"/>
        <v>Central gas storage-Flexibility</v>
      </c>
      <c r="R435" t="str">
        <f t="shared" si="1182"/>
        <v>Onsite-Flexibility</v>
      </c>
      <c r="S435" t="str">
        <f t="shared" si="1183"/>
        <v>Hydrogen turbine (CC)-Flexibility</v>
      </c>
      <c r="T435">
        <f ca="1">VLOOKUP($P435,'TA database'!$I$8:$J$79,2,FALSE)</f>
        <v>1</v>
      </c>
      <c r="U435">
        <v>0</v>
      </c>
      <c r="V435">
        <v>0</v>
      </c>
      <c r="W435">
        <v>0</v>
      </c>
      <c r="X435">
        <v>0</v>
      </c>
      <c r="Y435">
        <f t="shared" ca="1" si="1184"/>
        <v>1</v>
      </c>
      <c r="Z435" t="str">
        <f t="shared" si="1172"/>
        <v>ELCTRLYZ_LRG_C   →   C_GAS_STRG   →   ONSITE_USE   →   H2_CCGT_PWR</v>
      </c>
      <c r="AA435" t="str">
        <f t="shared" si="1173"/>
        <v>Grid electricity</v>
      </c>
      <c r="AB435" t="str">
        <f t="shared" si="1174"/>
        <v>Flexibility</v>
      </c>
      <c r="AC435">
        <f t="shared" ca="1" si="1175"/>
        <v>1</v>
      </c>
      <c r="AD435">
        <v>376</v>
      </c>
      <c r="AE435" t="str">
        <f>IF(AND(ISNUMBER(SEARCH(O435,4)),ISNUMBER(SEARCH('(4) FCH pathway assessment'!$B$16,AB435)),ISNUMBER(SEARCH('(4) FCH pathway assessment'!$B$10,AA435))),AD435,"")</f>
        <v/>
      </c>
      <c r="AF435" t="str">
        <f t="shared" si="1002"/>
        <v/>
      </c>
      <c r="AG435" t="str">
        <f>VLOOKUP(C435,Assumptions!$B$116:$C$162,2,FALSE)</f>
        <v>ELCTRLYZ_LRG_C</v>
      </c>
      <c r="AH435" t="str">
        <f>VLOOKUP(D435,Assumptions!$B$116:$C$162,2,FALSE)</f>
        <v>C_GAS_STRG</v>
      </c>
      <c r="AI435" t="str">
        <f>VLOOKUP(E435,Assumptions!$B$116:$C$162,2,FALSE)</f>
        <v>ONSITE_USE</v>
      </c>
      <c r="AJ435" t="str">
        <f>VLOOKUP(F435,Assumptions!$B$116:$C$162,2,FALSE)</f>
        <v>H2_CCGT_PWR</v>
      </c>
    </row>
    <row r="436" spans="2:36" x14ac:dyDescent="0.25">
      <c r="B436" t="s">
        <v>112</v>
      </c>
      <c r="C436" t="s">
        <v>51</v>
      </c>
      <c r="D436" t="s">
        <v>155</v>
      </c>
      <c r="E436" t="s">
        <v>157</v>
      </c>
      <c r="F436" t="s">
        <v>163</v>
      </c>
      <c r="G436" t="s">
        <v>114</v>
      </c>
      <c r="H436" t="s">
        <v>433</v>
      </c>
      <c r="I436" t="s">
        <v>32</v>
      </c>
      <c r="J436" t="s">
        <v>80</v>
      </c>
      <c r="K436">
        <f t="shared" si="1176"/>
        <v>1</v>
      </c>
      <c r="L436">
        <f t="shared" si="1177"/>
        <v>1</v>
      </c>
      <c r="M436">
        <f t="shared" si="1178"/>
        <v>0</v>
      </c>
      <c r="N436">
        <f t="shared" si="1179"/>
        <v>0</v>
      </c>
      <c r="O436">
        <f t="shared" si="1171"/>
        <v>2</v>
      </c>
      <c r="P436" t="str">
        <f t="shared" si="1180"/>
        <v>Medium centralized electrolysis-Flexibility</v>
      </c>
      <c r="Q436" t="str">
        <f t="shared" si="1181"/>
        <v>Central gas storage-Flexibility</v>
      </c>
      <c r="R436" t="str">
        <f t="shared" si="1182"/>
        <v>Blending in natural gas pipeline-Flexibility</v>
      </c>
      <c r="S436" t="str">
        <f t="shared" si="1183"/>
        <v>Hydrogen turbine (CC)-Flexibility</v>
      </c>
      <c r="T436">
        <f ca="1">VLOOKUP($P436,'TA database'!$I$8:$J$79,2,FALSE)</f>
        <v>1</v>
      </c>
      <c r="U436">
        <v>0</v>
      </c>
      <c r="V436">
        <v>0</v>
      </c>
      <c r="W436">
        <v>0</v>
      </c>
      <c r="X436">
        <v>0</v>
      </c>
      <c r="Y436">
        <f t="shared" ca="1" si="1184"/>
        <v>1</v>
      </c>
      <c r="Z436" t="str">
        <f t="shared" si="1172"/>
        <v>ELCTRLYZ_MED_C   →   C_GAS_STRG   →   H2_BLND_NG_P   →   H2_CCGT_PWR</v>
      </c>
      <c r="AA436" t="str">
        <f t="shared" si="1173"/>
        <v>Grid electricity</v>
      </c>
      <c r="AB436" t="str">
        <f t="shared" si="1174"/>
        <v>Flexibility</v>
      </c>
      <c r="AC436">
        <f t="shared" ca="1" si="1175"/>
        <v>1</v>
      </c>
      <c r="AD436">
        <v>377</v>
      </c>
      <c r="AE436" t="str">
        <f>IF(AND(ISNUMBER(SEARCH(O436,4)),ISNUMBER(SEARCH('(4) FCH pathway assessment'!$B$16,AB436)),ISNUMBER(SEARCH('(4) FCH pathway assessment'!$B$10,AA436))),AD436,"")</f>
        <v/>
      </c>
      <c r="AF436" t="str">
        <f t="shared" si="1002"/>
        <v/>
      </c>
      <c r="AG436" t="str">
        <f>VLOOKUP(C436,Assumptions!$B$116:$C$162,2,FALSE)</f>
        <v>ELCTRLYZ_MED_C</v>
      </c>
      <c r="AH436" t="str">
        <f>VLOOKUP(D436,Assumptions!$B$116:$C$162,2,FALSE)</f>
        <v>C_GAS_STRG</v>
      </c>
      <c r="AI436" t="str">
        <f>VLOOKUP(E436,Assumptions!$B$116:$C$162,2,FALSE)</f>
        <v>H2_BLND_NG_P</v>
      </c>
      <c r="AJ436" t="str">
        <f>VLOOKUP(F436,Assumptions!$B$116:$C$162,2,FALSE)</f>
        <v>H2_CCGT_PWR</v>
      </c>
    </row>
    <row r="437" spans="2:36" x14ac:dyDescent="0.25">
      <c r="B437" t="s">
        <v>112</v>
      </c>
      <c r="C437" t="s">
        <v>51</v>
      </c>
      <c r="D437" t="s">
        <v>155</v>
      </c>
      <c r="E437" t="s">
        <v>122</v>
      </c>
      <c r="F437" t="s">
        <v>163</v>
      </c>
      <c r="G437" t="s">
        <v>114</v>
      </c>
      <c r="H437" t="s">
        <v>433</v>
      </c>
      <c r="I437" t="s">
        <v>32</v>
      </c>
      <c r="J437" t="s">
        <v>80</v>
      </c>
      <c r="K437">
        <f t="shared" si="1176"/>
        <v>1</v>
      </c>
      <c r="L437">
        <f t="shared" si="1177"/>
        <v>1</v>
      </c>
      <c r="M437">
        <f t="shared" si="1178"/>
        <v>1</v>
      </c>
      <c r="N437">
        <f t="shared" si="1179"/>
        <v>0</v>
      </c>
      <c r="O437">
        <f t="shared" si="1171"/>
        <v>3</v>
      </c>
      <c r="P437" t="str">
        <f t="shared" si="1180"/>
        <v>Medium centralized electrolysis-Flexibility</v>
      </c>
      <c r="Q437" t="str">
        <f t="shared" si="1181"/>
        <v>Central gas storage-Flexibility</v>
      </c>
      <c r="R437" t="str">
        <f t="shared" si="1182"/>
        <v>Hydrogen transmission &amp; distribution pipeline-Flexibility</v>
      </c>
      <c r="S437" t="str">
        <f t="shared" si="1183"/>
        <v>Hydrogen turbine (CC)-Flexibility</v>
      </c>
      <c r="T437">
        <f ca="1">VLOOKUP($P437,'TA database'!$I$8:$J$79,2,FALSE)</f>
        <v>1</v>
      </c>
      <c r="U437">
        <v>0</v>
      </c>
      <c r="V437">
        <v>0</v>
      </c>
      <c r="W437">
        <v>0</v>
      </c>
      <c r="X437">
        <v>0</v>
      </c>
      <c r="Y437">
        <f t="shared" ca="1" si="1184"/>
        <v>1</v>
      </c>
      <c r="Z437" t="str">
        <f t="shared" si="1172"/>
        <v>ELCTRLYZ_MED_C   →   C_GAS_STRG   →   H2_T&amp;D_P   →   H2_CCGT_PWR</v>
      </c>
      <c r="AA437" t="str">
        <f t="shared" si="1173"/>
        <v>Grid electricity</v>
      </c>
      <c r="AB437" t="str">
        <f t="shared" si="1174"/>
        <v>Flexibility</v>
      </c>
      <c r="AC437">
        <f t="shared" ca="1" si="1175"/>
        <v>1</v>
      </c>
      <c r="AD437">
        <v>378</v>
      </c>
      <c r="AE437" t="str">
        <f>IF(AND(ISNUMBER(SEARCH(O437,4)),ISNUMBER(SEARCH('(4) FCH pathway assessment'!$B$16,AB437)),ISNUMBER(SEARCH('(4) FCH pathway assessment'!$B$10,AA437))),AD437,"")</f>
        <v/>
      </c>
      <c r="AF437" t="str">
        <f t="shared" si="1002"/>
        <v/>
      </c>
      <c r="AG437" t="str">
        <f>VLOOKUP(C437,Assumptions!$B$116:$C$162,2,FALSE)</f>
        <v>ELCTRLYZ_MED_C</v>
      </c>
      <c r="AH437" t="str">
        <f>VLOOKUP(D437,Assumptions!$B$116:$C$162,2,FALSE)</f>
        <v>C_GAS_STRG</v>
      </c>
      <c r="AI437" t="str">
        <f>VLOOKUP(E437,Assumptions!$B$116:$C$162,2,FALSE)</f>
        <v>H2_T&amp;D_P</v>
      </c>
      <c r="AJ437" t="str">
        <f>VLOOKUP(F437,Assumptions!$B$116:$C$162,2,FALSE)</f>
        <v>H2_CCGT_PWR</v>
      </c>
    </row>
    <row r="438" spans="2:36" x14ac:dyDescent="0.25">
      <c r="B438" t="s">
        <v>112</v>
      </c>
      <c r="C438" t="s">
        <v>51</v>
      </c>
      <c r="D438" t="s">
        <v>155</v>
      </c>
      <c r="E438" t="s">
        <v>116</v>
      </c>
      <c r="F438" t="s">
        <v>163</v>
      </c>
      <c r="G438" t="s">
        <v>114</v>
      </c>
      <c r="H438" t="s">
        <v>433</v>
      </c>
      <c r="I438" t="s">
        <v>32</v>
      </c>
      <c r="J438" t="s">
        <v>80</v>
      </c>
      <c r="K438">
        <f t="shared" si="1176"/>
        <v>1</v>
      </c>
      <c r="L438">
        <f t="shared" si="1177"/>
        <v>1</v>
      </c>
      <c r="M438">
        <f t="shared" si="1178"/>
        <v>1</v>
      </c>
      <c r="N438">
        <f t="shared" si="1179"/>
        <v>0</v>
      </c>
      <c r="O438">
        <f t="shared" si="1171"/>
        <v>3</v>
      </c>
      <c r="P438" t="str">
        <f t="shared" si="1180"/>
        <v>Medium centralized electrolysis-Flexibility</v>
      </c>
      <c r="Q438" t="str">
        <f t="shared" si="1181"/>
        <v>Central gas storage-Flexibility</v>
      </c>
      <c r="R438" t="str">
        <f t="shared" si="1182"/>
        <v>Liquid hydrogen truck-Flexibility</v>
      </c>
      <c r="S438" t="str">
        <f t="shared" si="1183"/>
        <v>Hydrogen turbine (CC)-Flexibility</v>
      </c>
      <c r="T438">
        <f ca="1">VLOOKUP($P438,'TA database'!$I$8:$J$79,2,FALSE)</f>
        <v>1</v>
      </c>
      <c r="U438">
        <v>0</v>
      </c>
      <c r="V438">
        <v>0</v>
      </c>
      <c r="W438">
        <v>0</v>
      </c>
      <c r="X438">
        <v>0</v>
      </c>
      <c r="Y438">
        <f t="shared" ca="1" si="1184"/>
        <v>1</v>
      </c>
      <c r="Z438" t="str">
        <f t="shared" si="1172"/>
        <v>ELCTRLYZ_MED_C   →   C_GAS_STRG   →   LQ_TRUCK   →   H2_CCGT_PWR</v>
      </c>
      <c r="AA438" t="str">
        <f t="shared" si="1173"/>
        <v>Grid electricity</v>
      </c>
      <c r="AB438" t="str">
        <f t="shared" si="1174"/>
        <v>Flexibility</v>
      </c>
      <c r="AC438">
        <f t="shared" ca="1" si="1175"/>
        <v>1</v>
      </c>
      <c r="AD438">
        <v>379</v>
      </c>
      <c r="AE438" t="str">
        <f>IF(AND(ISNUMBER(SEARCH(O438,4)),ISNUMBER(SEARCH('(4) FCH pathway assessment'!$B$16,AB438)),ISNUMBER(SEARCH('(4) FCH pathway assessment'!$B$10,AA438))),AD438,"")</f>
        <v/>
      </c>
      <c r="AF438" t="str">
        <f t="shared" si="1002"/>
        <v/>
      </c>
      <c r="AG438" t="str">
        <f>VLOOKUP(C438,Assumptions!$B$116:$C$162,2,FALSE)</f>
        <v>ELCTRLYZ_MED_C</v>
      </c>
      <c r="AH438" t="str">
        <f>VLOOKUP(D438,Assumptions!$B$116:$C$162,2,FALSE)</f>
        <v>C_GAS_STRG</v>
      </c>
      <c r="AI438" t="str">
        <f>VLOOKUP(E438,Assumptions!$B$116:$C$162,2,FALSE)</f>
        <v>LQ_TRUCK</v>
      </c>
      <c r="AJ438" t="str">
        <f>VLOOKUP(F438,Assumptions!$B$116:$C$162,2,FALSE)</f>
        <v>H2_CCGT_PWR</v>
      </c>
    </row>
    <row r="439" spans="2:36" x14ac:dyDescent="0.25">
      <c r="B439" t="s">
        <v>112</v>
      </c>
      <c r="C439" t="s">
        <v>51</v>
      </c>
      <c r="D439" t="s">
        <v>155</v>
      </c>
      <c r="E439" t="s">
        <v>66</v>
      </c>
      <c r="F439" t="s">
        <v>163</v>
      </c>
      <c r="G439" t="s">
        <v>114</v>
      </c>
      <c r="H439" t="s">
        <v>433</v>
      </c>
      <c r="I439" t="s">
        <v>32</v>
      </c>
      <c r="J439" t="s">
        <v>80</v>
      </c>
      <c r="K439">
        <f t="shared" si="1176"/>
        <v>1</v>
      </c>
      <c r="L439">
        <f t="shared" si="1177"/>
        <v>1</v>
      </c>
      <c r="M439">
        <f t="shared" si="1178"/>
        <v>1</v>
      </c>
      <c r="N439">
        <f t="shared" si="1179"/>
        <v>0</v>
      </c>
      <c r="O439">
        <f t="shared" si="1171"/>
        <v>3</v>
      </c>
      <c r="P439" t="str">
        <f t="shared" si="1180"/>
        <v>Medium centralized electrolysis-Flexibility</v>
      </c>
      <c r="Q439" t="str">
        <f t="shared" si="1181"/>
        <v>Central gas storage-Flexibility</v>
      </c>
      <c r="R439" t="str">
        <f t="shared" si="1182"/>
        <v>Onsite-Flexibility</v>
      </c>
      <c r="S439" t="str">
        <f t="shared" si="1183"/>
        <v>Hydrogen turbine (CC)-Flexibility</v>
      </c>
      <c r="T439">
        <f ca="1">VLOOKUP($P439,'TA database'!$I$8:$J$79,2,FALSE)</f>
        <v>1</v>
      </c>
      <c r="U439">
        <v>0</v>
      </c>
      <c r="V439">
        <v>0</v>
      </c>
      <c r="W439">
        <v>0</v>
      </c>
      <c r="X439">
        <v>0</v>
      </c>
      <c r="Y439">
        <f t="shared" ca="1" si="1184"/>
        <v>1</v>
      </c>
      <c r="Z439" t="str">
        <f t="shared" si="1172"/>
        <v>ELCTRLYZ_MED_C   →   C_GAS_STRG   →   ONSITE_USE   →   H2_CCGT_PWR</v>
      </c>
      <c r="AA439" t="str">
        <f t="shared" si="1173"/>
        <v>Grid electricity</v>
      </c>
      <c r="AB439" t="str">
        <f t="shared" si="1174"/>
        <v>Flexibility</v>
      </c>
      <c r="AC439">
        <f t="shared" ca="1" si="1175"/>
        <v>1</v>
      </c>
      <c r="AD439">
        <v>380</v>
      </c>
      <c r="AE439" t="str">
        <f>IF(AND(ISNUMBER(SEARCH(O439,4)),ISNUMBER(SEARCH('(4) FCH pathway assessment'!$B$16,AB439)),ISNUMBER(SEARCH('(4) FCH pathway assessment'!$B$10,AA439))),AD439,"")</f>
        <v/>
      </c>
      <c r="AF439" t="str">
        <f t="shared" si="1002"/>
        <v/>
      </c>
      <c r="AG439" t="str">
        <f>VLOOKUP(C439,Assumptions!$B$116:$C$162,2,FALSE)</f>
        <v>ELCTRLYZ_MED_C</v>
      </c>
      <c r="AH439" t="str">
        <f>VLOOKUP(D439,Assumptions!$B$116:$C$162,2,FALSE)</f>
        <v>C_GAS_STRG</v>
      </c>
      <c r="AI439" t="str">
        <f>VLOOKUP(E439,Assumptions!$B$116:$C$162,2,FALSE)</f>
        <v>ONSITE_USE</v>
      </c>
      <c r="AJ439" t="str">
        <f>VLOOKUP(F439,Assumptions!$B$116:$C$162,2,FALSE)</f>
        <v>H2_CCGT_PWR</v>
      </c>
    </row>
    <row r="440" spans="2:36" x14ac:dyDescent="0.25">
      <c r="B440" t="s">
        <v>112</v>
      </c>
      <c r="C440" t="s">
        <v>52</v>
      </c>
      <c r="D440" s="60" t="s">
        <v>130</v>
      </c>
      <c r="E440" t="s">
        <v>66</v>
      </c>
      <c r="F440" t="s">
        <v>163</v>
      </c>
      <c r="G440" t="s">
        <v>114</v>
      </c>
      <c r="H440" t="s">
        <v>433</v>
      </c>
      <c r="I440" t="s">
        <v>32</v>
      </c>
      <c r="J440" t="s">
        <v>80</v>
      </c>
      <c r="K440">
        <f t="shared" ref="K440:K444" si="1185">SUMPRODUCT(($C$7:$C$18=$C440)*($D$6:$H$6=$D440)*($D$7:$H$18))</f>
        <v>1</v>
      </c>
      <c r="L440">
        <f t="shared" ref="L440:L444" si="1186">SUMPRODUCT(($C$19:$C$23=$D440)*($I$6:$O$6=$E440)*($I$19:$O$23))</f>
        <v>1</v>
      </c>
      <c r="M440">
        <f t="shared" ref="M440:M444" si="1187">SUMPRODUCT(($C$24:$C$30=$E440)*($P$6:$AI$6=$F440)*($P$24:$AI$30))</f>
        <v>1</v>
      </c>
      <c r="N440">
        <f t="shared" ref="N440:N444" si="1188">SUMPRODUCT(($C$31:$C$50=$F440)*($AJ$6:$AM$6=$G440)*($AJ$31:$AM$50))</f>
        <v>0</v>
      </c>
      <c r="O440">
        <f t="shared" ref="O440:O444" si="1189">K440+L440+M440+N440</f>
        <v>3</v>
      </c>
      <c r="P440" t="str">
        <f t="shared" ref="P440:P444" si="1190">CONCATENATE(C440,"-",J440)</f>
        <v>Small decentralized electrolysis-Flexibility</v>
      </c>
      <c r="Q440" t="str">
        <f t="shared" ref="Q440:Q444" si="1191">CONCATENATE(D440,"-",J440)</f>
        <v>Distributed gas storage-Flexibility</v>
      </c>
      <c r="R440" t="str">
        <f t="shared" ref="R440:R444" si="1192">CONCATENATE(E440,"-",J440)</f>
        <v>Onsite-Flexibility</v>
      </c>
      <c r="S440" t="str">
        <f t="shared" ref="S440:S444" si="1193">CONCATENATE(F440,"-",J440)</f>
        <v>Hydrogen turbine (CC)-Flexibility</v>
      </c>
      <c r="T440">
        <f ca="1">VLOOKUP($P440,'TA database'!$I$8:$J$79,2,FALSE)</f>
        <v>0.14583333333333334</v>
      </c>
      <c r="U440">
        <v>0</v>
      </c>
      <c r="V440">
        <v>0</v>
      </c>
      <c r="W440">
        <v>0</v>
      </c>
      <c r="X440">
        <v>0</v>
      </c>
      <c r="Y440">
        <f t="shared" ref="Y440:Y445" ca="1" si="1194">$T440</f>
        <v>0.14583333333333334</v>
      </c>
      <c r="Z440" t="str">
        <f t="shared" ref="Z440:Z444" si="1195">CONCATENATE(AG440,"   →   ",AH440,"   →   ",AI440,"   →   ",AJ440)</f>
        <v>ELCTRLYZ_SML_D   →   D_GAS_STRG   →   ONSITE_USE   →   H2_CCGT_PWR</v>
      </c>
      <c r="AA440" t="str">
        <f t="shared" ref="AA440:AA444" si="1196">G440</f>
        <v>Grid electricity</v>
      </c>
      <c r="AB440" t="str">
        <f t="shared" ref="AB440:AB444" si="1197">J440</f>
        <v>Flexibility</v>
      </c>
      <c r="AC440">
        <f t="shared" ref="AC440:AC444" ca="1" si="1198">Y440</f>
        <v>0.14583333333333334</v>
      </c>
      <c r="AD440">
        <v>381</v>
      </c>
      <c r="AE440" t="str">
        <f>IF(AND(ISNUMBER(SEARCH(O440,4)),ISNUMBER(SEARCH('(4) FCH pathway assessment'!$B$16,AB440)),ISNUMBER(SEARCH('(4) FCH pathway assessment'!$B$10,AA440))),AD440,"")</f>
        <v/>
      </c>
      <c r="AF440" t="str">
        <f t="shared" si="1002"/>
        <v/>
      </c>
      <c r="AG440" t="str">
        <f>VLOOKUP(C440,Assumptions!$B$116:$C$162,2,FALSE)</f>
        <v>ELCTRLYZ_SML_D</v>
      </c>
      <c r="AH440" t="str">
        <f>VLOOKUP(D440,Assumptions!$B$116:$C$162,2,FALSE)</f>
        <v>D_GAS_STRG</v>
      </c>
      <c r="AI440" t="str">
        <f>VLOOKUP(E440,Assumptions!$B$116:$C$162,2,FALSE)</f>
        <v>ONSITE_USE</v>
      </c>
      <c r="AJ440" t="str">
        <f>VLOOKUP(F440,Assumptions!$B$116:$C$162,2,FALSE)</f>
        <v>H2_CCGT_PWR</v>
      </c>
    </row>
    <row r="441" spans="2:36" x14ac:dyDescent="0.25">
      <c r="B441" t="s">
        <v>127</v>
      </c>
      <c r="C441" t="s">
        <v>57</v>
      </c>
      <c r="D441" t="s">
        <v>62</v>
      </c>
      <c r="E441" t="s">
        <v>157</v>
      </c>
      <c r="F441" t="s">
        <v>163</v>
      </c>
      <c r="G441" t="s">
        <v>114</v>
      </c>
      <c r="H441" t="s">
        <v>433</v>
      </c>
      <c r="I441" t="s">
        <v>32</v>
      </c>
      <c r="J441" t="s">
        <v>80</v>
      </c>
      <c r="K441">
        <f t="shared" si="1185"/>
        <v>1</v>
      </c>
      <c r="L441">
        <f t="shared" si="1186"/>
        <v>0</v>
      </c>
      <c r="M441">
        <f t="shared" si="1187"/>
        <v>0</v>
      </c>
      <c r="N441">
        <f t="shared" si="1188"/>
        <v>0</v>
      </c>
      <c r="O441">
        <f t="shared" si="1189"/>
        <v>1</v>
      </c>
      <c r="P441" t="str">
        <f t="shared" si="1190"/>
        <v>Large centralized natural gas steam reforming-Flexibility</v>
      </c>
      <c r="Q441" t="str">
        <f t="shared" si="1191"/>
        <v>Underground storage-Flexibility</v>
      </c>
      <c r="R441" t="str">
        <f t="shared" si="1192"/>
        <v>Blending in natural gas pipeline-Flexibility</v>
      </c>
      <c r="S441" t="str">
        <f t="shared" si="1193"/>
        <v>Hydrogen turbine (CC)-Flexibility</v>
      </c>
      <c r="T441">
        <f ca="1">VLOOKUP($P441,'TA database'!$I$8:$J$79,2,FALSE)</f>
        <v>0</v>
      </c>
      <c r="U441">
        <v>0</v>
      </c>
      <c r="V441">
        <v>0</v>
      </c>
      <c r="W441">
        <v>0</v>
      </c>
      <c r="X441">
        <v>0</v>
      </c>
      <c r="Y441">
        <f t="shared" ca="1" si="1194"/>
        <v>0</v>
      </c>
      <c r="Z441" t="str">
        <f t="shared" si="1195"/>
        <v>NG_SR_LRG_C   →   C_UNDRGRND_STRG   →   H2_BLND_NG_P   →   H2_CCGT_PWR</v>
      </c>
      <c r="AA441" t="str">
        <f t="shared" si="1196"/>
        <v>Grid electricity</v>
      </c>
      <c r="AB441" t="str">
        <f t="shared" si="1197"/>
        <v>Flexibility</v>
      </c>
      <c r="AC441">
        <f t="shared" ca="1" si="1198"/>
        <v>0</v>
      </c>
      <c r="AD441">
        <v>382</v>
      </c>
      <c r="AE441" t="str">
        <f>IF(AND(ISNUMBER(SEARCH(O441,4)),ISNUMBER(SEARCH('(4) FCH pathway assessment'!$B$16,AB441)),ISNUMBER(SEARCH('(4) FCH pathway assessment'!$B$10,AA441))),AD441,"")</f>
        <v/>
      </c>
      <c r="AF441" t="str">
        <f t="shared" si="1002"/>
        <v/>
      </c>
      <c r="AG441" t="str">
        <f>VLOOKUP(C441,Assumptions!$B$116:$C$162,2,FALSE)</f>
        <v>NG_SR_LRG_C</v>
      </c>
      <c r="AH441" t="str">
        <f>VLOOKUP(D441,Assumptions!$B$116:$C$162,2,FALSE)</f>
        <v>C_UNDRGRND_STRG</v>
      </c>
      <c r="AI441" t="str">
        <f>VLOOKUP(E441,Assumptions!$B$116:$C$162,2,FALSE)</f>
        <v>H2_BLND_NG_P</v>
      </c>
      <c r="AJ441" t="str">
        <f>VLOOKUP(F441,Assumptions!$B$116:$C$162,2,FALSE)</f>
        <v>H2_CCGT_PWR</v>
      </c>
    </row>
    <row r="442" spans="2:36" x14ac:dyDescent="0.25">
      <c r="B442" t="s">
        <v>127</v>
      </c>
      <c r="C442" t="s">
        <v>57</v>
      </c>
      <c r="D442" t="s">
        <v>62</v>
      </c>
      <c r="E442" t="s">
        <v>122</v>
      </c>
      <c r="F442" t="s">
        <v>163</v>
      </c>
      <c r="G442" t="s">
        <v>114</v>
      </c>
      <c r="H442" t="s">
        <v>433</v>
      </c>
      <c r="I442" t="s">
        <v>32</v>
      </c>
      <c r="J442" t="s">
        <v>80</v>
      </c>
      <c r="K442">
        <f t="shared" si="1185"/>
        <v>1</v>
      </c>
      <c r="L442">
        <f t="shared" si="1186"/>
        <v>0</v>
      </c>
      <c r="M442">
        <f t="shared" si="1187"/>
        <v>1</v>
      </c>
      <c r="N442">
        <f t="shared" si="1188"/>
        <v>0</v>
      </c>
      <c r="O442">
        <f t="shared" si="1189"/>
        <v>2</v>
      </c>
      <c r="P442" t="str">
        <f t="shared" si="1190"/>
        <v>Large centralized natural gas steam reforming-Flexibility</v>
      </c>
      <c r="Q442" t="str">
        <f t="shared" si="1191"/>
        <v>Underground storage-Flexibility</v>
      </c>
      <c r="R442" t="str">
        <f t="shared" si="1192"/>
        <v>Hydrogen transmission &amp; distribution pipeline-Flexibility</v>
      </c>
      <c r="S442" t="str">
        <f t="shared" si="1193"/>
        <v>Hydrogen turbine (CC)-Flexibility</v>
      </c>
      <c r="T442">
        <f ca="1">VLOOKUP($P442,'TA database'!$I$8:$J$79,2,FALSE)</f>
        <v>0</v>
      </c>
      <c r="U442">
        <v>0</v>
      </c>
      <c r="V442">
        <v>0</v>
      </c>
      <c r="W442">
        <v>0</v>
      </c>
      <c r="X442">
        <v>0</v>
      </c>
      <c r="Y442">
        <f t="shared" ca="1" si="1194"/>
        <v>0</v>
      </c>
      <c r="Z442" t="str">
        <f t="shared" si="1195"/>
        <v>NG_SR_LRG_C   →   C_UNDRGRND_STRG   →   H2_T&amp;D_P   →   H2_CCGT_PWR</v>
      </c>
      <c r="AA442" t="str">
        <f t="shared" si="1196"/>
        <v>Grid electricity</v>
      </c>
      <c r="AB442" t="str">
        <f t="shared" si="1197"/>
        <v>Flexibility</v>
      </c>
      <c r="AC442">
        <f t="shared" ca="1" si="1198"/>
        <v>0</v>
      </c>
      <c r="AD442">
        <v>383</v>
      </c>
      <c r="AE442" t="str">
        <f>IF(AND(ISNUMBER(SEARCH(O442,4)),ISNUMBER(SEARCH('(4) FCH pathway assessment'!$B$16,AB442)),ISNUMBER(SEARCH('(4) FCH pathway assessment'!$B$10,AA442))),AD442,"")</f>
        <v/>
      </c>
      <c r="AF442" t="str">
        <f t="shared" si="1002"/>
        <v/>
      </c>
      <c r="AG442" t="str">
        <f>VLOOKUP(C442,Assumptions!$B$116:$C$162,2,FALSE)</f>
        <v>NG_SR_LRG_C</v>
      </c>
      <c r="AH442" t="str">
        <f>VLOOKUP(D442,Assumptions!$B$116:$C$162,2,FALSE)</f>
        <v>C_UNDRGRND_STRG</v>
      </c>
      <c r="AI442" t="str">
        <f>VLOOKUP(E442,Assumptions!$B$116:$C$162,2,FALSE)</f>
        <v>H2_T&amp;D_P</v>
      </c>
      <c r="AJ442" t="str">
        <f>VLOOKUP(F442,Assumptions!$B$116:$C$162,2,FALSE)</f>
        <v>H2_CCGT_PWR</v>
      </c>
    </row>
    <row r="443" spans="2:36" x14ac:dyDescent="0.25">
      <c r="B443" t="s">
        <v>127</v>
      </c>
      <c r="C443" t="s">
        <v>57</v>
      </c>
      <c r="D443" t="s">
        <v>62</v>
      </c>
      <c r="E443" t="s">
        <v>116</v>
      </c>
      <c r="F443" t="s">
        <v>163</v>
      </c>
      <c r="G443" t="s">
        <v>114</v>
      </c>
      <c r="H443" t="s">
        <v>433</v>
      </c>
      <c r="I443" t="s">
        <v>32</v>
      </c>
      <c r="J443" t="s">
        <v>80</v>
      </c>
      <c r="K443">
        <f t="shared" si="1185"/>
        <v>1</v>
      </c>
      <c r="L443">
        <f t="shared" si="1186"/>
        <v>0</v>
      </c>
      <c r="M443">
        <f t="shared" si="1187"/>
        <v>1</v>
      </c>
      <c r="N443">
        <f t="shared" si="1188"/>
        <v>0</v>
      </c>
      <c r="O443">
        <f t="shared" si="1189"/>
        <v>2</v>
      </c>
      <c r="P443" t="str">
        <f t="shared" si="1190"/>
        <v>Large centralized natural gas steam reforming-Flexibility</v>
      </c>
      <c r="Q443" t="str">
        <f t="shared" si="1191"/>
        <v>Underground storage-Flexibility</v>
      </c>
      <c r="R443" t="str">
        <f t="shared" si="1192"/>
        <v>Liquid hydrogen truck-Flexibility</v>
      </c>
      <c r="S443" t="str">
        <f t="shared" si="1193"/>
        <v>Hydrogen turbine (CC)-Flexibility</v>
      </c>
      <c r="T443">
        <f ca="1">VLOOKUP($P443,'TA database'!$I$8:$J$79,2,FALSE)</f>
        <v>0</v>
      </c>
      <c r="U443">
        <v>0</v>
      </c>
      <c r="V443">
        <v>0</v>
      </c>
      <c r="W443">
        <v>0</v>
      </c>
      <c r="X443">
        <v>0</v>
      </c>
      <c r="Y443">
        <f t="shared" ca="1" si="1194"/>
        <v>0</v>
      </c>
      <c r="Z443" t="str">
        <f t="shared" si="1195"/>
        <v>NG_SR_LRG_C   →   C_UNDRGRND_STRG   →   LQ_TRUCK   →   H2_CCGT_PWR</v>
      </c>
      <c r="AA443" t="str">
        <f t="shared" si="1196"/>
        <v>Grid electricity</v>
      </c>
      <c r="AB443" t="str">
        <f t="shared" si="1197"/>
        <v>Flexibility</v>
      </c>
      <c r="AC443">
        <f t="shared" ca="1" si="1198"/>
        <v>0</v>
      </c>
      <c r="AD443">
        <v>384</v>
      </c>
      <c r="AE443" t="str">
        <f>IF(AND(ISNUMBER(SEARCH(O443,4)),ISNUMBER(SEARCH('(4) FCH pathway assessment'!$B$16,AB443)),ISNUMBER(SEARCH('(4) FCH pathway assessment'!$B$10,AA443))),AD443,"")</f>
        <v/>
      </c>
      <c r="AF443" t="str">
        <f t="shared" si="1002"/>
        <v/>
      </c>
      <c r="AG443" t="str">
        <f>VLOOKUP(C443,Assumptions!$B$116:$C$162,2,FALSE)</f>
        <v>NG_SR_LRG_C</v>
      </c>
      <c r="AH443" t="str">
        <f>VLOOKUP(D443,Assumptions!$B$116:$C$162,2,FALSE)</f>
        <v>C_UNDRGRND_STRG</v>
      </c>
      <c r="AI443" t="str">
        <f>VLOOKUP(E443,Assumptions!$B$116:$C$162,2,FALSE)</f>
        <v>LQ_TRUCK</v>
      </c>
      <c r="AJ443" t="str">
        <f>VLOOKUP(F443,Assumptions!$B$116:$C$162,2,FALSE)</f>
        <v>H2_CCGT_PWR</v>
      </c>
    </row>
    <row r="444" spans="2:36" x14ac:dyDescent="0.25">
      <c r="B444" t="s">
        <v>127</v>
      </c>
      <c r="C444" t="s">
        <v>57</v>
      </c>
      <c r="D444" t="s">
        <v>62</v>
      </c>
      <c r="E444" t="s">
        <v>66</v>
      </c>
      <c r="F444" t="s">
        <v>163</v>
      </c>
      <c r="G444" t="s">
        <v>114</v>
      </c>
      <c r="H444" t="s">
        <v>433</v>
      </c>
      <c r="I444" t="s">
        <v>32</v>
      </c>
      <c r="J444" t="s">
        <v>80</v>
      </c>
      <c r="K444">
        <f t="shared" si="1185"/>
        <v>1</v>
      </c>
      <c r="L444">
        <f t="shared" si="1186"/>
        <v>0</v>
      </c>
      <c r="M444">
        <f t="shared" si="1187"/>
        <v>1</v>
      </c>
      <c r="N444">
        <f t="shared" si="1188"/>
        <v>0</v>
      </c>
      <c r="O444">
        <f t="shared" si="1189"/>
        <v>2</v>
      </c>
      <c r="P444" t="str">
        <f t="shared" si="1190"/>
        <v>Large centralized natural gas steam reforming-Flexibility</v>
      </c>
      <c r="Q444" t="str">
        <f t="shared" si="1191"/>
        <v>Underground storage-Flexibility</v>
      </c>
      <c r="R444" t="str">
        <f t="shared" si="1192"/>
        <v>Onsite-Flexibility</v>
      </c>
      <c r="S444" t="str">
        <f t="shared" si="1193"/>
        <v>Hydrogen turbine (CC)-Flexibility</v>
      </c>
      <c r="T444">
        <f ca="1">VLOOKUP($P444,'TA database'!$I$8:$J$79,2,FALSE)</f>
        <v>0</v>
      </c>
      <c r="U444">
        <v>0</v>
      </c>
      <c r="V444">
        <v>0</v>
      </c>
      <c r="W444">
        <v>0</v>
      </c>
      <c r="X444">
        <v>0</v>
      </c>
      <c r="Y444">
        <f t="shared" ca="1" si="1194"/>
        <v>0</v>
      </c>
      <c r="Z444" t="str">
        <f t="shared" si="1195"/>
        <v>NG_SR_LRG_C   →   C_UNDRGRND_STRG   →   ONSITE_USE   →   H2_CCGT_PWR</v>
      </c>
      <c r="AA444" t="str">
        <f t="shared" si="1196"/>
        <v>Grid electricity</v>
      </c>
      <c r="AB444" t="str">
        <f t="shared" si="1197"/>
        <v>Flexibility</v>
      </c>
      <c r="AC444">
        <f t="shared" ca="1" si="1198"/>
        <v>0</v>
      </c>
      <c r="AD444">
        <v>385</v>
      </c>
      <c r="AE444" t="str">
        <f>IF(AND(ISNUMBER(SEARCH(O444,4)),ISNUMBER(SEARCH('(4) FCH pathway assessment'!$B$16,AB444)),ISNUMBER(SEARCH('(4) FCH pathway assessment'!$B$10,AA444))),AD444,"")</f>
        <v/>
      </c>
      <c r="AF444" t="str">
        <f t="shared" ref="AF444:AF507" si="1199">IFERROR(SMALL($AE$60:$AE$1991,AD444),"")</f>
        <v/>
      </c>
      <c r="AG444" t="str">
        <f>VLOOKUP(C444,Assumptions!$B$116:$C$162,2,FALSE)</f>
        <v>NG_SR_LRG_C</v>
      </c>
      <c r="AH444" t="str">
        <f>VLOOKUP(D444,Assumptions!$B$116:$C$162,2,FALSE)</f>
        <v>C_UNDRGRND_STRG</v>
      </c>
      <c r="AI444" t="str">
        <f>VLOOKUP(E444,Assumptions!$B$116:$C$162,2,FALSE)</f>
        <v>ONSITE_USE</v>
      </c>
      <c r="AJ444" t="str">
        <f>VLOOKUP(F444,Assumptions!$B$116:$C$162,2,FALSE)</f>
        <v>H2_CCGT_PWR</v>
      </c>
    </row>
    <row r="445" spans="2:36" x14ac:dyDescent="0.25">
      <c r="B445" t="s">
        <v>127</v>
      </c>
      <c r="C445" t="s">
        <v>57</v>
      </c>
      <c r="D445" s="61" t="s">
        <v>63</v>
      </c>
      <c r="E445" t="s">
        <v>122</v>
      </c>
      <c r="F445" t="s">
        <v>163</v>
      </c>
      <c r="G445" t="s">
        <v>114</v>
      </c>
      <c r="H445" t="s">
        <v>433</v>
      </c>
      <c r="I445" t="s">
        <v>32</v>
      </c>
      <c r="J445" t="s">
        <v>80</v>
      </c>
      <c r="K445">
        <f t="shared" ref="K445:K449" si="1200">SUMPRODUCT(($C$7:$C$18=$C445)*($D$6:$H$6=$D445)*($D$7:$H$18))</f>
        <v>1</v>
      </c>
      <c r="L445">
        <f t="shared" ref="L445:L449" si="1201">SUMPRODUCT(($C$19:$C$23=$D445)*($I$6:$O$6=$E445)*($I$19:$O$23))</f>
        <v>1</v>
      </c>
      <c r="M445">
        <f t="shared" ref="M445:M449" si="1202">SUMPRODUCT(($C$24:$C$30=$E445)*($P$6:$AI$6=$F445)*($P$24:$AI$30))</f>
        <v>1</v>
      </c>
      <c r="N445">
        <f t="shared" ref="N445:N449" si="1203">SUMPRODUCT(($C$31:$C$50=$F445)*($AJ$6:$AM$6=$G445)*($AJ$31:$AM$50))</f>
        <v>0</v>
      </c>
      <c r="O445">
        <f t="shared" ref="O445:O449" si="1204">K445+L445+M445+N445</f>
        <v>3</v>
      </c>
      <c r="P445" t="str">
        <f t="shared" ref="P445:P449" si="1205">CONCATENATE(C445,"-",J445)</f>
        <v>Large centralized natural gas steam reforming-Flexibility</v>
      </c>
      <c r="Q445" t="str">
        <f t="shared" ref="Q445:Q449" si="1206">CONCATENATE(D445,"-",J445)</f>
        <v>No storage-Flexibility</v>
      </c>
      <c r="R445" t="str">
        <f t="shared" ref="R445:R449" si="1207">CONCATENATE(E445,"-",J445)</f>
        <v>Hydrogen transmission &amp; distribution pipeline-Flexibility</v>
      </c>
      <c r="S445" t="str">
        <f t="shared" ref="S445:S449" si="1208">CONCATENATE(F445,"-",J445)</f>
        <v>Hydrogen turbine (CC)-Flexibility</v>
      </c>
      <c r="T445">
        <f ca="1">VLOOKUP($P445,'TA database'!$I$8:$J$79,2,FALSE)</f>
        <v>0</v>
      </c>
      <c r="U445">
        <v>0</v>
      </c>
      <c r="V445">
        <v>0</v>
      </c>
      <c r="W445">
        <v>0</v>
      </c>
      <c r="X445">
        <v>0</v>
      </c>
      <c r="Y445">
        <f t="shared" ca="1" si="1194"/>
        <v>0</v>
      </c>
      <c r="Z445" t="str">
        <f t="shared" ref="Z445:Z449" si="1209">CONCATENATE(AG445,"   →   ",AH445,"   →   ",AI445,"   →   ",AJ445)</f>
        <v>NG_SR_LRG_C   →   NO_STRG   →   H2_T&amp;D_P   →   H2_CCGT_PWR</v>
      </c>
      <c r="AA445" t="str">
        <f t="shared" ref="AA445:AA449" si="1210">G445</f>
        <v>Grid electricity</v>
      </c>
      <c r="AB445" t="str">
        <f t="shared" ref="AB445:AB449" si="1211">J445</f>
        <v>Flexibility</v>
      </c>
      <c r="AC445">
        <f t="shared" ref="AC445:AC449" ca="1" si="1212">Y445</f>
        <v>0</v>
      </c>
      <c r="AD445">
        <v>386</v>
      </c>
      <c r="AE445" t="str">
        <f>IF(AND(ISNUMBER(SEARCH(O445,4)),ISNUMBER(SEARCH('(4) FCH pathway assessment'!$B$16,AB445)),ISNUMBER(SEARCH('(4) FCH pathway assessment'!$B$10,AA445))),AD445,"")</f>
        <v/>
      </c>
      <c r="AF445" t="str">
        <f t="shared" si="1199"/>
        <v/>
      </c>
      <c r="AG445" t="str">
        <f>VLOOKUP(C445,Assumptions!$B$116:$C$162,2,FALSE)</f>
        <v>NG_SR_LRG_C</v>
      </c>
      <c r="AH445" t="str">
        <f>VLOOKUP(D445,Assumptions!$B$116:$C$162,2,FALSE)</f>
        <v>NO_STRG</v>
      </c>
      <c r="AI445" t="str">
        <f>VLOOKUP(E445,Assumptions!$B$116:$C$162,2,FALSE)</f>
        <v>H2_T&amp;D_P</v>
      </c>
      <c r="AJ445" t="str">
        <f>VLOOKUP(F445,Assumptions!$B$116:$C$162,2,FALSE)</f>
        <v>H2_CCGT_PWR</v>
      </c>
    </row>
    <row r="446" spans="2:36" x14ac:dyDescent="0.25">
      <c r="B446" t="s">
        <v>127</v>
      </c>
      <c r="C446" t="s">
        <v>58</v>
      </c>
      <c r="D446" t="s">
        <v>155</v>
      </c>
      <c r="E446" t="s">
        <v>157</v>
      </c>
      <c r="F446" t="s">
        <v>163</v>
      </c>
      <c r="G446" t="s">
        <v>114</v>
      </c>
      <c r="H446" t="s">
        <v>433</v>
      </c>
      <c r="I446" t="s">
        <v>32</v>
      </c>
      <c r="J446" t="s">
        <v>80</v>
      </c>
      <c r="K446">
        <f t="shared" si="1200"/>
        <v>1</v>
      </c>
      <c r="L446">
        <f t="shared" si="1201"/>
        <v>1</v>
      </c>
      <c r="M446">
        <f t="shared" si="1202"/>
        <v>0</v>
      </c>
      <c r="N446">
        <f t="shared" si="1203"/>
        <v>0</v>
      </c>
      <c r="O446">
        <f t="shared" si="1204"/>
        <v>2</v>
      </c>
      <c r="P446" t="str">
        <f t="shared" si="1205"/>
        <v>Small centralized natural gas steam reforming-Flexibility</v>
      </c>
      <c r="Q446" t="str">
        <f t="shared" si="1206"/>
        <v>Central gas storage-Flexibility</v>
      </c>
      <c r="R446" t="str">
        <f t="shared" si="1207"/>
        <v>Blending in natural gas pipeline-Flexibility</v>
      </c>
      <c r="S446" t="str">
        <f t="shared" si="1208"/>
        <v>Hydrogen turbine (CC)-Flexibility</v>
      </c>
      <c r="T446">
        <f ca="1">VLOOKUP($P446,'TA database'!$I$8:$J$79,2,FALSE)</f>
        <v>0</v>
      </c>
      <c r="U446">
        <v>0</v>
      </c>
      <c r="V446">
        <v>0</v>
      </c>
      <c r="W446">
        <v>0</v>
      </c>
      <c r="X446">
        <v>0</v>
      </c>
      <c r="Y446">
        <f t="shared" ref="Y446:Y450" ca="1" si="1213">$T446</f>
        <v>0</v>
      </c>
      <c r="Z446" t="str">
        <f t="shared" si="1209"/>
        <v>NG_SR_SML_C   →   C_GAS_STRG   →   H2_BLND_NG_P   →   H2_CCGT_PWR</v>
      </c>
      <c r="AA446" t="str">
        <f t="shared" si="1210"/>
        <v>Grid electricity</v>
      </c>
      <c r="AB446" t="str">
        <f t="shared" si="1211"/>
        <v>Flexibility</v>
      </c>
      <c r="AC446">
        <f t="shared" ca="1" si="1212"/>
        <v>0</v>
      </c>
      <c r="AD446">
        <v>387</v>
      </c>
      <c r="AE446" t="str">
        <f>IF(AND(ISNUMBER(SEARCH(O446,4)),ISNUMBER(SEARCH('(4) FCH pathway assessment'!$B$16,AB446)),ISNUMBER(SEARCH('(4) FCH pathway assessment'!$B$10,AA446))),AD446,"")</f>
        <v/>
      </c>
      <c r="AF446" t="str">
        <f t="shared" si="1199"/>
        <v/>
      </c>
      <c r="AG446" t="str">
        <f>VLOOKUP(C446,Assumptions!$B$116:$C$162,2,FALSE)</f>
        <v>NG_SR_SML_C</v>
      </c>
      <c r="AH446" t="str">
        <f>VLOOKUP(D446,Assumptions!$B$116:$C$162,2,FALSE)</f>
        <v>C_GAS_STRG</v>
      </c>
      <c r="AI446" t="str">
        <f>VLOOKUP(E446,Assumptions!$B$116:$C$162,2,FALSE)</f>
        <v>H2_BLND_NG_P</v>
      </c>
      <c r="AJ446" t="str">
        <f>VLOOKUP(F446,Assumptions!$B$116:$C$162,2,FALSE)</f>
        <v>H2_CCGT_PWR</v>
      </c>
    </row>
    <row r="447" spans="2:36" x14ac:dyDescent="0.25">
      <c r="B447" t="s">
        <v>127</v>
      </c>
      <c r="C447" t="s">
        <v>58</v>
      </c>
      <c r="D447" t="s">
        <v>155</v>
      </c>
      <c r="E447" t="s">
        <v>122</v>
      </c>
      <c r="F447" t="s">
        <v>163</v>
      </c>
      <c r="G447" t="s">
        <v>114</v>
      </c>
      <c r="H447" t="s">
        <v>433</v>
      </c>
      <c r="I447" t="s">
        <v>32</v>
      </c>
      <c r="J447" t="s">
        <v>80</v>
      </c>
      <c r="K447">
        <f t="shared" si="1200"/>
        <v>1</v>
      </c>
      <c r="L447">
        <f t="shared" si="1201"/>
        <v>1</v>
      </c>
      <c r="M447">
        <f t="shared" si="1202"/>
        <v>1</v>
      </c>
      <c r="N447">
        <f t="shared" si="1203"/>
        <v>0</v>
      </c>
      <c r="O447">
        <f t="shared" si="1204"/>
        <v>3</v>
      </c>
      <c r="P447" t="str">
        <f t="shared" si="1205"/>
        <v>Small centralized natural gas steam reforming-Flexibility</v>
      </c>
      <c r="Q447" t="str">
        <f t="shared" si="1206"/>
        <v>Central gas storage-Flexibility</v>
      </c>
      <c r="R447" t="str">
        <f t="shared" si="1207"/>
        <v>Hydrogen transmission &amp; distribution pipeline-Flexibility</v>
      </c>
      <c r="S447" t="str">
        <f t="shared" si="1208"/>
        <v>Hydrogen turbine (CC)-Flexibility</v>
      </c>
      <c r="T447">
        <f ca="1">VLOOKUP($P447,'TA database'!$I$8:$J$79,2,FALSE)</f>
        <v>0</v>
      </c>
      <c r="U447">
        <v>0</v>
      </c>
      <c r="V447">
        <v>0</v>
      </c>
      <c r="W447">
        <v>0</v>
      </c>
      <c r="X447">
        <v>0</v>
      </c>
      <c r="Y447">
        <f t="shared" ca="1" si="1213"/>
        <v>0</v>
      </c>
      <c r="Z447" t="str">
        <f t="shared" si="1209"/>
        <v>NG_SR_SML_C   →   C_GAS_STRG   →   H2_T&amp;D_P   →   H2_CCGT_PWR</v>
      </c>
      <c r="AA447" t="str">
        <f t="shared" si="1210"/>
        <v>Grid electricity</v>
      </c>
      <c r="AB447" t="str">
        <f t="shared" si="1211"/>
        <v>Flexibility</v>
      </c>
      <c r="AC447">
        <f t="shared" ca="1" si="1212"/>
        <v>0</v>
      </c>
      <c r="AD447">
        <v>388</v>
      </c>
      <c r="AE447" t="str">
        <f>IF(AND(ISNUMBER(SEARCH(O447,4)),ISNUMBER(SEARCH('(4) FCH pathway assessment'!$B$16,AB447)),ISNUMBER(SEARCH('(4) FCH pathway assessment'!$B$10,AA447))),AD447,"")</f>
        <v/>
      </c>
      <c r="AF447" t="str">
        <f t="shared" si="1199"/>
        <v/>
      </c>
      <c r="AG447" t="str">
        <f>VLOOKUP(C447,Assumptions!$B$116:$C$162,2,FALSE)</f>
        <v>NG_SR_SML_C</v>
      </c>
      <c r="AH447" t="str">
        <f>VLOOKUP(D447,Assumptions!$B$116:$C$162,2,FALSE)</f>
        <v>C_GAS_STRG</v>
      </c>
      <c r="AI447" t="str">
        <f>VLOOKUP(E447,Assumptions!$B$116:$C$162,2,FALSE)</f>
        <v>H2_T&amp;D_P</v>
      </c>
      <c r="AJ447" t="str">
        <f>VLOOKUP(F447,Assumptions!$B$116:$C$162,2,FALSE)</f>
        <v>H2_CCGT_PWR</v>
      </c>
    </row>
    <row r="448" spans="2:36" x14ac:dyDescent="0.25">
      <c r="B448" t="s">
        <v>127</v>
      </c>
      <c r="C448" t="s">
        <v>58</v>
      </c>
      <c r="D448" t="s">
        <v>155</v>
      </c>
      <c r="E448" t="s">
        <v>116</v>
      </c>
      <c r="F448" t="s">
        <v>163</v>
      </c>
      <c r="G448" t="s">
        <v>114</v>
      </c>
      <c r="H448" t="s">
        <v>433</v>
      </c>
      <c r="I448" t="s">
        <v>32</v>
      </c>
      <c r="J448" t="s">
        <v>80</v>
      </c>
      <c r="K448">
        <f t="shared" si="1200"/>
        <v>1</v>
      </c>
      <c r="L448">
        <f t="shared" si="1201"/>
        <v>1</v>
      </c>
      <c r="M448">
        <f t="shared" si="1202"/>
        <v>1</v>
      </c>
      <c r="N448">
        <f t="shared" si="1203"/>
        <v>0</v>
      </c>
      <c r="O448">
        <f t="shared" si="1204"/>
        <v>3</v>
      </c>
      <c r="P448" t="str">
        <f t="shared" si="1205"/>
        <v>Small centralized natural gas steam reforming-Flexibility</v>
      </c>
      <c r="Q448" t="str">
        <f t="shared" si="1206"/>
        <v>Central gas storage-Flexibility</v>
      </c>
      <c r="R448" t="str">
        <f t="shared" si="1207"/>
        <v>Liquid hydrogen truck-Flexibility</v>
      </c>
      <c r="S448" t="str">
        <f t="shared" si="1208"/>
        <v>Hydrogen turbine (CC)-Flexibility</v>
      </c>
      <c r="T448">
        <f ca="1">VLOOKUP($P448,'TA database'!$I$8:$J$79,2,FALSE)</f>
        <v>0</v>
      </c>
      <c r="U448">
        <v>0</v>
      </c>
      <c r="V448">
        <v>0</v>
      </c>
      <c r="W448">
        <v>0</v>
      </c>
      <c r="X448">
        <v>0</v>
      </c>
      <c r="Y448">
        <f t="shared" ca="1" si="1213"/>
        <v>0</v>
      </c>
      <c r="Z448" t="str">
        <f t="shared" si="1209"/>
        <v>NG_SR_SML_C   →   C_GAS_STRG   →   LQ_TRUCK   →   H2_CCGT_PWR</v>
      </c>
      <c r="AA448" t="str">
        <f t="shared" si="1210"/>
        <v>Grid electricity</v>
      </c>
      <c r="AB448" t="str">
        <f t="shared" si="1211"/>
        <v>Flexibility</v>
      </c>
      <c r="AC448">
        <f t="shared" ca="1" si="1212"/>
        <v>0</v>
      </c>
      <c r="AD448">
        <v>389</v>
      </c>
      <c r="AE448" t="str">
        <f>IF(AND(ISNUMBER(SEARCH(O448,4)),ISNUMBER(SEARCH('(4) FCH pathway assessment'!$B$16,AB448)),ISNUMBER(SEARCH('(4) FCH pathway assessment'!$B$10,AA448))),AD448,"")</f>
        <v/>
      </c>
      <c r="AF448" t="str">
        <f t="shared" si="1199"/>
        <v/>
      </c>
      <c r="AG448" t="str">
        <f>VLOOKUP(C448,Assumptions!$B$116:$C$162,2,FALSE)</f>
        <v>NG_SR_SML_C</v>
      </c>
      <c r="AH448" t="str">
        <f>VLOOKUP(D448,Assumptions!$B$116:$C$162,2,FALSE)</f>
        <v>C_GAS_STRG</v>
      </c>
      <c r="AI448" t="str">
        <f>VLOOKUP(E448,Assumptions!$B$116:$C$162,2,FALSE)</f>
        <v>LQ_TRUCK</v>
      </c>
      <c r="AJ448" t="str">
        <f>VLOOKUP(F448,Assumptions!$B$116:$C$162,2,FALSE)</f>
        <v>H2_CCGT_PWR</v>
      </c>
    </row>
    <row r="449" spans="2:36" x14ac:dyDescent="0.25">
      <c r="B449" t="s">
        <v>127</v>
      </c>
      <c r="C449" t="s">
        <v>58</v>
      </c>
      <c r="D449" t="s">
        <v>155</v>
      </c>
      <c r="E449" t="s">
        <v>66</v>
      </c>
      <c r="F449" t="s">
        <v>163</v>
      </c>
      <c r="G449" t="s">
        <v>114</v>
      </c>
      <c r="H449" t="s">
        <v>433</v>
      </c>
      <c r="I449" t="s">
        <v>32</v>
      </c>
      <c r="J449" t="s">
        <v>80</v>
      </c>
      <c r="K449">
        <f t="shared" si="1200"/>
        <v>1</v>
      </c>
      <c r="L449">
        <f t="shared" si="1201"/>
        <v>1</v>
      </c>
      <c r="M449">
        <f t="shared" si="1202"/>
        <v>1</v>
      </c>
      <c r="N449">
        <f t="shared" si="1203"/>
        <v>0</v>
      </c>
      <c r="O449">
        <f t="shared" si="1204"/>
        <v>3</v>
      </c>
      <c r="P449" t="str">
        <f t="shared" si="1205"/>
        <v>Small centralized natural gas steam reforming-Flexibility</v>
      </c>
      <c r="Q449" t="str">
        <f t="shared" si="1206"/>
        <v>Central gas storage-Flexibility</v>
      </c>
      <c r="R449" t="str">
        <f t="shared" si="1207"/>
        <v>Onsite-Flexibility</v>
      </c>
      <c r="S449" t="str">
        <f t="shared" si="1208"/>
        <v>Hydrogen turbine (CC)-Flexibility</v>
      </c>
      <c r="T449">
        <f ca="1">VLOOKUP($P449,'TA database'!$I$8:$J$79,2,FALSE)</f>
        <v>0</v>
      </c>
      <c r="U449">
        <v>0</v>
      </c>
      <c r="V449">
        <v>0</v>
      </c>
      <c r="W449">
        <v>0</v>
      </c>
      <c r="X449">
        <v>0</v>
      </c>
      <c r="Y449">
        <f t="shared" ca="1" si="1213"/>
        <v>0</v>
      </c>
      <c r="Z449" t="str">
        <f t="shared" si="1209"/>
        <v>NG_SR_SML_C   →   C_GAS_STRG   →   ONSITE_USE   →   H2_CCGT_PWR</v>
      </c>
      <c r="AA449" t="str">
        <f t="shared" si="1210"/>
        <v>Grid electricity</v>
      </c>
      <c r="AB449" t="str">
        <f t="shared" si="1211"/>
        <v>Flexibility</v>
      </c>
      <c r="AC449">
        <f t="shared" ca="1" si="1212"/>
        <v>0</v>
      </c>
      <c r="AD449">
        <v>390</v>
      </c>
      <c r="AE449" t="str">
        <f>IF(AND(ISNUMBER(SEARCH(O449,4)),ISNUMBER(SEARCH('(4) FCH pathway assessment'!$B$16,AB449)),ISNUMBER(SEARCH('(4) FCH pathway assessment'!$B$10,AA449))),AD449,"")</f>
        <v/>
      </c>
      <c r="AF449" t="str">
        <f t="shared" si="1199"/>
        <v/>
      </c>
      <c r="AG449" t="str">
        <f>VLOOKUP(C449,Assumptions!$B$116:$C$162,2,FALSE)</f>
        <v>NG_SR_SML_C</v>
      </c>
      <c r="AH449" t="str">
        <f>VLOOKUP(D449,Assumptions!$B$116:$C$162,2,FALSE)</f>
        <v>C_GAS_STRG</v>
      </c>
      <c r="AI449" t="str">
        <f>VLOOKUP(E449,Assumptions!$B$116:$C$162,2,FALSE)</f>
        <v>ONSITE_USE</v>
      </c>
      <c r="AJ449" t="str">
        <f>VLOOKUP(F449,Assumptions!$B$116:$C$162,2,FALSE)</f>
        <v>H2_CCGT_PWR</v>
      </c>
    </row>
    <row r="450" spans="2:36" x14ac:dyDescent="0.25">
      <c r="B450" t="s">
        <v>127</v>
      </c>
      <c r="C450" t="s">
        <v>59</v>
      </c>
      <c r="D450" s="60" t="s">
        <v>130</v>
      </c>
      <c r="E450" t="s">
        <v>66</v>
      </c>
      <c r="F450" t="s">
        <v>163</v>
      </c>
      <c r="G450" t="s">
        <v>114</v>
      </c>
      <c r="H450" t="s">
        <v>433</v>
      </c>
      <c r="I450" t="s">
        <v>32</v>
      </c>
      <c r="J450" t="s">
        <v>80</v>
      </c>
      <c r="K450">
        <f t="shared" ref="K450:K451" si="1214">SUMPRODUCT(($C$7:$C$18=$C450)*($D$6:$H$6=$D450)*($D$7:$H$18))</f>
        <v>1</v>
      </c>
      <c r="L450">
        <f t="shared" ref="L450:L451" si="1215">SUMPRODUCT(($C$19:$C$23=$D450)*($I$6:$O$6=$E450)*($I$19:$O$23))</f>
        <v>1</v>
      </c>
      <c r="M450">
        <f t="shared" ref="M450:M451" si="1216">SUMPRODUCT(($C$24:$C$30=$E450)*($P$6:$AI$6=$F450)*($P$24:$AI$30))</f>
        <v>1</v>
      </c>
      <c r="N450">
        <f t="shared" ref="N450:N451" si="1217">SUMPRODUCT(($C$31:$C$50=$F450)*($AJ$6:$AM$6=$G450)*($AJ$31:$AM$50))</f>
        <v>0</v>
      </c>
      <c r="O450">
        <f t="shared" ref="O450:O451" si="1218">K450+L450+M450+N450</f>
        <v>3</v>
      </c>
      <c r="P450" t="str">
        <f t="shared" ref="P450:P451" si="1219">CONCATENATE(C450,"-",J450)</f>
        <v>Medium decentralized natural gas steam reforming-Flexibility</v>
      </c>
      <c r="Q450" t="str">
        <f t="shared" ref="Q450:Q451" si="1220">CONCATENATE(D450,"-",J450)</f>
        <v>Distributed gas storage-Flexibility</v>
      </c>
      <c r="R450" t="str">
        <f t="shared" ref="R450:R451" si="1221">CONCATENATE(E450,"-",J450)</f>
        <v>Onsite-Flexibility</v>
      </c>
      <c r="S450" t="str">
        <f t="shared" ref="S450:S451" si="1222">CONCATENATE(F450,"-",J450)</f>
        <v>Hydrogen turbine (CC)-Flexibility</v>
      </c>
      <c r="T450">
        <f ca="1">VLOOKUP($P450,'TA database'!$I$8:$J$79,2,FALSE)</f>
        <v>0</v>
      </c>
      <c r="U450">
        <v>0</v>
      </c>
      <c r="V450">
        <v>0</v>
      </c>
      <c r="W450">
        <v>0</v>
      </c>
      <c r="X450">
        <v>0</v>
      </c>
      <c r="Y450">
        <f t="shared" ca="1" si="1213"/>
        <v>0</v>
      </c>
      <c r="Z450" t="str">
        <f t="shared" ref="Z450:Z451" si="1223">CONCATENATE(AG450,"   →   ",AH450,"   →   ",AI450,"   →   ",AJ450)</f>
        <v>NG_SR_MED_D   →   D_GAS_STRG   →   ONSITE_USE   →   H2_CCGT_PWR</v>
      </c>
      <c r="AA450" t="str">
        <f t="shared" ref="AA450:AA451" si="1224">G450</f>
        <v>Grid electricity</v>
      </c>
      <c r="AB450" t="str">
        <f t="shared" ref="AB450:AB451" si="1225">J450</f>
        <v>Flexibility</v>
      </c>
      <c r="AC450">
        <f t="shared" ref="AC450:AC451" ca="1" si="1226">Y450</f>
        <v>0</v>
      </c>
      <c r="AD450">
        <v>391</v>
      </c>
      <c r="AE450" t="str">
        <f>IF(AND(ISNUMBER(SEARCH(O450,4)),ISNUMBER(SEARCH('(4) FCH pathway assessment'!$B$16,AB450)),ISNUMBER(SEARCH('(4) FCH pathway assessment'!$B$10,AA450))),AD450,"")</f>
        <v/>
      </c>
      <c r="AF450" t="str">
        <f t="shared" si="1199"/>
        <v/>
      </c>
      <c r="AG450" t="str">
        <f>VLOOKUP(C450,Assumptions!$B$116:$C$162,2,FALSE)</f>
        <v>NG_SR_MED_D</v>
      </c>
      <c r="AH450" t="str">
        <f>VLOOKUP(D450,Assumptions!$B$116:$C$162,2,FALSE)</f>
        <v>D_GAS_STRG</v>
      </c>
      <c r="AI450" t="str">
        <f>VLOOKUP(E450,Assumptions!$B$116:$C$162,2,FALSE)</f>
        <v>ONSITE_USE</v>
      </c>
      <c r="AJ450" t="str">
        <f>VLOOKUP(F450,Assumptions!$B$116:$C$162,2,FALSE)</f>
        <v>H2_CCGT_PWR</v>
      </c>
    </row>
    <row r="451" spans="2:36" x14ac:dyDescent="0.25">
      <c r="B451" t="s">
        <v>127</v>
      </c>
      <c r="C451" t="s">
        <v>60</v>
      </c>
      <c r="D451" s="60" t="s">
        <v>130</v>
      </c>
      <c r="E451" t="s">
        <v>66</v>
      </c>
      <c r="F451" t="s">
        <v>163</v>
      </c>
      <c r="G451" t="s">
        <v>114</v>
      </c>
      <c r="H451" t="s">
        <v>433</v>
      </c>
      <c r="I451" t="s">
        <v>32</v>
      </c>
      <c r="J451" t="s">
        <v>80</v>
      </c>
      <c r="K451">
        <f t="shared" si="1214"/>
        <v>1</v>
      </c>
      <c r="L451">
        <f t="shared" si="1215"/>
        <v>1</v>
      </c>
      <c r="M451">
        <f t="shared" si="1216"/>
        <v>1</v>
      </c>
      <c r="N451">
        <f t="shared" si="1217"/>
        <v>0</v>
      </c>
      <c r="O451">
        <f t="shared" si="1218"/>
        <v>3</v>
      </c>
      <c r="P451" t="str">
        <f t="shared" si="1219"/>
        <v>Small decentralized natural gas steam reforming-Flexibility</v>
      </c>
      <c r="Q451" t="str">
        <f t="shared" si="1220"/>
        <v>Distributed gas storage-Flexibility</v>
      </c>
      <c r="R451" t="str">
        <f t="shared" si="1221"/>
        <v>Onsite-Flexibility</v>
      </c>
      <c r="S451" t="str">
        <f t="shared" si="1222"/>
        <v>Hydrogen turbine (CC)-Flexibility</v>
      </c>
      <c r="T451">
        <f ca="1">VLOOKUP($P451,'TA database'!$I$8:$J$79,2,FALSE)</f>
        <v>0</v>
      </c>
      <c r="U451">
        <v>0</v>
      </c>
      <c r="V451">
        <v>0</v>
      </c>
      <c r="W451">
        <v>0</v>
      </c>
      <c r="X451">
        <v>0</v>
      </c>
      <c r="Y451">
        <f t="shared" ref="Y451" ca="1" si="1227">$T451</f>
        <v>0</v>
      </c>
      <c r="Z451" t="str">
        <f t="shared" si="1223"/>
        <v>NG_SR_SML_D   →   D_GAS_STRG   →   ONSITE_USE   →   H2_CCGT_PWR</v>
      </c>
      <c r="AA451" t="str">
        <f t="shared" si="1224"/>
        <v>Grid electricity</v>
      </c>
      <c r="AB451" t="str">
        <f t="shared" si="1225"/>
        <v>Flexibility</v>
      </c>
      <c r="AC451">
        <f t="shared" ca="1" si="1226"/>
        <v>0</v>
      </c>
      <c r="AD451">
        <v>392</v>
      </c>
      <c r="AE451" t="str">
        <f>IF(AND(ISNUMBER(SEARCH(O451,4)),ISNUMBER(SEARCH('(4) FCH pathway assessment'!$B$16,AB451)),ISNUMBER(SEARCH('(4) FCH pathway assessment'!$B$10,AA451))),AD451,"")</f>
        <v/>
      </c>
      <c r="AF451" t="str">
        <f t="shared" si="1199"/>
        <v/>
      </c>
      <c r="AG451" t="str">
        <f>VLOOKUP(C451,Assumptions!$B$116:$C$162,2,FALSE)</f>
        <v>NG_SR_SML_D</v>
      </c>
      <c r="AH451" t="str">
        <f>VLOOKUP(D451,Assumptions!$B$116:$C$162,2,FALSE)</f>
        <v>D_GAS_STRG</v>
      </c>
      <c r="AI451" t="str">
        <f>VLOOKUP(E451,Assumptions!$B$116:$C$162,2,FALSE)</f>
        <v>ONSITE_USE</v>
      </c>
      <c r="AJ451" t="str">
        <f>VLOOKUP(F451,Assumptions!$B$116:$C$162,2,FALSE)</f>
        <v>H2_CCGT_PWR</v>
      </c>
    </row>
    <row r="452" spans="2:36" x14ac:dyDescent="0.25">
      <c r="B452" t="s">
        <v>117</v>
      </c>
      <c r="C452" t="s">
        <v>53</v>
      </c>
      <c r="D452" t="s">
        <v>155</v>
      </c>
      <c r="E452" t="s">
        <v>157</v>
      </c>
      <c r="F452" t="s">
        <v>162</v>
      </c>
      <c r="G452" t="s">
        <v>114</v>
      </c>
      <c r="H452" t="s">
        <v>433</v>
      </c>
      <c r="I452" t="s">
        <v>32</v>
      </c>
      <c r="J452" t="s">
        <v>80</v>
      </c>
      <c r="K452">
        <f t="shared" ref="K452:K455" si="1228">SUMPRODUCT(($C$7:$C$18=$C452)*($D$6:$H$6=$D452)*($D$7:$H$18))</f>
        <v>0</v>
      </c>
      <c r="L452">
        <f t="shared" ref="L452:L455" si="1229">SUMPRODUCT(($C$19:$C$23=$D452)*($I$6:$O$6=$E452)*($I$19:$O$23))</f>
        <v>1</v>
      </c>
      <c r="M452">
        <f t="shared" ref="M452:M455" si="1230">SUMPRODUCT(($C$24:$C$30=$E452)*($P$6:$AI$6=$F452)*($P$24:$AI$30))</f>
        <v>0</v>
      </c>
      <c r="N452">
        <f t="shared" ref="N452:N455" si="1231">SUMPRODUCT(($C$31:$C$50=$F452)*($AJ$6:$AM$6=$G452)*($AJ$31:$AM$50))</f>
        <v>0</v>
      </c>
      <c r="O452">
        <f t="shared" ref="O452:O455" si="1232">K452+L452+M452+N452</f>
        <v>1</v>
      </c>
      <c r="P452" t="str">
        <f t="shared" ref="P452:P455" si="1233">CONCATENATE(C452,"-",J452)</f>
        <v>Medium centralized biomass gasification-Flexibility</v>
      </c>
      <c r="Q452" t="str">
        <f t="shared" ref="Q452:Q455" si="1234">CONCATENATE(D452,"-",J452)</f>
        <v>Central gas storage-Flexibility</v>
      </c>
      <c r="R452" t="str">
        <f t="shared" ref="R452:R455" si="1235">CONCATENATE(E452,"-",J452)</f>
        <v>Blending in natural gas pipeline-Flexibility</v>
      </c>
      <c r="S452" t="str">
        <f t="shared" ref="S452:S455" si="1236">CONCATENATE(F452,"-",J452)</f>
        <v>Hydrogen turbine (OC)-Flexibility</v>
      </c>
      <c r="T452">
        <f ca="1">VLOOKUP($P452,'TA database'!$I$8:$J$79,2,FALSE)</f>
        <v>0</v>
      </c>
      <c r="U452">
        <v>0</v>
      </c>
      <c r="V452">
        <v>0</v>
      </c>
      <c r="W452">
        <v>0</v>
      </c>
      <c r="X452">
        <v>0</v>
      </c>
      <c r="Y452">
        <f t="shared" ref="Y452:Y459" ca="1" si="1237">$T452</f>
        <v>0</v>
      </c>
      <c r="Z452" t="str">
        <f t="shared" ref="Z452:Z455" si="1238">CONCATENATE(AG452,"   →   ",AH452,"   →   ",AI452,"   →   ",AJ452)</f>
        <v>BIO_GSF_MED_C   →   C_GAS_STRG   →   H2_BLND_NG_P   →   H2_OCGT_PWR</v>
      </c>
      <c r="AA452" t="str">
        <f t="shared" ref="AA452:AA455" si="1239">G452</f>
        <v>Grid electricity</v>
      </c>
      <c r="AB452" t="str">
        <f t="shared" ref="AB452:AB455" si="1240">J452</f>
        <v>Flexibility</v>
      </c>
      <c r="AC452">
        <f t="shared" ref="AC452:AC455" ca="1" si="1241">Y452</f>
        <v>0</v>
      </c>
      <c r="AD452">
        <v>393</v>
      </c>
      <c r="AE452" t="str">
        <f>IF(AND(ISNUMBER(SEARCH(O452,4)),ISNUMBER(SEARCH('(4) FCH pathway assessment'!$B$16,AB452)),ISNUMBER(SEARCH('(4) FCH pathway assessment'!$B$10,AA452))),AD452,"")</f>
        <v/>
      </c>
      <c r="AF452" t="str">
        <f t="shared" si="1199"/>
        <v/>
      </c>
      <c r="AG452" t="str">
        <f>VLOOKUP(C452,Assumptions!$B$116:$C$162,2,FALSE)</f>
        <v>BIO_GSF_MED_C</v>
      </c>
      <c r="AH452" t="str">
        <f>VLOOKUP(D452,Assumptions!$B$116:$C$162,2,FALSE)</f>
        <v>C_GAS_STRG</v>
      </c>
      <c r="AI452" t="str">
        <f>VLOOKUP(E452,Assumptions!$B$116:$C$162,2,FALSE)</f>
        <v>H2_BLND_NG_P</v>
      </c>
      <c r="AJ452" t="str">
        <f>VLOOKUP(F452,Assumptions!$B$116:$C$162,2,FALSE)</f>
        <v>H2_OCGT_PWR</v>
      </c>
    </row>
    <row r="453" spans="2:36" x14ac:dyDescent="0.25">
      <c r="B453" t="s">
        <v>117</v>
      </c>
      <c r="C453" t="s">
        <v>53</v>
      </c>
      <c r="D453" t="s">
        <v>155</v>
      </c>
      <c r="E453" t="s">
        <v>122</v>
      </c>
      <c r="F453" t="s">
        <v>162</v>
      </c>
      <c r="G453" t="s">
        <v>114</v>
      </c>
      <c r="H453" t="s">
        <v>433</v>
      </c>
      <c r="I453" t="s">
        <v>32</v>
      </c>
      <c r="J453" t="s">
        <v>80</v>
      </c>
      <c r="K453">
        <f t="shared" si="1228"/>
        <v>0</v>
      </c>
      <c r="L453">
        <f t="shared" si="1229"/>
        <v>1</v>
      </c>
      <c r="M453">
        <f t="shared" si="1230"/>
        <v>1</v>
      </c>
      <c r="N453">
        <f t="shared" si="1231"/>
        <v>0</v>
      </c>
      <c r="O453">
        <f t="shared" si="1232"/>
        <v>2</v>
      </c>
      <c r="P453" t="str">
        <f t="shared" si="1233"/>
        <v>Medium centralized biomass gasification-Flexibility</v>
      </c>
      <c r="Q453" t="str">
        <f t="shared" si="1234"/>
        <v>Central gas storage-Flexibility</v>
      </c>
      <c r="R453" t="str">
        <f t="shared" si="1235"/>
        <v>Hydrogen transmission &amp; distribution pipeline-Flexibility</v>
      </c>
      <c r="S453" t="str">
        <f t="shared" si="1236"/>
        <v>Hydrogen turbine (OC)-Flexibility</v>
      </c>
      <c r="T453">
        <f ca="1">VLOOKUP($P453,'TA database'!$I$8:$J$79,2,FALSE)</f>
        <v>0</v>
      </c>
      <c r="U453">
        <v>0</v>
      </c>
      <c r="V453">
        <v>0</v>
      </c>
      <c r="W453">
        <v>0</v>
      </c>
      <c r="X453">
        <v>0</v>
      </c>
      <c r="Y453">
        <f t="shared" ca="1" si="1237"/>
        <v>0</v>
      </c>
      <c r="Z453" t="str">
        <f t="shared" si="1238"/>
        <v>BIO_GSF_MED_C   →   C_GAS_STRG   →   H2_T&amp;D_P   →   H2_OCGT_PWR</v>
      </c>
      <c r="AA453" t="str">
        <f t="shared" si="1239"/>
        <v>Grid electricity</v>
      </c>
      <c r="AB453" t="str">
        <f t="shared" si="1240"/>
        <v>Flexibility</v>
      </c>
      <c r="AC453">
        <f t="shared" ca="1" si="1241"/>
        <v>0</v>
      </c>
      <c r="AD453">
        <v>394</v>
      </c>
      <c r="AE453" t="str">
        <f>IF(AND(ISNUMBER(SEARCH(O453,4)),ISNUMBER(SEARCH('(4) FCH pathway assessment'!$B$16,AB453)),ISNUMBER(SEARCH('(4) FCH pathway assessment'!$B$10,AA453))),AD453,"")</f>
        <v/>
      </c>
      <c r="AF453" t="str">
        <f t="shared" si="1199"/>
        <v/>
      </c>
      <c r="AG453" t="str">
        <f>VLOOKUP(C453,Assumptions!$B$116:$C$162,2,FALSE)</f>
        <v>BIO_GSF_MED_C</v>
      </c>
      <c r="AH453" t="str">
        <f>VLOOKUP(D453,Assumptions!$B$116:$C$162,2,FALSE)</f>
        <v>C_GAS_STRG</v>
      </c>
      <c r="AI453" t="str">
        <f>VLOOKUP(E453,Assumptions!$B$116:$C$162,2,FALSE)</f>
        <v>H2_T&amp;D_P</v>
      </c>
      <c r="AJ453" t="str">
        <f>VLOOKUP(F453,Assumptions!$B$116:$C$162,2,FALSE)</f>
        <v>H2_OCGT_PWR</v>
      </c>
    </row>
    <row r="454" spans="2:36" x14ac:dyDescent="0.25">
      <c r="B454" t="s">
        <v>117</v>
      </c>
      <c r="C454" t="s">
        <v>53</v>
      </c>
      <c r="D454" t="s">
        <v>155</v>
      </c>
      <c r="E454" t="s">
        <v>116</v>
      </c>
      <c r="F454" t="s">
        <v>162</v>
      </c>
      <c r="G454" t="s">
        <v>114</v>
      </c>
      <c r="H454" t="s">
        <v>433</v>
      </c>
      <c r="I454" t="s">
        <v>32</v>
      </c>
      <c r="J454" t="s">
        <v>80</v>
      </c>
      <c r="K454">
        <f t="shared" si="1228"/>
        <v>0</v>
      </c>
      <c r="L454">
        <f t="shared" si="1229"/>
        <v>1</v>
      </c>
      <c r="M454">
        <f t="shared" si="1230"/>
        <v>1</v>
      </c>
      <c r="N454">
        <f t="shared" si="1231"/>
        <v>0</v>
      </c>
      <c r="O454">
        <f t="shared" si="1232"/>
        <v>2</v>
      </c>
      <c r="P454" t="str">
        <f t="shared" si="1233"/>
        <v>Medium centralized biomass gasification-Flexibility</v>
      </c>
      <c r="Q454" t="str">
        <f t="shared" si="1234"/>
        <v>Central gas storage-Flexibility</v>
      </c>
      <c r="R454" t="str">
        <f t="shared" si="1235"/>
        <v>Liquid hydrogen truck-Flexibility</v>
      </c>
      <c r="S454" t="str">
        <f t="shared" si="1236"/>
        <v>Hydrogen turbine (OC)-Flexibility</v>
      </c>
      <c r="T454">
        <f ca="1">VLOOKUP($P454,'TA database'!$I$8:$J$79,2,FALSE)</f>
        <v>0</v>
      </c>
      <c r="U454">
        <v>0</v>
      </c>
      <c r="V454">
        <v>0</v>
      </c>
      <c r="W454">
        <v>0</v>
      </c>
      <c r="X454">
        <v>0</v>
      </c>
      <c r="Y454">
        <f t="shared" ca="1" si="1237"/>
        <v>0</v>
      </c>
      <c r="Z454" t="str">
        <f t="shared" si="1238"/>
        <v>BIO_GSF_MED_C   →   C_GAS_STRG   →   LQ_TRUCK   →   H2_OCGT_PWR</v>
      </c>
      <c r="AA454" t="str">
        <f t="shared" si="1239"/>
        <v>Grid electricity</v>
      </c>
      <c r="AB454" t="str">
        <f t="shared" si="1240"/>
        <v>Flexibility</v>
      </c>
      <c r="AC454">
        <f t="shared" ca="1" si="1241"/>
        <v>0</v>
      </c>
      <c r="AD454">
        <v>395</v>
      </c>
      <c r="AE454" t="str">
        <f>IF(AND(ISNUMBER(SEARCH(O454,4)),ISNUMBER(SEARCH('(4) FCH pathway assessment'!$B$16,AB454)),ISNUMBER(SEARCH('(4) FCH pathway assessment'!$B$10,AA454))),AD454,"")</f>
        <v/>
      </c>
      <c r="AF454" t="str">
        <f t="shared" si="1199"/>
        <v/>
      </c>
      <c r="AG454" t="str">
        <f>VLOOKUP(C454,Assumptions!$B$116:$C$162,2,FALSE)</f>
        <v>BIO_GSF_MED_C</v>
      </c>
      <c r="AH454" t="str">
        <f>VLOOKUP(D454,Assumptions!$B$116:$C$162,2,FALSE)</f>
        <v>C_GAS_STRG</v>
      </c>
      <c r="AI454" t="str">
        <f>VLOOKUP(E454,Assumptions!$B$116:$C$162,2,FALSE)</f>
        <v>LQ_TRUCK</v>
      </c>
      <c r="AJ454" t="str">
        <f>VLOOKUP(F454,Assumptions!$B$116:$C$162,2,FALSE)</f>
        <v>H2_OCGT_PWR</v>
      </c>
    </row>
    <row r="455" spans="2:36" x14ac:dyDescent="0.25">
      <c r="B455" t="s">
        <v>117</v>
      </c>
      <c r="C455" t="s">
        <v>53</v>
      </c>
      <c r="D455" t="s">
        <v>155</v>
      </c>
      <c r="E455" t="s">
        <v>66</v>
      </c>
      <c r="F455" t="s">
        <v>162</v>
      </c>
      <c r="G455" t="s">
        <v>114</v>
      </c>
      <c r="H455" t="s">
        <v>433</v>
      </c>
      <c r="I455" t="s">
        <v>32</v>
      </c>
      <c r="J455" t="s">
        <v>80</v>
      </c>
      <c r="K455">
        <f t="shared" si="1228"/>
        <v>0</v>
      </c>
      <c r="L455">
        <f t="shared" si="1229"/>
        <v>1</v>
      </c>
      <c r="M455">
        <f t="shared" si="1230"/>
        <v>1</v>
      </c>
      <c r="N455">
        <f t="shared" si="1231"/>
        <v>0</v>
      </c>
      <c r="O455">
        <f t="shared" si="1232"/>
        <v>2</v>
      </c>
      <c r="P455" t="str">
        <f t="shared" si="1233"/>
        <v>Medium centralized biomass gasification-Flexibility</v>
      </c>
      <c r="Q455" t="str">
        <f t="shared" si="1234"/>
        <v>Central gas storage-Flexibility</v>
      </c>
      <c r="R455" t="str">
        <f t="shared" si="1235"/>
        <v>Onsite-Flexibility</v>
      </c>
      <c r="S455" t="str">
        <f t="shared" si="1236"/>
        <v>Hydrogen turbine (OC)-Flexibility</v>
      </c>
      <c r="T455">
        <f ca="1">VLOOKUP($P455,'TA database'!$I$8:$J$79,2,FALSE)</f>
        <v>0</v>
      </c>
      <c r="U455">
        <v>0</v>
      </c>
      <c r="V455">
        <v>0</v>
      </c>
      <c r="W455">
        <v>0</v>
      </c>
      <c r="X455">
        <v>0</v>
      </c>
      <c r="Y455">
        <f t="shared" ca="1" si="1237"/>
        <v>0</v>
      </c>
      <c r="Z455" t="str">
        <f t="shared" si="1238"/>
        <v>BIO_GSF_MED_C   →   C_GAS_STRG   →   ONSITE_USE   →   H2_OCGT_PWR</v>
      </c>
      <c r="AA455" t="str">
        <f t="shared" si="1239"/>
        <v>Grid electricity</v>
      </c>
      <c r="AB455" t="str">
        <f t="shared" si="1240"/>
        <v>Flexibility</v>
      </c>
      <c r="AC455">
        <f t="shared" ca="1" si="1241"/>
        <v>0</v>
      </c>
      <c r="AD455">
        <v>396</v>
      </c>
      <c r="AE455" t="str">
        <f>IF(AND(ISNUMBER(SEARCH(O455,4)),ISNUMBER(SEARCH('(4) FCH pathway assessment'!$B$16,AB455)),ISNUMBER(SEARCH('(4) FCH pathway assessment'!$B$10,AA455))),AD455,"")</f>
        <v/>
      </c>
      <c r="AF455" t="str">
        <f t="shared" si="1199"/>
        <v/>
      </c>
      <c r="AG455" t="str">
        <f>VLOOKUP(C455,Assumptions!$B$116:$C$162,2,FALSE)</f>
        <v>BIO_GSF_MED_C</v>
      </c>
      <c r="AH455" t="str">
        <f>VLOOKUP(D455,Assumptions!$B$116:$C$162,2,FALSE)</f>
        <v>C_GAS_STRG</v>
      </c>
      <c r="AI455" t="str">
        <f>VLOOKUP(E455,Assumptions!$B$116:$C$162,2,FALSE)</f>
        <v>ONSITE_USE</v>
      </c>
      <c r="AJ455" t="str">
        <f>VLOOKUP(F455,Assumptions!$B$116:$C$162,2,FALSE)</f>
        <v>H2_OCGT_PWR</v>
      </c>
    </row>
    <row r="456" spans="2:36" x14ac:dyDescent="0.25">
      <c r="B456" t="s">
        <v>117</v>
      </c>
      <c r="C456" t="s">
        <v>54</v>
      </c>
      <c r="D456" t="s">
        <v>155</v>
      </c>
      <c r="E456" t="s">
        <v>157</v>
      </c>
      <c r="F456" t="s">
        <v>162</v>
      </c>
      <c r="G456" t="s">
        <v>114</v>
      </c>
      <c r="H456" t="s">
        <v>433</v>
      </c>
      <c r="I456" t="s">
        <v>32</v>
      </c>
      <c r="J456" t="s">
        <v>80</v>
      </c>
      <c r="K456">
        <f t="shared" ref="K456:K460" si="1242">SUMPRODUCT(($C$7:$C$18=$C456)*($D$6:$H$6=$D456)*($D$7:$H$18))</f>
        <v>0</v>
      </c>
      <c r="L456">
        <f t="shared" ref="L456:L460" si="1243">SUMPRODUCT(($C$19:$C$23=$D456)*($I$6:$O$6=$E456)*($I$19:$O$23))</f>
        <v>1</v>
      </c>
      <c r="M456">
        <f t="shared" ref="M456:M460" si="1244">SUMPRODUCT(($C$24:$C$30=$E456)*($P$6:$AI$6=$F456)*($P$24:$AI$30))</f>
        <v>0</v>
      </c>
      <c r="N456">
        <f t="shared" ref="N456:N460" si="1245">SUMPRODUCT(($C$31:$C$50=$F456)*($AJ$6:$AM$6=$G456)*($AJ$31:$AM$50))</f>
        <v>0</v>
      </c>
      <c r="O456">
        <f t="shared" ref="O456:O460" si="1246">K456+L456+M456+N456</f>
        <v>1</v>
      </c>
      <c r="P456" t="str">
        <f t="shared" ref="P456:P460" si="1247">CONCATENATE(C456,"-",J456)</f>
        <v>Medium centralized biomass gasification w/ CCS-Flexibility</v>
      </c>
      <c r="Q456" t="str">
        <f t="shared" ref="Q456:Q460" si="1248">CONCATENATE(D456,"-",J456)</f>
        <v>Central gas storage-Flexibility</v>
      </c>
      <c r="R456" t="str">
        <f t="shared" ref="R456:R460" si="1249">CONCATENATE(E456,"-",J456)</f>
        <v>Blending in natural gas pipeline-Flexibility</v>
      </c>
      <c r="S456" t="str">
        <f t="shared" ref="S456:S460" si="1250">CONCATENATE(F456,"-",J456)</f>
        <v>Hydrogen turbine (OC)-Flexibility</v>
      </c>
      <c r="T456">
        <f ca="1">VLOOKUP($P456,'TA database'!$I$8:$J$79,2,FALSE)</f>
        <v>0</v>
      </c>
      <c r="U456">
        <v>0</v>
      </c>
      <c r="V456">
        <v>0</v>
      </c>
      <c r="W456">
        <v>0</v>
      </c>
      <c r="X456">
        <v>0</v>
      </c>
      <c r="Y456">
        <f t="shared" ca="1" si="1237"/>
        <v>0</v>
      </c>
      <c r="Z456" t="str">
        <f t="shared" ref="Z456:Z460" si="1251">CONCATENATE(AG456,"   →   ",AH456,"   →   ",AI456,"   →   ",AJ456)</f>
        <v>BIO_GSF_CCS_MED_C   →   C_GAS_STRG   →   H2_BLND_NG_P   →   H2_OCGT_PWR</v>
      </c>
      <c r="AA456" t="str">
        <f t="shared" ref="AA456:AA460" si="1252">G456</f>
        <v>Grid electricity</v>
      </c>
      <c r="AB456" t="str">
        <f t="shared" ref="AB456:AB460" si="1253">J456</f>
        <v>Flexibility</v>
      </c>
      <c r="AC456">
        <f t="shared" ref="AC456:AC460" ca="1" si="1254">Y456</f>
        <v>0</v>
      </c>
      <c r="AD456">
        <v>397</v>
      </c>
      <c r="AE456" t="str">
        <f>IF(AND(ISNUMBER(SEARCH(O456,4)),ISNUMBER(SEARCH('(4) FCH pathway assessment'!$B$16,AB456)),ISNUMBER(SEARCH('(4) FCH pathway assessment'!$B$10,AA456))),AD456,"")</f>
        <v/>
      </c>
      <c r="AF456" t="str">
        <f t="shared" si="1199"/>
        <v/>
      </c>
      <c r="AG456" t="str">
        <f>VLOOKUP(C456,Assumptions!$B$116:$C$162,2,FALSE)</f>
        <v>BIO_GSF_CCS_MED_C</v>
      </c>
      <c r="AH456" t="str">
        <f>VLOOKUP(D456,Assumptions!$B$116:$C$162,2,FALSE)</f>
        <v>C_GAS_STRG</v>
      </c>
      <c r="AI456" t="str">
        <f>VLOOKUP(E456,Assumptions!$B$116:$C$162,2,FALSE)</f>
        <v>H2_BLND_NG_P</v>
      </c>
      <c r="AJ456" t="str">
        <f>VLOOKUP(F456,Assumptions!$B$116:$C$162,2,FALSE)</f>
        <v>H2_OCGT_PWR</v>
      </c>
    </row>
    <row r="457" spans="2:36" x14ac:dyDescent="0.25">
      <c r="B457" t="s">
        <v>117</v>
      </c>
      <c r="C457" t="s">
        <v>54</v>
      </c>
      <c r="D457" t="s">
        <v>155</v>
      </c>
      <c r="E457" t="s">
        <v>122</v>
      </c>
      <c r="F457" t="s">
        <v>162</v>
      </c>
      <c r="G457" t="s">
        <v>114</v>
      </c>
      <c r="H457" t="s">
        <v>433</v>
      </c>
      <c r="I457" t="s">
        <v>32</v>
      </c>
      <c r="J457" t="s">
        <v>80</v>
      </c>
      <c r="K457">
        <f t="shared" si="1242"/>
        <v>0</v>
      </c>
      <c r="L457">
        <f t="shared" si="1243"/>
        <v>1</v>
      </c>
      <c r="M457">
        <f t="shared" si="1244"/>
        <v>1</v>
      </c>
      <c r="N457">
        <f t="shared" si="1245"/>
        <v>0</v>
      </c>
      <c r="O457">
        <f t="shared" si="1246"/>
        <v>2</v>
      </c>
      <c r="P457" t="str">
        <f t="shared" si="1247"/>
        <v>Medium centralized biomass gasification w/ CCS-Flexibility</v>
      </c>
      <c r="Q457" t="str">
        <f t="shared" si="1248"/>
        <v>Central gas storage-Flexibility</v>
      </c>
      <c r="R457" t="str">
        <f t="shared" si="1249"/>
        <v>Hydrogen transmission &amp; distribution pipeline-Flexibility</v>
      </c>
      <c r="S457" t="str">
        <f t="shared" si="1250"/>
        <v>Hydrogen turbine (OC)-Flexibility</v>
      </c>
      <c r="T457">
        <f ca="1">VLOOKUP($P457,'TA database'!$I$8:$J$79,2,FALSE)</f>
        <v>0</v>
      </c>
      <c r="U457">
        <v>0</v>
      </c>
      <c r="V457">
        <v>0</v>
      </c>
      <c r="W457">
        <v>0</v>
      </c>
      <c r="X457">
        <v>0</v>
      </c>
      <c r="Y457">
        <f t="shared" ca="1" si="1237"/>
        <v>0</v>
      </c>
      <c r="Z457" t="str">
        <f t="shared" si="1251"/>
        <v>BIO_GSF_CCS_MED_C   →   C_GAS_STRG   →   H2_T&amp;D_P   →   H2_OCGT_PWR</v>
      </c>
      <c r="AA457" t="str">
        <f t="shared" si="1252"/>
        <v>Grid electricity</v>
      </c>
      <c r="AB457" t="str">
        <f t="shared" si="1253"/>
        <v>Flexibility</v>
      </c>
      <c r="AC457">
        <f t="shared" ca="1" si="1254"/>
        <v>0</v>
      </c>
      <c r="AD457">
        <v>398</v>
      </c>
      <c r="AE457" t="str">
        <f>IF(AND(ISNUMBER(SEARCH(O457,4)),ISNUMBER(SEARCH('(4) FCH pathway assessment'!$B$16,AB457)),ISNUMBER(SEARCH('(4) FCH pathway assessment'!$B$10,AA457))),AD457,"")</f>
        <v/>
      </c>
      <c r="AF457" t="str">
        <f t="shared" si="1199"/>
        <v/>
      </c>
      <c r="AG457" t="str">
        <f>VLOOKUP(C457,Assumptions!$B$116:$C$162,2,FALSE)</f>
        <v>BIO_GSF_CCS_MED_C</v>
      </c>
      <c r="AH457" t="str">
        <f>VLOOKUP(D457,Assumptions!$B$116:$C$162,2,FALSE)</f>
        <v>C_GAS_STRG</v>
      </c>
      <c r="AI457" t="str">
        <f>VLOOKUP(E457,Assumptions!$B$116:$C$162,2,FALSE)</f>
        <v>H2_T&amp;D_P</v>
      </c>
      <c r="AJ457" t="str">
        <f>VLOOKUP(F457,Assumptions!$B$116:$C$162,2,FALSE)</f>
        <v>H2_OCGT_PWR</v>
      </c>
    </row>
    <row r="458" spans="2:36" x14ac:dyDescent="0.25">
      <c r="B458" t="s">
        <v>117</v>
      </c>
      <c r="C458" t="s">
        <v>54</v>
      </c>
      <c r="D458" t="s">
        <v>155</v>
      </c>
      <c r="E458" t="s">
        <v>116</v>
      </c>
      <c r="F458" t="s">
        <v>162</v>
      </c>
      <c r="G458" t="s">
        <v>114</v>
      </c>
      <c r="H458" t="s">
        <v>433</v>
      </c>
      <c r="I458" t="s">
        <v>32</v>
      </c>
      <c r="J458" t="s">
        <v>80</v>
      </c>
      <c r="K458">
        <f t="shared" si="1242"/>
        <v>0</v>
      </c>
      <c r="L458">
        <f t="shared" si="1243"/>
        <v>1</v>
      </c>
      <c r="M458">
        <f t="shared" si="1244"/>
        <v>1</v>
      </c>
      <c r="N458">
        <f t="shared" si="1245"/>
        <v>0</v>
      </c>
      <c r="O458">
        <f t="shared" si="1246"/>
        <v>2</v>
      </c>
      <c r="P458" t="str">
        <f t="shared" si="1247"/>
        <v>Medium centralized biomass gasification w/ CCS-Flexibility</v>
      </c>
      <c r="Q458" t="str">
        <f t="shared" si="1248"/>
        <v>Central gas storage-Flexibility</v>
      </c>
      <c r="R458" t="str">
        <f t="shared" si="1249"/>
        <v>Liquid hydrogen truck-Flexibility</v>
      </c>
      <c r="S458" t="str">
        <f t="shared" si="1250"/>
        <v>Hydrogen turbine (OC)-Flexibility</v>
      </c>
      <c r="T458">
        <f ca="1">VLOOKUP($P458,'TA database'!$I$8:$J$79,2,FALSE)</f>
        <v>0</v>
      </c>
      <c r="U458">
        <v>0</v>
      </c>
      <c r="V458">
        <v>0</v>
      </c>
      <c r="W458">
        <v>0</v>
      </c>
      <c r="X458">
        <v>0</v>
      </c>
      <c r="Y458">
        <f t="shared" ca="1" si="1237"/>
        <v>0</v>
      </c>
      <c r="Z458" t="str">
        <f t="shared" si="1251"/>
        <v>BIO_GSF_CCS_MED_C   →   C_GAS_STRG   →   LQ_TRUCK   →   H2_OCGT_PWR</v>
      </c>
      <c r="AA458" t="str">
        <f t="shared" si="1252"/>
        <v>Grid electricity</v>
      </c>
      <c r="AB458" t="str">
        <f t="shared" si="1253"/>
        <v>Flexibility</v>
      </c>
      <c r="AC458">
        <f t="shared" ca="1" si="1254"/>
        <v>0</v>
      </c>
      <c r="AD458">
        <v>399</v>
      </c>
      <c r="AE458" t="str">
        <f>IF(AND(ISNUMBER(SEARCH(O458,4)),ISNUMBER(SEARCH('(4) FCH pathway assessment'!$B$16,AB458)),ISNUMBER(SEARCH('(4) FCH pathway assessment'!$B$10,AA458))),AD458,"")</f>
        <v/>
      </c>
      <c r="AF458" t="str">
        <f t="shared" si="1199"/>
        <v/>
      </c>
      <c r="AG458" t="str">
        <f>VLOOKUP(C458,Assumptions!$B$116:$C$162,2,FALSE)</f>
        <v>BIO_GSF_CCS_MED_C</v>
      </c>
      <c r="AH458" t="str">
        <f>VLOOKUP(D458,Assumptions!$B$116:$C$162,2,FALSE)</f>
        <v>C_GAS_STRG</v>
      </c>
      <c r="AI458" t="str">
        <f>VLOOKUP(E458,Assumptions!$B$116:$C$162,2,FALSE)</f>
        <v>LQ_TRUCK</v>
      </c>
      <c r="AJ458" t="str">
        <f>VLOOKUP(F458,Assumptions!$B$116:$C$162,2,FALSE)</f>
        <v>H2_OCGT_PWR</v>
      </c>
    </row>
    <row r="459" spans="2:36" x14ac:dyDescent="0.25">
      <c r="B459" t="s">
        <v>117</v>
      </c>
      <c r="C459" t="s">
        <v>54</v>
      </c>
      <c r="D459" t="s">
        <v>155</v>
      </c>
      <c r="E459" t="s">
        <v>66</v>
      </c>
      <c r="F459" t="s">
        <v>162</v>
      </c>
      <c r="G459" t="s">
        <v>114</v>
      </c>
      <c r="H459" t="s">
        <v>433</v>
      </c>
      <c r="I459" t="s">
        <v>32</v>
      </c>
      <c r="J459" t="s">
        <v>80</v>
      </c>
      <c r="K459">
        <f t="shared" si="1242"/>
        <v>0</v>
      </c>
      <c r="L459">
        <f t="shared" si="1243"/>
        <v>1</v>
      </c>
      <c r="M459">
        <f t="shared" si="1244"/>
        <v>1</v>
      </c>
      <c r="N459">
        <f t="shared" si="1245"/>
        <v>0</v>
      </c>
      <c r="O459">
        <f t="shared" si="1246"/>
        <v>2</v>
      </c>
      <c r="P459" t="str">
        <f t="shared" si="1247"/>
        <v>Medium centralized biomass gasification w/ CCS-Flexibility</v>
      </c>
      <c r="Q459" t="str">
        <f t="shared" si="1248"/>
        <v>Central gas storage-Flexibility</v>
      </c>
      <c r="R459" t="str">
        <f t="shared" si="1249"/>
        <v>Onsite-Flexibility</v>
      </c>
      <c r="S459" t="str">
        <f t="shared" si="1250"/>
        <v>Hydrogen turbine (OC)-Flexibility</v>
      </c>
      <c r="T459">
        <f ca="1">VLOOKUP($P459,'TA database'!$I$8:$J$79,2,FALSE)</f>
        <v>0</v>
      </c>
      <c r="U459">
        <v>0</v>
      </c>
      <c r="V459">
        <v>0</v>
      </c>
      <c r="W459">
        <v>0</v>
      </c>
      <c r="X459">
        <v>0</v>
      </c>
      <c r="Y459">
        <f t="shared" ca="1" si="1237"/>
        <v>0</v>
      </c>
      <c r="Z459" t="str">
        <f t="shared" si="1251"/>
        <v>BIO_GSF_CCS_MED_C   →   C_GAS_STRG   →   ONSITE_USE   →   H2_OCGT_PWR</v>
      </c>
      <c r="AA459" t="str">
        <f t="shared" si="1252"/>
        <v>Grid electricity</v>
      </c>
      <c r="AB459" t="str">
        <f t="shared" si="1253"/>
        <v>Flexibility</v>
      </c>
      <c r="AC459">
        <f t="shared" ca="1" si="1254"/>
        <v>0</v>
      </c>
      <c r="AD459">
        <v>400</v>
      </c>
      <c r="AE459" t="str">
        <f>IF(AND(ISNUMBER(SEARCH(O459,4)),ISNUMBER(SEARCH('(4) FCH pathway assessment'!$B$16,AB459)),ISNUMBER(SEARCH('(4) FCH pathway assessment'!$B$10,AA459))),AD459,"")</f>
        <v/>
      </c>
      <c r="AF459" t="str">
        <f t="shared" si="1199"/>
        <v/>
      </c>
      <c r="AG459" t="str">
        <f>VLOOKUP(C459,Assumptions!$B$116:$C$162,2,FALSE)</f>
        <v>BIO_GSF_CCS_MED_C</v>
      </c>
      <c r="AH459" t="str">
        <f>VLOOKUP(D459,Assumptions!$B$116:$C$162,2,FALSE)</f>
        <v>C_GAS_STRG</v>
      </c>
      <c r="AI459" t="str">
        <f>VLOOKUP(E459,Assumptions!$B$116:$C$162,2,FALSE)</f>
        <v>ONSITE_USE</v>
      </c>
      <c r="AJ459" t="str">
        <f>VLOOKUP(F459,Assumptions!$B$116:$C$162,2,FALSE)</f>
        <v>H2_OCGT_PWR</v>
      </c>
    </row>
    <row r="460" spans="2:36" x14ac:dyDescent="0.25">
      <c r="B460" t="s">
        <v>117</v>
      </c>
      <c r="C460" t="s">
        <v>55</v>
      </c>
      <c r="D460" s="60" t="s">
        <v>130</v>
      </c>
      <c r="E460" t="s">
        <v>66</v>
      </c>
      <c r="F460" t="s">
        <v>162</v>
      </c>
      <c r="G460" t="s">
        <v>114</v>
      </c>
      <c r="H460" t="s">
        <v>433</v>
      </c>
      <c r="I460" t="s">
        <v>32</v>
      </c>
      <c r="J460" t="s">
        <v>80</v>
      </c>
      <c r="K460">
        <f t="shared" si="1242"/>
        <v>0</v>
      </c>
      <c r="L460">
        <f t="shared" si="1243"/>
        <v>1</v>
      </c>
      <c r="M460">
        <f t="shared" si="1244"/>
        <v>1</v>
      </c>
      <c r="N460">
        <f t="shared" si="1245"/>
        <v>0</v>
      </c>
      <c r="O460">
        <f t="shared" si="1246"/>
        <v>2</v>
      </c>
      <c r="P460" t="str">
        <f t="shared" si="1247"/>
        <v>Small decentralized biomass gasification-Flexibility</v>
      </c>
      <c r="Q460" t="str">
        <f t="shared" si="1248"/>
        <v>Distributed gas storage-Flexibility</v>
      </c>
      <c r="R460" t="str">
        <f t="shared" si="1249"/>
        <v>Onsite-Flexibility</v>
      </c>
      <c r="S460" t="str">
        <f t="shared" si="1250"/>
        <v>Hydrogen turbine (OC)-Flexibility</v>
      </c>
      <c r="T460">
        <f ca="1">VLOOKUP($P460,'TA database'!$I$8:$J$79,2,FALSE)</f>
        <v>0</v>
      </c>
      <c r="U460">
        <v>0</v>
      </c>
      <c r="V460">
        <v>0</v>
      </c>
      <c r="W460">
        <v>0</v>
      </c>
      <c r="X460">
        <v>0</v>
      </c>
      <c r="Y460">
        <f t="shared" ref="Y460:Y464" ca="1" si="1255">$T460</f>
        <v>0</v>
      </c>
      <c r="Z460" t="str">
        <f t="shared" si="1251"/>
        <v>BIO_GSF_SML_D   →   D_GAS_STRG   →   ONSITE_USE   →   H2_OCGT_PWR</v>
      </c>
      <c r="AA460" t="str">
        <f t="shared" si="1252"/>
        <v>Grid electricity</v>
      </c>
      <c r="AB460" t="str">
        <f t="shared" si="1253"/>
        <v>Flexibility</v>
      </c>
      <c r="AC460">
        <f t="shared" ca="1" si="1254"/>
        <v>0</v>
      </c>
      <c r="AD460">
        <v>401</v>
      </c>
      <c r="AE460" t="str">
        <f>IF(AND(ISNUMBER(SEARCH(O460,4)),ISNUMBER(SEARCH('(4) FCH pathway assessment'!$B$16,AB460)),ISNUMBER(SEARCH('(4) FCH pathway assessment'!$B$10,AA460))),AD460,"")</f>
        <v/>
      </c>
      <c r="AF460" t="str">
        <f t="shared" si="1199"/>
        <v/>
      </c>
      <c r="AG460" t="str">
        <f>VLOOKUP(C460,Assumptions!$B$116:$C$162,2,FALSE)</f>
        <v>BIO_GSF_SML_D</v>
      </c>
      <c r="AH460" t="str">
        <f>VLOOKUP(D460,Assumptions!$B$116:$C$162,2,FALSE)</f>
        <v>D_GAS_STRG</v>
      </c>
      <c r="AI460" t="str">
        <f>VLOOKUP(E460,Assumptions!$B$116:$C$162,2,FALSE)</f>
        <v>ONSITE_USE</v>
      </c>
      <c r="AJ460" t="str">
        <f>VLOOKUP(F460,Assumptions!$B$116:$C$162,2,FALSE)</f>
        <v>H2_OCGT_PWR</v>
      </c>
    </row>
    <row r="461" spans="2:36" x14ac:dyDescent="0.25">
      <c r="B461" t="s">
        <v>117</v>
      </c>
      <c r="C461" t="s">
        <v>56</v>
      </c>
      <c r="D461" t="s">
        <v>62</v>
      </c>
      <c r="E461" t="s">
        <v>157</v>
      </c>
      <c r="F461" t="s">
        <v>162</v>
      </c>
      <c r="G461" t="s">
        <v>114</v>
      </c>
      <c r="H461" t="s">
        <v>433</v>
      </c>
      <c r="I461" t="s">
        <v>32</v>
      </c>
      <c r="J461" t="s">
        <v>80</v>
      </c>
      <c r="K461">
        <f t="shared" ref="K461:K473" si="1256">SUMPRODUCT(($C$7:$C$18=$C461)*($D$6:$H$6=$D461)*($D$7:$H$18))</f>
        <v>0</v>
      </c>
      <c r="L461">
        <f t="shared" ref="L461:L473" si="1257">SUMPRODUCT(($C$19:$C$23=$D461)*($I$6:$O$6=$E461)*($I$19:$O$23))</f>
        <v>0</v>
      </c>
      <c r="M461">
        <f t="shared" ref="M461:M473" si="1258">SUMPRODUCT(($C$24:$C$30=$E461)*($P$6:$AI$6=$F461)*($P$24:$AI$30))</f>
        <v>0</v>
      </c>
      <c r="N461">
        <f t="shared" ref="N461:N473" si="1259">SUMPRODUCT(($C$31:$C$50=$F461)*($AJ$6:$AM$6=$G461)*($AJ$31:$AM$50))</f>
        <v>0</v>
      </c>
      <c r="O461">
        <f t="shared" ref="O461:O473" si="1260">K461+L461+M461+N461</f>
        <v>0</v>
      </c>
      <c r="P461" t="str">
        <f t="shared" ref="P461:P473" si="1261">CONCATENATE(C461,"-",J461)</f>
        <v>Large centralized biomass steam reforming -Flexibility</v>
      </c>
      <c r="Q461" t="str">
        <f t="shared" ref="Q461:Q473" si="1262">CONCATENATE(D461,"-",J461)</f>
        <v>Underground storage-Flexibility</v>
      </c>
      <c r="R461" t="str">
        <f t="shared" ref="R461:R473" si="1263">CONCATENATE(E461,"-",J461)</f>
        <v>Blending in natural gas pipeline-Flexibility</v>
      </c>
      <c r="S461" t="str">
        <f t="shared" ref="S461:S473" si="1264">CONCATENATE(F461,"-",J461)</f>
        <v>Hydrogen turbine (OC)-Flexibility</v>
      </c>
      <c r="T461">
        <f ca="1">VLOOKUP($P461,'TA database'!$I$8:$J$79,2,FALSE)</f>
        <v>0</v>
      </c>
      <c r="U461">
        <v>0</v>
      </c>
      <c r="V461">
        <v>0</v>
      </c>
      <c r="W461">
        <v>0</v>
      </c>
      <c r="X461">
        <v>0</v>
      </c>
      <c r="Y461">
        <f t="shared" ca="1" si="1255"/>
        <v>0</v>
      </c>
      <c r="Z461" t="str">
        <f t="shared" ref="Z461:Z473" si="1265">CONCATENATE(AG461,"   →   ",AH461,"   →   ",AI461,"   →   ",AJ461)</f>
        <v>BIO_SR_LRG_C   →   C_UNDRGRND_STRG   →   H2_BLND_NG_P   →   H2_OCGT_PWR</v>
      </c>
      <c r="AA461" t="str">
        <f t="shared" ref="AA461:AA473" si="1266">G461</f>
        <v>Grid electricity</v>
      </c>
      <c r="AB461" t="str">
        <f t="shared" ref="AB461:AB473" si="1267">J461</f>
        <v>Flexibility</v>
      </c>
      <c r="AC461">
        <f t="shared" ref="AC461:AC473" ca="1" si="1268">Y461</f>
        <v>0</v>
      </c>
      <c r="AD461">
        <v>402</v>
      </c>
      <c r="AE461" t="str">
        <f>IF(AND(ISNUMBER(SEARCH(O461,4)),ISNUMBER(SEARCH('(4) FCH pathway assessment'!$B$16,AB461)),ISNUMBER(SEARCH('(4) FCH pathway assessment'!$B$10,AA461))),AD461,"")</f>
        <v/>
      </c>
      <c r="AF461" t="str">
        <f t="shared" si="1199"/>
        <v/>
      </c>
      <c r="AG461" t="str">
        <f>VLOOKUP(C461,Assumptions!$B$116:$C$162,2,FALSE)</f>
        <v>BIO_SR_LRG_C</v>
      </c>
      <c r="AH461" t="str">
        <f>VLOOKUP(D461,Assumptions!$B$116:$C$162,2,FALSE)</f>
        <v>C_UNDRGRND_STRG</v>
      </c>
      <c r="AI461" t="str">
        <f>VLOOKUP(E461,Assumptions!$B$116:$C$162,2,FALSE)</f>
        <v>H2_BLND_NG_P</v>
      </c>
      <c r="AJ461" t="str">
        <f>VLOOKUP(F461,Assumptions!$B$116:$C$162,2,FALSE)</f>
        <v>H2_OCGT_PWR</v>
      </c>
    </row>
    <row r="462" spans="2:36" x14ac:dyDescent="0.25">
      <c r="B462" t="s">
        <v>117</v>
      </c>
      <c r="C462" t="s">
        <v>56</v>
      </c>
      <c r="D462" t="s">
        <v>62</v>
      </c>
      <c r="E462" t="s">
        <v>122</v>
      </c>
      <c r="F462" t="s">
        <v>162</v>
      </c>
      <c r="G462" t="s">
        <v>114</v>
      </c>
      <c r="H462" t="s">
        <v>433</v>
      </c>
      <c r="I462" t="s">
        <v>32</v>
      </c>
      <c r="J462" t="s">
        <v>80</v>
      </c>
      <c r="K462">
        <f t="shared" si="1256"/>
        <v>0</v>
      </c>
      <c r="L462">
        <f t="shared" si="1257"/>
        <v>0</v>
      </c>
      <c r="M462">
        <f t="shared" si="1258"/>
        <v>1</v>
      </c>
      <c r="N462">
        <f t="shared" si="1259"/>
        <v>0</v>
      </c>
      <c r="O462">
        <f t="shared" si="1260"/>
        <v>1</v>
      </c>
      <c r="P462" t="str">
        <f t="shared" si="1261"/>
        <v>Large centralized biomass steam reforming -Flexibility</v>
      </c>
      <c r="Q462" t="str">
        <f t="shared" si="1262"/>
        <v>Underground storage-Flexibility</v>
      </c>
      <c r="R462" t="str">
        <f t="shared" si="1263"/>
        <v>Hydrogen transmission &amp; distribution pipeline-Flexibility</v>
      </c>
      <c r="S462" t="str">
        <f t="shared" si="1264"/>
        <v>Hydrogen turbine (OC)-Flexibility</v>
      </c>
      <c r="T462">
        <f ca="1">VLOOKUP($P462,'TA database'!$I$8:$J$79,2,FALSE)</f>
        <v>0</v>
      </c>
      <c r="U462">
        <v>0</v>
      </c>
      <c r="V462">
        <v>0</v>
      </c>
      <c r="W462">
        <v>0</v>
      </c>
      <c r="X462">
        <v>0</v>
      </c>
      <c r="Y462">
        <f t="shared" ca="1" si="1255"/>
        <v>0</v>
      </c>
      <c r="Z462" t="str">
        <f t="shared" si="1265"/>
        <v>BIO_SR_LRG_C   →   C_UNDRGRND_STRG   →   H2_T&amp;D_P   →   H2_OCGT_PWR</v>
      </c>
      <c r="AA462" t="str">
        <f t="shared" si="1266"/>
        <v>Grid electricity</v>
      </c>
      <c r="AB462" t="str">
        <f t="shared" si="1267"/>
        <v>Flexibility</v>
      </c>
      <c r="AC462">
        <f t="shared" ca="1" si="1268"/>
        <v>0</v>
      </c>
      <c r="AD462">
        <v>403</v>
      </c>
      <c r="AE462" t="str">
        <f>IF(AND(ISNUMBER(SEARCH(O462,4)),ISNUMBER(SEARCH('(4) FCH pathway assessment'!$B$16,AB462)),ISNUMBER(SEARCH('(4) FCH pathway assessment'!$B$10,AA462))),AD462,"")</f>
        <v/>
      </c>
      <c r="AF462" t="str">
        <f t="shared" si="1199"/>
        <v/>
      </c>
      <c r="AG462" t="str">
        <f>VLOOKUP(C462,Assumptions!$B$116:$C$162,2,FALSE)</f>
        <v>BIO_SR_LRG_C</v>
      </c>
      <c r="AH462" t="str">
        <f>VLOOKUP(D462,Assumptions!$B$116:$C$162,2,FALSE)</f>
        <v>C_UNDRGRND_STRG</v>
      </c>
      <c r="AI462" t="str">
        <f>VLOOKUP(E462,Assumptions!$B$116:$C$162,2,FALSE)</f>
        <v>H2_T&amp;D_P</v>
      </c>
      <c r="AJ462" t="str">
        <f>VLOOKUP(F462,Assumptions!$B$116:$C$162,2,FALSE)</f>
        <v>H2_OCGT_PWR</v>
      </c>
    </row>
    <row r="463" spans="2:36" x14ac:dyDescent="0.25">
      <c r="B463" t="s">
        <v>117</v>
      </c>
      <c r="C463" t="s">
        <v>56</v>
      </c>
      <c r="D463" t="s">
        <v>62</v>
      </c>
      <c r="E463" t="s">
        <v>116</v>
      </c>
      <c r="F463" t="s">
        <v>162</v>
      </c>
      <c r="G463" t="s">
        <v>114</v>
      </c>
      <c r="H463" t="s">
        <v>433</v>
      </c>
      <c r="I463" t="s">
        <v>32</v>
      </c>
      <c r="J463" t="s">
        <v>80</v>
      </c>
      <c r="K463">
        <f t="shared" si="1256"/>
        <v>0</v>
      </c>
      <c r="L463">
        <f t="shared" si="1257"/>
        <v>0</v>
      </c>
      <c r="M463">
        <f t="shared" si="1258"/>
        <v>1</v>
      </c>
      <c r="N463">
        <f t="shared" si="1259"/>
        <v>0</v>
      </c>
      <c r="O463">
        <f t="shared" si="1260"/>
        <v>1</v>
      </c>
      <c r="P463" t="str">
        <f t="shared" si="1261"/>
        <v>Large centralized biomass steam reforming -Flexibility</v>
      </c>
      <c r="Q463" t="str">
        <f t="shared" si="1262"/>
        <v>Underground storage-Flexibility</v>
      </c>
      <c r="R463" t="str">
        <f t="shared" si="1263"/>
        <v>Liquid hydrogen truck-Flexibility</v>
      </c>
      <c r="S463" t="str">
        <f t="shared" si="1264"/>
        <v>Hydrogen turbine (OC)-Flexibility</v>
      </c>
      <c r="T463">
        <f ca="1">VLOOKUP($P463,'TA database'!$I$8:$J$79,2,FALSE)</f>
        <v>0</v>
      </c>
      <c r="U463">
        <v>0</v>
      </c>
      <c r="V463">
        <v>0</v>
      </c>
      <c r="W463">
        <v>0</v>
      </c>
      <c r="X463">
        <v>0</v>
      </c>
      <c r="Y463">
        <f t="shared" ca="1" si="1255"/>
        <v>0</v>
      </c>
      <c r="Z463" t="str">
        <f t="shared" si="1265"/>
        <v>BIO_SR_LRG_C   →   C_UNDRGRND_STRG   →   LQ_TRUCK   →   H2_OCGT_PWR</v>
      </c>
      <c r="AA463" t="str">
        <f t="shared" si="1266"/>
        <v>Grid electricity</v>
      </c>
      <c r="AB463" t="str">
        <f t="shared" si="1267"/>
        <v>Flexibility</v>
      </c>
      <c r="AC463">
        <f t="shared" ca="1" si="1268"/>
        <v>0</v>
      </c>
      <c r="AD463">
        <v>404</v>
      </c>
      <c r="AE463" t="str">
        <f>IF(AND(ISNUMBER(SEARCH(O463,4)),ISNUMBER(SEARCH('(4) FCH pathway assessment'!$B$16,AB463)),ISNUMBER(SEARCH('(4) FCH pathway assessment'!$B$10,AA463))),AD463,"")</f>
        <v/>
      </c>
      <c r="AF463" t="str">
        <f t="shared" si="1199"/>
        <v/>
      </c>
      <c r="AG463" t="str">
        <f>VLOOKUP(C463,Assumptions!$B$116:$C$162,2,FALSE)</f>
        <v>BIO_SR_LRG_C</v>
      </c>
      <c r="AH463" t="str">
        <f>VLOOKUP(D463,Assumptions!$B$116:$C$162,2,FALSE)</f>
        <v>C_UNDRGRND_STRG</v>
      </c>
      <c r="AI463" t="str">
        <f>VLOOKUP(E463,Assumptions!$B$116:$C$162,2,FALSE)</f>
        <v>LQ_TRUCK</v>
      </c>
      <c r="AJ463" t="str">
        <f>VLOOKUP(F463,Assumptions!$B$116:$C$162,2,FALSE)</f>
        <v>H2_OCGT_PWR</v>
      </c>
    </row>
    <row r="464" spans="2:36" x14ac:dyDescent="0.25">
      <c r="B464" t="s">
        <v>117</v>
      </c>
      <c r="C464" t="s">
        <v>56</v>
      </c>
      <c r="D464" t="s">
        <v>62</v>
      </c>
      <c r="E464" t="s">
        <v>66</v>
      </c>
      <c r="F464" t="s">
        <v>162</v>
      </c>
      <c r="G464" t="s">
        <v>114</v>
      </c>
      <c r="H464" t="s">
        <v>433</v>
      </c>
      <c r="I464" t="s">
        <v>32</v>
      </c>
      <c r="J464" t="s">
        <v>80</v>
      </c>
      <c r="K464">
        <f t="shared" si="1256"/>
        <v>0</v>
      </c>
      <c r="L464">
        <f t="shared" si="1257"/>
        <v>0</v>
      </c>
      <c r="M464">
        <f t="shared" si="1258"/>
        <v>1</v>
      </c>
      <c r="N464">
        <f t="shared" si="1259"/>
        <v>0</v>
      </c>
      <c r="O464">
        <f t="shared" si="1260"/>
        <v>1</v>
      </c>
      <c r="P464" t="str">
        <f t="shared" si="1261"/>
        <v>Large centralized biomass steam reforming -Flexibility</v>
      </c>
      <c r="Q464" t="str">
        <f t="shared" si="1262"/>
        <v>Underground storage-Flexibility</v>
      </c>
      <c r="R464" t="str">
        <f t="shared" si="1263"/>
        <v>Onsite-Flexibility</v>
      </c>
      <c r="S464" t="str">
        <f t="shared" si="1264"/>
        <v>Hydrogen turbine (OC)-Flexibility</v>
      </c>
      <c r="T464">
        <f ca="1">VLOOKUP($P464,'TA database'!$I$8:$J$79,2,FALSE)</f>
        <v>0</v>
      </c>
      <c r="U464">
        <v>0</v>
      </c>
      <c r="V464">
        <v>0</v>
      </c>
      <c r="W464">
        <v>0</v>
      </c>
      <c r="X464">
        <v>0</v>
      </c>
      <c r="Y464">
        <f t="shared" ca="1" si="1255"/>
        <v>0</v>
      </c>
      <c r="Z464" t="str">
        <f t="shared" si="1265"/>
        <v>BIO_SR_LRG_C   →   C_UNDRGRND_STRG   →   ONSITE_USE   →   H2_OCGT_PWR</v>
      </c>
      <c r="AA464" t="str">
        <f t="shared" si="1266"/>
        <v>Grid electricity</v>
      </c>
      <c r="AB464" t="str">
        <f t="shared" si="1267"/>
        <v>Flexibility</v>
      </c>
      <c r="AC464">
        <f t="shared" ca="1" si="1268"/>
        <v>0</v>
      </c>
      <c r="AD464">
        <v>405</v>
      </c>
      <c r="AE464" t="str">
        <f>IF(AND(ISNUMBER(SEARCH(O464,4)),ISNUMBER(SEARCH('(4) FCH pathway assessment'!$B$16,AB464)),ISNUMBER(SEARCH('(4) FCH pathway assessment'!$B$10,AA464))),AD464,"")</f>
        <v/>
      </c>
      <c r="AF464" t="str">
        <f t="shared" si="1199"/>
        <v/>
      </c>
      <c r="AG464" t="str">
        <f>VLOOKUP(C464,Assumptions!$B$116:$C$162,2,FALSE)</f>
        <v>BIO_SR_LRG_C</v>
      </c>
      <c r="AH464" t="str">
        <f>VLOOKUP(D464,Assumptions!$B$116:$C$162,2,FALSE)</f>
        <v>C_UNDRGRND_STRG</v>
      </c>
      <c r="AI464" t="str">
        <f>VLOOKUP(E464,Assumptions!$B$116:$C$162,2,FALSE)</f>
        <v>ONSITE_USE</v>
      </c>
      <c r="AJ464" t="str">
        <f>VLOOKUP(F464,Assumptions!$B$116:$C$162,2,FALSE)</f>
        <v>H2_OCGT_PWR</v>
      </c>
    </row>
    <row r="465" spans="2:36" x14ac:dyDescent="0.25">
      <c r="B465" t="s">
        <v>117</v>
      </c>
      <c r="C465" t="s">
        <v>56</v>
      </c>
      <c r="D465" s="61" t="s">
        <v>63</v>
      </c>
      <c r="E465" t="s">
        <v>122</v>
      </c>
      <c r="F465" t="s">
        <v>162</v>
      </c>
      <c r="G465" t="s">
        <v>114</v>
      </c>
      <c r="H465" t="s">
        <v>433</v>
      </c>
      <c r="I465" t="s">
        <v>32</v>
      </c>
      <c r="J465" t="s">
        <v>80</v>
      </c>
      <c r="K465">
        <f t="shared" si="1256"/>
        <v>0</v>
      </c>
      <c r="L465">
        <f t="shared" si="1257"/>
        <v>1</v>
      </c>
      <c r="M465">
        <f t="shared" si="1258"/>
        <v>1</v>
      </c>
      <c r="N465">
        <f t="shared" si="1259"/>
        <v>0</v>
      </c>
      <c r="O465">
        <f t="shared" si="1260"/>
        <v>2</v>
      </c>
      <c r="P465" t="str">
        <f t="shared" si="1261"/>
        <v>Large centralized biomass steam reforming -Flexibility</v>
      </c>
      <c r="Q465" t="str">
        <f t="shared" si="1262"/>
        <v>No storage-Flexibility</v>
      </c>
      <c r="R465" t="str">
        <f t="shared" si="1263"/>
        <v>Hydrogen transmission &amp; distribution pipeline-Flexibility</v>
      </c>
      <c r="S465" t="str">
        <f t="shared" si="1264"/>
        <v>Hydrogen turbine (OC)-Flexibility</v>
      </c>
      <c r="T465">
        <f ca="1">VLOOKUP($P465,'TA database'!$I$8:$J$79,2,FALSE)</f>
        <v>0</v>
      </c>
      <c r="U465">
        <v>0</v>
      </c>
      <c r="V465">
        <v>0</v>
      </c>
      <c r="W465">
        <v>0</v>
      </c>
      <c r="X465">
        <v>0</v>
      </c>
      <c r="Y465">
        <f t="shared" ref="Y465:Y473" ca="1" si="1269">$T465</f>
        <v>0</v>
      </c>
      <c r="Z465" t="str">
        <f t="shared" si="1265"/>
        <v>BIO_SR_LRG_C   →   NO_STRG   →   H2_T&amp;D_P   →   H2_OCGT_PWR</v>
      </c>
      <c r="AA465" t="str">
        <f t="shared" si="1266"/>
        <v>Grid electricity</v>
      </c>
      <c r="AB465" t="str">
        <f t="shared" si="1267"/>
        <v>Flexibility</v>
      </c>
      <c r="AC465">
        <f t="shared" ca="1" si="1268"/>
        <v>0</v>
      </c>
      <c r="AD465">
        <v>406</v>
      </c>
      <c r="AE465" t="str">
        <f>IF(AND(ISNUMBER(SEARCH(O465,4)),ISNUMBER(SEARCH('(4) FCH pathway assessment'!$B$16,AB465)),ISNUMBER(SEARCH('(4) FCH pathway assessment'!$B$10,AA465))),AD465,"")</f>
        <v/>
      </c>
      <c r="AF465" t="str">
        <f t="shared" si="1199"/>
        <v/>
      </c>
      <c r="AG465" t="str">
        <f>VLOOKUP(C465,Assumptions!$B$116:$C$162,2,FALSE)</f>
        <v>BIO_SR_LRG_C</v>
      </c>
      <c r="AH465" t="str">
        <f>VLOOKUP(D465,Assumptions!$B$116:$C$162,2,FALSE)</f>
        <v>NO_STRG</v>
      </c>
      <c r="AI465" t="str">
        <f>VLOOKUP(E465,Assumptions!$B$116:$C$162,2,FALSE)</f>
        <v>H2_T&amp;D_P</v>
      </c>
      <c r="AJ465" t="str">
        <f>VLOOKUP(F465,Assumptions!$B$116:$C$162,2,FALSE)</f>
        <v>H2_OCGT_PWR</v>
      </c>
    </row>
    <row r="466" spans="2:36" x14ac:dyDescent="0.25">
      <c r="B466" t="s">
        <v>112</v>
      </c>
      <c r="C466" t="s">
        <v>49</v>
      </c>
      <c r="D466" t="s">
        <v>62</v>
      </c>
      <c r="E466" t="s">
        <v>157</v>
      </c>
      <c r="F466" t="s">
        <v>162</v>
      </c>
      <c r="G466" t="s">
        <v>114</v>
      </c>
      <c r="H466" t="s">
        <v>433</v>
      </c>
      <c r="I466" t="s">
        <v>32</v>
      </c>
      <c r="J466" t="s">
        <v>80</v>
      </c>
      <c r="K466">
        <f t="shared" si="1256"/>
        <v>1</v>
      </c>
      <c r="L466">
        <f t="shared" si="1257"/>
        <v>0</v>
      </c>
      <c r="M466">
        <f t="shared" si="1258"/>
        <v>0</v>
      </c>
      <c r="N466">
        <f t="shared" si="1259"/>
        <v>0</v>
      </c>
      <c r="O466">
        <f t="shared" si="1260"/>
        <v>1</v>
      </c>
      <c r="P466" t="str">
        <f t="shared" si="1261"/>
        <v>Large centralized electrolysis-Flexibility</v>
      </c>
      <c r="Q466" t="str">
        <f t="shared" si="1262"/>
        <v>Underground storage-Flexibility</v>
      </c>
      <c r="R466" t="str">
        <f t="shared" si="1263"/>
        <v>Blending in natural gas pipeline-Flexibility</v>
      </c>
      <c r="S466" t="str">
        <f t="shared" si="1264"/>
        <v>Hydrogen turbine (OC)-Flexibility</v>
      </c>
      <c r="T466">
        <f ca="1">VLOOKUP($P466,'TA database'!$I$8:$J$79,2,FALSE)</f>
        <v>1</v>
      </c>
      <c r="U466">
        <v>0</v>
      </c>
      <c r="V466">
        <v>0</v>
      </c>
      <c r="W466">
        <v>0</v>
      </c>
      <c r="X466">
        <v>0</v>
      </c>
      <c r="Y466">
        <f t="shared" ca="1" si="1269"/>
        <v>1</v>
      </c>
      <c r="Z466" t="str">
        <f t="shared" si="1265"/>
        <v>ELCTRLYZ_LRG_C   →   C_UNDRGRND_STRG   →   H2_BLND_NG_P   →   H2_OCGT_PWR</v>
      </c>
      <c r="AA466" t="str">
        <f t="shared" si="1266"/>
        <v>Grid electricity</v>
      </c>
      <c r="AB466" t="str">
        <f t="shared" si="1267"/>
        <v>Flexibility</v>
      </c>
      <c r="AC466">
        <f t="shared" ca="1" si="1268"/>
        <v>1</v>
      </c>
      <c r="AD466">
        <v>407</v>
      </c>
      <c r="AE466" t="str">
        <f>IF(AND(ISNUMBER(SEARCH(O466,4)),ISNUMBER(SEARCH('(4) FCH pathway assessment'!$B$16,AB466)),ISNUMBER(SEARCH('(4) FCH pathway assessment'!$B$10,AA466))),AD466,"")</f>
        <v/>
      </c>
      <c r="AF466" t="str">
        <f t="shared" si="1199"/>
        <v/>
      </c>
      <c r="AG466" t="str">
        <f>VLOOKUP(C466,Assumptions!$B$116:$C$162,2,FALSE)</f>
        <v>ELCTRLYZ_LRG_C</v>
      </c>
      <c r="AH466" t="str">
        <f>VLOOKUP(D466,Assumptions!$B$116:$C$162,2,FALSE)</f>
        <v>C_UNDRGRND_STRG</v>
      </c>
      <c r="AI466" t="str">
        <f>VLOOKUP(E466,Assumptions!$B$116:$C$162,2,FALSE)</f>
        <v>H2_BLND_NG_P</v>
      </c>
      <c r="AJ466" t="str">
        <f>VLOOKUP(F466,Assumptions!$B$116:$C$162,2,FALSE)</f>
        <v>H2_OCGT_PWR</v>
      </c>
    </row>
    <row r="467" spans="2:36" x14ac:dyDescent="0.25">
      <c r="B467" t="s">
        <v>112</v>
      </c>
      <c r="C467" t="s">
        <v>49</v>
      </c>
      <c r="D467" t="s">
        <v>62</v>
      </c>
      <c r="E467" t="s">
        <v>122</v>
      </c>
      <c r="F467" t="s">
        <v>162</v>
      </c>
      <c r="G467" t="s">
        <v>114</v>
      </c>
      <c r="H467" t="s">
        <v>433</v>
      </c>
      <c r="I467" t="s">
        <v>32</v>
      </c>
      <c r="J467" t="s">
        <v>80</v>
      </c>
      <c r="K467">
        <f t="shared" si="1256"/>
        <v>1</v>
      </c>
      <c r="L467">
        <f t="shared" si="1257"/>
        <v>0</v>
      </c>
      <c r="M467">
        <f t="shared" si="1258"/>
        <v>1</v>
      </c>
      <c r="N467">
        <f t="shared" si="1259"/>
        <v>0</v>
      </c>
      <c r="O467">
        <f t="shared" si="1260"/>
        <v>2</v>
      </c>
      <c r="P467" t="str">
        <f t="shared" si="1261"/>
        <v>Large centralized electrolysis-Flexibility</v>
      </c>
      <c r="Q467" t="str">
        <f t="shared" si="1262"/>
        <v>Underground storage-Flexibility</v>
      </c>
      <c r="R467" t="str">
        <f t="shared" si="1263"/>
        <v>Hydrogen transmission &amp; distribution pipeline-Flexibility</v>
      </c>
      <c r="S467" t="str">
        <f t="shared" si="1264"/>
        <v>Hydrogen turbine (OC)-Flexibility</v>
      </c>
      <c r="T467">
        <f ca="1">VLOOKUP($P467,'TA database'!$I$8:$J$79,2,FALSE)</f>
        <v>1</v>
      </c>
      <c r="U467">
        <v>0</v>
      </c>
      <c r="V467">
        <v>0</v>
      </c>
      <c r="W467">
        <v>0</v>
      </c>
      <c r="X467">
        <v>0</v>
      </c>
      <c r="Y467">
        <f t="shared" ca="1" si="1269"/>
        <v>1</v>
      </c>
      <c r="Z467" t="str">
        <f t="shared" si="1265"/>
        <v>ELCTRLYZ_LRG_C   →   C_UNDRGRND_STRG   →   H2_T&amp;D_P   →   H2_OCGT_PWR</v>
      </c>
      <c r="AA467" t="str">
        <f t="shared" si="1266"/>
        <v>Grid electricity</v>
      </c>
      <c r="AB467" t="str">
        <f t="shared" si="1267"/>
        <v>Flexibility</v>
      </c>
      <c r="AC467">
        <f t="shared" ca="1" si="1268"/>
        <v>1</v>
      </c>
      <c r="AD467">
        <v>408</v>
      </c>
      <c r="AE467" t="str">
        <f>IF(AND(ISNUMBER(SEARCH(O467,4)),ISNUMBER(SEARCH('(4) FCH pathway assessment'!$B$16,AB467)),ISNUMBER(SEARCH('(4) FCH pathway assessment'!$B$10,AA467))),AD467,"")</f>
        <v/>
      </c>
      <c r="AF467" t="str">
        <f t="shared" si="1199"/>
        <v/>
      </c>
      <c r="AG467" t="str">
        <f>VLOOKUP(C467,Assumptions!$B$116:$C$162,2,FALSE)</f>
        <v>ELCTRLYZ_LRG_C</v>
      </c>
      <c r="AH467" t="str">
        <f>VLOOKUP(D467,Assumptions!$B$116:$C$162,2,FALSE)</f>
        <v>C_UNDRGRND_STRG</v>
      </c>
      <c r="AI467" t="str">
        <f>VLOOKUP(E467,Assumptions!$B$116:$C$162,2,FALSE)</f>
        <v>H2_T&amp;D_P</v>
      </c>
      <c r="AJ467" t="str">
        <f>VLOOKUP(F467,Assumptions!$B$116:$C$162,2,FALSE)</f>
        <v>H2_OCGT_PWR</v>
      </c>
    </row>
    <row r="468" spans="2:36" x14ac:dyDescent="0.25">
      <c r="B468" t="s">
        <v>112</v>
      </c>
      <c r="C468" t="s">
        <v>49</v>
      </c>
      <c r="D468" t="s">
        <v>62</v>
      </c>
      <c r="E468" t="s">
        <v>116</v>
      </c>
      <c r="F468" t="s">
        <v>162</v>
      </c>
      <c r="G468" t="s">
        <v>114</v>
      </c>
      <c r="H468" t="s">
        <v>433</v>
      </c>
      <c r="I468" t="s">
        <v>32</v>
      </c>
      <c r="J468" t="s">
        <v>80</v>
      </c>
      <c r="K468">
        <f t="shared" si="1256"/>
        <v>1</v>
      </c>
      <c r="L468">
        <f t="shared" si="1257"/>
        <v>0</v>
      </c>
      <c r="M468">
        <f t="shared" si="1258"/>
        <v>1</v>
      </c>
      <c r="N468">
        <f t="shared" si="1259"/>
        <v>0</v>
      </c>
      <c r="O468">
        <f t="shared" si="1260"/>
        <v>2</v>
      </c>
      <c r="P468" t="str">
        <f t="shared" si="1261"/>
        <v>Large centralized electrolysis-Flexibility</v>
      </c>
      <c r="Q468" t="str">
        <f t="shared" si="1262"/>
        <v>Underground storage-Flexibility</v>
      </c>
      <c r="R468" t="str">
        <f t="shared" si="1263"/>
        <v>Liquid hydrogen truck-Flexibility</v>
      </c>
      <c r="S468" t="str">
        <f t="shared" si="1264"/>
        <v>Hydrogen turbine (OC)-Flexibility</v>
      </c>
      <c r="T468">
        <f ca="1">VLOOKUP($P468,'TA database'!$I$8:$J$79,2,FALSE)</f>
        <v>1</v>
      </c>
      <c r="U468">
        <v>0</v>
      </c>
      <c r="V468">
        <v>0</v>
      </c>
      <c r="W468">
        <v>0</v>
      </c>
      <c r="X468">
        <v>0</v>
      </c>
      <c r="Y468">
        <f t="shared" ca="1" si="1269"/>
        <v>1</v>
      </c>
      <c r="Z468" t="str">
        <f t="shared" si="1265"/>
        <v>ELCTRLYZ_LRG_C   →   C_UNDRGRND_STRG   →   LQ_TRUCK   →   H2_OCGT_PWR</v>
      </c>
      <c r="AA468" t="str">
        <f t="shared" si="1266"/>
        <v>Grid electricity</v>
      </c>
      <c r="AB468" t="str">
        <f t="shared" si="1267"/>
        <v>Flexibility</v>
      </c>
      <c r="AC468">
        <f t="shared" ca="1" si="1268"/>
        <v>1</v>
      </c>
      <c r="AD468">
        <v>409</v>
      </c>
      <c r="AE468" t="str">
        <f>IF(AND(ISNUMBER(SEARCH(O468,4)),ISNUMBER(SEARCH('(4) FCH pathway assessment'!$B$16,AB468)),ISNUMBER(SEARCH('(4) FCH pathway assessment'!$B$10,AA468))),AD468,"")</f>
        <v/>
      </c>
      <c r="AF468" t="str">
        <f t="shared" si="1199"/>
        <v/>
      </c>
      <c r="AG468" t="str">
        <f>VLOOKUP(C468,Assumptions!$B$116:$C$162,2,FALSE)</f>
        <v>ELCTRLYZ_LRG_C</v>
      </c>
      <c r="AH468" t="str">
        <f>VLOOKUP(D468,Assumptions!$B$116:$C$162,2,FALSE)</f>
        <v>C_UNDRGRND_STRG</v>
      </c>
      <c r="AI468" t="str">
        <f>VLOOKUP(E468,Assumptions!$B$116:$C$162,2,FALSE)</f>
        <v>LQ_TRUCK</v>
      </c>
      <c r="AJ468" t="str">
        <f>VLOOKUP(F468,Assumptions!$B$116:$C$162,2,FALSE)</f>
        <v>H2_OCGT_PWR</v>
      </c>
    </row>
    <row r="469" spans="2:36" x14ac:dyDescent="0.25">
      <c r="B469" t="s">
        <v>112</v>
      </c>
      <c r="C469" t="s">
        <v>49</v>
      </c>
      <c r="D469" t="s">
        <v>62</v>
      </c>
      <c r="E469" t="s">
        <v>66</v>
      </c>
      <c r="F469" t="s">
        <v>162</v>
      </c>
      <c r="G469" t="s">
        <v>114</v>
      </c>
      <c r="H469" t="s">
        <v>433</v>
      </c>
      <c r="I469" t="s">
        <v>32</v>
      </c>
      <c r="J469" t="s">
        <v>80</v>
      </c>
      <c r="K469">
        <f t="shared" si="1256"/>
        <v>1</v>
      </c>
      <c r="L469">
        <f t="shared" si="1257"/>
        <v>0</v>
      </c>
      <c r="M469">
        <f t="shared" si="1258"/>
        <v>1</v>
      </c>
      <c r="N469">
        <f t="shared" si="1259"/>
        <v>0</v>
      </c>
      <c r="O469">
        <f t="shared" si="1260"/>
        <v>2</v>
      </c>
      <c r="P469" t="str">
        <f t="shared" si="1261"/>
        <v>Large centralized electrolysis-Flexibility</v>
      </c>
      <c r="Q469" t="str">
        <f t="shared" si="1262"/>
        <v>Underground storage-Flexibility</v>
      </c>
      <c r="R469" t="str">
        <f t="shared" si="1263"/>
        <v>Onsite-Flexibility</v>
      </c>
      <c r="S469" t="str">
        <f t="shared" si="1264"/>
        <v>Hydrogen turbine (OC)-Flexibility</v>
      </c>
      <c r="T469">
        <f ca="1">VLOOKUP($P469,'TA database'!$I$8:$J$79,2,FALSE)</f>
        <v>1</v>
      </c>
      <c r="U469">
        <v>0</v>
      </c>
      <c r="V469">
        <v>0</v>
      </c>
      <c r="W469">
        <v>0</v>
      </c>
      <c r="X469">
        <v>0</v>
      </c>
      <c r="Y469">
        <f t="shared" ca="1" si="1269"/>
        <v>1</v>
      </c>
      <c r="Z469" t="str">
        <f t="shared" si="1265"/>
        <v>ELCTRLYZ_LRG_C   →   C_UNDRGRND_STRG   →   ONSITE_USE   →   H2_OCGT_PWR</v>
      </c>
      <c r="AA469" t="str">
        <f t="shared" si="1266"/>
        <v>Grid electricity</v>
      </c>
      <c r="AB469" t="str">
        <f t="shared" si="1267"/>
        <v>Flexibility</v>
      </c>
      <c r="AC469">
        <f t="shared" ca="1" si="1268"/>
        <v>1</v>
      </c>
      <c r="AD469">
        <v>410</v>
      </c>
      <c r="AE469" t="str">
        <f>IF(AND(ISNUMBER(SEARCH(O469,4)),ISNUMBER(SEARCH('(4) FCH pathway assessment'!$B$16,AB469)),ISNUMBER(SEARCH('(4) FCH pathway assessment'!$B$10,AA469))),AD469,"")</f>
        <v/>
      </c>
      <c r="AF469" t="str">
        <f t="shared" si="1199"/>
        <v/>
      </c>
      <c r="AG469" t="str">
        <f>VLOOKUP(C469,Assumptions!$B$116:$C$162,2,FALSE)</f>
        <v>ELCTRLYZ_LRG_C</v>
      </c>
      <c r="AH469" t="str">
        <f>VLOOKUP(D469,Assumptions!$B$116:$C$162,2,FALSE)</f>
        <v>C_UNDRGRND_STRG</v>
      </c>
      <c r="AI469" t="str">
        <f>VLOOKUP(E469,Assumptions!$B$116:$C$162,2,FALSE)</f>
        <v>ONSITE_USE</v>
      </c>
      <c r="AJ469" t="str">
        <f>VLOOKUP(F469,Assumptions!$B$116:$C$162,2,FALSE)</f>
        <v>H2_OCGT_PWR</v>
      </c>
    </row>
    <row r="470" spans="2:36" x14ac:dyDescent="0.25">
      <c r="B470" t="s">
        <v>112</v>
      </c>
      <c r="C470" t="s">
        <v>49</v>
      </c>
      <c r="D470" t="s">
        <v>155</v>
      </c>
      <c r="E470" t="s">
        <v>157</v>
      </c>
      <c r="F470" t="s">
        <v>162</v>
      </c>
      <c r="G470" t="s">
        <v>114</v>
      </c>
      <c r="H470" t="s">
        <v>433</v>
      </c>
      <c r="I470" t="s">
        <v>32</v>
      </c>
      <c r="J470" t="s">
        <v>80</v>
      </c>
      <c r="K470">
        <f t="shared" si="1256"/>
        <v>1</v>
      </c>
      <c r="L470">
        <f t="shared" si="1257"/>
        <v>1</v>
      </c>
      <c r="M470">
        <f t="shared" si="1258"/>
        <v>0</v>
      </c>
      <c r="N470">
        <f t="shared" si="1259"/>
        <v>0</v>
      </c>
      <c r="O470">
        <f t="shared" si="1260"/>
        <v>2</v>
      </c>
      <c r="P470" t="str">
        <f t="shared" si="1261"/>
        <v>Large centralized electrolysis-Flexibility</v>
      </c>
      <c r="Q470" t="str">
        <f t="shared" si="1262"/>
        <v>Central gas storage-Flexibility</v>
      </c>
      <c r="R470" t="str">
        <f t="shared" si="1263"/>
        <v>Blending in natural gas pipeline-Flexibility</v>
      </c>
      <c r="S470" t="str">
        <f t="shared" si="1264"/>
        <v>Hydrogen turbine (OC)-Flexibility</v>
      </c>
      <c r="T470">
        <f ca="1">VLOOKUP($P470,'TA database'!$I$8:$J$79,2,FALSE)</f>
        <v>1</v>
      </c>
      <c r="U470">
        <v>0</v>
      </c>
      <c r="V470">
        <v>0</v>
      </c>
      <c r="W470">
        <v>0</v>
      </c>
      <c r="X470">
        <v>0</v>
      </c>
      <c r="Y470">
        <f t="shared" ca="1" si="1269"/>
        <v>1</v>
      </c>
      <c r="Z470" t="str">
        <f t="shared" si="1265"/>
        <v>ELCTRLYZ_LRG_C   →   C_GAS_STRG   →   H2_BLND_NG_P   →   H2_OCGT_PWR</v>
      </c>
      <c r="AA470" t="str">
        <f t="shared" si="1266"/>
        <v>Grid electricity</v>
      </c>
      <c r="AB470" t="str">
        <f t="shared" si="1267"/>
        <v>Flexibility</v>
      </c>
      <c r="AC470">
        <f t="shared" ca="1" si="1268"/>
        <v>1</v>
      </c>
      <c r="AD470">
        <v>411</v>
      </c>
      <c r="AE470" t="str">
        <f>IF(AND(ISNUMBER(SEARCH(O470,4)),ISNUMBER(SEARCH('(4) FCH pathway assessment'!$B$16,AB470)),ISNUMBER(SEARCH('(4) FCH pathway assessment'!$B$10,AA470))),AD470,"")</f>
        <v/>
      </c>
      <c r="AF470" t="str">
        <f t="shared" si="1199"/>
        <v/>
      </c>
      <c r="AG470" t="str">
        <f>VLOOKUP(C470,Assumptions!$B$116:$C$162,2,FALSE)</f>
        <v>ELCTRLYZ_LRG_C</v>
      </c>
      <c r="AH470" t="str">
        <f>VLOOKUP(D470,Assumptions!$B$116:$C$162,2,FALSE)</f>
        <v>C_GAS_STRG</v>
      </c>
      <c r="AI470" t="str">
        <f>VLOOKUP(E470,Assumptions!$B$116:$C$162,2,FALSE)</f>
        <v>H2_BLND_NG_P</v>
      </c>
      <c r="AJ470" t="str">
        <f>VLOOKUP(F470,Assumptions!$B$116:$C$162,2,FALSE)</f>
        <v>H2_OCGT_PWR</v>
      </c>
    </row>
    <row r="471" spans="2:36" x14ac:dyDescent="0.25">
      <c r="B471" t="s">
        <v>112</v>
      </c>
      <c r="C471" t="s">
        <v>49</v>
      </c>
      <c r="D471" t="s">
        <v>155</v>
      </c>
      <c r="E471" t="s">
        <v>122</v>
      </c>
      <c r="F471" t="s">
        <v>162</v>
      </c>
      <c r="G471" t="s">
        <v>114</v>
      </c>
      <c r="H471" t="s">
        <v>433</v>
      </c>
      <c r="I471" t="s">
        <v>32</v>
      </c>
      <c r="J471" t="s">
        <v>80</v>
      </c>
      <c r="K471">
        <f t="shared" si="1256"/>
        <v>1</v>
      </c>
      <c r="L471">
        <f t="shared" si="1257"/>
        <v>1</v>
      </c>
      <c r="M471">
        <f t="shared" si="1258"/>
        <v>1</v>
      </c>
      <c r="N471">
        <f t="shared" si="1259"/>
        <v>0</v>
      </c>
      <c r="O471">
        <f t="shared" si="1260"/>
        <v>3</v>
      </c>
      <c r="P471" t="str">
        <f t="shared" si="1261"/>
        <v>Large centralized electrolysis-Flexibility</v>
      </c>
      <c r="Q471" t="str">
        <f t="shared" si="1262"/>
        <v>Central gas storage-Flexibility</v>
      </c>
      <c r="R471" t="str">
        <f t="shared" si="1263"/>
        <v>Hydrogen transmission &amp; distribution pipeline-Flexibility</v>
      </c>
      <c r="S471" t="str">
        <f t="shared" si="1264"/>
        <v>Hydrogen turbine (OC)-Flexibility</v>
      </c>
      <c r="T471">
        <f ca="1">VLOOKUP($P471,'TA database'!$I$8:$J$79,2,FALSE)</f>
        <v>1</v>
      </c>
      <c r="U471">
        <v>0</v>
      </c>
      <c r="V471">
        <v>0</v>
      </c>
      <c r="W471">
        <v>0</v>
      </c>
      <c r="X471">
        <v>0</v>
      </c>
      <c r="Y471">
        <f t="shared" ca="1" si="1269"/>
        <v>1</v>
      </c>
      <c r="Z471" t="str">
        <f t="shared" si="1265"/>
        <v>ELCTRLYZ_LRG_C   →   C_GAS_STRG   →   H2_T&amp;D_P   →   H2_OCGT_PWR</v>
      </c>
      <c r="AA471" t="str">
        <f t="shared" si="1266"/>
        <v>Grid electricity</v>
      </c>
      <c r="AB471" t="str">
        <f t="shared" si="1267"/>
        <v>Flexibility</v>
      </c>
      <c r="AC471">
        <f t="shared" ca="1" si="1268"/>
        <v>1</v>
      </c>
      <c r="AD471">
        <v>412</v>
      </c>
      <c r="AE471" t="str">
        <f>IF(AND(ISNUMBER(SEARCH(O471,4)),ISNUMBER(SEARCH('(4) FCH pathway assessment'!$B$16,AB471)),ISNUMBER(SEARCH('(4) FCH pathway assessment'!$B$10,AA471))),AD471,"")</f>
        <v/>
      </c>
      <c r="AF471" t="str">
        <f t="shared" si="1199"/>
        <v/>
      </c>
      <c r="AG471" t="str">
        <f>VLOOKUP(C471,Assumptions!$B$116:$C$162,2,FALSE)</f>
        <v>ELCTRLYZ_LRG_C</v>
      </c>
      <c r="AH471" t="str">
        <f>VLOOKUP(D471,Assumptions!$B$116:$C$162,2,FALSE)</f>
        <v>C_GAS_STRG</v>
      </c>
      <c r="AI471" t="str">
        <f>VLOOKUP(E471,Assumptions!$B$116:$C$162,2,FALSE)</f>
        <v>H2_T&amp;D_P</v>
      </c>
      <c r="AJ471" t="str">
        <f>VLOOKUP(F471,Assumptions!$B$116:$C$162,2,FALSE)</f>
        <v>H2_OCGT_PWR</v>
      </c>
    </row>
    <row r="472" spans="2:36" x14ac:dyDescent="0.25">
      <c r="B472" t="s">
        <v>112</v>
      </c>
      <c r="C472" t="s">
        <v>49</v>
      </c>
      <c r="D472" t="s">
        <v>155</v>
      </c>
      <c r="E472" t="s">
        <v>116</v>
      </c>
      <c r="F472" t="s">
        <v>162</v>
      </c>
      <c r="G472" t="s">
        <v>114</v>
      </c>
      <c r="H472" t="s">
        <v>433</v>
      </c>
      <c r="I472" t="s">
        <v>32</v>
      </c>
      <c r="J472" t="s">
        <v>80</v>
      </c>
      <c r="K472">
        <f t="shared" si="1256"/>
        <v>1</v>
      </c>
      <c r="L472">
        <f t="shared" si="1257"/>
        <v>1</v>
      </c>
      <c r="M472">
        <f t="shared" si="1258"/>
        <v>1</v>
      </c>
      <c r="N472">
        <f t="shared" si="1259"/>
        <v>0</v>
      </c>
      <c r="O472">
        <f t="shared" si="1260"/>
        <v>3</v>
      </c>
      <c r="P472" t="str">
        <f t="shared" si="1261"/>
        <v>Large centralized electrolysis-Flexibility</v>
      </c>
      <c r="Q472" t="str">
        <f t="shared" si="1262"/>
        <v>Central gas storage-Flexibility</v>
      </c>
      <c r="R472" t="str">
        <f t="shared" si="1263"/>
        <v>Liquid hydrogen truck-Flexibility</v>
      </c>
      <c r="S472" t="str">
        <f t="shared" si="1264"/>
        <v>Hydrogen turbine (OC)-Flexibility</v>
      </c>
      <c r="T472">
        <f ca="1">VLOOKUP($P472,'TA database'!$I$8:$J$79,2,FALSE)</f>
        <v>1</v>
      </c>
      <c r="U472">
        <v>0</v>
      </c>
      <c r="V472">
        <v>0</v>
      </c>
      <c r="W472">
        <v>0</v>
      </c>
      <c r="X472">
        <v>0</v>
      </c>
      <c r="Y472">
        <f t="shared" ca="1" si="1269"/>
        <v>1</v>
      </c>
      <c r="Z472" t="str">
        <f t="shared" si="1265"/>
        <v>ELCTRLYZ_LRG_C   →   C_GAS_STRG   →   LQ_TRUCK   →   H2_OCGT_PWR</v>
      </c>
      <c r="AA472" t="str">
        <f t="shared" si="1266"/>
        <v>Grid electricity</v>
      </c>
      <c r="AB472" t="str">
        <f t="shared" si="1267"/>
        <v>Flexibility</v>
      </c>
      <c r="AC472">
        <f t="shared" ca="1" si="1268"/>
        <v>1</v>
      </c>
      <c r="AD472">
        <v>413</v>
      </c>
      <c r="AE472" t="str">
        <f>IF(AND(ISNUMBER(SEARCH(O472,4)),ISNUMBER(SEARCH('(4) FCH pathway assessment'!$B$16,AB472)),ISNUMBER(SEARCH('(4) FCH pathway assessment'!$B$10,AA472))),AD472,"")</f>
        <v/>
      </c>
      <c r="AF472" t="str">
        <f t="shared" si="1199"/>
        <v/>
      </c>
      <c r="AG472" t="str">
        <f>VLOOKUP(C472,Assumptions!$B$116:$C$162,2,FALSE)</f>
        <v>ELCTRLYZ_LRG_C</v>
      </c>
      <c r="AH472" t="str">
        <f>VLOOKUP(D472,Assumptions!$B$116:$C$162,2,FALSE)</f>
        <v>C_GAS_STRG</v>
      </c>
      <c r="AI472" t="str">
        <f>VLOOKUP(E472,Assumptions!$B$116:$C$162,2,FALSE)</f>
        <v>LQ_TRUCK</v>
      </c>
      <c r="AJ472" t="str">
        <f>VLOOKUP(F472,Assumptions!$B$116:$C$162,2,FALSE)</f>
        <v>H2_OCGT_PWR</v>
      </c>
    </row>
    <row r="473" spans="2:36" x14ac:dyDescent="0.25">
      <c r="B473" t="s">
        <v>112</v>
      </c>
      <c r="C473" t="s">
        <v>49</v>
      </c>
      <c r="D473" t="s">
        <v>155</v>
      </c>
      <c r="E473" t="s">
        <v>66</v>
      </c>
      <c r="F473" t="s">
        <v>162</v>
      </c>
      <c r="G473" t="s">
        <v>114</v>
      </c>
      <c r="H473" t="s">
        <v>433</v>
      </c>
      <c r="I473" t="s">
        <v>32</v>
      </c>
      <c r="J473" t="s">
        <v>80</v>
      </c>
      <c r="K473">
        <f t="shared" si="1256"/>
        <v>1</v>
      </c>
      <c r="L473">
        <f t="shared" si="1257"/>
        <v>1</v>
      </c>
      <c r="M473">
        <f t="shared" si="1258"/>
        <v>1</v>
      </c>
      <c r="N473">
        <f t="shared" si="1259"/>
        <v>0</v>
      </c>
      <c r="O473">
        <f t="shared" si="1260"/>
        <v>3</v>
      </c>
      <c r="P473" t="str">
        <f t="shared" si="1261"/>
        <v>Large centralized electrolysis-Flexibility</v>
      </c>
      <c r="Q473" t="str">
        <f t="shared" si="1262"/>
        <v>Central gas storage-Flexibility</v>
      </c>
      <c r="R473" t="str">
        <f t="shared" si="1263"/>
        <v>Onsite-Flexibility</v>
      </c>
      <c r="S473" t="str">
        <f t="shared" si="1264"/>
        <v>Hydrogen turbine (OC)-Flexibility</v>
      </c>
      <c r="T473">
        <f ca="1">VLOOKUP($P473,'TA database'!$I$8:$J$79,2,FALSE)</f>
        <v>1</v>
      </c>
      <c r="U473">
        <v>0</v>
      </c>
      <c r="V473">
        <v>0</v>
      </c>
      <c r="W473">
        <v>0</v>
      </c>
      <c r="X473">
        <v>0</v>
      </c>
      <c r="Y473">
        <f t="shared" ca="1" si="1269"/>
        <v>1</v>
      </c>
      <c r="Z473" t="str">
        <f t="shared" si="1265"/>
        <v>ELCTRLYZ_LRG_C   →   C_GAS_STRG   →   ONSITE_USE   →   H2_OCGT_PWR</v>
      </c>
      <c r="AA473" t="str">
        <f t="shared" si="1266"/>
        <v>Grid electricity</v>
      </c>
      <c r="AB473" t="str">
        <f t="shared" si="1267"/>
        <v>Flexibility</v>
      </c>
      <c r="AC473">
        <f t="shared" ca="1" si="1268"/>
        <v>1</v>
      </c>
      <c r="AD473">
        <v>414</v>
      </c>
      <c r="AE473" t="str">
        <f>IF(AND(ISNUMBER(SEARCH(O473,4)),ISNUMBER(SEARCH('(4) FCH pathway assessment'!$B$16,AB473)),ISNUMBER(SEARCH('(4) FCH pathway assessment'!$B$10,AA473))),AD473,"")</f>
        <v/>
      </c>
      <c r="AF473" t="str">
        <f t="shared" si="1199"/>
        <v/>
      </c>
      <c r="AG473" t="str">
        <f>VLOOKUP(C473,Assumptions!$B$116:$C$162,2,FALSE)</f>
        <v>ELCTRLYZ_LRG_C</v>
      </c>
      <c r="AH473" t="str">
        <f>VLOOKUP(D473,Assumptions!$B$116:$C$162,2,FALSE)</f>
        <v>C_GAS_STRG</v>
      </c>
      <c r="AI473" t="str">
        <f>VLOOKUP(E473,Assumptions!$B$116:$C$162,2,FALSE)</f>
        <v>ONSITE_USE</v>
      </c>
      <c r="AJ473" t="str">
        <f>VLOOKUP(F473,Assumptions!$B$116:$C$162,2,FALSE)</f>
        <v>H2_OCGT_PWR</v>
      </c>
    </row>
    <row r="474" spans="2:36" x14ac:dyDescent="0.25">
      <c r="B474" t="s">
        <v>112</v>
      </c>
      <c r="C474" t="s">
        <v>51</v>
      </c>
      <c r="D474" t="s">
        <v>155</v>
      </c>
      <c r="E474" t="s">
        <v>157</v>
      </c>
      <c r="F474" t="s">
        <v>162</v>
      </c>
      <c r="G474" t="s">
        <v>114</v>
      </c>
      <c r="H474" t="s">
        <v>433</v>
      </c>
      <c r="I474" t="s">
        <v>32</v>
      </c>
      <c r="J474" t="s">
        <v>80</v>
      </c>
      <c r="K474">
        <f t="shared" ref="K474:K477" si="1270">SUMPRODUCT(($C$7:$C$18=$C474)*($D$6:$H$6=$D474)*($D$7:$H$18))</f>
        <v>1</v>
      </c>
      <c r="L474">
        <f t="shared" ref="L474:L477" si="1271">SUMPRODUCT(($C$19:$C$23=$D474)*($I$6:$O$6=$E474)*($I$19:$O$23))</f>
        <v>1</v>
      </c>
      <c r="M474">
        <f t="shared" ref="M474:M477" si="1272">SUMPRODUCT(($C$24:$C$30=$E474)*($P$6:$AI$6=$F474)*($P$24:$AI$30))</f>
        <v>0</v>
      </c>
      <c r="N474">
        <f t="shared" ref="N474:N477" si="1273">SUMPRODUCT(($C$31:$C$50=$F474)*($AJ$6:$AM$6=$G474)*($AJ$31:$AM$50))</f>
        <v>0</v>
      </c>
      <c r="O474">
        <f t="shared" ref="O474:O477" si="1274">K474+L474+M474+N474</f>
        <v>2</v>
      </c>
      <c r="P474" t="str">
        <f t="shared" ref="P474:P477" si="1275">CONCATENATE(C474,"-",J474)</f>
        <v>Medium centralized electrolysis-Flexibility</v>
      </c>
      <c r="Q474" t="str">
        <f t="shared" ref="Q474:Q477" si="1276">CONCATENATE(D474,"-",J474)</f>
        <v>Central gas storage-Flexibility</v>
      </c>
      <c r="R474" t="str">
        <f t="shared" ref="R474:R477" si="1277">CONCATENATE(E474,"-",J474)</f>
        <v>Blending in natural gas pipeline-Flexibility</v>
      </c>
      <c r="S474" t="str">
        <f t="shared" ref="S474:S477" si="1278">CONCATENATE(F474,"-",J474)</f>
        <v>Hydrogen turbine (OC)-Flexibility</v>
      </c>
      <c r="T474">
        <f ca="1">VLOOKUP($P474,'TA database'!$I$8:$J$79,2,FALSE)</f>
        <v>1</v>
      </c>
      <c r="U474">
        <v>0</v>
      </c>
      <c r="V474">
        <v>0</v>
      </c>
      <c r="W474">
        <v>0</v>
      </c>
      <c r="X474">
        <v>0</v>
      </c>
      <c r="Y474">
        <f t="shared" ref="Y474:Y478" ca="1" si="1279">$T474</f>
        <v>1</v>
      </c>
      <c r="Z474" t="str">
        <f t="shared" ref="Z474:Z477" si="1280">CONCATENATE(AG474,"   →   ",AH474,"   →   ",AI474,"   →   ",AJ474)</f>
        <v>ELCTRLYZ_MED_C   →   C_GAS_STRG   →   H2_BLND_NG_P   →   H2_OCGT_PWR</v>
      </c>
      <c r="AA474" t="str">
        <f t="shared" ref="AA474:AA477" si="1281">G474</f>
        <v>Grid electricity</v>
      </c>
      <c r="AB474" t="str">
        <f t="shared" ref="AB474:AB477" si="1282">J474</f>
        <v>Flexibility</v>
      </c>
      <c r="AC474">
        <f t="shared" ref="AC474:AC477" ca="1" si="1283">Y474</f>
        <v>1</v>
      </c>
      <c r="AD474">
        <v>415</v>
      </c>
      <c r="AE474" t="str">
        <f>IF(AND(ISNUMBER(SEARCH(O474,4)),ISNUMBER(SEARCH('(4) FCH pathway assessment'!$B$16,AB474)),ISNUMBER(SEARCH('(4) FCH pathway assessment'!$B$10,AA474))),AD474,"")</f>
        <v/>
      </c>
      <c r="AF474" t="str">
        <f t="shared" si="1199"/>
        <v/>
      </c>
      <c r="AG474" t="str">
        <f>VLOOKUP(C474,Assumptions!$B$116:$C$162,2,FALSE)</f>
        <v>ELCTRLYZ_MED_C</v>
      </c>
      <c r="AH474" t="str">
        <f>VLOOKUP(D474,Assumptions!$B$116:$C$162,2,FALSE)</f>
        <v>C_GAS_STRG</v>
      </c>
      <c r="AI474" t="str">
        <f>VLOOKUP(E474,Assumptions!$B$116:$C$162,2,FALSE)</f>
        <v>H2_BLND_NG_P</v>
      </c>
      <c r="AJ474" t="str">
        <f>VLOOKUP(F474,Assumptions!$B$116:$C$162,2,FALSE)</f>
        <v>H2_OCGT_PWR</v>
      </c>
    </row>
    <row r="475" spans="2:36" x14ac:dyDescent="0.25">
      <c r="B475" t="s">
        <v>112</v>
      </c>
      <c r="C475" t="s">
        <v>51</v>
      </c>
      <c r="D475" t="s">
        <v>155</v>
      </c>
      <c r="E475" t="s">
        <v>122</v>
      </c>
      <c r="F475" t="s">
        <v>162</v>
      </c>
      <c r="G475" t="s">
        <v>114</v>
      </c>
      <c r="H475" t="s">
        <v>433</v>
      </c>
      <c r="I475" t="s">
        <v>32</v>
      </c>
      <c r="J475" t="s">
        <v>80</v>
      </c>
      <c r="K475">
        <f t="shared" si="1270"/>
        <v>1</v>
      </c>
      <c r="L475">
        <f t="shared" si="1271"/>
        <v>1</v>
      </c>
      <c r="M475">
        <f t="shared" si="1272"/>
        <v>1</v>
      </c>
      <c r="N475">
        <f t="shared" si="1273"/>
        <v>0</v>
      </c>
      <c r="O475">
        <f t="shared" si="1274"/>
        <v>3</v>
      </c>
      <c r="P475" t="str">
        <f t="shared" si="1275"/>
        <v>Medium centralized electrolysis-Flexibility</v>
      </c>
      <c r="Q475" t="str">
        <f t="shared" si="1276"/>
        <v>Central gas storage-Flexibility</v>
      </c>
      <c r="R475" t="str">
        <f t="shared" si="1277"/>
        <v>Hydrogen transmission &amp; distribution pipeline-Flexibility</v>
      </c>
      <c r="S475" t="str">
        <f t="shared" si="1278"/>
        <v>Hydrogen turbine (OC)-Flexibility</v>
      </c>
      <c r="T475">
        <f ca="1">VLOOKUP($P475,'TA database'!$I$8:$J$79,2,FALSE)</f>
        <v>1</v>
      </c>
      <c r="U475">
        <v>0</v>
      </c>
      <c r="V475">
        <v>0</v>
      </c>
      <c r="W475">
        <v>0</v>
      </c>
      <c r="X475">
        <v>0</v>
      </c>
      <c r="Y475">
        <f t="shared" ca="1" si="1279"/>
        <v>1</v>
      </c>
      <c r="Z475" t="str">
        <f t="shared" si="1280"/>
        <v>ELCTRLYZ_MED_C   →   C_GAS_STRG   →   H2_T&amp;D_P   →   H2_OCGT_PWR</v>
      </c>
      <c r="AA475" t="str">
        <f t="shared" si="1281"/>
        <v>Grid electricity</v>
      </c>
      <c r="AB475" t="str">
        <f t="shared" si="1282"/>
        <v>Flexibility</v>
      </c>
      <c r="AC475">
        <f t="shared" ca="1" si="1283"/>
        <v>1</v>
      </c>
      <c r="AD475">
        <v>416</v>
      </c>
      <c r="AE475" t="str">
        <f>IF(AND(ISNUMBER(SEARCH(O475,4)),ISNUMBER(SEARCH('(4) FCH pathway assessment'!$B$16,AB475)),ISNUMBER(SEARCH('(4) FCH pathway assessment'!$B$10,AA475))),AD475,"")</f>
        <v/>
      </c>
      <c r="AF475" t="str">
        <f t="shared" si="1199"/>
        <v/>
      </c>
      <c r="AG475" t="str">
        <f>VLOOKUP(C475,Assumptions!$B$116:$C$162,2,FALSE)</f>
        <v>ELCTRLYZ_MED_C</v>
      </c>
      <c r="AH475" t="str">
        <f>VLOOKUP(D475,Assumptions!$B$116:$C$162,2,FALSE)</f>
        <v>C_GAS_STRG</v>
      </c>
      <c r="AI475" t="str">
        <f>VLOOKUP(E475,Assumptions!$B$116:$C$162,2,FALSE)</f>
        <v>H2_T&amp;D_P</v>
      </c>
      <c r="AJ475" t="str">
        <f>VLOOKUP(F475,Assumptions!$B$116:$C$162,2,FALSE)</f>
        <v>H2_OCGT_PWR</v>
      </c>
    </row>
    <row r="476" spans="2:36" x14ac:dyDescent="0.25">
      <c r="B476" t="s">
        <v>112</v>
      </c>
      <c r="C476" t="s">
        <v>51</v>
      </c>
      <c r="D476" t="s">
        <v>155</v>
      </c>
      <c r="E476" t="s">
        <v>116</v>
      </c>
      <c r="F476" t="s">
        <v>162</v>
      </c>
      <c r="G476" t="s">
        <v>114</v>
      </c>
      <c r="H476" t="s">
        <v>433</v>
      </c>
      <c r="I476" t="s">
        <v>32</v>
      </c>
      <c r="J476" t="s">
        <v>80</v>
      </c>
      <c r="K476">
        <f t="shared" si="1270"/>
        <v>1</v>
      </c>
      <c r="L476">
        <f t="shared" si="1271"/>
        <v>1</v>
      </c>
      <c r="M476">
        <f t="shared" si="1272"/>
        <v>1</v>
      </c>
      <c r="N476">
        <f t="shared" si="1273"/>
        <v>0</v>
      </c>
      <c r="O476">
        <f t="shared" si="1274"/>
        <v>3</v>
      </c>
      <c r="P476" t="str">
        <f t="shared" si="1275"/>
        <v>Medium centralized electrolysis-Flexibility</v>
      </c>
      <c r="Q476" t="str">
        <f t="shared" si="1276"/>
        <v>Central gas storage-Flexibility</v>
      </c>
      <c r="R476" t="str">
        <f t="shared" si="1277"/>
        <v>Liquid hydrogen truck-Flexibility</v>
      </c>
      <c r="S476" t="str">
        <f t="shared" si="1278"/>
        <v>Hydrogen turbine (OC)-Flexibility</v>
      </c>
      <c r="T476">
        <f ca="1">VLOOKUP($P476,'TA database'!$I$8:$J$79,2,FALSE)</f>
        <v>1</v>
      </c>
      <c r="U476">
        <v>0</v>
      </c>
      <c r="V476">
        <v>0</v>
      </c>
      <c r="W476">
        <v>0</v>
      </c>
      <c r="X476">
        <v>0</v>
      </c>
      <c r="Y476">
        <f t="shared" ca="1" si="1279"/>
        <v>1</v>
      </c>
      <c r="Z476" t="str">
        <f t="shared" si="1280"/>
        <v>ELCTRLYZ_MED_C   →   C_GAS_STRG   →   LQ_TRUCK   →   H2_OCGT_PWR</v>
      </c>
      <c r="AA476" t="str">
        <f t="shared" si="1281"/>
        <v>Grid electricity</v>
      </c>
      <c r="AB476" t="str">
        <f t="shared" si="1282"/>
        <v>Flexibility</v>
      </c>
      <c r="AC476">
        <f t="shared" ca="1" si="1283"/>
        <v>1</v>
      </c>
      <c r="AD476">
        <v>417</v>
      </c>
      <c r="AE476" t="str">
        <f>IF(AND(ISNUMBER(SEARCH(O476,4)),ISNUMBER(SEARCH('(4) FCH pathway assessment'!$B$16,AB476)),ISNUMBER(SEARCH('(4) FCH pathway assessment'!$B$10,AA476))),AD476,"")</f>
        <v/>
      </c>
      <c r="AF476" t="str">
        <f t="shared" si="1199"/>
        <v/>
      </c>
      <c r="AG476" t="str">
        <f>VLOOKUP(C476,Assumptions!$B$116:$C$162,2,FALSE)</f>
        <v>ELCTRLYZ_MED_C</v>
      </c>
      <c r="AH476" t="str">
        <f>VLOOKUP(D476,Assumptions!$B$116:$C$162,2,FALSE)</f>
        <v>C_GAS_STRG</v>
      </c>
      <c r="AI476" t="str">
        <f>VLOOKUP(E476,Assumptions!$B$116:$C$162,2,FALSE)</f>
        <v>LQ_TRUCK</v>
      </c>
      <c r="AJ476" t="str">
        <f>VLOOKUP(F476,Assumptions!$B$116:$C$162,2,FALSE)</f>
        <v>H2_OCGT_PWR</v>
      </c>
    </row>
    <row r="477" spans="2:36" x14ac:dyDescent="0.25">
      <c r="B477" t="s">
        <v>112</v>
      </c>
      <c r="C477" t="s">
        <v>51</v>
      </c>
      <c r="D477" t="s">
        <v>155</v>
      </c>
      <c r="E477" t="s">
        <v>66</v>
      </c>
      <c r="F477" t="s">
        <v>162</v>
      </c>
      <c r="G477" t="s">
        <v>114</v>
      </c>
      <c r="H477" t="s">
        <v>433</v>
      </c>
      <c r="I477" t="s">
        <v>32</v>
      </c>
      <c r="J477" t="s">
        <v>80</v>
      </c>
      <c r="K477">
        <f t="shared" si="1270"/>
        <v>1</v>
      </c>
      <c r="L477">
        <f t="shared" si="1271"/>
        <v>1</v>
      </c>
      <c r="M477">
        <f t="shared" si="1272"/>
        <v>1</v>
      </c>
      <c r="N477">
        <f t="shared" si="1273"/>
        <v>0</v>
      </c>
      <c r="O477">
        <f t="shared" si="1274"/>
        <v>3</v>
      </c>
      <c r="P477" t="str">
        <f t="shared" si="1275"/>
        <v>Medium centralized electrolysis-Flexibility</v>
      </c>
      <c r="Q477" t="str">
        <f t="shared" si="1276"/>
        <v>Central gas storage-Flexibility</v>
      </c>
      <c r="R477" t="str">
        <f t="shared" si="1277"/>
        <v>Onsite-Flexibility</v>
      </c>
      <c r="S477" t="str">
        <f t="shared" si="1278"/>
        <v>Hydrogen turbine (OC)-Flexibility</v>
      </c>
      <c r="T477">
        <f ca="1">VLOOKUP($P477,'TA database'!$I$8:$J$79,2,FALSE)</f>
        <v>1</v>
      </c>
      <c r="U477">
        <v>0</v>
      </c>
      <c r="V477">
        <v>0</v>
      </c>
      <c r="W477">
        <v>0</v>
      </c>
      <c r="X477">
        <v>0</v>
      </c>
      <c r="Y477">
        <f t="shared" ca="1" si="1279"/>
        <v>1</v>
      </c>
      <c r="Z477" t="str">
        <f t="shared" si="1280"/>
        <v>ELCTRLYZ_MED_C   →   C_GAS_STRG   →   ONSITE_USE   →   H2_OCGT_PWR</v>
      </c>
      <c r="AA477" t="str">
        <f t="shared" si="1281"/>
        <v>Grid electricity</v>
      </c>
      <c r="AB477" t="str">
        <f t="shared" si="1282"/>
        <v>Flexibility</v>
      </c>
      <c r="AC477">
        <f t="shared" ca="1" si="1283"/>
        <v>1</v>
      </c>
      <c r="AD477">
        <v>418</v>
      </c>
      <c r="AE477" t="str">
        <f>IF(AND(ISNUMBER(SEARCH(O477,4)),ISNUMBER(SEARCH('(4) FCH pathway assessment'!$B$16,AB477)),ISNUMBER(SEARCH('(4) FCH pathway assessment'!$B$10,AA477))),AD477,"")</f>
        <v/>
      </c>
      <c r="AF477" t="str">
        <f t="shared" si="1199"/>
        <v/>
      </c>
      <c r="AG477" t="str">
        <f>VLOOKUP(C477,Assumptions!$B$116:$C$162,2,FALSE)</f>
        <v>ELCTRLYZ_MED_C</v>
      </c>
      <c r="AH477" t="str">
        <f>VLOOKUP(D477,Assumptions!$B$116:$C$162,2,FALSE)</f>
        <v>C_GAS_STRG</v>
      </c>
      <c r="AI477" t="str">
        <f>VLOOKUP(E477,Assumptions!$B$116:$C$162,2,FALSE)</f>
        <v>ONSITE_USE</v>
      </c>
      <c r="AJ477" t="str">
        <f>VLOOKUP(F477,Assumptions!$B$116:$C$162,2,FALSE)</f>
        <v>H2_OCGT_PWR</v>
      </c>
    </row>
    <row r="478" spans="2:36" x14ac:dyDescent="0.25">
      <c r="B478" t="s">
        <v>112</v>
      </c>
      <c r="C478" t="s">
        <v>52</v>
      </c>
      <c r="D478" s="60" t="s">
        <v>130</v>
      </c>
      <c r="E478" t="s">
        <v>66</v>
      </c>
      <c r="F478" t="s">
        <v>162</v>
      </c>
      <c r="G478" t="s">
        <v>114</v>
      </c>
      <c r="H478" t="s">
        <v>433</v>
      </c>
      <c r="I478" t="s">
        <v>32</v>
      </c>
      <c r="J478" t="s">
        <v>80</v>
      </c>
      <c r="K478">
        <f t="shared" ref="K478:K483" si="1284">SUMPRODUCT(($C$7:$C$18=$C478)*($D$6:$H$6=$D478)*($D$7:$H$18))</f>
        <v>1</v>
      </c>
      <c r="L478">
        <f t="shared" ref="L478:L483" si="1285">SUMPRODUCT(($C$19:$C$23=$D478)*($I$6:$O$6=$E478)*($I$19:$O$23))</f>
        <v>1</v>
      </c>
      <c r="M478">
        <f t="shared" ref="M478:M483" si="1286">SUMPRODUCT(($C$24:$C$30=$E478)*($P$6:$AI$6=$F478)*($P$24:$AI$30))</f>
        <v>1</v>
      </c>
      <c r="N478">
        <f t="shared" ref="N478:N483" si="1287">SUMPRODUCT(($C$31:$C$50=$F478)*($AJ$6:$AM$6=$G478)*($AJ$31:$AM$50))</f>
        <v>0</v>
      </c>
      <c r="O478">
        <f t="shared" ref="O478:O483" si="1288">K478+L478+M478+N478</f>
        <v>3</v>
      </c>
      <c r="P478" t="str">
        <f t="shared" ref="P478:P483" si="1289">CONCATENATE(C478,"-",J478)</f>
        <v>Small decentralized electrolysis-Flexibility</v>
      </c>
      <c r="Q478" t="str">
        <f t="shared" ref="Q478:Q483" si="1290">CONCATENATE(D478,"-",J478)</f>
        <v>Distributed gas storage-Flexibility</v>
      </c>
      <c r="R478" t="str">
        <f t="shared" ref="R478:R483" si="1291">CONCATENATE(E478,"-",J478)</f>
        <v>Onsite-Flexibility</v>
      </c>
      <c r="S478" t="str">
        <f t="shared" ref="S478:S483" si="1292">CONCATENATE(F478,"-",J478)</f>
        <v>Hydrogen turbine (OC)-Flexibility</v>
      </c>
      <c r="T478">
        <f ca="1">VLOOKUP($P478,'TA database'!$I$8:$J$79,2,FALSE)</f>
        <v>0.14583333333333334</v>
      </c>
      <c r="U478">
        <v>0</v>
      </c>
      <c r="V478">
        <v>0</v>
      </c>
      <c r="W478">
        <v>0</v>
      </c>
      <c r="X478">
        <v>0</v>
      </c>
      <c r="Y478">
        <f t="shared" ca="1" si="1279"/>
        <v>0.14583333333333334</v>
      </c>
      <c r="Z478" t="str">
        <f t="shared" ref="Z478:Z483" si="1293">CONCATENATE(AG478,"   →   ",AH478,"   →   ",AI478,"   →   ",AJ478)</f>
        <v>ELCTRLYZ_SML_D   →   D_GAS_STRG   →   ONSITE_USE   →   H2_OCGT_PWR</v>
      </c>
      <c r="AA478" t="str">
        <f t="shared" ref="AA478:AA483" si="1294">G478</f>
        <v>Grid electricity</v>
      </c>
      <c r="AB478" t="str">
        <f t="shared" ref="AB478:AB483" si="1295">J478</f>
        <v>Flexibility</v>
      </c>
      <c r="AC478">
        <f t="shared" ref="AC478:AC483" ca="1" si="1296">Y478</f>
        <v>0.14583333333333334</v>
      </c>
      <c r="AD478">
        <v>419</v>
      </c>
      <c r="AE478" t="str">
        <f>IF(AND(ISNUMBER(SEARCH(O478,4)),ISNUMBER(SEARCH('(4) FCH pathway assessment'!$B$16,AB478)),ISNUMBER(SEARCH('(4) FCH pathway assessment'!$B$10,AA478))),AD478,"")</f>
        <v/>
      </c>
      <c r="AF478" t="str">
        <f t="shared" si="1199"/>
        <v/>
      </c>
      <c r="AG478" t="str">
        <f>VLOOKUP(C478,Assumptions!$B$116:$C$162,2,FALSE)</f>
        <v>ELCTRLYZ_SML_D</v>
      </c>
      <c r="AH478" t="str">
        <f>VLOOKUP(D478,Assumptions!$B$116:$C$162,2,FALSE)</f>
        <v>D_GAS_STRG</v>
      </c>
      <c r="AI478" t="str">
        <f>VLOOKUP(E478,Assumptions!$B$116:$C$162,2,FALSE)</f>
        <v>ONSITE_USE</v>
      </c>
      <c r="AJ478" t="str">
        <f>VLOOKUP(F478,Assumptions!$B$116:$C$162,2,FALSE)</f>
        <v>H2_OCGT_PWR</v>
      </c>
    </row>
    <row r="479" spans="2:36" x14ac:dyDescent="0.25">
      <c r="B479" t="s">
        <v>127</v>
      </c>
      <c r="C479" t="s">
        <v>57</v>
      </c>
      <c r="D479" t="s">
        <v>62</v>
      </c>
      <c r="E479" t="s">
        <v>157</v>
      </c>
      <c r="F479" t="s">
        <v>162</v>
      </c>
      <c r="G479" t="s">
        <v>114</v>
      </c>
      <c r="H479" t="s">
        <v>433</v>
      </c>
      <c r="I479" t="s">
        <v>32</v>
      </c>
      <c r="J479" t="s">
        <v>80</v>
      </c>
      <c r="K479">
        <f t="shared" si="1284"/>
        <v>1</v>
      </c>
      <c r="L479">
        <f t="shared" si="1285"/>
        <v>0</v>
      </c>
      <c r="M479">
        <f t="shared" si="1286"/>
        <v>0</v>
      </c>
      <c r="N479">
        <f t="shared" si="1287"/>
        <v>0</v>
      </c>
      <c r="O479">
        <f t="shared" si="1288"/>
        <v>1</v>
      </c>
      <c r="P479" t="str">
        <f t="shared" si="1289"/>
        <v>Large centralized natural gas steam reforming-Flexibility</v>
      </c>
      <c r="Q479" t="str">
        <f t="shared" si="1290"/>
        <v>Underground storage-Flexibility</v>
      </c>
      <c r="R479" t="str">
        <f t="shared" si="1291"/>
        <v>Blending in natural gas pipeline-Flexibility</v>
      </c>
      <c r="S479" t="str">
        <f t="shared" si="1292"/>
        <v>Hydrogen turbine (OC)-Flexibility</v>
      </c>
      <c r="T479">
        <f ca="1">VLOOKUP($P479,'TA database'!$I$8:$J$79,2,FALSE)</f>
        <v>0</v>
      </c>
      <c r="U479">
        <v>0</v>
      </c>
      <c r="V479">
        <v>0</v>
      </c>
      <c r="W479">
        <v>0</v>
      </c>
      <c r="X479">
        <v>0</v>
      </c>
      <c r="Y479">
        <f t="shared" ref="Y479:Y487" ca="1" si="1297">$T479</f>
        <v>0</v>
      </c>
      <c r="Z479" t="str">
        <f t="shared" si="1293"/>
        <v>NG_SR_LRG_C   →   C_UNDRGRND_STRG   →   H2_BLND_NG_P   →   H2_OCGT_PWR</v>
      </c>
      <c r="AA479" t="str">
        <f t="shared" si="1294"/>
        <v>Grid electricity</v>
      </c>
      <c r="AB479" t="str">
        <f t="shared" si="1295"/>
        <v>Flexibility</v>
      </c>
      <c r="AC479">
        <f t="shared" ca="1" si="1296"/>
        <v>0</v>
      </c>
      <c r="AD479">
        <v>420</v>
      </c>
      <c r="AE479" t="str">
        <f>IF(AND(ISNUMBER(SEARCH(O479,4)),ISNUMBER(SEARCH('(4) FCH pathway assessment'!$B$16,AB479)),ISNUMBER(SEARCH('(4) FCH pathway assessment'!$B$10,AA479))),AD479,"")</f>
        <v/>
      </c>
      <c r="AF479" t="str">
        <f t="shared" si="1199"/>
        <v/>
      </c>
      <c r="AG479" t="str">
        <f>VLOOKUP(C479,Assumptions!$B$116:$C$162,2,FALSE)</f>
        <v>NG_SR_LRG_C</v>
      </c>
      <c r="AH479" t="str">
        <f>VLOOKUP(D479,Assumptions!$B$116:$C$162,2,FALSE)</f>
        <v>C_UNDRGRND_STRG</v>
      </c>
      <c r="AI479" t="str">
        <f>VLOOKUP(E479,Assumptions!$B$116:$C$162,2,FALSE)</f>
        <v>H2_BLND_NG_P</v>
      </c>
      <c r="AJ479" t="str">
        <f>VLOOKUP(F479,Assumptions!$B$116:$C$162,2,FALSE)</f>
        <v>H2_OCGT_PWR</v>
      </c>
    </row>
    <row r="480" spans="2:36" x14ac:dyDescent="0.25">
      <c r="B480" t="s">
        <v>127</v>
      </c>
      <c r="C480" t="s">
        <v>57</v>
      </c>
      <c r="D480" t="s">
        <v>62</v>
      </c>
      <c r="E480" t="s">
        <v>122</v>
      </c>
      <c r="F480" t="s">
        <v>162</v>
      </c>
      <c r="G480" t="s">
        <v>114</v>
      </c>
      <c r="H480" t="s">
        <v>433</v>
      </c>
      <c r="I480" t="s">
        <v>32</v>
      </c>
      <c r="J480" t="s">
        <v>80</v>
      </c>
      <c r="K480">
        <f t="shared" si="1284"/>
        <v>1</v>
      </c>
      <c r="L480">
        <f t="shared" si="1285"/>
        <v>0</v>
      </c>
      <c r="M480">
        <f t="shared" si="1286"/>
        <v>1</v>
      </c>
      <c r="N480">
        <f t="shared" si="1287"/>
        <v>0</v>
      </c>
      <c r="O480">
        <f t="shared" si="1288"/>
        <v>2</v>
      </c>
      <c r="P480" t="str">
        <f t="shared" si="1289"/>
        <v>Large centralized natural gas steam reforming-Flexibility</v>
      </c>
      <c r="Q480" t="str">
        <f t="shared" si="1290"/>
        <v>Underground storage-Flexibility</v>
      </c>
      <c r="R480" t="str">
        <f t="shared" si="1291"/>
        <v>Hydrogen transmission &amp; distribution pipeline-Flexibility</v>
      </c>
      <c r="S480" t="str">
        <f t="shared" si="1292"/>
        <v>Hydrogen turbine (OC)-Flexibility</v>
      </c>
      <c r="T480">
        <f ca="1">VLOOKUP($P480,'TA database'!$I$8:$J$79,2,FALSE)</f>
        <v>0</v>
      </c>
      <c r="U480">
        <v>0</v>
      </c>
      <c r="V480">
        <v>0</v>
      </c>
      <c r="W480">
        <v>0</v>
      </c>
      <c r="X480">
        <v>0</v>
      </c>
      <c r="Y480">
        <f t="shared" ca="1" si="1297"/>
        <v>0</v>
      </c>
      <c r="Z480" t="str">
        <f t="shared" si="1293"/>
        <v>NG_SR_LRG_C   →   C_UNDRGRND_STRG   →   H2_T&amp;D_P   →   H2_OCGT_PWR</v>
      </c>
      <c r="AA480" t="str">
        <f t="shared" si="1294"/>
        <v>Grid electricity</v>
      </c>
      <c r="AB480" t="str">
        <f t="shared" si="1295"/>
        <v>Flexibility</v>
      </c>
      <c r="AC480">
        <f t="shared" ca="1" si="1296"/>
        <v>0</v>
      </c>
      <c r="AD480">
        <v>421</v>
      </c>
      <c r="AE480" t="str">
        <f>IF(AND(ISNUMBER(SEARCH(O480,4)),ISNUMBER(SEARCH('(4) FCH pathway assessment'!$B$16,AB480)),ISNUMBER(SEARCH('(4) FCH pathway assessment'!$B$10,AA480))),AD480,"")</f>
        <v/>
      </c>
      <c r="AF480" t="str">
        <f t="shared" si="1199"/>
        <v/>
      </c>
      <c r="AG480" t="str">
        <f>VLOOKUP(C480,Assumptions!$B$116:$C$162,2,FALSE)</f>
        <v>NG_SR_LRG_C</v>
      </c>
      <c r="AH480" t="str">
        <f>VLOOKUP(D480,Assumptions!$B$116:$C$162,2,FALSE)</f>
        <v>C_UNDRGRND_STRG</v>
      </c>
      <c r="AI480" t="str">
        <f>VLOOKUP(E480,Assumptions!$B$116:$C$162,2,FALSE)</f>
        <v>H2_T&amp;D_P</v>
      </c>
      <c r="AJ480" t="str">
        <f>VLOOKUP(F480,Assumptions!$B$116:$C$162,2,FALSE)</f>
        <v>H2_OCGT_PWR</v>
      </c>
    </row>
    <row r="481" spans="2:36" x14ac:dyDescent="0.25">
      <c r="B481" t="s">
        <v>127</v>
      </c>
      <c r="C481" t="s">
        <v>57</v>
      </c>
      <c r="D481" t="s">
        <v>62</v>
      </c>
      <c r="E481" t="s">
        <v>116</v>
      </c>
      <c r="F481" t="s">
        <v>162</v>
      </c>
      <c r="G481" t="s">
        <v>114</v>
      </c>
      <c r="H481" t="s">
        <v>433</v>
      </c>
      <c r="I481" t="s">
        <v>32</v>
      </c>
      <c r="J481" t="s">
        <v>80</v>
      </c>
      <c r="K481">
        <f t="shared" si="1284"/>
        <v>1</v>
      </c>
      <c r="L481">
        <f t="shared" si="1285"/>
        <v>0</v>
      </c>
      <c r="M481">
        <f t="shared" si="1286"/>
        <v>1</v>
      </c>
      <c r="N481">
        <f t="shared" si="1287"/>
        <v>0</v>
      </c>
      <c r="O481">
        <f t="shared" si="1288"/>
        <v>2</v>
      </c>
      <c r="P481" t="str">
        <f t="shared" si="1289"/>
        <v>Large centralized natural gas steam reforming-Flexibility</v>
      </c>
      <c r="Q481" t="str">
        <f t="shared" si="1290"/>
        <v>Underground storage-Flexibility</v>
      </c>
      <c r="R481" t="str">
        <f t="shared" si="1291"/>
        <v>Liquid hydrogen truck-Flexibility</v>
      </c>
      <c r="S481" t="str">
        <f t="shared" si="1292"/>
        <v>Hydrogen turbine (OC)-Flexibility</v>
      </c>
      <c r="T481">
        <f ca="1">VLOOKUP($P481,'TA database'!$I$8:$J$79,2,FALSE)</f>
        <v>0</v>
      </c>
      <c r="U481">
        <v>0</v>
      </c>
      <c r="V481">
        <v>0</v>
      </c>
      <c r="W481">
        <v>0</v>
      </c>
      <c r="X481">
        <v>0</v>
      </c>
      <c r="Y481">
        <f t="shared" ca="1" si="1297"/>
        <v>0</v>
      </c>
      <c r="Z481" t="str">
        <f t="shared" si="1293"/>
        <v>NG_SR_LRG_C   →   C_UNDRGRND_STRG   →   LQ_TRUCK   →   H2_OCGT_PWR</v>
      </c>
      <c r="AA481" t="str">
        <f t="shared" si="1294"/>
        <v>Grid electricity</v>
      </c>
      <c r="AB481" t="str">
        <f t="shared" si="1295"/>
        <v>Flexibility</v>
      </c>
      <c r="AC481">
        <f t="shared" ca="1" si="1296"/>
        <v>0</v>
      </c>
      <c r="AD481">
        <v>422</v>
      </c>
      <c r="AE481" t="str">
        <f>IF(AND(ISNUMBER(SEARCH(O481,4)),ISNUMBER(SEARCH('(4) FCH pathway assessment'!$B$16,AB481)),ISNUMBER(SEARCH('(4) FCH pathway assessment'!$B$10,AA481))),AD481,"")</f>
        <v/>
      </c>
      <c r="AF481" t="str">
        <f t="shared" si="1199"/>
        <v/>
      </c>
      <c r="AG481" t="str">
        <f>VLOOKUP(C481,Assumptions!$B$116:$C$162,2,FALSE)</f>
        <v>NG_SR_LRG_C</v>
      </c>
      <c r="AH481" t="str">
        <f>VLOOKUP(D481,Assumptions!$B$116:$C$162,2,FALSE)</f>
        <v>C_UNDRGRND_STRG</v>
      </c>
      <c r="AI481" t="str">
        <f>VLOOKUP(E481,Assumptions!$B$116:$C$162,2,FALSE)</f>
        <v>LQ_TRUCK</v>
      </c>
      <c r="AJ481" t="str">
        <f>VLOOKUP(F481,Assumptions!$B$116:$C$162,2,FALSE)</f>
        <v>H2_OCGT_PWR</v>
      </c>
    </row>
    <row r="482" spans="2:36" x14ac:dyDescent="0.25">
      <c r="B482" t="s">
        <v>127</v>
      </c>
      <c r="C482" t="s">
        <v>57</v>
      </c>
      <c r="D482" t="s">
        <v>62</v>
      </c>
      <c r="E482" t="s">
        <v>66</v>
      </c>
      <c r="F482" t="s">
        <v>162</v>
      </c>
      <c r="G482" t="s">
        <v>114</v>
      </c>
      <c r="H482" t="s">
        <v>433</v>
      </c>
      <c r="I482" t="s">
        <v>32</v>
      </c>
      <c r="J482" t="s">
        <v>80</v>
      </c>
      <c r="K482">
        <f t="shared" si="1284"/>
        <v>1</v>
      </c>
      <c r="L482">
        <f t="shared" si="1285"/>
        <v>0</v>
      </c>
      <c r="M482">
        <f t="shared" si="1286"/>
        <v>1</v>
      </c>
      <c r="N482">
        <f t="shared" si="1287"/>
        <v>0</v>
      </c>
      <c r="O482">
        <f t="shared" si="1288"/>
        <v>2</v>
      </c>
      <c r="P482" t="str">
        <f t="shared" si="1289"/>
        <v>Large centralized natural gas steam reforming-Flexibility</v>
      </c>
      <c r="Q482" t="str">
        <f t="shared" si="1290"/>
        <v>Underground storage-Flexibility</v>
      </c>
      <c r="R482" t="str">
        <f t="shared" si="1291"/>
        <v>Onsite-Flexibility</v>
      </c>
      <c r="S482" t="str">
        <f t="shared" si="1292"/>
        <v>Hydrogen turbine (OC)-Flexibility</v>
      </c>
      <c r="T482">
        <f ca="1">VLOOKUP($P482,'TA database'!$I$8:$J$79,2,FALSE)</f>
        <v>0</v>
      </c>
      <c r="U482">
        <v>0</v>
      </c>
      <c r="V482">
        <v>0</v>
      </c>
      <c r="W482">
        <v>0</v>
      </c>
      <c r="X482">
        <v>0</v>
      </c>
      <c r="Y482">
        <f t="shared" ca="1" si="1297"/>
        <v>0</v>
      </c>
      <c r="Z482" t="str">
        <f t="shared" si="1293"/>
        <v>NG_SR_LRG_C   →   C_UNDRGRND_STRG   →   ONSITE_USE   →   H2_OCGT_PWR</v>
      </c>
      <c r="AA482" t="str">
        <f t="shared" si="1294"/>
        <v>Grid electricity</v>
      </c>
      <c r="AB482" t="str">
        <f t="shared" si="1295"/>
        <v>Flexibility</v>
      </c>
      <c r="AC482">
        <f t="shared" ca="1" si="1296"/>
        <v>0</v>
      </c>
      <c r="AD482">
        <v>423</v>
      </c>
      <c r="AE482" t="str">
        <f>IF(AND(ISNUMBER(SEARCH(O482,4)),ISNUMBER(SEARCH('(4) FCH pathway assessment'!$B$16,AB482)),ISNUMBER(SEARCH('(4) FCH pathway assessment'!$B$10,AA482))),AD482,"")</f>
        <v/>
      </c>
      <c r="AF482" t="str">
        <f t="shared" si="1199"/>
        <v/>
      </c>
      <c r="AG482" t="str">
        <f>VLOOKUP(C482,Assumptions!$B$116:$C$162,2,FALSE)</f>
        <v>NG_SR_LRG_C</v>
      </c>
      <c r="AH482" t="str">
        <f>VLOOKUP(D482,Assumptions!$B$116:$C$162,2,FALSE)</f>
        <v>C_UNDRGRND_STRG</v>
      </c>
      <c r="AI482" t="str">
        <f>VLOOKUP(E482,Assumptions!$B$116:$C$162,2,FALSE)</f>
        <v>ONSITE_USE</v>
      </c>
      <c r="AJ482" t="str">
        <f>VLOOKUP(F482,Assumptions!$B$116:$C$162,2,FALSE)</f>
        <v>H2_OCGT_PWR</v>
      </c>
    </row>
    <row r="483" spans="2:36" x14ac:dyDescent="0.25">
      <c r="B483" t="s">
        <v>127</v>
      </c>
      <c r="C483" t="s">
        <v>57</v>
      </c>
      <c r="D483" s="61" t="s">
        <v>63</v>
      </c>
      <c r="E483" t="s">
        <v>122</v>
      </c>
      <c r="F483" t="s">
        <v>162</v>
      </c>
      <c r="G483" t="s">
        <v>114</v>
      </c>
      <c r="H483" t="s">
        <v>433</v>
      </c>
      <c r="I483" t="s">
        <v>32</v>
      </c>
      <c r="J483" t="s">
        <v>80</v>
      </c>
      <c r="K483">
        <f t="shared" si="1284"/>
        <v>1</v>
      </c>
      <c r="L483">
        <f t="shared" si="1285"/>
        <v>1</v>
      </c>
      <c r="M483">
        <f t="shared" si="1286"/>
        <v>1</v>
      </c>
      <c r="N483">
        <f t="shared" si="1287"/>
        <v>0</v>
      </c>
      <c r="O483">
        <f t="shared" si="1288"/>
        <v>3</v>
      </c>
      <c r="P483" t="str">
        <f t="shared" si="1289"/>
        <v>Large centralized natural gas steam reforming-Flexibility</v>
      </c>
      <c r="Q483" t="str">
        <f t="shared" si="1290"/>
        <v>No storage-Flexibility</v>
      </c>
      <c r="R483" t="str">
        <f t="shared" si="1291"/>
        <v>Hydrogen transmission &amp; distribution pipeline-Flexibility</v>
      </c>
      <c r="S483" t="str">
        <f t="shared" si="1292"/>
        <v>Hydrogen turbine (OC)-Flexibility</v>
      </c>
      <c r="T483">
        <f ca="1">VLOOKUP($P483,'TA database'!$I$8:$J$79,2,FALSE)</f>
        <v>0</v>
      </c>
      <c r="U483">
        <v>0</v>
      </c>
      <c r="V483">
        <v>0</v>
      </c>
      <c r="W483">
        <v>0</v>
      </c>
      <c r="X483">
        <v>0</v>
      </c>
      <c r="Y483">
        <f t="shared" ca="1" si="1297"/>
        <v>0</v>
      </c>
      <c r="Z483" t="str">
        <f t="shared" si="1293"/>
        <v>NG_SR_LRG_C   →   NO_STRG   →   H2_T&amp;D_P   →   H2_OCGT_PWR</v>
      </c>
      <c r="AA483" t="str">
        <f t="shared" si="1294"/>
        <v>Grid electricity</v>
      </c>
      <c r="AB483" t="str">
        <f t="shared" si="1295"/>
        <v>Flexibility</v>
      </c>
      <c r="AC483">
        <f t="shared" ca="1" si="1296"/>
        <v>0</v>
      </c>
      <c r="AD483">
        <v>424</v>
      </c>
      <c r="AE483" t="str">
        <f>IF(AND(ISNUMBER(SEARCH(O483,4)),ISNUMBER(SEARCH('(4) FCH pathway assessment'!$B$16,AB483)),ISNUMBER(SEARCH('(4) FCH pathway assessment'!$B$10,AA483))),AD483,"")</f>
        <v/>
      </c>
      <c r="AF483" t="str">
        <f t="shared" si="1199"/>
        <v/>
      </c>
      <c r="AG483" t="str">
        <f>VLOOKUP(C483,Assumptions!$B$116:$C$162,2,FALSE)</f>
        <v>NG_SR_LRG_C</v>
      </c>
      <c r="AH483" t="str">
        <f>VLOOKUP(D483,Assumptions!$B$116:$C$162,2,FALSE)</f>
        <v>NO_STRG</v>
      </c>
      <c r="AI483" t="str">
        <f>VLOOKUP(E483,Assumptions!$B$116:$C$162,2,FALSE)</f>
        <v>H2_T&amp;D_P</v>
      </c>
      <c r="AJ483" t="str">
        <f>VLOOKUP(F483,Assumptions!$B$116:$C$162,2,FALSE)</f>
        <v>H2_OCGT_PWR</v>
      </c>
    </row>
    <row r="484" spans="2:36" x14ac:dyDescent="0.25">
      <c r="B484" t="s">
        <v>127</v>
      </c>
      <c r="C484" t="s">
        <v>58</v>
      </c>
      <c r="D484" t="s">
        <v>155</v>
      </c>
      <c r="E484" t="s">
        <v>157</v>
      </c>
      <c r="F484" t="s">
        <v>162</v>
      </c>
      <c r="G484" t="s">
        <v>114</v>
      </c>
      <c r="H484" t="s">
        <v>433</v>
      </c>
      <c r="I484" t="s">
        <v>32</v>
      </c>
      <c r="J484" t="s">
        <v>80</v>
      </c>
      <c r="K484">
        <f t="shared" ref="K484:K488" si="1298">SUMPRODUCT(($C$7:$C$18=$C484)*($D$6:$H$6=$D484)*($D$7:$H$18))</f>
        <v>1</v>
      </c>
      <c r="L484">
        <f t="shared" ref="L484:L488" si="1299">SUMPRODUCT(($C$19:$C$23=$D484)*($I$6:$O$6=$E484)*($I$19:$O$23))</f>
        <v>1</v>
      </c>
      <c r="M484">
        <f t="shared" ref="M484:M488" si="1300">SUMPRODUCT(($C$24:$C$30=$E484)*($P$6:$AI$6=$F484)*($P$24:$AI$30))</f>
        <v>0</v>
      </c>
      <c r="N484">
        <f t="shared" ref="N484:N488" si="1301">SUMPRODUCT(($C$31:$C$50=$F484)*($AJ$6:$AM$6=$G484)*($AJ$31:$AM$50))</f>
        <v>0</v>
      </c>
      <c r="O484">
        <f t="shared" ref="O484:O488" si="1302">K484+L484+M484+N484</f>
        <v>2</v>
      </c>
      <c r="P484" t="str">
        <f t="shared" ref="P484:P488" si="1303">CONCATENATE(C484,"-",J484)</f>
        <v>Small centralized natural gas steam reforming-Flexibility</v>
      </c>
      <c r="Q484" t="str">
        <f t="shared" ref="Q484:Q488" si="1304">CONCATENATE(D484,"-",J484)</f>
        <v>Central gas storage-Flexibility</v>
      </c>
      <c r="R484" t="str">
        <f t="shared" ref="R484:R488" si="1305">CONCATENATE(E484,"-",J484)</f>
        <v>Blending in natural gas pipeline-Flexibility</v>
      </c>
      <c r="S484" t="str">
        <f t="shared" ref="S484:S488" si="1306">CONCATENATE(F484,"-",J484)</f>
        <v>Hydrogen turbine (OC)-Flexibility</v>
      </c>
      <c r="T484">
        <f ca="1">VLOOKUP($P484,'TA database'!$I$8:$J$79,2,FALSE)</f>
        <v>0</v>
      </c>
      <c r="U484">
        <v>0</v>
      </c>
      <c r="V484">
        <v>0</v>
      </c>
      <c r="W484">
        <v>0</v>
      </c>
      <c r="X484">
        <v>0</v>
      </c>
      <c r="Y484">
        <f t="shared" ca="1" si="1297"/>
        <v>0</v>
      </c>
      <c r="Z484" t="str">
        <f t="shared" ref="Z484:Z488" si="1307">CONCATENATE(AG484,"   →   ",AH484,"   →   ",AI484,"   →   ",AJ484)</f>
        <v>NG_SR_SML_C   →   C_GAS_STRG   →   H2_BLND_NG_P   →   H2_OCGT_PWR</v>
      </c>
      <c r="AA484" t="str">
        <f t="shared" ref="AA484:AA488" si="1308">G484</f>
        <v>Grid electricity</v>
      </c>
      <c r="AB484" t="str">
        <f t="shared" ref="AB484:AB488" si="1309">J484</f>
        <v>Flexibility</v>
      </c>
      <c r="AC484">
        <f t="shared" ref="AC484:AC488" ca="1" si="1310">Y484</f>
        <v>0</v>
      </c>
      <c r="AD484">
        <v>425</v>
      </c>
      <c r="AE484" t="str">
        <f>IF(AND(ISNUMBER(SEARCH(O484,4)),ISNUMBER(SEARCH('(4) FCH pathway assessment'!$B$16,AB484)),ISNUMBER(SEARCH('(4) FCH pathway assessment'!$B$10,AA484))),AD484,"")</f>
        <v/>
      </c>
      <c r="AF484" t="str">
        <f t="shared" si="1199"/>
        <v/>
      </c>
      <c r="AG484" t="str">
        <f>VLOOKUP(C484,Assumptions!$B$116:$C$162,2,FALSE)</f>
        <v>NG_SR_SML_C</v>
      </c>
      <c r="AH484" t="str">
        <f>VLOOKUP(D484,Assumptions!$B$116:$C$162,2,FALSE)</f>
        <v>C_GAS_STRG</v>
      </c>
      <c r="AI484" t="str">
        <f>VLOOKUP(E484,Assumptions!$B$116:$C$162,2,FALSE)</f>
        <v>H2_BLND_NG_P</v>
      </c>
      <c r="AJ484" t="str">
        <f>VLOOKUP(F484,Assumptions!$B$116:$C$162,2,FALSE)</f>
        <v>H2_OCGT_PWR</v>
      </c>
    </row>
    <row r="485" spans="2:36" x14ac:dyDescent="0.25">
      <c r="B485" t="s">
        <v>127</v>
      </c>
      <c r="C485" t="s">
        <v>58</v>
      </c>
      <c r="D485" t="s">
        <v>155</v>
      </c>
      <c r="E485" t="s">
        <v>122</v>
      </c>
      <c r="F485" t="s">
        <v>162</v>
      </c>
      <c r="G485" t="s">
        <v>114</v>
      </c>
      <c r="H485" t="s">
        <v>433</v>
      </c>
      <c r="I485" t="s">
        <v>32</v>
      </c>
      <c r="J485" t="s">
        <v>80</v>
      </c>
      <c r="K485">
        <f t="shared" si="1298"/>
        <v>1</v>
      </c>
      <c r="L485">
        <f t="shared" si="1299"/>
        <v>1</v>
      </c>
      <c r="M485">
        <f t="shared" si="1300"/>
        <v>1</v>
      </c>
      <c r="N485">
        <f t="shared" si="1301"/>
        <v>0</v>
      </c>
      <c r="O485">
        <f t="shared" si="1302"/>
        <v>3</v>
      </c>
      <c r="P485" t="str">
        <f t="shared" si="1303"/>
        <v>Small centralized natural gas steam reforming-Flexibility</v>
      </c>
      <c r="Q485" t="str">
        <f t="shared" si="1304"/>
        <v>Central gas storage-Flexibility</v>
      </c>
      <c r="R485" t="str">
        <f t="shared" si="1305"/>
        <v>Hydrogen transmission &amp; distribution pipeline-Flexibility</v>
      </c>
      <c r="S485" t="str">
        <f t="shared" si="1306"/>
        <v>Hydrogen turbine (OC)-Flexibility</v>
      </c>
      <c r="T485">
        <f ca="1">VLOOKUP($P485,'TA database'!$I$8:$J$79,2,FALSE)</f>
        <v>0</v>
      </c>
      <c r="U485">
        <v>0</v>
      </c>
      <c r="V485">
        <v>0</v>
      </c>
      <c r="W485">
        <v>0</v>
      </c>
      <c r="X485">
        <v>0</v>
      </c>
      <c r="Y485">
        <f t="shared" ca="1" si="1297"/>
        <v>0</v>
      </c>
      <c r="Z485" t="str">
        <f t="shared" si="1307"/>
        <v>NG_SR_SML_C   →   C_GAS_STRG   →   H2_T&amp;D_P   →   H2_OCGT_PWR</v>
      </c>
      <c r="AA485" t="str">
        <f t="shared" si="1308"/>
        <v>Grid electricity</v>
      </c>
      <c r="AB485" t="str">
        <f t="shared" si="1309"/>
        <v>Flexibility</v>
      </c>
      <c r="AC485">
        <f t="shared" ca="1" si="1310"/>
        <v>0</v>
      </c>
      <c r="AD485">
        <v>426</v>
      </c>
      <c r="AE485" t="str">
        <f>IF(AND(ISNUMBER(SEARCH(O485,4)),ISNUMBER(SEARCH('(4) FCH pathway assessment'!$B$16,AB485)),ISNUMBER(SEARCH('(4) FCH pathway assessment'!$B$10,AA485))),AD485,"")</f>
        <v/>
      </c>
      <c r="AF485" t="str">
        <f t="shared" si="1199"/>
        <v/>
      </c>
      <c r="AG485" t="str">
        <f>VLOOKUP(C485,Assumptions!$B$116:$C$162,2,FALSE)</f>
        <v>NG_SR_SML_C</v>
      </c>
      <c r="AH485" t="str">
        <f>VLOOKUP(D485,Assumptions!$B$116:$C$162,2,FALSE)</f>
        <v>C_GAS_STRG</v>
      </c>
      <c r="AI485" t="str">
        <f>VLOOKUP(E485,Assumptions!$B$116:$C$162,2,FALSE)</f>
        <v>H2_T&amp;D_P</v>
      </c>
      <c r="AJ485" t="str">
        <f>VLOOKUP(F485,Assumptions!$B$116:$C$162,2,FALSE)</f>
        <v>H2_OCGT_PWR</v>
      </c>
    </row>
    <row r="486" spans="2:36" x14ac:dyDescent="0.25">
      <c r="B486" t="s">
        <v>127</v>
      </c>
      <c r="C486" t="s">
        <v>58</v>
      </c>
      <c r="D486" t="s">
        <v>155</v>
      </c>
      <c r="E486" t="s">
        <v>116</v>
      </c>
      <c r="F486" t="s">
        <v>162</v>
      </c>
      <c r="G486" t="s">
        <v>114</v>
      </c>
      <c r="H486" t="s">
        <v>433</v>
      </c>
      <c r="I486" t="s">
        <v>32</v>
      </c>
      <c r="J486" t="s">
        <v>80</v>
      </c>
      <c r="K486">
        <f t="shared" si="1298"/>
        <v>1</v>
      </c>
      <c r="L486">
        <f t="shared" si="1299"/>
        <v>1</v>
      </c>
      <c r="M486">
        <f t="shared" si="1300"/>
        <v>1</v>
      </c>
      <c r="N486">
        <f t="shared" si="1301"/>
        <v>0</v>
      </c>
      <c r="O486">
        <f t="shared" si="1302"/>
        <v>3</v>
      </c>
      <c r="P486" t="str">
        <f t="shared" si="1303"/>
        <v>Small centralized natural gas steam reforming-Flexibility</v>
      </c>
      <c r="Q486" t="str">
        <f t="shared" si="1304"/>
        <v>Central gas storage-Flexibility</v>
      </c>
      <c r="R486" t="str">
        <f t="shared" si="1305"/>
        <v>Liquid hydrogen truck-Flexibility</v>
      </c>
      <c r="S486" t="str">
        <f t="shared" si="1306"/>
        <v>Hydrogen turbine (OC)-Flexibility</v>
      </c>
      <c r="T486">
        <f ca="1">VLOOKUP($P486,'TA database'!$I$8:$J$79,2,FALSE)</f>
        <v>0</v>
      </c>
      <c r="U486">
        <v>0</v>
      </c>
      <c r="V486">
        <v>0</v>
      </c>
      <c r="W486">
        <v>0</v>
      </c>
      <c r="X486">
        <v>0</v>
      </c>
      <c r="Y486">
        <f t="shared" ca="1" si="1297"/>
        <v>0</v>
      </c>
      <c r="Z486" t="str">
        <f t="shared" si="1307"/>
        <v>NG_SR_SML_C   →   C_GAS_STRG   →   LQ_TRUCK   →   H2_OCGT_PWR</v>
      </c>
      <c r="AA486" t="str">
        <f t="shared" si="1308"/>
        <v>Grid electricity</v>
      </c>
      <c r="AB486" t="str">
        <f t="shared" si="1309"/>
        <v>Flexibility</v>
      </c>
      <c r="AC486">
        <f t="shared" ca="1" si="1310"/>
        <v>0</v>
      </c>
      <c r="AD486">
        <v>427</v>
      </c>
      <c r="AE486" t="str">
        <f>IF(AND(ISNUMBER(SEARCH(O486,4)),ISNUMBER(SEARCH('(4) FCH pathway assessment'!$B$16,AB486)),ISNUMBER(SEARCH('(4) FCH pathway assessment'!$B$10,AA486))),AD486,"")</f>
        <v/>
      </c>
      <c r="AF486" t="str">
        <f t="shared" si="1199"/>
        <v/>
      </c>
      <c r="AG486" t="str">
        <f>VLOOKUP(C486,Assumptions!$B$116:$C$162,2,FALSE)</f>
        <v>NG_SR_SML_C</v>
      </c>
      <c r="AH486" t="str">
        <f>VLOOKUP(D486,Assumptions!$B$116:$C$162,2,FALSE)</f>
        <v>C_GAS_STRG</v>
      </c>
      <c r="AI486" t="str">
        <f>VLOOKUP(E486,Assumptions!$B$116:$C$162,2,FALSE)</f>
        <v>LQ_TRUCK</v>
      </c>
      <c r="AJ486" t="str">
        <f>VLOOKUP(F486,Assumptions!$B$116:$C$162,2,FALSE)</f>
        <v>H2_OCGT_PWR</v>
      </c>
    </row>
    <row r="487" spans="2:36" x14ac:dyDescent="0.25">
      <c r="B487" t="s">
        <v>127</v>
      </c>
      <c r="C487" t="s">
        <v>58</v>
      </c>
      <c r="D487" t="s">
        <v>155</v>
      </c>
      <c r="E487" t="s">
        <v>66</v>
      </c>
      <c r="F487" t="s">
        <v>162</v>
      </c>
      <c r="G487" t="s">
        <v>114</v>
      </c>
      <c r="H487" t="s">
        <v>433</v>
      </c>
      <c r="I487" t="s">
        <v>32</v>
      </c>
      <c r="J487" t="s">
        <v>80</v>
      </c>
      <c r="K487">
        <f t="shared" si="1298"/>
        <v>1</v>
      </c>
      <c r="L487">
        <f t="shared" si="1299"/>
        <v>1</v>
      </c>
      <c r="M487">
        <f t="shared" si="1300"/>
        <v>1</v>
      </c>
      <c r="N487">
        <f t="shared" si="1301"/>
        <v>0</v>
      </c>
      <c r="O487">
        <f t="shared" si="1302"/>
        <v>3</v>
      </c>
      <c r="P487" t="str">
        <f t="shared" si="1303"/>
        <v>Small centralized natural gas steam reforming-Flexibility</v>
      </c>
      <c r="Q487" t="str">
        <f t="shared" si="1304"/>
        <v>Central gas storage-Flexibility</v>
      </c>
      <c r="R487" t="str">
        <f t="shared" si="1305"/>
        <v>Onsite-Flexibility</v>
      </c>
      <c r="S487" t="str">
        <f t="shared" si="1306"/>
        <v>Hydrogen turbine (OC)-Flexibility</v>
      </c>
      <c r="T487">
        <f ca="1">VLOOKUP($P487,'TA database'!$I$8:$J$79,2,FALSE)</f>
        <v>0</v>
      </c>
      <c r="U487">
        <v>0</v>
      </c>
      <c r="V487">
        <v>0</v>
      </c>
      <c r="W487">
        <v>0</v>
      </c>
      <c r="X487">
        <v>0</v>
      </c>
      <c r="Y487">
        <f t="shared" ca="1" si="1297"/>
        <v>0</v>
      </c>
      <c r="Z487" t="str">
        <f t="shared" si="1307"/>
        <v>NG_SR_SML_C   →   C_GAS_STRG   →   ONSITE_USE   →   H2_OCGT_PWR</v>
      </c>
      <c r="AA487" t="str">
        <f t="shared" si="1308"/>
        <v>Grid electricity</v>
      </c>
      <c r="AB487" t="str">
        <f t="shared" si="1309"/>
        <v>Flexibility</v>
      </c>
      <c r="AC487">
        <f t="shared" ca="1" si="1310"/>
        <v>0</v>
      </c>
      <c r="AD487">
        <v>428</v>
      </c>
      <c r="AE487" t="str">
        <f>IF(AND(ISNUMBER(SEARCH(O487,4)),ISNUMBER(SEARCH('(4) FCH pathway assessment'!$B$16,AB487)),ISNUMBER(SEARCH('(4) FCH pathway assessment'!$B$10,AA487))),AD487,"")</f>
        <v/>
      </c>
      <c r="AF487" t="str">
        <f t="shared" si="1199"/>
        <v/>
      </c>
      <c r="AG487" t="str">
        <f>VLOOKUP(C487,Assumptions!$B$116:$C$162,2,FALSE)</f>
        <v>NG_SR_SML_C</v>
      </c>
      <c r="AH487" t="str">
        <f>VLOOKUP(D487,Assumptions!$B$116:$C$162,2,FALSE)</f>
        <v>C_GAS_STRG</v>
      </c>
      <c r="AI487" t="str">
        <f>VLOOKUP(E487,Assumptions!$B$116:$C$162,2,FALSE)</f>
        <v>ONSITE_USE</v>
      </c>
      <c r="AJ487" t="str">
        <f>VLOOKUP(F487,Assumptions!$B$116:$C$162,2,FALSE)</f>
        <v>H2_OCGT_PWR</v>
      </c>
    </row>
    <row r="488" spans="2:36" x14ac:dyDescent="0.25">
      <c r="B488" t="s">
        <v>127</v>
      </c>
      <c r="C488" t="s">
        <v>59</v>
      </c>
      <c r="D488" s="60" t="s">
        <v>130</v>
      </c>
      <c r="E488" t="s">
        <v>66</v>
      </c>
      <c r="F488" t="s">
        <v>162</v>
      </c>
      <c r="G488" t="s">
        <v>114</v>
      </c>
      <c r="H488" t="s">
        <v>433</v>
      </c>
      <c r="I488" t="s">
        <v>32</v>
      </c>
      <c r="J488" t="s">
        <v>80</v>
      </c>
      <c r="K488">
        <f t="shared" si="1298"/>
        <v>1</v>
      </c>
      <c r="L488">
        <f t="shared" si="1299"/>
        <v>1</v>
      </c>
      <c r="M488">
        <f t="shared" si="1300"/>
        <v>1</v>
      </c>
      <c r="N488">
        <f t="shared" si="1301"/>
        <v>0</v>
      </c>
      <c r="O488">
        <f t="shared" si="1302"/>
        <v>3</v>
      </c>
      <c r="P488" t="str">
        <f t="shared" si="1303"/>
        <v>Medium decentralized natural gas steam reforming-Flexibility</v>
      </c>
      <c r="Q488" t="str">
        <f t="shared" si="1304"/>
        <v>Distributed gas storage-Flexibility</v>
      </c>
      <c r="R488" t="str">
        <f t="shared" si="1305"/>
        <v>Onsite-Flexibility</v>
      </c>
      <c r="S488" t="str">
        <f t="shared" si="1306"/>
        <v>Hydrogen turbine (OC)-Flexibility</v>
      </c>
      <c r="T488">
        <f ca="1">VLOOKUP($P488,'TA database'!$I$8:$J$79,2,FALSE)</f>
        <v>0</v>
      </c>
      <c r="U488">
        <v>0</v>
      </c>
      <c r="V488">
        <v>0</v>
      </c>
      <c r="W488">
        <v>0</v>
      </c>
      <c r="X488">
        <v>0</v>
      </c>
      <c r="Y488">
        <f t="shared" ref="Y488" ca="1" si="1311">$T488</f>
        <v>0</v>
      </c>
      <c r="Z488" t="str">
        <f t="shared" si="1307"/>
        <v>NG_SR_MED_D   →   D_GAS_STRG   →   ONSITE_USE   →   H2_OCGT_PWR</v>
      </c>
      <c r="AA488" t="str">
        <f t="shared" si="1308"/>
        <v>Grid electricity</v>
      </c>
      <c r="AB488" t="str">
        <f t="shared" si="1309"/>
        <v>Flexibility</v>
      </c>
      <c r="AC488">
        <f t="shared" ca="1" si="1310"/>
        <v>0</v>
      </c>
      <c r="AD488">
        <v>429</v>
      </c>
      <c r="AE488" t="str">
        <f>IF(AND(ISNUMBER(SEARCH(O488,4)),ISNUMBER(SEARCH('(4) FCH pathway assessment'!$B$16,AB488)),ISNUMBER(SEARCH('(4) FCH pathway assessment'!$B$10,AA488))),AD488,"")</f>
        <v/>
      </c>
      <c r="AF488" t="str">
        <f t="shared" si="1199"/>
        <v/>
      </c>
      <c r="AG488" t="str">
        <f>VLOOKUP(C488,Assumptions!$B$116:$C$162,2,FALSE)</f>
        <v>NG_SR_MED_D</v>
      </c>
      <c r="AH488" t="str">
        <f>VLOOKUP(D488,Assumptions!$B$116:$C$162,2,FALSE)</f>
        <v>D_GAS_STRG</v>
      </c>
      <c r="AI488" t="str">
        <f>VLOOKUP(E488,Assumptions!$B$116:$C$162,2,FALSE)</f>
        <v>ONSITE_USE</v>
      </c>
      <c r="AJ488" t="str">
        <f>VLOOKUP(F488,Assumptions!$B$116:$C$162,2,FALSE)</f>
        <v>H2_OCGT_PWR</v>
      </c>
    </row>
    <row r="489" spans="2:36" x14ac:dyDescent="0.25">
      <c r="B489" t="s">
        <v>127</v>
      </c>
      <c r="C489" t="s">
        <v>60</v>
      </c>
      <c r="D489" s="60" t="s">
        <v>130</v>
      </c>
      <c r="E489" t="s">
        <v>66</v>
      </c>
      <c r="F489" t="s">
        <v>162</v>
      </c>
      <c r="G489" t="s">
        <v>114</v>
      </c>
      <c r="H489" t="s">
        <v>433</v>
      </c>
      <c r="I489" t="s">
        <v>32</v>
      </c>
      <c r="J489" t="s">
        <v>80</v>
      </c>
      <c r="K489">
        <f t="shared" ref="K489" si="1312">SUMPRODUCT(($C$7:$C$18=$C489)*($D$6:$H$6=$D489)*($D$7:$H$18))</f>
        <v>1</v>
      </c>
      <c r="L489">
        <f t="shared" ref="L489" si="1313">SUMPRODUCT(($C$19:$C$23=$D489)*($I$6:$O$6=$E489)*($I$19:$O$23))</f>
        <v>1</v>
      </c>
      <c r="M489">
        <f t="shared" ref="M489" si="1314">SUMPRODUCT(($C$24:$C$30=$E489)*($P$6:$AI$6=$F489)*($P$24:$AI$30))</f>
        <v>1</v>
      </c>
      <c r="N489">
        <f t="shared" ref="N489" si="1315">SUMPRODUCT(($C$31:$C$50=$F489)*($AJ$6:$AM$6=$G489)*($AJ$31:$AM$50))</f>
        <v>0</v>
      </c>
      <c r="O489">
        <f t="shared" ref="O489" si="1316">K489+L489+M489+N489</f>
        <v>3</v>
      </c>
      <c r="P489" t="str">
        <f t="shared" ref="P489" si="1317">CONCATENATE(C489,"-",J489)</f>
        <v>Small decentralized natural gas steam reforming-Flexibility</v>
      </c>
      <c r="Q489" t="str">
        <f t="shared" ref="Q489" si="1318">CONCATENATE(D489,"-",J489)</f>
        <v>Distributed gas storage-Flexibility</v>
      </c>
      <c r="R489" t="str">
        <f t="shared" ref="R489" si="1319">CONCATENATE(E489,"-",J489)</f>
        <v>Onsite-Flexibility</v>
      </c>
      <c r="S489" t="str">
        <f t="shared" ref="S489" si="1320">CONCATENATE(F489,"-",J489)</f>
        <v>Hydrogen turbine (OC)-Flexibility</v>
      </c>
      <c r="T489">
        <f ca="1">VLOOKUP($P489,'TA database'!$I$8:$J$79,2,FALSE)</f>
        <v>0</v>
      </c>
      <c r="U489">
        <v>0</v>
      </c>
      <c r="V489">
        <v>0</v>
      </c>
      <c r="W489">
        <v>0</v>
      </c>
      <c r="X489">
        <v>0</v>
      </c>
      <c r="Y489">
        <f t="shared" ref="Y489" ca="1" si="1321">$T489</f>
        <v>0</v>
      </c>
      <c r="Z489" t="str">
        <f t="shared" ref="Z489" si="1322">CONCATENATE(AG489,"   →   ",AH489,"   →   ",AI489,"   →   ",AJ489)</f>
        <v>NG_SR_SML_D   →   D_GAS_STRG   →   ONSITE_USE   →   H2_OCGT_PWR</v>
      </c>
      <c r="AA489" t="str">
        <f t="shared" ref="AA489" si="1323">G489</f>
        <v>Grid electricity</v>
      </c>
      <c r="AB489" t="str">
        <f t="shared" ref="AB489" si="1324">J489</f>
        <v>Flexibility</v>
      </c>
      <c r="AC489">
        <f t="shared" ref="AC489" ca="1" si="1325">Y489</f>
        <v>0</v>
      </c>
      <c r="AD489">
        <v>430</v>
      </c>
      <c r="AE489" t="str">
        <f>IF(AND(ISNUMBER(SEARCH(O489,4)),ISNUMBER(SEARCH('(4) FCH pathway assessment'!$B$16,AB489)),ISNUMBER(SEARCH('(4) FCH pathway assessment'!$B$10,AA489))),AD489,"")</f>
        <v/>
      </c>
      <c r="AF489" t="str">
        <f t="shared" si="1199"/>
        <v/>
      </c>
      <c r="AG489" t="str">
        <f>VLOOKUP(C489,Assumptions!$B$116:$C$162,2,FALSE)</f>
        <v>NG_SR_SML_D</v>
      </c>
      <c r="AH489" t="str">
        <f>VLOOKUP(D489,Assumptions!$B$116:$C$162,2,FALSE)</f>
        <v>D_GAS_STRG</v>
      </c>
      <c r="AI489" t="str">
        <f>VLOOKUP(E489,Assumptions!$B$116:$C$162,2,FALSE)</f>
        <v>ONSITE_USE</v>
      </c>
      <c r="AJ489" t="str">
        <f>VLOOKUP(F489,Assumptions!$B$116:$C$162,2,FALSE)</f>
        <v>H2_OCGT_PWR</v>
      </c>
    </row>
    <row r="490" spans="2:36" x14ac:dyDescent="0.25">
      <c r="B490" t="s">
        <v>117</v>
      </c>
      <c r="C490" t="s">
        <v>53</v>
      </c>
      <c r="D490" t="s">
        <v>155</v>
      </c>
      <c r="E490" t="s">
        <v>157</v>
      </c>
      <c r="F490" t="s">
        <v>164</v>
      </c>
      <c r="G490" t="s">
        <v>126</v>
      </c>
      <c r="H490" t="s">
        <v>433</v>
      </c>
      <c r="I490" t="s">
        <v>32</v>
      </c>
      <c r="J490" t="s">
        <v>80</v>
      </c>
      <c r="K490">
        <f t="shared" ref="K490:K495" si="1326">SUMPRODUCT(($C$7:$C$18=$C490)*($D$6:$H$6=$D490)*($D$7:$H$18))</f>
        <v>0</v>
      </c>
      <c r="L490">
        <f t="shared" ref="L490:L495" si="1327">SUMPRODUCT(($C$19:$C$23=$D490)*($I$6:$O$6=$E490)*($I$19:$O$23))</f>
        <v>1</v>
      </c>
      <c r="M490">
        <f t="shared" ref="M490:M495" si="1328">SUMPRODUCT(($C$24:$C$30=$E490)*($P$6:$AI$6=$F490)*($P$24:$AI$30))</f>
        <v>0</v>
      </c>
      <c r="N490">
        <f t="shared" ref="N490:N495" si="1329">SUMPRODUCT(($C$31:$C$50=$F490)*($AJ$6:$AM$6=$G490)*($AJ$31:$AM$50))</f>
        <v>1</v>
      </c>
      <c r="O490">
        <f t="shared" ref="O490:O495" si="1330">K490+L490+M490+N490</f>
        <v>2</v>
      </c>
      <c r="P490" t="str">
        <f t="shared" ref="P490:P495" si="1331">CONCATENATE(C490,"-",J490)</f>
        <v>Medium centralized biomass gasification-Flexibility</v>
      </c>
      <c r="Q490" t="str">
        <f t="shared" ref="Q490:Q495" si="1332">CONCATENATE(D490,"-",J490)</f>
        <v>Central gas storage-Flexibility</v>
      </c>
      <c r="R490" t="str">
        <f t="shared" ref="R490:R495" si="1333">CONCATENATE(E490,"-",J490)</f>
        <v>Blending in natural gas pipeline-Flexibility</v>
      </c>
      <c r="S490" t="str">
        <f t="shared" ref="S490:S495" si="1334">CONCATENATE(F490,"-",J490)</f>
        <v>Prime power H2 fuel cell-Flexibility</v>
      </c>
      <c r="T490">
        <f ca="1">VLOOKUP($P490,'TA database'!$I$8:$J$79,2,FALSE)</f>
        <v>0</v>
      </c>
      <c r="U490">
        <v>0</v>
      </c>
      <c r="V490">
        <v>0</v>
      </c>
      <c r="W490">
        <v>0</v>
      </c>
      <c r="X490">
        <v>0</v>
      </c>
      <c r="Y490">
        <f t="shared" ref="Y490:Y495" ca="1" si="1335">$T490</f>
        <v>0</v>
      </c>
      <c r="Z490" t="str">
        <f t="shared" ref="Z490:Z495" si="1336">CONCATENATE(AG490,"   →   ",AH490,"   →   ",AI490,"   →   ",AJ490)</f>
        <v>BIO_GSF_MED_C   →   C_GAS_STRG   →   H2_BLND_NG_P   →   H2_FC_PWR</v>
      </c>
      <c r="AA490" t="str">
        <f t="shared" ref="AA490:AA495" si="1337">G490</f>
        <v>Onsite / Back-up power</v>
      </c>
      <c r="AB490" t="str">
        <f t="shared" ref="AB490:AB495" si="1338">J490</f>
        <v>Flexibility</v>
      </c>
      <c r="AC490">
        <f t="shared" ref="AC490:AC495" ca="1" si="1339">Y490</f>
        <v>0</v>
      </c>
      <c r="AD490">
        <v>431</v>
      </c>
      <c r="AE490" t="str">
        <f>IF(AND(ISNUMBER(SEARCH(O490,4)),ISNUMBER(SEARCH('(4) FCH pathway assessment'!$B$16,AB490)),ISNUMBER(SEARCH('(4) FCH pathway assessment'!$B$10,AA490))),AD490,"")</f>
        <v/>
      </c>
      <c r="AF490" t="str">
        <f t="shared" si="1199"/>
        <v/>
      </c>
      <c r="AG490" t="str">
        <f>VLOOKUP(C490,Assumptions!$B$116:$C$162,2,FALSE)</f>
        <v>BIO_GSF_MED_C</v>
      </c>
      <c r="AH490" t="str">
        <f>VLOOKUP(D490,Assumptions!$B$116:$C$162,2,FALSE)</f>
        <v>C_GAS_STRG</v>
      </c>
      <c r="AI490" t="str">
        <f>VLOOKUP(E490,Assumptions!$B$116:$C$162,2,FALSE)</f>
        <v>H2_BLND_NG_P</v>
      </c>
      <c r="AJ490" t="str">
        <f>VLOOKUP(F490,Assumptions!$B$116:$C$162,2,FALSE)</f>
        <v>H2_FC_PWR</v>
      </c>
    </row>
    <row r="491" spans="2:36" x14ac:dyDescent="0.25">
      <c r="B491" t="s">
        <v>117</v>
      </c>
      <c r="C491" t="s">
        <v>53</v>
      </c>
      <c r="D491" t="s">
        <v>155</v>
      </c>
      <c r="E491" t="s">
        <v>122</v>
      </c>
      <c r="F491" t="s">
        <v>164</v>
      </c>
      <c r="G491" t="s">
        <v>126</v>
      </c>
      <c r="H491" t="s">
        <v>433</v>
      </c>
      <c r="I491" t="s">
        <v>32</v>
      </c>
      <c r="J491" t="s">
        <v>80</v>
      </c>
      <c r="K491">
        <f t="shared" si="1326"/>
        <v>0</v>
      </c>
      <c r="L491">
        <f t="shared" si="1327"/>
        <v>1</v>
      </c>
      <c r="M491">
        <f t="shared" si="1328"/>
        <v>1</v>
      </c>
      <c r="N491">
        <f t="shared" si="1329"/>
        <v>1</v>
      </c>
      <c r="O491">
        <f t="shared" si="1330"/>
        <v>3</v>
      </c>
      <c r="P491" t="str">
        <f t="shared" si="1331"/>
        <v>Medium centralized biomass gasification-Flexibility</v>
      </c>
      <c r="Q491" t="str">
        <f t="shared" si="1332"/>
        <v>Central gas storage-Flexibility</v>
      </c>
      <c r="R491" t="str">
        <f t="shared" si="1333"/>
        <v>Hydrogen transmission &amp; distribution pipeline-Flexibility</v>
      </c>
      <c r="S491" t="str">
        <f t="shared" si="1334"/>
        <v>Prime power H2 fuel cell-Flexibility</v>
      </c>
      <c r="T491">
        <f ca="1">VLOOKUP($P491,'TA database'!$I$8:$J$79,2,FALSE)</f>
        <v>0</v>
      </c>
      <c r="U491">
        <v>0</v>
      </c>
      <c r="V491">
        <v>0</v>
      </c>
      <c r="W491">
        <v>0</v>
      </c>
      <c r="X491">
        <v>0</v>
      </c>
      <c r="Y491">
        <f t="shared" ca="1" si="1335"/>
        <v>0</v>
      </c>
      <c r="Z491" t="str">
        <f t="shared" si="1336"/>
        <v>BIO_GSF_MED_C   →   C_GAS_STRG   →   H2_T&amp;D_P   →   H2_FC_PWR</v>
      </c>
      <c r="AA491" t="str">
        <f t="shared" si="1337"/>
        <v>Onsite / Back-up power</v>
      </c>
      <c r="AB491" t="str">
        <f t="shared" si="1338"/>
        <v>Flexibility</v>
      </c>
      <c r="AC491">
        <f t="shared" ca="1" si="1339"/>
        <v>0</v>
      </c>
      <c r="AD491">
        <v>432</v>
      </c>
      <c r="AE491" t="str">
        <f>IF(AND(ISNUMBER(SEARCH(O491,4)),ISNUMBER(SEARCH('(4) FCH pathway assessment'!$B$16,AB491)),ISNUMBER(SEARCH('(4) FCH pathway assessment'!$B$10,AA491))),AD491,"")</f>
        <v/>
      </c>
      <c r="AF491" t="str">
        <f t="shared" si="1199"/>
        <v/>
      </c>
      <c r="AG491" t="str">
        <f>VLOOKUP(C491,Assumptions!$B$116:$C$162,2,FALSE)</f>
        <v>BIO_GSF_MED_C</v>
      </c>
      <c r="AH491" t="str">
        <f>VLOOKUP(D491,Assumptions!$B$116:$C$162,2,FALSE)</f>
        <v>C_GAS_STRG</v>
      </c>
      <c r="AI491" t="str">
        <f>VLOOKUP(E491,Assumptions!$B$116:$C$162,2,FALSE)</f>
        <v>H2_T&amp;D_P</v>
      </c>
      <c r="AJ491" t="str">
        <f>VLOOKUP(F491,Assumptions!$B$116:$C$162,2,FALSE)</f>
        <v>H2_FC_PWR</v>
      </c>
    </row>
    <row r="492" spans="2:36" x14ac:dyDescent="0.25">
      <c r="B492" t="s">
        <v>117</v>
      </c>
      <c r="C492" t="s">
        <v>53</v>
      </c>
      <c r="D492" t="s">
        <v>155</v>
      </c>
      <c r="E492" t="s">
        <v>66</v>
      </c>
      <c r="F492" t="s">
        <v>164</v>
      </c>
      <c r="G492" t="s">
        <v>126</v>
      </c>
      <c r="H492" t="s">
        <v>433</v>
      </c>
      <c r="I492" t="s">
        <v>32</v>
      </c>
      <c r="J492" t="s">
        <v>80</v>
      </c>
      <c r="K492">
        <f t="shared" si="1326"/>
        <v>0</v>
      </c>
      <c r="L492">
        <f t="shared" si="1327"/>
        <v>1</v>
      </c>
      <c r="M492">
        <f t="shared" si="1328"/>
        <v>1</v>
      </c>
      <c r="N492">
        <f t="shared" si="1329"/>
        <v>1</v>
      </c>
      <c r="O492">
        <f t="shared" si="1330"/>
        <v>3</v>
      </c>
      <c r="P492" t="str">
        <f t="shared" si="1331"/>
        <v>Medium centralized biomass gasification-Flexibility</v>
      </c>
      <c r="Q492" t="str">
        <f t="shared" si="1332"/>
        <v>Central gas storage-Flexibility</v>
      </c>
      <c r="R492" t="str">
        <f t="shared" si="1333"/>
        <v>Onsite-Flexibility</v>
      </c>
      <c r="S492" t="str">
        <f t="shared" si="1334"/>
        <v>Prime power H2 fuel cell-Flexibility</v>
      </c>
      <c r="T492">
        <f ca="1">VLOOKUP($P492,'TA database'!$I$8:$J$79,2,FALSE)</f>
        <v>0</v>
      </c>
      <c r="U492">
        <v>0</v>
      </c>
      <c r="V492">
        <v>0</v>
      </c>
      <c r="W492">
        <v>0</v>
      </c>
      <c r="X492">
        <v>0</v>
      </c>
      <c r="Y492">
        <f t="shared" ca="1" si="1335"/>
        <v>0</v>
      </c>
      <c r="Z492" t="str">
        <f t="shared" si="1336"/>
        <v>BIO_GSF_MED_C   →   C_GAS_STRG   →   ONSITE_USE   →   H2_FC_PWR</v>
      </c>
      <c r="AA492" t="str">
        <f t="shared" si="1337"/>
        <v>Onsite / Back-up power</v>
      </c>
      <c r="AB492" t="str">
        <f t="shared" si="1338"/>
        <v>Flexibility</v>
      </c>
      <c r="AC492">
        <f t="shared" ca="1" si="1339"/>
        <v>0</v>
      </c>
      <c r="AD492">
        <v>433</v>
      </c>
      <c r="AE492" t="str">
        <f>IF(AND(ISNUMBER(SEARCH(O492,4)),ISNUMBER(SEARCH('(4) FCH pathway assessment'!$B$16,AB492)),ISNUMBER(SEARCH('(4) FCH pathway assessment'!$B$10,AA492))),AD492,"")</f>
        <v/>
      </c>
      <c r="AF492" t="str">
        <f t="shared" si="1199"/>
        <v/>
      </c>
      <c r="AG492" t="str">
        <f>VLOOKUP(C492,Assumptions!$B$116:$C$162,2,FALSE)</f>
        <v>BIO_GSF_MED_C</v>
      </c>
      <c r="AH492" t="str">
        <f>VLOOKUP(D492,Assumptions!$B$116:$C$162,2,FALSE)</f>
        <v>C_GAS_STRG</v>
      </c>
      <c r="AI492" t="str">
        <f>VLOOKUP(E492,Assumptions!$B$116:$C$162,2,FALSE)</f>
        <v>ONSITE_USE</v>
      </c>
      <c r="AJ492" t="str">
        <f>VLOOKUP(F492,Assumptions!$B$116:$C$162,2,FALSE)</f>
        <v>H2_FC_PWR</v>
      </c>
    </row>
    <row r="493" spans="2:36" x14ac:dyDescent="0.25">
      <c r="B493" t="s">
        <v>117</v>
      </c>
      <c r="C493" t="s">
        <v>54</v>
      </c>
      <c r="D493" t="s">
        <v>155</v>
      </c>
      <c r="E493" t="s">
        <v>157</v>
      </c>
      <c r="F493" t="s">
        <v>164</v>
      </c>
      <c r="G493" t="s">
        <v>126</v>
      </c>
      <c r="H493" t="s">
        <v>433</v>
      </c>
      <c r="I493" t="s">
        <v>32</v>
      </c>
      <c r="J493" t="s">
        <v>80</v>
      </c>
      <c r="K493">
        <f t="shared" si="1326"/>
        <v>0</v>
      </c>
      <c r="L493">
        <f t="shared" si="1327"/>
        <v>1</v>
      </c>
      <c r="M493">
        <f t="shared" si="1328"/>
        <v>0</v>
      </c>
      <c r="N493">
        <f t="shared" si="1329"/>
        <v>1</v>
      </c>
      <c r="O493">
        <f t="shared" si="1330"/>
        <v>2</v>
      </c>
      <c r="P493" t="str">
        <f t="shared" si="1331"/>
        <v>Medium centralized biomass gasification w/ CCS-Flexibility</v>
      </c>
      <c r="Q493" t="str">
        <f t="shared" si="1332"/>
        <v>Central gas storage-Flexibility</v>
      </c>
      <c r="R493" t="str">
        <f t="shared" si="1333"/>
        <v>Blending in natural gas pipeline-Flexibility</v>
      </c>
      <c r="S493" t="str">
        <f t="shared" si="1334"/>
        <v>Prime power H2 fuel cell-Flexibility</v>
      </c>
      <c r="T493">
        <f ca="1">VLOOKUP($P493,'TA database'!$I$8:$J$79,2,FALSE)</f>
        <v>0</v>
      </c>
      <c r="U493">
        <v>0</v>
      </c>
      <c r="V493">
        <v>0</v>
      </c>
      <c r="W493">
        <v>0</v>
      </c>
      <c r="X493">
        <v>0</v>
      </c>
      <c r="Y493">
        <f t="shared" ca="1" si="1335"/>
        <v>0</v>
      </c>
      <c r="Z493" t="str">
        <f t="shared" si="1336"/>
        <v>BIO_GSF_CCS_MED_C   →   C_GAS_STRG   →   H2_BLND_NG_P   →   H2_FC_PWR</v>
      </c>
      <c r="AA493" t="str">
        <f t="shared" si="1337"/>
        <v>Onsite / Back-up power</v>
      </c>
      <c r="AB493" t="str">
        <f t="shared" si="1338"/>
        <v>Flexibility</v>
      </c>
      <c r="AC493">
        <f t="shared" ca="1" si="1339"/>
        <v>0</v>
      </c>
      <c r="AD493">
        <v>434</v>
      </c>
      <c r="AE493" t="str">
        <f>IF(AND(ISNUMBER(SEARCH(O493,4)),ISNUMBER(SEARCH('(4) FCH pathway assessment'!$B$16,AB493)),ISNUMBER(SEARCH('(4) FCH pathway assessment'!$B$10,AA493))),AD493,"")</f>
        <v/>
      </c>
      <c r="AF493" t="str">
        <f t="shared" si="1199"/>
        <v/>
      </c>
      <c r="AG493" t="str">
        <f>VLOOKUP(C493,Assumptions!$B$116:$C$162,2,FALSE)</f>
        <v>BIO_GSF_CCS_MED_C</v>
      </c>
      <c r="AH493" t="str">
        <f>VLOOKUP(D493,Assumptions!$B$116:$C$162,2,FALSE)</f>
        <v>C_GAS_STRG</v>
      </c>
      <c r="AI493" t="str">
        <f>VLOOKUP(E493,Assumptions!$B$116:$C$162,2,FALSE)</f>
        <v>H2_BLND_NG_P</v>
      </c>
      <c r="AJ493" t="str">
        <f>VLOOKUP(F493,Assumptions!$B$116:$C$162,2,FALSE)</f>
        <v>H2_FC_PWR</v>
      </c>
    </row>
    <row r="494" spans="2:36" x14ac:dyDescent="0.25">
      <c r="B494" t="s">
        <v>117</v>
      </c>
      <c r="C494" t="s">
        <v>54</v>
      </c>
      <c r="D494" t="s">
        <v>155</v>
      </c>
      <c r="E494" t="s">
        <v>122</v>
      </c>
      <c r="F494" t="s">
        <v>164</v>
      </c>
      <c r="G494" t="s">
        <v>126</v>
      </c>
      <c r="H494" t="s">
        <v>433</v>
      </c>
      <c r="I494" t="s">
        <v>32</v>
      </c>
      <c r="J494" t="s">
        <v>80</v>
      </c>
      <c r="K494">
        <f t="shared" si="1326"/>
        <v>0</v>
      </c>
      <c r="L494">
        <f t="shared" si="1327"/>
        <v>1</v>
      </c>
      <c r="M494">
        <f t="shared" si="1328"/>
        <v>1</v>
      </c>
      <c r="N494">
        <f t="shared" si="1329"/>
        <v>1</v>
      </c>
      <c r="O494">
        <f t="shared" si="1330"/>
        <v>3</v>
      </c>
      <c r="P494" t="str">
        <f t="shared" si="1331"/>
        <v>Medium centralized biomass gasification w/ CCS-Flexibility</v>
      </c>
      <c r="Q494" t="str">
        <f t="shared" si="1332"/>
        <v>Central gas storage-Flexibility</v>
      </c>
      <c r="R494" t="str">
        <f t="shared" si="1333"/>
        <v>Hydrogen transmission &amp; distribution pipeline-Flexibility</v>
      </c>
      <c r="S494" t="str">
        <f t="shared" si="1334"/>
        <v>Prime power H2 fuel cell-Flexibility</v>
      </c>
      <c r="T494">
        <f ca="1">VLOOKUP($P494,'TA database'!$I$8:$J$79,2,FALSE)</f>
        <v>0</v>
      </c>
      <c r="U494">
        <v>0</v>
      </c>
      <c r="V494">
        <v>0</v>
      </c>
      <c r="W494">
        <v>0</v>
      </c>
      <c r="X494">
        <v>0</v>
      </c>
      <c r="Y494">
        <f t="shared" ca="1" si="1335"/>
        <v>0</v>
      </c>
      <c r="Z494" t="str">
        <f t="shared" si="1336"/>
        <v>BIO_GSF_CCS_MED_C   →   C_GAS_STRG   →   H2_T&amp;D_P   →   H2_FC_PWR</v>
      </c>
      <c r="AA494" t="str">
        <f t="shared" si="1337"/>
        <v>Onsite / Back-up power</v>
      </c>
      <c r="AB494" t="str">
        <f t="shared" si="1338"/>
        <v>Flexibility</v>
      </c>
      <c r="AC494">
        <f t="shared" ca="1" si="1339"/>
        <v>0</v>
      </c>
      <c r="AD494">
        <v>435</v>
      </c>
      <c r="AE494" t="str">
        <f>IF(AND(ISNUMBER(SEARCH(O494,4)),ISNUMBER(SEARCH('(4) FCH pathway assessment'!$B$16,AB494)),ISNUMBER(SEARCH('(4) FCH pathway assessment'!$B$10,AA494))),AD494,"")</f>
        <v/>
      </c>
      <c r="AF494" t="str">
        <f t="shared" si="1199"/>
        <v/>
      </c>
      <c r="AG494" t="str">
        <f>VLOOKUP(C494,Assumptions!$B$116:$C$162,2,FALSE)</f>
        <v>BIO_GSF_CCS_MED_C</v>
      </c>
      <c r="AH494" t="str">
        <f>VLOOKUP(D494,Assumptions!$B$116:$C$162,2,FALSE)</f>
        <v>C_GAS_STRG</v>
      </c>
      <c r="AI494" t="str">
        <f>VLOOKUP(E494,Assumptions!$B$116:$C$162,2,FALSE)</f>
        <v>H2_T&amp;D_P</v>
      </c>
      <c r="AJ494" t="str">
        <f>VLOOKUP(F494,Assumptions!$B$116:$C$162,2,FALSE)</f>
        <v>H2_FC_PWR</v>
      </c>
    </row>
    <row r="495" spans="2:36" x14ac:dyDescent="0.25">
      <c r="B495" t="s">
        <v>117</v>
      </c>
      <c r="C495" t="s">
        <v>54</v>
      </c>
      <c r="D495" t="s">
        <v>155</v>
      </c>
      <c r="E495" t="s">
        <v>66</v>
      </c>
      <c r="F495" t="s">
        <v>164</v>
      </c>
      <c r="G495" t="s">
        <v>126</v>
      </c>
      <c r="H495" t="s">
        <v>433</v>
      </c>
      <c r="I495" t="s">
        <v>32</v>
      </c>
      <c r="J495" t="s">
        <v>80</v>
      </c>
      <c r="K495">
        <f t="shared" si="1326"/>
        <v>0</v>
      </c>
      <c r="L495">
        <f t="shared" si="1327"/>
        <v>1</v>
      </c>
      <c r="M495">
        <f t="shared" si="1328"/>
        <v>1</v>
      </c>
      <c r="N495">
        <f t="shared" si="1329"/>
        <v>1</v>
      </c>
      <c r="O495">
        <f t="shared" si="1330"/>
        <v>3</v>
      </c>
      <c r="P495" t="str">
        <f t="shared" si="1331"/>
        <v>Medium centralized biomass gasification w/ CCS-Flexibility</v>
      </c>
      <c r="Q495" t="str">
        <f t="shared" si="1332"/>
        <v>Central gas storage-Flexibility</v>
      </c>
      <c r="R495" t="str">
        <f t="shared" si="1333"/>
        <v>Onsite-Flexibility</v>
      </c>
      <c r="S495" t="str">
        <f t="shared" si="1334"/>
        <v>Prime power H2 fuel cell-Flexibility</v>
      </c>
      <c r="T495">
        <f ca="1">VLOOKUP($P495,'TA database'!$I$8:$J$79,2,FALSE)</f>
        <v>0</v>
      </c>
      <c r="U495">
        <v>0</v>
      </c>
      <c r="V495">
        <v>0</v>
      </c>
      <c r="W495">
        <v>0</v>
      </c>
      <c r="X495">
        <v>0</v>
      </c>
      <c r="Y495">
        <f t="shared" ca="1" si="1335"/>
        <v>0</v>
      </c>
      <c r="Z495" t="str">
        <f t="shared" si="1336"/>
        <v>BIO_GSF_CCS_MED_C   →   C_GAS_STRG   →   ONSITE_USE   →   H2_FC_PWR</v>
      </c>
      <c r="AA495" t="str">
        <f t="shared" si="1337"/>
        <v>Onsite / Back-up power</v>
      </c>
      <c r="AB495" t="str">
        <f t="shared" si="1338"/>
        <v>Flexibility</v>
      </c>
      <c r="AC495">
        <f t="shared" ca="1" si="1339"/>
        <v>0</v>
      </c>
      <c r="AD495">
        <v>436</v>
      </c>
      <c r="AE495" t="str">
        <f>IF(AND(ISNUMBER(SEARCH(O495,4)),ISNUMBER(SEARCH('(4) FCH pathway assessment'!$B$16,AB495)),ISNUMBER(SEARCH('(4) FCH pathway assessment'!$B$10,AA495))),AD495,"")</f>
        <v/>
      </c>
      <c r="AF495" t="str">
        <f t="shared" si="1199"/>
        <v/>
      </c>
      <c r="AG495" t="str">
        <f>VLOOKUP(C495,Assumptions!$B$116:$C$162,2,FALSE)</f>
        <v>BIO_GSF_CCS_MED_C</v>
      </c>
      <c r="AH495" t="str">
        <f>VLOOKUP(D495,Assumptions!$B$116:$C$162,2,FALSE)</f>
        <v>C_GAS_STRG</v>
      </c>
      <c r="AI495" t="str">
        <f>VLOOKUP(E495,Assumptions!$B$116:$C$162,2,FALSE)</f>
        <v>ONSITE_USE</v>
      </c>
      <c r="AJ495" t="str">
        <f>VLOOKUP(F495,Assumptions!$B$116:$C$162,2,FALSE)</f>
        <v>H2_FC_PWR</v>
      </c>
    </row>
    <row r="496" spans="2:36" x14ac:dyDescent="0.25">
      <c r="B496" t="s">
        <v>117</v>
      </c>
      <c r="C496" t="s">
        <v>55</v>
      </c>
      <c r="D496" s="60" t="s">
        <v>130</v>
      </c>
      <c r="E496" t="s">
        <v>66</v>
      </c>
      <c r="F496" t="s">
        <v>164</v>
      </c>
      <c r="G496" t="s">
        <v>126</v>
      </c>
      <c r="H496" t="s">
        <v>433</v>
      </c>
      <c r="I496" t="s">
        <v>32</v>
      </c>
      <c r="J496" t="s">
        <v>80</v>
      </c>
      <c r="K496">
        <f t="shared" ref="K496:K499" si="1340">SUMPRODUCT(($C$7:$C$18=$C496)*($D$6:$H$6=$D496)*($D$7:$H$18))</f>
        <v>0</v>
      </c>
      <c r="L496">
        <f t="shared" ref="L496:L499" si="1341">SUMPRODUCT(($C$19:$C$23=$D496)*($I$6:$O$6=$E496)*($I$19:$O$23))</f>
        <v>1</v>
      </c>
      <c r="M496">
        <f t="shared" ref="M496:M499" si="1342">SUMPRODUCT(($C$24:$C$30=$E496)*($P$6:$AI$6=$F496)*($P$24:$AI$30))</f>
        <v>1</v>
      </c>
      <c r="N496">
        <f t="shared" ref="N496:N499" si="1343">SUMPRODUCT(($C$31:$C$50=$F496)*($AJ$6:$AM$6=$G496)*($AJ$31:$AM$50))</f>
        <v>1</v>
      </c>
      <c r="O496">
        <f t="shared" ref="O496:O499" si="1344">K496+L496+M496+N496</f>
        <v>3</v>
      </c>
      <c r="P496" t="str">
        <f t="shared" ref="P496:P499" si="1345">CONCATENATE(C496,"-",J496)</f>
        <v>Small decentralized biomass gasification-Flexibility</v>
      </c>
      <c r="Q496" t="str">
        <f t="shared" ref="Q496:Q499" si="1346">CONCATENATE(D496,"-",J496)</f>
        <v>Distributed gas storage-Flexibility</v>
      </c>
      <c r="R496" t="str">
        <f t="shared" ref="R496:R499" si="1347">CONCATENATE(E496,"-",J496)</f>
        <v>Onsite-Flexibility</v>
      </c>
      <c r="S496" t="str">
        <f t="shared" ref="S496:S499" si="1348">CONCATENATE(F496,"-",J496)</f>
        <v>Prime power H2 fuel cell-Flexibility</v>
      </c>
      <c r="T496">
        <f ca="1">VLOOKUP($P496,'TA database'!$I$8:$J$79,2,FALSE)</f>
        <v>0</v>
      </c>
      <c r="U496">
        <v>0</v>
      </c>
      <c r="V496">
        <v>0</v>
      </c>
      <c r="W496">
        <v>0</v>
      </c>
      <c r="X496">
        <v>0</v>
      </c>
      <c r="Y496">
        <f t="shared" ref="Y496:Y500" ca="1" si="1349">$T496</f>
        <v>0</v>
      </c>
      <c r="Z496" t="str">
        <f t="shared" ref="Z496:Z499" si="1350">CONCATENATE(AG496,"   →   ",AH496,"   →   ",AI496,"   →   ",AJ496)</f>
        <v>BIO_GSF_SML_D   →   D_GAS_STRG   →   ONSITE_USE   →   H2_FC_PWR</v>
      </c>
      <c r="AA496" t="str">
        <f t="shared" ref="AA496:AA499" si="1351">G496</f>
        <v>Onsite / Back-up power</v>
      </c>
      <c r="AB496" t="str">
        <f t="shared" ref="AB496:AB499" si="1352">J496</f>
        <v>Flexibility</v>
      </c>
      <c r="AC496">
        <f t="shared" ref="AC496:AC499" ca="1" si="1353">Y496</f>
        <v>0</v>
      </c>
      <c r="AD496">
        <v>437</v>
      </c>
      <c r="AE496" t="str">
        <f>IF(AND(ISNUMBER(SEARCH(O496,4)),ISNUMBER(SEARCH('(4) FCH pathway assessment'!$B$16,AB496)),ISNUMBER(SEARCH('(4) FCH pathway assessment'!$B$10,AA496))),AD496,"")</f>
        <v/>
      </c>
      <c r="AF496" t="str">
        <f t="shared" si="1199"/>
        <v/>
      </c>
      <c r="AG496" t="str">
        <f>VLOOKUP(C496,Assumptions!$B$116:$C$162,2,FALSE)</f>
        <v>BIO_GSF_SML_D</v>
      </c>
      <c r="AH496" t="str">
        <f>VLOOKUP(D496,Assumptions!$B$116:$C$162,2,FALSE)</f>
        <v>D_GAS_STRG</v>
      </c>
      <c r="AI496" t="str">
        <f>VLOOKUP(E496,Assumptions!$B$116:$C$162,2,FALSE)</f>
        <v>ONSITE_USE</v>
      </c>
      <c r="AJ496" t="str">
        <f>VLOOKUP(F496,Assumptions!$B$116:$C$162,2,FALSE)</f>
        <v>H2_FC_PWR</v>
      </c>
    </row>
    <row r="497" spans="2:36" x14ac:dyDescent="0.25">
      <c r="B497" t="s">
        <v>117</v>
      </c>
      <c r="C497" t="s">
        <v>56</v>
      </c>
      <c r="D497" t="s">
        <v>62</v>
      </c>
      <c r="E497" t="s">
        <v>157</v>
      </c>
      <c r="F497" t="s">
        <v>164</v>
      </c>
      <c r="G497" t="s">
        <v>126</v>
      </c>
      <c r="H497" t="s">
        <v>433</v>
      </c>
      <c r="I497" t="s">
        <v>32</v>
      </c>
      <c r="J497" t="s">
        <v>80</v>
      </c>
      <c r="K497">
        <f t="shared" si="1340"/>
        <v>0</v>
      </c>
      <c r="L497">
        <f t="shared" si="1341"/>
        <v>0</v>
      </c>
      <c r="M497">
        <f t="shared" si="1342"/>
        <v>0</v>
      </c>
      <c r="N497">
        <f t="shared" si="1343"/>
        <v>1</v>
      </c>
      <c r="O497">
        <f t="shared" si="1344"/>
        <v>1</v>
      </c>
      <c r="P497" t="str">
        <f t="shared" si="1345"/>
        <v>Large centralized biomass steam reforming -Flexibility</v>
      </c>
      <c r="Q497" t="str">
        <f t="shared" si="1346"/>
        <v>Underground storage-Flexibility</v>
      </c>
      <c r="R497" t="str">
        <f t="shared" si="1347"/>
        <v>Blending in natural gas pipeline-Flexibility</v>
      </c>
      <c r="S497" t="str">
        <f t="shared" si="1348"/>
        <v>Prime power H2 fuel cell-Flexibility</v>
      </c>
      <c r="T497">
        <f ca="1">VLOOKUP($P497,'TA database'!$I$8:$J$79,2,FALSE)</f>
        <v>0</v>
      </c>
      <c r="U497">
        <v>0</v>
      </c>
      <c r="V497">
        <v>0</v>
      </c>
      <c r="W497">
        <v>0</v>
      </c>
      <c r="X497">
        <v>0</v>
      </c>
      <c r="Y497">
        <f t="shared" ca="1" si="1349"/>
        <v>0</v>
      </c>
      <c r="Z497" t="str">
        <f t="shared" si="1350"/>
        <v>BIO_SR_LRG_C   →   C_UNDRGRND_STRG   →   H2_BLND_NG_P   →   H2_FC_PWR</v>
      </c>
      <c r="AA497" t="str">
        <f t="shared" si="1351"/>
        <v>Onsite / Back-up power</v>
      </c>
      <c r="AB497" t="str">
        <f t="shared" si="1352"/>
        <v>Flexibility</v>
      </c>
      <c r="AC497">
        <f t="shared" ca="1" si="1353"/>
        <v>0</v>
      </c>
      <c r="AD497">
        <v>438</v>
      </c>
      <c r="AE497" t="str">
        <f>IF(AND(ISNUMBER(SEARCH(O497,4)),ISNUMBER(SEARCH('(4) FCH pathway assessment'!$B$16,AB497)),ISNUMBER(SEARCH('(4) FCH pathway assessment'!$B$10,AA497))),AD497,"")</f>
        <v/>
      </c>
      <c r="AF497" t="str">
        <f t="shared" si="1199"/>
        <v/>
      </c>
      <c r="AG497" t="str">
        <f>VLOOKUP(C497,Assumptions!$B$116:$C$162,2,FALSE)</f>
        <v>BIO_SR_LRG_C</v>
      </c>
      <c r="AH497" t="str">
        <f>VLOOKUP(D497,Assumptions!$B$116:$C$162,2,FALSE)</f>
        <v>C_UNDRGRND_STRG</v>
      </c>
      <c r="AI497" t="str">
        <f>VLOOKUP(E497,Assumptions!$B$116:$C$162,2,FALSE)</f>
        <v>H2_BLND_NG_P</v>
      </c>
      <c r="AJ497" t="str">
        <f>VLOOKUP(F497,Assumptions!$B$116:$C$162,2,FALSE)</f>
        <v>H2_FC_PWR</v>
      </c>
    </row>
    <row r="498" spans="2:36" x14ac:dyDescent="0.25">
      <c r="B498" t="s">
        <v>117</v>
      </c>
      <c r="C498" t="s">
        <v>56</v>
      </c>
      <c r="D498" t="s">
        <v>62</v>
      </c>
      <c r="E498" t="s">
        <v>122</v>
      </c>
      <c r="F498" t="s">
        <v>164</v>
      </c>
      <c r="G498" t="s">
        <v>126</v>
      </c>
      <c r="H498" t="s">
        <v>433</v>
      </c>
      <c r="I498" t="s">
        <v>32</v>
      </c>
      <c r="J498" t="s">
        <v>80</v>
      </c>
      <c r="K498">
        <f t="shared" si="1340"/>
        <v>0</v>
      </c>
      <c r="L498">
        <f t="shared" si="1341"/>
        <v>0</v>
      </c>
      <c r="M498">
        <f t="shared" si="1342"/>
        <v>1</v>
      </c>
      <c r="N498">
        <f t="shared" si="1343"/>
        <v>1</v>
      </c>
      <c r="O498">
        <f t="shared" si="1344"/>
        <v>2</v>
      </c>
      <c r="P498" t="str">
        <f t="shared" si="1345"/>
        <v>Large centralized biomass steam reforming -Flexibility</v>
      </c>
      <c r="Q498" t="str">
        <f t="shared" si="1346"/>
        <v>Underground storage-Flexibility</v>
      </c>
      <c r="R498" t="str">
        <f t="shared" si="1347"/>
        <v>Hydrogen transmission &amp; distribution pipeline-Flexibility</v>
      </c>
      <c r="S498" t="str">
        <f t="shared" si="1348"/>
        <v>Prime power H2 fuel cell-Flexibility</v>
      </c>
      <c r="T498">
        <f ca="1">VLOOKUP($P498,'TA database'!$I$8:$J$79,2,FALSE)</f>
        <v>0</v>
      </c>
      <c r="U498">
        <v>0</v>
      </c>
      <c r="V498">
        <v>0</v>
      </c>
      <c r="W498">
        <v>0</v>
      </c>
      <c r="X498">
        <v>0</v>
      </c>
      <c r="Y498">
        <f t="shared" ca="1" si="1349"/>
        <v>0</v>
      </c>
      <c r="Z498" t="str">
        <f t="shared" si="1350"/>
        <v>BIO_SR_LRG_C   →   C_UNDRGRND_STRG   →   H2_T&amp;D_P   →   H2_FC_PWR</v>
      </c>
      <c r="AA498" t="str">
        <f t="shared" si="1351"/>
        <v>Onsite / Back-up power</v>
      </c>
      <c r="AB498" t="str">
        <f t="shared" si="1352"/>
        <v>Flexibility</v>
      </c>
      <c r="AC498">
        <f t="shared" ca="1" si="1353"/>
        <v>0</v>
      </c>
      <c r="AD498">
        <v>439</v>
      </c>
      <c r="AE498" t="str">
        <f>IF(AND(ISNUMBER(SEARCH(O498,4)),ISNUMBER(SEARCH('(4) FCH pathway assessment'!$B$16,AB498)),ISNUMBER(SEARCH('(4) FCH pathway assessment'!$B$10,AA498))),AD498,"")</f>
        <v/>
      </c>
      <c r="AF498" t="str">
        <f t="shared" si="1199"/>
        <v/>
      </c>
      <c r="AG498" t="str">
        <f>VLOOKUP(C498,Assumptions!$B$116:$C$162,2,FALSE)</f>
        <v>BIO_SR_LRG_C</v>
      </c>
      <c r="AH498" t="str">
        <f>VLOOKUP(D498,Assumptions!$B$116:$C$162,2,FALSE)</f>
        <v>C_UNDRGRND_STRG</v>
      </c>
      <c r="AI498" t="str">
        <f>VLOOKUP(E498,Assumptions!$B$116:$C$162,2,FALSE)</f>
        <v>H2_T&amp;D_P</v>
      </c>
      <c r="AJ498" t="str">
        <f>VLOOKUP(F498,Assumptions!$B$116:$C$162,2,FALSE)</f>
        <v>H2_FC_PWR</v>
      </c>
    </row>
    <row r="499" spans="2:36" x14ac:dyDescent="0.25">
      <c r="B499" t="s">
        <v>117</v>
      </c>
      <c r="C499" t="s">
        <v>56</v>
      </c>
      <c r="D499" t="s">
        <v>62</v>
      </c>
      <c r="E499" t="s">
        <v>66</v>
      </c>
      <c r="F499" t="s">
        <v>164</v>
      </c>
      <c r="G499" t="s">
        <v>126</v>
      </c>
      <c r="H499" t="s">
        <v>433</v>
      </c>
      <c r="I499" t="s">
        <v>32</v>
      </c>
      <c r="J499" t="s">
        <v>80</v>
      </c>
      <c r="K499">
        <f t="shared" si="1340"/>
        <v>0</v>
      </c>
      <c r="L499">
        <f t="shared" si="1341"/>
        <v>0</v>
      </c>
      <c r="M499">
        <f t="shared" si="1342"/>
        <v>1</v>
      </c>
      <c r="N499">
        <f t="shared" si="1343"/>
        <v>1</v>
      </c>
      <c r="O499">
        <f t="shared" si="1344"/>
        <v>2</v>
      </c>
      <c r="P499" t="str">
        <f t="shared" si="1345"/>
        <v>Large centralized biomass steam reforming -Flexibility</v>
      </c>
      <c r="Q499" t="str">
        <f t="shared" si="1346"/>
        <v>Underground storage-Flexibility</v>
      </c>
      <c r="R499" t="str">
        <f t="shared" si="1347"/>
        <v>Onsite-Flexibility</v>
      </c>
      <c r="S499" t="str">
        <f t="shared" si="1348"/>
        <v>Prime power H2 fuel cell-Flexibility</v>
      </c>
      <c r="T499">
        <f ca="1">VLOOKUP($P499,'TA database'!$I$8:$J$79,2,FALSE)</f>
        <v>0</v>
      </c>
      <c r="U499">
        <v>0</v>
      </c>
      <c r="V499">
        <v>0</v>
      </c>
      <c r="W499">
        <v>0</v>
      </c>
      <c r="X499">
        <v>0</v>
      </c>
      <c r="Y499">
        <f t="shared" ca="1" si="1349"/>
        <v>0</v>
      </c>
      <c r="Z499" t="str">
        <f t="shared" si="1350"/>
        <v>BIO_SR_LRG_C   →   C_UNDRGRND_STRG   →   ONSITE_USE   →   H2_FC_PWR</v>
      </c>
      <c r="AA499" t="str">
        <f t="shared" si="1351"/>
        <v>Onsite / Back-up power</v>
      </c>
      <c r="AB499" t="str">
        <f t="shared" si="1352"/>
        <v>Flexibility</v>
      </c>
      <c r="AC499">
        <f t="shared" ca="1" si="1353"/>
        <v>0</v>
      </c>
      <c r="AD499">
        <v>440</v>
      </c>
      <c r="AE499" t="str">
        <f>IF(AND(ISNUMBER(SEARCH(O499,4)),ISNUMBER(SEARCH('(4) FCH pathway assessment'!$B$16,AB499)),ISNUMBER(SEARCH('(4) FCH pathway assessment'!$B$10,AA499))),AD499,"")</f>
        <v/>
      </c>
      <c r="AF499" t="str">
        <f t="shared" si="1199"/>
        <v/>
      </c>
      <c r="AG499" t="str">
        <f>VLOOKUP(C499,Assumptions!$B$116:$C$162,2,FALSE)</f>
        <v>BIO_SR_LRG_C</v>
      </c>
      <c r="AH499" t="str">
        <f>VLOOKUP(D499,Assumptions!$B$116:$C$162,2,FALSE)</f>
        <v>C_UNDRGRND_STRG</v>
      </c>
      <c r="AI499" t="str">
        <f>VLOOKUP(E499,Assumptions!$B$116:$C$162,2,FALSE)</f>
        <v>ONSITE_USE</v>
      </c>
      <c r="AJ499" t="str">
        <f>VLOOKUP(F499,Assumptions!$B$116:$C$162,2,FALSE)</f>
        <v>H2_FC_PWR</v>
      </c>
    </row>
    <row r="500" spans="2:36" x14ac:dyDescent="0.25">
      <c r="B500" t="s">
        <v>117</v>
      </c>
      <c r="C500" t="s">
        <v>56</v>
      </c>
      <c r="D500" s="61" t="s">
        <v>63</v>
      </c>
      <c r="E500" t="s">
        <v>122</v>
      </c>
      <c r="F500" t="s">
        <v>164</v>
      </c>
      <c r="G500" t="s">
        <v>126</v>
      </c>
      <c r="H500" t="s">
        <v>433</v>
      </c>
      <c r="I500" t="s">
        <v>32</v>
      </c>
      <c r="J500" t="s">
        <v>80</v>
      </c>
      <c r="K500">
        <f t="shared" ref="K500:K506" si="1354">SUMPRODUCT(($C$7:$C$18=$C500)*($D$6:$H$6=$D500)*($D$7:$H$18))</f>
        <v>0</v>
      </c>
      <c r="L500">
        <f t="shared" ref="L500:L506" si="1355">SUMPRODUCT(($C$19:$C$23=$D500)*($I$6:$O$6=$E500)*($I$19:$O$23))</f>
        <v>1</v>
      </c>
      <c r="M500">
        <f t="shared" ref="M500:M506" si="1356">SUMPRODUCT(($C$24:$C$30=$E500)*($P$6:$AI$6=$F500)*($P$24:$AI$30))</f>
        <v>1</v>
      </c>
      <c r="N500">
        <f t="shared" ref="N500:N506" si="1357">SUMPRODUCT(($C$31:$C$50=$F500)*($AJ$6:$AM$6=$G500)*($AJ$31:$AM$50))</f>
        <v>1</v>
      </c>
      <c r="O500">
        <f t="shared" ref="O500:O506" si="1358">K500+L500+M500+N500</f>
        <v>3</v>
      </c>
      <c r="P500" t="str">
        <f t="shared" ref="P500:P506" si="1359">CONCATENATE(C500,"-",J500)</f>
        <v>Large centralized biomass steam reforming -Flexibility</v>
      </c>
      <c r="Q500" t="str">
        <f t="shared" ref="Q500:Q506" si="1360">CONCATENATE(D500,"-",J500)</f>
        <v>No storage-Flexibility</v>
      </c>
      <c r="R500" t="str">
        <f t="shared" ref="R500:R506" si="1361">CONCATENATE(E500,"-",J500)</f>
        <v>Hydrogen transmission &amp; distribution pipeline-Flexibility</v>
      </c>
      <c r="S500" t="str">
        <f t="shared" ref="S500:S506" si="1362">CONCATENATE(F500,"-",J500)</f>
        <v>Prime power H2 fuel cell-Flexibility</v>
      </c>
      <c r="T500">
        <f ca="1">VLOOKUP($P500,'TA database'!$I$8:$J$79,2,FALSE)</f>
        <v>0</v>
      </c>
      <c r="U500">
        <v>0</v>
      </c>
      <c r="V500">
        <v>0</v>
      </c>
      <c r="W500">
        <v>0</v>
      </c>
      <c r="X500">
        <v>0</v>
      </c>
      <c r="Y500">
        <f t="shared" ca="1" si="1349"/>
        <v>0</v>
      </c>
      <c r="Z500" t="str">
        <f t="shared" ref="Z500:Z506" si="1363">CONCATENATE(AG500,"   →   ",AH500,"   →   ",AI500,"   →   ",AJ500)</f>
        <v>BIO_SR_LRG_C   →   NO_STRG   →   H2_T&amp;D_P   →   H2_FC_PWR</v>
      </c>
      <c r="AA500" t="str">
        <f t="shared" ref="AA500:AA506" si="1364">G500</f>
        <v>Onsite / Back-up power</v>
      </c>
      <c r="AB500" t="str">
        <f t="shared" ref="AB500:AB506" si="1365">J500</f>
        <v>Flexibility</v>
      </c>
      <c r="AC500">
        <f t="shared" ref="AC500:AC506" ca="1" si="1366">Y500</f>
        <v>0</v>
      </c>
      <c r="AD500">
        <v>441</v>
      </c>
      <c r="AE500" t="str">
        <f>IF(AND(ISNUMBER(SEARCH(O500,4)),ISNUMBER(SEARCH('(4) FCH pathway assessment'!$B$16,AB500)),ISNUMBER(SEARCH('(4) FCH pathway assessment'!$B$10,AA500))),AD500,"")</f>
        <v/>
      </c>
      <c r="AF500" t="str">
        <f t="shared" si="1199"/>
        <v/>
      </c>
      <c r="AG500" t="str">
        <f>VLOOKUP(C500,Assumptions!$B$116:$C$162,2,FALSE)</f>
        <v>BIO_SR_LRG_C</v>
      </c>
      <c r="AH500" t="str">
        <f>VLOOKUP(D500,Assumptions!$B$116:$C$162,2,FALSE)</f>
        <v>NO_STRG</v>
      </c>
      <c r="AI500" t="str">
        <f>VLOOKUP(E500,Assumptions!$B$116:$C$162,2,FALSE)</f>
        <v>H2_T&amp;D_P</v>
      </c>
      <c r="AJ500" t="str">
        <f>VLOOKUP(F500,Assumptions!$B$116:$C$162,2,FALSE)</f>
        <v>H2_FC_PWR</v>
      </c>
    </row>
    <row r="501" spans="2:36" x14ac:dyDescent="0.25">
      <c r="B501" t="s">
        <v>112</v>
      </c>
      <c r="C501" t="s">
        <v>49</v>
      </c>
      <c r="D501" t="s">
        <v>62</v>
      </c>
      <c r="E501" t="s">
        <v>157</v>
      </c>
      <c r="F501" t="s">
        <v>164</v>
      </c>
      <c r="G501" t="s">
        <v>126</v>
      </c>
      <c r="H501" t="s">
        <v>433</v>
      </c>
      <c r="I501" t="s">
        <v>32</v>
      </c>
      <c r="J501" t="s">
        <v>80</v>
      </c>
      <c r="K501">
        <f t="shared" si="1354"/>
        <v>1</v>
      </c>
      <c r="L501">
        <f t="shared" si="1355"/>
        <v>0</v>
      </c>
      <c r="M501">
        <f t="shared" si="1356"/>
        <v>0</v>
      </c>
      <c r="N501">
        <f t="shared" si="1357"/>
        <v>1</v>
      </c>
      <c r="O501">
        <f t="shared" si="1358"/>
        <v>2</v>
      </c>
      <c r="P501" t="str">
        <f t="shared" si="1359"/>
        <v>Large centralized electrolysis-Flexibility</v>
      </c>
      <c r="Q501" t="str">
        <f t="shared" si="1360"/>
        <v>Underground storage-Flexibility</v>
      </c>
      <c r="R501" t="str">
        <f t="shared" si="1361"/>
        <v>Blending in natural gas pipeline-Flexibility</v>
      </c>
      <c r="S501" t="str">
        <f t="shared" si="1362"/>
        <v>Prime power H2 fuel cell-Flexibility</v>
      </c>
      <c r="T501">
        <f ca="1">VLOOKUP($P501,'TA database'!$I$8:$J$79,2,FALSE)</f>
        <v>1</v>
      </c>
      <c r="U501">
        <v>0</v>
      </c>
      <c r="V501">
        <v>0</v>
      </c>
      <c r="W501">
        <v>0</v>
      </c>
      <c r="X501">
        <v>0</v>
      </c>
      <c r="Y501">
        <f t="shared" ref="Y501:Y509" ca="1" si="1367">$T501</f>
        <v>1</v>
      </c>
      <c r="Z501" t="str">
        <f t="shared" si="1363"/>
        <v>ELCTRLYZ_LRG_C   →   C_UNDRGRND_STRG   →   H2_BLND_NG_P   →   H2_FC_PWR</v>
      </c>
      <c r="AA501" t="str">
        <f t="shared" si="1364"/>
        <v>Onsite / Back-up power</v>
      </c>
      <c r="AB501" t="str">
        <f t="shared" si="1365"/>
        <v>Flexibility</v>
      </c>
      <c r="AC501">
        <f t="shared" ca="1" si="1366"/>
        <v>1</v>
      </c>
      <c r="AD501">
        <v>442</v>
      </c>
      <c r="AE501" t="str">
        <f>IF(AND(ISNUMBER(SEARCH(O501,4)),ISNUMBER(SEARCH('(4) FCH pathway assessment'!$B$16,AB501)),ISNUMBER(SEARCH('(4) FCH pathway assessment'!$B$10,AA501))),AD501,"")</f>
        <v/>
      </c>
      <c r="AF501" t="str">
        <f t="shared" si="1199"/>
        <v/>
      </c>
      <c r="AG501" t="str">
        <f>VLOOKUP(C501,Assumptions!$B$116:$C$162,2,FALSE)</f>
        <v>ELCTRLYZ_LRG_C</v>
      </c>
      <c r="AH501" t="str">
        <f>VLOOKUP(D501,Assumptions!$B$116:$C$162,2,FALSE)</f>
        <v>C_UNDRGRND_STRG</v>
      </c>
      <c r="AI501" t="str">
        <f>VLOOKUP(E501,Assumptions!$B$116:$C$162,2,FALSE)</f>
        <v>H2_BLND_NG_P</v>
      </c>
      <c r="AJ501" t="str">
        <f>VLOOKUP(F501,Assumptions!$B$116:$C$162,2,FALSE)</f>
        <v>H2_FC_PWR</v>
      </c>
    </row>
    <row r="502" spans="2:36" x14ac:dyDescent="0.25">
      <c r="B502" t="s">
        <v>112</v>
      </c>
      <c r="C502" t="s">
        <v>49</v>
      </c>
      <c r="D502" t="s">
        <v>62</v>
      </c>
      <c r="E502" t="s">
        <v>122</v>
      </c>
      <c r="F502" t="s">
        <v>164</v>
      </c>
      <c r="G502" t="s">
        <v>126</v>
      </c>
      <c r="H502" t="s">
        <v>433</v>
      </c>
      <c r="I502" t="s">
        <v>32</v>
      </c>
      <c r="J502" t="s">
        <v>80</v>
      </c>
      <c r="K502">
        <f t="shared" si="1354"/>
        <v>1</v>
      </c>
      <c r="L502">
        <f t="shared" si="1355"/>
        <v>0</v>
      </c>
      <c r="M502">
        <f t="shared" si="1356"/>
        <v>1</v>
      </c>
      <c r="N502">
        <f t="shared" si="1357"/>
        <v>1</v>
      </c>
      <c r="O502">
        <f t="shared" si="1358"/>
        <v>3</v>
      </c>
      <c r="P502" t="str">
        <f t="shared" si="1359"/>
        <v>Large centralized electrolysis-Flexibility</v>
      </c>
      <c r="Q502" t="str">
        <f t="shared" si="1360"/>
        <v>Underground storage-Flexibility</v>
      </c>
      <c r="R502" t="str">
        <f t="shared" si="1361"/>
        <v>Hydrogen transmission &amp; distribution pipeline-Flexibility</v>
      </c>
      <c r="S502" t="str">
        <f t="shared" si="1362"/>
        <v>Prime power H2 fuel cell-Flexibility</v>
      </c>
      <c r="T502">
        <f ca="1">VLOOKUP($P502,'TA database'!$I$8:$J$79,2,FALSE)</f>
        <v>1</v>
      </c>
      <c r="U502">
        <v>0</v>
      </c>
      <c r="V502">
        <v>0</v>
      </c>
      <c r="W502">
        <v>0</v>
      </c>
      <c r="X502">
        <v>0</v>
      </c>
      <c r="Y502">
        <f t="shared" ca="1" si="1367"/>
        <v>1</v>
      </c>
      <c r="Z502" t="str">
        <f t="shared" si="1363"/>
        <v>ELCTRLYZ_LRG_C   →   C_UNDRGRND_STRG   →   H2_T&amp;D_P   →   H2_FC_PWR</v>
      </c>
      <c r="AA502" t="str">
        <f t="shared" si="1364"/>
        <v>Onsite / Back-up power</v>
      </c>
      <c r="AB502" t="str">
        <f t="shared" si="1365"/>
        <v>Flexibility</v>
      </c>
      <c r="AC502">
        <f t="shared" ca="1" si="1366"/>
        <v>1</v>
      </c>
      <c r="AD502">
        <v>443</v>
      </c>
      <c r="AE502" t="str">
        <f>IF(AND(ISNUMBER(SEARCH(O502,4)),ISNUMBER(SEARCH('(4) FCH pathway assessment'!$B$16,AB502)),ISNUMBER(SEARCH('(4) FCH pathway assessment'!$B$10,AA502))),AD502,"")</f>
        <v/>
      </c>
      <c r="AF502" t="str">
        <f t="shared" si="1199"/>
        <v/>
      </c>
      <c r="AG502" t="str">
        <f>VLOOKUP(C502,Assumptions!$B$116:$C$162,2,FALSE)</f>
        <v>ELCTRLYZ_LRG_C</v>
      </c>
      <c r="AH502" t="str">
        <f>VLOOKUP(D502,Assumptions!$B$116:$C$162,2,FALSE)</f>
        <v>C_UNDRGRND_STRG</v>
      </c>
      <c r="AI502" t="str">
        <f>VLOOKUP(E502,Assumptions!$B$116:$C$162,2,FALSE)</f>
        <v>H2_T&amp;D_P</v>
      </c>
      <c r="AJ502" t="str">
        <f>VLOOKUP(F502,Assumptions!$B$116:$C$162,2,FALSE)</f>
        <v>H2_FC_PWR</v>
      </c>
    </row>
    <row r="503" spans="2:36" x14ac:dyDescent="0.25">
      <c r="B503" t="s">
        <v>112</v>
      </c>
      <c r="C503" t="s">
        <v>49</v>
      </c>
      <c r="D503" t="s">
        <v>62</v>
      </c>
      <c r="E503" t="s">
        <v>66</v>
      </c>
      <c r="F503" t="s">
        <v>164</v>
      </c>
      <c r="G503" t="s">
        <v>126</v>
      </c>
      <c r="H503" t="s">
        <v>433</v>
      </c>
      <c r="I503" t="s">
        <v>32</v>
      </c>
      <c r="J503" t="s">
        <v>80</v>
      </c>
      <c r="K503">
        <f t="shared" si="1354"/>
        <v>1</v>
      </c>
      <c r="L503">
        <f t="shared" si="1355"/>
        <v>0</v>
      </c>
      <c r="M503">
        <f t="shared" si="1356"/>
        <v>1</v>
      </c>
      <c r="N503">
        <f t="shared" si="1357"/>
        <v>1</v>
      </c>
      <c r="O503">
        <f t="shared" si="1358"/>
        <v>3</v>
      </c>
      <c r="P503" t="str">
        <f t="shared" si="1359"/>
        <v>Large centralized electrolysis-Flexibility</v>
      </c>
      <c r="Q503" t="str">
        <f t="shared" si="1360"/>
        <v>Underground storage-Flexibility</v>
      </c>
      <c r="R503" t="str">
        <f t="shared" si="1361"/>
        <v>Onsite-Flexibility</v>
      </c>
      <c r="S503" t="str">
        <f t="shared" si="1362"/>
        <v>Prime power H2 fuel cell-Flexibility</v>
      </c>
      <c r="T503">
        <f ca="1">VLOOKUP($P503,'TA database'!$I$8:$J$79,2,FALSE)</f>
        <v>1</v>
      </c>
      <c r="U503">
        <v>0</v>
      </c>
      <c r="V503">
        <v>0</v>
      </c>
      <c r="W503">
        <v>0</v>
      </c>
      <c r="X503">
        <v>0</v>
      </c>
      <c r="Y503">
        <f t="shared" ca="1" si="1367"/>
        <v>1</v>
      </c>
      <c r="Z503" t="str">
        <f t="shared" si="1363"/>
        <v>ELCTRLYZ_LRG_C   →   C_UNDRGRND_STRG   →   ONSITE_USE   →   H2_FC_PWR</v>
      </c>
      <c r="AA503" t="str">
        <f t="shared" si="1364"/>
        <v>Onsite / Back-up power</v>
      </c>
      <c r="AB503" t="str">
        <f t="shared" si="1365"/>
        <v>Flexibility</v>
      </c>
      <c r="AC503">
        <f t="shared" ca="1" si="1366"/>
        <v>1</v>
      </c>
      <c r="AD503">
        <v>444</v>
      </c>
      <c r="AE503" t="str">
        <f>IF(AND(ISNUMBER(SEARCH(O503,4)),ISNUMBER(SEARCH('(4) FCH pathway assessment'!$B$16,AB503)),ISNUMBER(SEARCH('(4) FCH pathway assessment'!$B$10,AA503))),AD503,"")</f>
        <v/>
      </c>
      <c r="AF503" t="str">
        <f t="shared" si="1199"/>
        <v/>
      </c>
      <c r="AG503" t="str">
        <f>VLOOKUP(C503,Assumptions!$B$116:$C$162,2,FALSE)</f>
        <v>ELCTRLYZ_LRG_C</v>
      </c>
      <c r="AH503" t="str">
        <f>VLOOKUP(D503,Assumptions!$B$116:$C$162,2,FALSE)</f>
        <v>C_UNDRGRND_STRG</v>
      </c>
      <c r="AI503" t="str">
        <f>VLOOKUP(E503,Assumptions!$B$116:$C$162,2,FALSE)</f>
        <v>ONSITE_USE</v>
      </c>
      <c r="AJ503" t="str">
        <f>VLOOKUP(F503,Assumptions!$B$116:$C$162,2,FALSE)</f>
        <v>H2_FC_PWR</v>
      </c>
    </row>
    <row r="504" spans="2:36" x14ac:dyDescent="0.25">
      <c r="B504" t="s">
        <v>112</v>
      </c>
      <c r="C504" t="s">
        <v>49</v>
      </c>
      <c r="D504" t="s">
        <v>155</v>
      </c>
      <c r="E504" t="s">
        <v>157</v>
      </c>
      <c r="F504" t="s">
        <v>164</v>
      </c>
      <c r="G504" t="s">
        <v>126</v>
      </c>
      <c r="H504" t="s">
        <v>433</v>
      </c>
      <c r="I504" t="s">
        <v>32</v>
      </c>
      <c r="J504" t="s">
        <v>80</v>
      </c>
      <c r="K504">
        <f t="shared" si="1354"/>
        <v>1</v>
      </c>
      <c r="L504">
        <f t="shared" si="1355"/>
        <v>1</v>
      </c>
      <c r="M504">
        <f t="shared" si="1356"/>
        <v>0</v>
      </c>
      <c r="N504">
        <f t="shared" si="1357"/>
        <v>1</v>
      </c>
      <c r="O504">
        <f t="shared" si="1358"/>
        <v>3</v>
      </c>
      <c r="P504" t="str">
        <f t="shared" si="1359"/>
        <v>Large centralized electrolysis-Flexibility</v>
      </c>
      <c r="Q504" t="str">
        <f t="shared" si="1360"/>
        <v>Central gas storage-Flexibility</v>
      </c>
      <c r="R504" t="str">
        <f t="shared" si="1361"/>
        <v>Blending in natural gas pipeline-Flexibility</v>
      </c>
      <c r="S504" t="str">
        <f t="shared" si="1362"/>
        <v>Prime power H2 fuel cell-Flexibility</v>
      </c>
      <c r="T504">
        <f ca="1">VLOOKUP($P504,'TA database'!$I$8:$J$79,2,FALSE)</f>
        <v>1</v>
      </c>
      <c r="U504">
        <v>0</v>
      </c>
      <c r="V504">
        <v>0</v>
      </c>
      <c r="W504">
        <v>0</v>
      </c>
      <c r="X504">
        <v>0</v>
      </c>
      <c r="Y504">
        <f t="shared" ca="1" si="1367"/>
        <v>1</v>
      </c>
      <c r="Z504" t="str">
        <f t="shared" si="1363"/>
        <v>ELCTRLYZ_LRG_C   →   C_GAS_STRG   →   H2_BLND_NG_P   →   H2_FC_PWR</v>
      </c>
      <c r="AA504" t="str">
        <f t="shared" si="1364"/>
        <v>Onsite / Back-up power</v>
      </c>
      <c r="AB504" t="str">
        <f t="shared" si="1365"/>
        <v>Flexibility</v>
      </c>
      <c r="AC504">
        <f t="shared" ca="1" si="1366"/>
        <v>1</v>
      </c>
      <c r="AD504">
        <v>445</v>
      </c>
      <c r="AE504" t="str">
        <f>IF(AND(ISNUMBER(SEARCH(O504,4)),ISNUMBER(SEARCH('(4) FCH pathway assessment'!$B$16,AB504)),ISNUMBER(SEARCH('(4) FCH pathway assessment'!$B$10,AA504))),AD504,"")</f>
        <v/>
      </c>
      <c r="AF504" t="str">
        <f t="shared" si="1199"/>
        <v/>
      </c>
      <c r="AG504" t="str">
        <f>VLOOKUP(C504,Assumptions!$B$116:$C$162,2,FALSE)</f>
        <v>ELCTRLYZ_LRG_C</v>
      </c>
      <c r="AH504" t="str">
        <f>VLOOKUP(D504,Assumptions!$B$116:$C$162,2,FALSE)</f>
        <v>C_GAS_STRG</v>
      </c>
      <c r="AI504" t="str">
        <f>VLOOKUP(E504,Assumptions!$B$116:$C$162,2,FALSE)</f>
        <v>H2_BLND_NG_P</v>
      </c>
      <c r="AJ504" t="str">
        <f>VLOOKUP(F504,Assumptions!$B$116:$C$162,2,FALSE)</f>
        <v>H2_FC_PWR</v>
      </c>
    </row>
    <row r="505" spans="2:36" x14ac:dyDescent="0.25">
      <c r="B505" t="s">
        <v>112</v>
      </c>
      <c r="C505" t="s">
        <v>49</v>
      </c>
      <c r="D505" t="s">
        <v>155</v>
      </c>
      <c r="E505" t="s">
        <v>122</v>
      </c>
      <c r="F505" t="s">
        <v>164</v>
      </c>
      <c r="G505" t="s">
        <v>126</v>
      </c>
      <c r="H505" t="s">
        <v>433</v>
      </c>
      <c r="I505" t="s">
        <v>32</v>
      </c>
      <c r="J505" t="s">
        <v>80</v>
      </c>
      <c r="K505">
        <f t="shared" si="1354"/>
        <v>1</v>
      </c>
      <c r="L505">
        <f t="shared" si="1355"/>
        <v>1</v>
      </c>
      <c r="M505">
        <f t="shared" si="1356"/>
        <v>1</v>
      </c>
      <c r="N505">
        <f t="shared" si="1357"/>
        <v>1</v>
      </c>
      <c r="O505">
        <f t="shared" si="1358"/>
        <v>4</v>
      </c>
      <c r="P505" t="str">
        <f t="shared" si="1359"/>
        <v>Large centralized electrolysis-Flexibility</v>
      </c>
      <c r="Q505" t="str">
        <f t="shared" si="1360"/>
        <v>Central gas storage-Flexibility</v>
      </c>
      <c r="R505" t="str">
        <f t="shared" si="1361"/>
        <v>Hydrogen transmission &amp; distribution pipeline-Flexibility</v>
      </c>
      <c r="S505" t="str">
        <f t="shared" si="1362"/>
        <v>Prime power H2 fuel cell-Flexibility</v>
      </c>
      <c r="T505">
        <f ca="1">VLOOKUP($P505,'TA database'!$I$8:$J$79,2,FALSE)</f>
        <v>1</v>
      </c>
      <c r="U505">
        <v>0</v>
      </c>
      <c r="V505">
        <v>0</v>
      </c>
      <c r="W505">
        <v>0</v>
      </c>
      <c r="X505">
        <v>0</v>
      </c>
      <c r="Y505">
        <f t="shared" ca="1" si="1367"/>
        <v>1</v>
      </c>
      <c r="Z505" t="str">
        <f t="shared" si="1363"/>
        <v>ELCTRLYZ_LRG_C   →   C_GAS_STRG   →   H2_T&amp;D_P   →   H2_FC_PWR</v>
      </c>
      <c r="AA505" t="str">
        <f t="shared" si="1364"/>
        <v>Onsite / Back-up power</v>
      </c>
      <c r="AB505" t="str">
        <f t="shared" si="1365"/>
        <v>Flexibility</v>
      </c>
      <c r="AC505">
        <f t="shared" ca="1" si="1366"/>
        <v>1</v>
      </c>
      <c r="AD505">
        <v>446</v>
      </c>
      <c r="AE505" t="str">
        <f>IF(AND(ISNUMBER(SEARCH(O505,4)),ISNUMBER(SEARCH('(4) FCH pathway assessment'!$B$16,AB505)),ISNUMBER(SEARCH('(4) FCH pathway assessment'!$B$10,AA505))),AD505,"")</f>
        <v/>
      </c>
      <c r="AF505" t="str">
        <f t="shared" si="1199"/>
        <v/>
      </c>
      <c r="AG505" t="str">
        <f>VLOOKUP(C505,Assumptions!$B$116:$C$162,2,FALSE)</f>
        <v>ELCTRLYZ_LRG_C</v>
      </c>
      <c r="AH505" t="str">
        <f>VLOOKUP(D505,Assumptions!$B$116:$C$162,2,FALSE)</f>
        <v>C_GAS_STRG</v>
      </c>
      <c r="AI505" t="str">
        <f>VLOOKUP(E505,Assumptions!$B$116:$C$162,2,FALSE)</f>
        <v>H2_T&amp;D_P</v>
      </c>
      <c r="AJ505" t="str">
        <f>VLOOKUP(F505,Assumptions!$B$116:$C$162,2,FALSE)</f>
        <v>H2_FC_PWR</v>
      </c>
    </row>
    <row r="506" spans="2:36" x14ac:dyDescent="0.25">
      <c r="B506" t="s">
        <v>112</v>
      </c>
      <c r="C506" t="s">
        <v>49</v>
      </c>
      <c r="D506" t="s">
        <v>155</v>
      </c>
      <c r="E506" t="s">
        <v>66</v>
      </c>
      <c r="F506" t="s">
        <v>164</v>
      </c>
      <c r="G506" t="s">
        <v>126</v>
      </c>
      <c r="H506" t="s">
        <v>433</v>
      </c>
      <c r="I506" t="s">
        <v>32</v>
      </c>
      <c r="J506" t="s">
        <v>80</v>
      </c>
      <c r="K506">
        <f t="shared" si="1354"/>
        <v>1</v>
      </c>
      <c r="L506">
        <f t="shared" si="1355"/>
        <v>1</v>
      </c>
      <c r="M506">
        <f t="shared" si="1356"/>
        <v>1</v>
      </c>
      <c r="N506">
        <f t="shared" si="1357"/>
        <v>1</v>
      </c>
      <c r="O506">
        <f t="shared" si="1358"/>
        <v>4</v>
      </c>
      <c r="P506" t="str">
        <f t="shared" si="1359"/>
        <v>Large centralized electrolysis-Flexibility</v>
      </c>
      <c r="Q506" t="str">
        <f t="shared" si="1360"/>
        <v>Central gas storage-Flexibility</v>
      </c>
      <c r="R506" t="str">
        <f t="shared" si="1361"/>
        <v>Onsite-Flexibility</v>
      </c>
      <c r="S506" t="str">
        <f t="shared" si="1362"/>
        <v>Prime power H2 fuel cell-Flexibility</v>
      </c>
      <c r="T506">
        <f ca="1">VLOOKUP($P506,'TA database'!$I$8:$J$79,2,FALSE)</f>
        <v>1</v>
      </c>
      <c r="U506">
        <v>0</v>
      </c>
      <c r="V506">
        <v>0</v>
      </c>
      <c r="W506">
        <v>0</v>
      </c>
      <c r="X506">
        <v>0</v>
      </c>
      <c r="Y506">
        <f t="shared" ca="1" si="1367"/>
        <v>1</v>
      </c>
      <c r="Z506" t="str">
        <f t="shared" si="1363"/>
        <v>ELCTRLYZ_LRG_C   →   C_GAS_STRG   →   ONSITE_USE   →   H2_FC_PWR</v>
      </c>
      <c r="AA506" t="str">
        <f t="shared" si="1364"/>
        <v>Onsite / Back-up power</v>
      </c>
      <c r="AB506" t="str">
        <f t="shared" si="1365"/>
        <v>Flexibility</v>
      </c>
      <c r="AC506">
        <f t="shared" ca="1" si="1366"/>
        <v>1</v>
      </c>
      <c r="AD506">
        <v>447</v>
      </c>
      <c r="AE506" t="str">
        <f>IF(AND(ISNUMBER(SEARCH(O506,4)),ISNUMBER(SEARCH('(4) FCH pathway assessment'!$B$16,AB506)),ISNUMBER(SEARCH('(4) FCH pathway assessment'!$B$10,AA506))),AD506,"")</f>
        <v/>
      </c>
      <c r="AF506" t="str">
        <f t="shared" si="1199"/>
        <v/>
      </c>
      <c r="AG506" t="str">
        <f>VLOOKUP(C506,Assumptions!$B$116:$C$162,2,FALSE)</f>
        <v>ELCTRLYZ_LRG_C</v>
      </c>
      <c r="AH506" t="str">
        <f>VLOOKUP(D506,Assumptions!$B$116:$C$162,2,FALSE)</f>
        <v>C_GAS_STRG</v>
      </c>
      <c r="AI506" t="str">
        <f>VLOOKUP(E506,Assumptions!$B$116:$C$162,2,FALSE)</f>
        <v>ONSITE_USE</v>
      </c>
      <c r="AJ506" t="str">
        <f>VLOOKUP(F506,Assumptions!$B$116:$C$162,2,FALSE)</f>
        <v>H2_FC_PWR</v>
      </c>
    </row>
    <row r="507" spans="2:36" x14ac:dyDescent="0.25">
      <c r="B507" t="s">
        <v>112</v>
      </c>
      <c r="C507" t="s">
        <v>51</v>
      </c>
      <c r="D507" t="s">
        <v>155</v>
      </c>
      <c r="E507" t="s">
        <v>157</v>
      </c>
      <c r="F507" t="s">
        <v>164</v>
      </c>
      <c r="G507" t="s">
        <v>126</v>
      </c>
      <c r="H507" t="s">
        <v>433</v>
      </c>
      <c r="I507" t="s">
        <v>32</v>
      </c>
      <c r="J507" t="s">
        <v>80</v>
      </c>
      <c r="K507">
        <f t="shared" ref="K507:K510" si="1368">SUMPRODUCT(($C$7:$C$18=$C507)*($D$6:$H$6=$D507)*($D$7:$H$18))</f>
        <v>1</v>
      </c>
      <c r="L507">
        <f t="shared" ref="L507:L510" si="1369">SUMPRODUCT(($C$19:$C$23=$D507)*($I$6:$O$6=$E507)*($I$19:$O$23))</f>
        <v>1</v>
      </c>
      <c r="M507">
        <f t="shared" ref="M507:M510" si="1370">SUMPRODUCT(($C$24:$C$30=$E507)*($P$6:$AI$6=$F507)*($P$24:$AI$30))</f>
        <v>0</v>
      </c>
      <c r="N507">
        <f t="shared" ref="N507:N510" si="1371">SUMPRODUCT(($C$31:$C$50=$F507)*($AJ$6:$AM$6=$G507)*($AJ$31:$AM$50))</f>
        <v>1</v>
      </c>
      <c r="O507">
        <f t="shared" ref="O507:O510" si="1372">K507+L507+M507+N507</f>
        <v>3</v>
      </c>
      <c r="P507" t="str">
        <f t="shared" ref="P507:P510" si="1373">CONCATENATE(C507,"-",J507)</f>
        <v>Medium centralized electrolysis-Flexibility</v>
      </c>
      <c r="Q507" t="str">
        <f t="shared" ref="Q507:Q510" si="1374">CONCATENATE(D507,"-",J507)</f>
        <v>Central gas storage-Flexibility</v>
      </c>
      <c r="R507" t="str">
        <f t="shared" ref="R507:R510" si="1375">CONCATENATE(E507,"-",J507)</f>
        <v>Blending in natural gas pipeline-Flexibility</v>
      </c>
      <c r="S507" t="str">
        <f t="shared" ref="S507:S510" si="1376">CONCATENATE(F507,"-",J507)</f>
        <v>Prime power H2 fuel cell-Flexibility</v>
      </c>
      <c r="T507">
        <f ca="1">VLOOKUP($P507,'TA database'!$I$8:$J$79,2,FALSE)</f>
        <v>1</v>
      </c>
      <c r="U507">
        <v>0</v>
      </c>
      <c r="V507">
        <v>0</v>
      </c>
      <c r="W507">
        <v>0</v>
      </c>
      <c r="X507">
        <v>0</v>
      </c>
      <c r="Y507">
        <f t="shared" ca="1" si="1367"/>
        <v>1</v>
      </c>
      <c r="Z507" t="str">
        <f t="shared" ref="Z507:Z510" si="1377">CONCATENATE(AG507,"   →   ",AH507,"   →   ",AI507,"   →   ",AJ507)</f>
        <v>ELCTRLYZ_MED_C   →   C_GAS_STRG   →   H2_BLND_NG_P   →   H2_FC_PWR</v>
      </c>
      <c r="AA507" t="str">
        <f t="shared" ref="AA507:AA510" si="1378">G507</f>
        <v>Onsite / Back-up power</v>
      </c>
      <c r="AB507" t="str">
        <f t="shared" ref="AB507:AB510" si="1379">J507</f>
        <v>Flexibility</v>
      </c>
      <c r="AC507">
        <f t="shared" ref="AC507:AC510" ca="1" si="1380">Y507</f>
        <v>1</v>
      </c>
      <c r="AD507">
        <v>448</v>
      </c>
      <c r="AE507" t="str">
        <f>IF(AND(ISNUMBER(SEARCH(O507,4)),ISNUMBER(SEARCH('(4) FCH pathway assessment'!$B$16,AB507)),ISNUMBER(SEARCH('(4) FCH pathway assessment'!$B$10,AA507))),AD507,"")</f>
        <v/>
      </c>
      <c r="AF507" t="str">
        <f t="shared" si="1199"/>
        <v/>
      </c>
      <c r="AG507" t="str">
        <f>VLOOKUP(C507,Assumptions!$B$116:$C$162,2,FALSE)</f>
        <v>ELCTRLYZ_MED_C</v>
      </c>
      <c r="AH507" t="str">
        <f>VLOOKUP(D507,Assumptions!$B$116:$C$162,2,FALSE)</f>
        <v>C_GAS_STRG</v>
      </c>
      <c r="AI507" t="str">
        <f>VLOOKUP(E507,Assumptions!$B$116:$C$162,2,FALSE)</f>
        <v>H2_BLND_NG_P</v>
      </c>
      <c r="AJ507" t="str">
        <f>VLOOKUP(F507,Assumptions!$B$116:$C$162,2,FALSE)</f>
        <v>H2_FC_PWR</v>
      </c>
    </row>
    <row r="508" spans="2:36" x14ac:dyDescent="0.25">
      <c r="B508" t="s">
        <v>112</v>
      </c>
      <c r="C508" t="s">
        <v>51</v>
      </c>
      <c r="D508" t="s">
        <v>155</v>
      </c>
      <c r="E508" t="s">
        <v>122</v>
      </c>
      <c r="F508" t="s">
        <v>164</v>
      </c>
      <c r="G508" t="s">
        <v>126</v>
      </c>
      <c r="H508" t="s">
        <v>433</v>
      </c>
      <c r="I508" t="s">
        <v>32</v>
      </c>
      <c r="J508" t="s">
        <v>80</v>
      </c>
      <c r="K508">
        <f t="shared" si="1368"/>
        <v>1</v>
      </c>
      <c r="L508">
        <f t="shared" si="1369"/>
        <v>1</v>
      </c>
      <c r="M508">
        <f t="shared" si="1370"/>
        <v>1</v>
      </c>
      <c r="N508">
        <f t="shared" si="1371"/>
        <v>1</v>
      </c>
      <c r="O508">
        <f t="shared" si="1372"/>
        <v>4</v>
      </c>
      <c r="P508" t="str">
        <f t="shared" si="1373"/>
        <v>Medium centralized electrolysis-Flexibility</v>
      </c>
      <c r="Q508" t="str">
        <f t="shared" si="1374"/>
        <v>Central gas storage-Flexibility</v>
      </c>
      <c r="R508" t="str">
        <f t="shared" si="1375"/>
        <v>Hydrogen transmission &amp; distribution pipeline-Flexibility</v>
      </c>
      <c r="S508" t="str">
        <f t="shared" si="1376"/>
        <v>Prime power H2 fuel cell-Flexibility</v>
      </c>
      <c r="T508">
        <f ca="1">VLOOKUP($P508,'TA database'!$I$8:$J$79,2,FALSE)</f>
        <v>1</v>
      </c>
      <c r="U508">
        <v>0</v>
      </c>
      <c r="V508">
        <v>0</v>
      </c>
      <c r="W508">
        <v>0</v>
      </c>
      <c r="X508">
        <v>0</v>
      </c>
      <c r="Y508">
        <f t="shared" ca="1" si="1367"/>
        <v>1</v>
      </c>
      <c r="Z508" t="str">
        <f t="shared" si="1377"/>
        <v>ELCTRLYZ_MED_C   →   C_GAS_STRG   →   H2_T&amp;D_P   →   H2_FC_PWR</v>
      </c>
      <c r="AA508" t="str">
        <f t="shared" si="1378"/>
        <v>Onsite / Back-up power</v>
      </c>
      <c r="AB508" t="str">
        <f t="shared" si="1379"/>
        <v>Flexibility</v>
      </c>
      <c r="AC508">
        <f t="shared" ca="1" si="1380"/>
        <v>1</v>
      </c>
      <c r="AD508">
        <v>449</v>
      </c>
      <c r="AE508" t="str">
        <f>IF(AND(ISNUMBER(SEARCH(O508,4)),ISNUMBER(SEARCH('(4) FCH pathway assessment'!$B$16,AB508)),ISNUMBER(SEARCH('(4) FCH pathway assessment'!$B$10,AA508))),AD508,"")</f>
        <v/>
      </c>
      <c r="AF508" t="str">
        <f t="shared" ref="AF508:AF571" si="1381">IFERROR(SMALL($AE$60:$AE$1991,AD508),"")</f>
        <v/>
      </c>
      <c r="AG508" t="str">
        <f>VLOOKUP(C508,Assumptions!$B$116:$C$162,2,FALSE)</f>
        <v>ELCTRLYZ_MED_C</v>
      </c>
      <c r="AH508" t="str">
        <f>VLOOKUP(D508,Assumptions!$B$116:$C$162,2,FALSE)</f>
        <v>C_GAS_STRG</v>
      </c>
      <c r="AI508" t="str">
        <f>VLOOKUP(E508,Assumptions!$B$116:$C$162,2,FALSE)</f>
        <v>H2_T&amp;D_P</v>
      </c>
      <c r="AJ508" t="str">
        <f>VLOOKUP(F508,Assumptions!$B$116:$C$162,2,FALSE)</f>
        <v>H2_FC_PWR</v>
      </c>
    </row>
    <row r="509" spans="2:36" x14ac:dyDescent="0.25">
      <c r="B509" t="s">
        <v>112</v>
      </c>
      <c r="C509" t="s">
        <v>51</v>
      </c>
      <c r="D509" t="s">
        <v>155</v>
      </c>
      <c r="E509" t="s">
        <v>66</v>
      </c>
      <c r="F509" t="s">
        <v>164</v>
      </c>
      <c r="G509" t="s">
        <v>126</v>
      </c>
      <c r="H509" t="s">
        <v>433</v>
      </c>
      <c r="I509" t="s">
        <v>32</v>
      </c>
      <c r="J509" t="s">
        <v>80</v>
      </c>
      <c r="K509">
        <f t="shared" si="1368"/>
        <v>1</v>
      </c>
      <c r="L509">
        <f t="shared" si="1369"/>
        <v>1</v>
      </c>
      <c r="M509">
        <f t="shared" si="1370"/>
        <v>1</v>
      </c>
      <c r="N509">
        <f t="shared" si="1371"/>
        <v>1</v>
      </c>
      <c r="O509">
        <f t="shared" si="1372"/>
        <v>4</v>
      </c>
      <c r="P509" t="str">
        <f t="shared" si="1373"/>
        <v>Medium centralized electrolysis-Flexibility</v>
      </c>
      <c r="Q509" t="str">
        <f t="shared" si="1374"/>
        <v>Central gas storage-Flexibility</v>
      </c>
      <c r="R509" t="str">
        <f t="shared" si="1375"/>
        <v>Onsite-Flexibility</v>
      </c>
      <c r="S509" t="str">
        <f t="shared" si="1376"/>
        <v>Prime power H2 fuel cell-Flexibility</v>
      </c>
      <c r="T509">
        <f ca="1">VLOOKUP($P509,'TA database'!$I$8:$J$79,2,FALSE)</f>
        <v>1</v>
      </c>
      <c r="U509">
        <v>0</v>
      </c>
      <c r="V509">
        <v>0</v>
      </c>
      <c r="W509">
        <v>0</v>
      </c>
      <c r="X509">
        <v>0</v>
      </c>
      <c r="Y509">
        <f t="shared" ca="1" si="1367"/>
        <v>1</v>
      </c>
      <c r="Z509" t="str">
        <f t="shared" si="1377"/>
        <v>ELCTRLYZ_MED_C   →   C_GAS_STRG   →   ONSITE_USE   →   H2_FC_PWR</v>
      </c>
      <c r="AA509" t="str">
        <f t="shared" si="1378"/>
        <v>Onsite / Back-up power</v>
      </c>
      <c r="AB509" t="str">
        <f t="shared" si="1379"/>
        <v>Flexibility</v>
      </c>
      <c r="AC509">
        <f t="shared" ca="1" si="1380"/>
        <v>1</v>
      </c>
      <c r="AD509">
        <v>450</v>
      </c>
      <c r="AE509" t="str">
        <f>IF(AND(ISNUMBER(SEARCH(O509,4)),ISNUMBER(SEARCH('(4) FCH pathway assessment'!$B$16,AB509)),ISNUMBER(SEARCH('(4) FCH pathway assessment'!$B$10,AA509))),AD509,"")</f>
        <v/>
      </c>
      <c r="AF509" t="str">
        <f t="shared" si="1381"/>
        <v/>
      </c>
      <c r="AG509" t="str">
        <f>VLOOKUP(C509,Assumptions!$B$116:$C$162,2,FALSE)</f>
        <v>ELCTRLYZ_MED_C</v>
      </c>
      <c r="AH509" t="str">
        <f>VLOOKUP(D509,Assumptions!$B$116:$C$162,2,FALSE)</f>
        <v>C_GAS_STRG</v>
      </c>
      <c r="AI509" t="str">
        <f>VLOOKUP(E509,Assumptions!$B$116:$C$162,2,FALSE)</f>
        <v>ONSITE_USE</v>
      </c>
      <c r="AJ509" t="str">
        <f>VLOOKUP(F509,Assumptions!$B$116:$C$162,2,FALSE)</f>
        <v>H2_FC_PWR</v>
      </c>
    </row>
    <row r="510" spans="2:36" x14ac:dyDescent="0.25">
      <c r="B510" t="s">
        <v>112</v>
      </c>
      <c r="C510" t="s">
        <v>52</v>
      </c>
      <c r="D510" s="60" t="s">
        <v>130</v>
      </c>
      <c r="E510" t="s">
        <v>66</v>
      </c>
      <c r="F510" t="s">
        <v>164</v>
      </c>
      <c r="G510" t="s">
        <v>126</v>
      </c>
      <c r="H510" t="s">
        <v>433</v>
      </c>
      <c r="I510" t="s">
        <v>32</v>
      </c>
      <c r="J510" t="s">
        <v>80</v>
      </c>
      <c r="K510">
        <f t="shared" si="1368"/>
        <v>1</v>
      </c>
      <c r="L510">
        <f t="shared" si="1369"/>
        <v>1</v>
      </c>
      <c r="M510">
        <f t="shared" si="1370"/>
        <v>1</v>
      </c>
      <c r="N510">
        <f t="shared" si="1371"/>
        <v>1</v>
      </c>
      <c r="O510">
        <f t="shared" si="1372"/>
        <v>4</v>
      </c>
      <c r="P510" t="str">
        <f t="shared" si="1373"/>
        <v>Small decentralized electrolysis-Flexibility</v>
      </c>
      <c r="Q510" t="str">
        <f t="shared" si="1374"/>
        <v>Distributed gas storage-Flexibility</v>
      </c>
      <c r="R510" t="str">
        <f t="shared" si="1375"/>
        <v>Onsite-Flexibility</v>
      </c>
      <c r="S510" t="str">
        <f t="shared" si="1376"/>
        <v>Prime power H2 fuel cell-Flexibility</v>
      </c>
      <c r="T510">
        <f ca="1">VLOOKUP($P510,'TA database'!$I$8:$J$79,2,FALSE)</f>
        <v>0.14583333333333334</v>
      </c>
      <c r="U510">
        <v>0</v>
      </c>
      <c r="V510">
        <v>0</v>
      </c>
      <c r="W510">
        <v>0</v>
      </c>
      <c r="X510">
        <v>0</v>
      </c>
      <c r="Y510">
        <f t="shared" ref="Y510:Y513" ca="1" si="1382">$T510</f>
        <v>0.14583333333333334</v>
      </c>
      <c r="Z510" t="str">
        <f t="shared" si="1377"/>
        <v>ELCTRLYZ_SML_D   →   D_GAS_STRG   →   ONSITE_USE   →   H2_FC_PWR</v>
      </c>
      <c r="AA510" t="str">
        <f t="shared" si="1378"/>
        <v>Onsite / Back-up power</v>
      </c>
      <c r="AB510" t="str">
        <f t="shared" si="1379"/>
        <v>Flexibility</v>
      </c>
      <c r="AC510">
        <f t="shared" ca="1" si="1380"/>
        <v>0.14583333333333334</v>
      </c>
      <c r="AD510">
        <v>451</v>
      </c>
      <c r="AE510" t="str">
        <f>IF(AND(ISNUMBER(SEARCH(O510,4)),ISNUMBER(SEARCH('(4) FCH pathway assessment'!$B$16,AB510)),ISNUMBER(SEARCH('(4) FCH pathway assessment'!$B$10,AA510))),AD510,"")</f>
        <v/>
      </c>
      <c r="AF510" t="str">
        <f t="shared" si="1381"/>
        <v/>
      </c>
      <c r="AG510" t="str">
        <f>VLOOKUP(C510,Assumptions!$B$116:$C$162,2,FALSE)</f>
        <v>ELCTRLYZ_SML_D</v>
      </c>
      <c r="AH510" t="str">
        <f>VLOOKUP(D510,Assumptions!$B$116:$C$162,2,FALSE)</f>
        <v>D_GAS_STRG</v>
      </c>
      <c r="AI510" t="str">
        <f>VLOOKUP(E510,Assumptions!$B$116:$C$162,2,FALSE)</f>
        <v>ONSITE_USE</v>
      </c>
      <c r="AJ510" t="str">
        <f>VLOOKUP(F510,Assumptions!$B$116:$C$162,2,FALSE)</f>
        <v>H2_FC_PWR</v>
      </c>
    </row>
    <row r="511" spans="2:36" x14ac:dyDescent="0.25">
      <c r="B511" t="s">
        <v>127</v>
      </c>
      <c r="C511" t="s">
        <v>57</v>
      </c>
      <c r="D511" t="s">
        <v>62</v>
      </c>
      <c r="E511" t="s">
        <v>157</v>
      </c>
      <c r="F511" t="s">
        <v>164</v>
      </c>
      <c r="G511" t="s">
        <v>126</v>
      </c>
      <c r="H511" t="s">
        <v>433</v>
      </c>
      <c r="I511" t="s">
        <v>32</v>
      </c>
      <c r="J511" t="s">
        <v>80</v>
      </c>
      <c r="K511">
        <f t="shared" ref="K511:K517" si="1383">SUMPRODUCT(($C$7:$C$18=$C511)*($D$6:$H$6=$D511)*($D$7:$H$18))</f>
        <v>1</v>
      </c>
      <c r="L511">
        <f t="shared" ref="L511:L517" si="1384">SUMPRODUCT(($C$19:$C$23=$D511)*($I$6:$O$6=$E511)*($I$19:$O$23))</f>
        <v>0</v>
      </c>
      <c r="M511">
        <f t="shared" ref="M511:M517" si="1385">SUMPRODUCT(($C$24:$C$30=$E511)*($P$6:$AI$6=$F511)*($P$24:$AI$30))</f>
        <v>0</v>
      </c>
      <c r="N511">
        <f t="shared" ref="N511:N517" si="1386">SUMPRODUCT(($C$31:$C$50=$F511)*($AJ$6:$AM$6=$G511)*($AJ$31:$AM$50))</f>
        <v>1</v>
      </c>
      <c r="O511">
        <f t="shared" ref="O511:O517" si="1387">K511+L511+M511+N511</f>
        <v>2</v>
      </c>
      <c r="P511" t="str">
        <f t="shared" ref="P511:P517" si="1388">CONCATENATE(C511,"-",J511)</f>
        <v>Large centralized natural gas steam reforming-Flexibility</v>
      </c>
      <c r="Q511" t="str">
        <f t="shared" ref="Q511:Q517" si="1389">CONCATENATE(D511,"-",J511)</f>
        <v>Underground storage-Flexibility</v>
      </c>
      <c r="R511" t="str">
        <f t="shared" ref="R511:R517" si="1390">CONCATENATE(E511,"-",J511)</f>
        <v>Blending in natural gas pipeline-Flexibility</v>
      </c>
      <c r="S511" t="str">
        <f t="shared" ref="S511:S517" si="1391">CONCATENATE(F511,"-",J511)</f>
        <v>Prime power H2 fuel cell-Flexibility</v>
      </c>
      <c r="T511">
        <f ca="1">VLOOKUP($P511,'TA database'!$I$8:$J$79,2,FALSE)</f>
        <v>0</v>
      </c>
      <c r="U511">
        <v>0</v>
      </c>
      <c r="V511">
        <v>0</v>
      </c>
      <c r="W511">
        <v>0</v>
      </c>
      <c r="X511">
        <v>0</v>
      </c>
      <c r="Y511">
        <f t="shared" ca="1" si="1382"/>
        <v>0</v>
      </c>
      <c r="Z511" t="str">
        <f t="shared" ref="Z511:Z517" si="1392">CONCATENATE(AG511,"   →   ",AH511,"   →   ",AI511,"   →   ",AJ511)</f>
        <v>NG_SR_LRG_C   →   C_UNDRGRND_STRG   →   H2_BLND_NG_P   →   H2_FC_PWR</v>
      </c>
      <c r="AA511" t="str">
        <f t="shared" ref="AA511:AA517" si="1393">G511</f>
        <v>Onsite / Back-up power</v>
      </c>
      <c r="AB511" t="str">
        <f t="shared" ref="AB511:AB517" si="1394">J511</f>
        <v>Flexibility</v>
      </c>
      <c r="AC511">
        <f t="shared" ref="AC511:AC517" ca="1" si="1395">Y511</f>
        <v>0</v>
      </c>
      <c r="AD511">
        <v>452</v>
      </c>
      <c r="AE511" t="str">
        <f>IF(AND(ISNUMBER(SEARCH(O511,4)),ISNUMBER(SEARCH('(4) FCH pathway assessment'!$B$16,AB511)),ISNUMBER(SEARCH('(4) FCH pathway assessment'!$B$10,AA511))),AD511,"")</f>
        <v/>
      </c>
      <c r="AF511" t="str">
        <f t="shared" si="1381"/>
        <v/>
      </c>
      <c r="AG511" t="str">
        <f>VLOOKUP(C511,Assumptions!$B$116:$C$162,2,FALSE)</f>
        <v>NG_SR_LRG_C</v>
      </c>
      <c r="AH511" t="str">
        <f>VLOOKUP(D511,Assumptions!$B$116:$C$162,2,FALSE)</f>
        <v>C_UNDRGRND_STRG</v>
      </c>
      <c r="AI511" t="str">
        <f>VLOOKUP(E511,Assumptions!$B$116:$C$162,2,FALSE)</f>
        <v>H2_BLND_NG_P</v>
      </c>
      <c r="AJ511" t="str">
        <f>VLOOKUP(F511,Assumptions!$B$116:$C$162,2,FALSE)</f>
        <v>H2_FC_PWR</v>
      </c>
    </row>
    <row r="512" spans="2:36" x14ac:dyDescent="0.25">
      <c r="B512" t="s">
        <v>127</v>
      </c>
      <c r="C512" t="s">
        <v>57</v>
      </c>
      <c r="D512" t="s">
        <v>62</v>
      </c>
      <c r="E512" t="s">
        <v>122</v>
      </c>
      <c r="F512" t="s">
        <v>164</v>
      </c>
      <c r="G512" t="s">
        <v>126</v>
      </c>
      <c r="H512" t="s">
        <v>433</v>
      </c>
      <c r="I512" t="s">
        <v>32</v>
      </c>
      <c r="J512" t="s">
        <v>80</v>
      </c>
      <c r="K512">
        <f t="shared" si="1383"/>
        <v>1</v>
      </c>
      <c r="L512">
        <f t="shared" si="1384"/>
        <v>0</v>
      </c>
      <c r="M512">
        <f t="shared" si="1385"/>
        <v>1</v>
      </c>
      <c r="N512">
        <f t="shared" si="1386"/>
        <v>1</v>
      </c>
      <c r="O512">
        <f t="shared" si="1387"/>
        <v>3</v>
      </c>
      <c r="P512" t="str">
        <f t="shared" si="1388"/>
        <v>Large centralized natural gas steam reforming-Flexibility</v>
      </c>
      <c r="Q512" t="str">
        <f t="shared" si="1389"/>
        <v>Underground storage-Flexibility</v>
      </c>
      <c r="R512" t="str">
        <f t="shared" si="1390"/>
        <v>Hydrogen transmission &amp; distribution pipeline-Flexibility</v>
      </c>
      <c r="S512" t="str">
        <f t="shared" si="1391"/>
        <v>Prime power H2 fuel cell-Flexibility</v>
      </c>
      <c r="T512">
        <f ca="1">VLOOKUP($P512,'TA database'!$I$8:$J$79,2,FALSE)</f>
        <v>0</v>
      </c>
      <c r="U512">
        <v>0</v>
      </c>
      <c r="V512">
        <v>0</v>
      </c>
      <c r="W512">
        <v>0</v>
      </c>
      <c r="X512">
        <v>0</v>
      </c>
      <c r="Y512">
        <f t="shared" ca="1" si="1382"/>
        <v>0</v>
      </c>
      <c r="Z512" t="str">
        <f t="shared" si="1392"/>
        <v>NG_SR_LRG_C   →   C_UNDRGRND_STRG   →   H2_T&amp;D_P   →   H2_FC_PWR</v>
      </c>
      <c r="AA512" t="str">
        <f t="shared" si="1393"/>
        <v>Onsite / Back-up power</v>
      </c>
      <c r="AB512" t="str">
        <f t="shared" si="1394"/>
        <v>Flexibility</v>
      </c>
      <c r="AC512">
        <f t="shared" ca="1" si="1395"/>
        <v>0</v>
      </c>
      <c r="AD512">
        <v>453</v>
      </c>
      <c r="AE512" t="str">
        <f>IF(AND(ISNUMBER(SEARCH(O512,4)),ISNUMBER(SEARCH('(4) FCH pathway assessment'!$B$16,AB512)),ISNUMBER(SEARCH('(4) FCH pathway assessment'!$B$10,AA512))),AD512,"")</f>
        <v/>
      </c>
      <c r="AF512" t="str">
        <f t="shared" si="1381"/>
        <v/>
      </c>
      <c r="AG512" t="str">
        <f>VLOOKUP(C512,Assumptions!$B$116:$C$162,2,FALSE)</f>
        <v>NG_SR_LRG_C</v>
      </c>
      <c r="AH512" t="str">
        <f>VLOOKUP(D512,Assumptions!$B$116:$C$162,2,FALSE)</f>
        <v>C_UNDRGRND_STRG</v>
      </c>
      <c r="AI512" t="str">
        <f>VLOOKUP(E512,Assumptions!$B$116:$C$162,2,FALSE)</f>
        <v>H2_T&amp;D_P</v>
      </c>
      <c r="AJ512" t="str">
        <f>VLOOKUP(F512,Assumptions!$B$116:$C$162,2,FALSE)</f>
        <v>H2_FC_PWR</v>
      </c>
    </row>
    <row r="513" spans="2:36" x14ac:dyDescent="0.25">
      <c r="B513" t="s">
        <v>127</v>
      </c>
      <c r="C513" t="s">
        <v>57</v>
      </c>
      <c r="D513" t="s">
        <v>62</v>
      </c>
      <c r="E513" t="s">
        <v>66</v>
      </c>
      <c r="F513" t="s">
        <v>164</v>
      </c>
      <c r="G513" t="s">
        <v>126</v>
      </c>
      <c r="H513" t="s">
        <v>433</v>
      </c>
      <c r="I513" t="s">
        <v>32</v>
      </c>
      <c r="J513" t="s">
        <v>80</v>
      </c>
      <c r="K513">
        <f t="shared" si="1383"/>
        <v>1</v>
      </c>
      <c r="L513">
        <f t="shared" si="1384"/>
        <v>0</v>
      </c>
      <c r="M513">
        <f t="shared" si="1385"/>
        <v>1</v>
      </c>
      <c r="N513">
        <f t="shared" si="1386"/>
        <v>1</v>
      </c>
      <c r="O513">
        <f t="shared" si="1387"/>
        <v>3</v>
      </c>
      <c r="P513" t="str">
        <f t="shared" si="1388"/>
        <v>Large centralized natural gas steam reforming-Flexibility</v>
      </c>
      <c r="Q513" t="str">
        <f t="shared" si="1389"/>
        <v>Underground storage-Flexibility</v>
      </c>
      <c r="R513" t="str">
        <f t="shared" si="1390"/>
        <v>Onsite-Flexibility</v>
      </c>
      <c r="S513" t="str">
        <f t="shared" si="1391"/>
        <v>Prime power H2 fuel cell-Flexibility</v>
      </c>
      <c r="T513">
        <f ca="1">VLOOKUP($P513,'TA database'!$I$8:$J$79,2,FALSE)</f>
        <v>0</v>
      </c>
      <c r="U513">
        <v>0</v>
      </c>
      <c r="V513">
        <v>0</v>
      </c>
      <c r="W513">
        <v>0</v>
      </c>
      <c r="X513">
        <v>0</v>
      </c>
      <c r="Y513">
        <f t="shared" ca="1" si="1382"/>
        <v>0</v>
      </c>
      <c r="Z513" t="str">
        <f t="shared" si="1392"/>
        <v>NG_SR_LRG_C   →   C_UNDRGRND_STRG   →   ONSITE_USE   →   H2_FC_PWR</v>
      </c>
      <c r="AA513" t="str">
        <f t="shared" si="1393"/>
        <v>Onsite / Back-up power</v>
      </c>
      <c r="AB513" t="str">
        <f t="shared" si="1394"/>
        <v>Flexibility</v>
      </c>
      <c r="AC513">
        <f t="shared" ca="1" si="1395"/>
        <v>0</v>
      </c>
      <c r="AD513">
        <v>454</v>
      </c>
      <c r="AE513" t="str">
        <f>IF(AND(ISNUMBER(SEARCH(O513,4)),ISNUMBER(SEARCH('(4) FCH pathway assessment'!$B$16,AB513)),ISNUMBER(SEARCH('(4) FCH pathway assessment'!$B$10,AA513))),AD513,"")</f>
        <v/>
      </c>
      <c r="AF513" t="str">
        <f t="shared" si="1381"/>
        <v/>
      </c>
      <c r="AG513" t="str">
        <f>VLOOKUP(C513,Assumptions!$B$116:$C$162,2,FALSE)</f>
        <v>NG_SR_LRG_C</v>
      </c>
      <c r="AH513" t="str">
        <f>VLOOKUP(D513,Assumptions!$B$116:$C$162,2,FALSE)</f>
        <v>C_UNDRGRND_STRG</v>
      </c>
      <c r="AI513" t="str">
        <f>VLOOKUP(E513,Assumptions!$B$116:$C$162,2,FALSE)</f>
        <v>ONSITE_USE</v>
      </c>
      <c r="AJ513" t="str">
        <f>VLOOKUP(F513,Assumptions!$B$116:$C$162,2,FALSE)</f>
        <v>H2_FC_PWR</v>
      </c>
    </row>
    <row r="514" spans="2:36" x14ac:dyDescent="0.25">
      <c r="B514" t="s">
        <v>127</v>
      </c>
      <c r="C514" t="s">
        <v>57</v>
      </c>
      <c r="D514" s="61" t="s">
        <v>63</v>
      </c>
      <c r="E514" t="s">
        <v>122</v>
      </c>
      <c r="F514" t="s">
        <v>164</v>
      </c>
      <c r="G514" t="s">
        <v>126</v>
      </c>
      <c r="H514" t="s">
        <v>433</v>
      </c>
      <c r="I514" t="s">
        <v>32</v>
      </c>
      <c r="J514" t="s">
        <v>80</v>
      </c>
      <c r="K514">
        <f t="shared" si="1383"/>
        <v>1</v>
      </c>
      <c r="L514">
        <f t="shared" si="1384"/>
        <v>1</v>
      </c>
      <c r="M514">
        <f t="shared" si="1385"/>
        <v>1</v>
      </c>
      <c r="N514">
        <f t="shared" si="1386"/>
        <v>1</v>
      </c>
      <c r="O514">
        <f t="shared" si="1387"/>
        <v>4</v>
      </c>
      <c r="P514" t="str">
        <f t="shared" si="1388"/>
        <v>Large centralized natural gas steam reforming-Flexibility</v>
      </c>
      <c r="Q514" t="str">
        <f t="shared" si="1389"/>
        <v>No storage-Flexibility</v>
      </c>
      <c r="R514" t="str">
        <f t="shared" si="1390"/>
        <v>Hydrogen transmission &amp; distribution pipeline-Flexibility</v>
      </c>
      <c r="S514" t="str">
        <f t="shared" si="1391"/>
        <v>Prime power H2 fuel cell-Flexibility</v>
      </c>
      <c r="T514">
        <f ca="1">VLOOKUP($P514,'TA database'!$I$8:$J$79,2,FALSE)</f>
        <v>0</v>
      </c>
      <c r="U514">
        <v>0</v>
      </c>
      <c r="V514">
        <v>0</v>
      </c>
      <c r="W514">
        <v>0</v>
      </c>
      <c r="X514">
        <v>0</v>
      </c>
      <c r="Y514">
        <f t="shared" ref="Y514:Y517" ca="1" si="1396">$T514</f>
        <v>0</v>
      </c>
      <c r="Z514" t="str">
        <f t="shared" si="1392"/>
        <v>NG_SR_LRG_C   →   NO_STRG   →   H2_T&amp;D_P   →   H2_FC_PWR</v>
      </c>
      <c r="AA514" t="str">
        <f t="shared" si="1393"/>
        <v>Onsite / Back-up power</v>
      </c>
      <c r="AB514" t="str">
        <f t="shared" si="1394"/>
        <v>Flexibility</v>
      </c>
      <c r="AC514">
        <f t="shared" ca="1" si="1395"/>
        <v>0</v>
      </c>
      <c r="AD514">
        <v>455</v>
      </c>
      <c r="AE514" t="str">
        <f>IF(AND(ISNUMBER(SEARCH(O514,4)),ISNUMBER(SEARCH('(4) FCH pathway assessment'!$B$16,AB514)),ISNUMBER(SEARCH('(4) FCH pathway assessment'!$B$10,AA514))),AD514,"")</f>
        <v/>
      </c>
      <c r="AF514" t="str">
        <f t="shared" si="1381"/>
        <v/>
      </c>
      <c r="AG514" t="str">
        <f>VLOOKUP(C514,Assumptions!$B$116:$C$162,2,FALSE)</f>
        <v>NG_SR_LRG_C</v>
      </c>
      <c r="AH514" t="str">
        <f>VLOOKUP(D514,Assumptions!$B$116:$C$162,2,FALSE)</f>
        <v>NO_STRG</v>
      </c>
      <c r="AI514" t="str">
        <f>VLOOKUP(E514,Assumptions!$B$116:$C$162,2,FALSE)</f>
        <v>H2_T&amp;D_P</v>
      </c>
      <c r="AJ514" t="str">
        <f>VLOOKUP(F514,Assumptions!$B$116:$C$162,2,FALSE)</f>
        <v>H2_FC_PWR</v>
      </c>
    </row>
    <row r="515" spans="2:36" x14ac:dyDescent="0.25">
      <c r="B515" t="s">
        <v>127</v>
      </c>
      <c r="C515" t="s">
        <v>58</v>
      </c>
      <c r="D515" t="s">
        <v>155</v>
      </c>
      <c r="E515" t="s">
        <v>157</v>
      </c>
      <c r="F515" t="s">
        <v>164</v>
      </c>
      <c r="G515" t="s">
        <v>126</v>
      </c>
      <c r="H515" t="s">
        <v>433</v>
      </c>
      <c r="I515" t="s">
        <v>32</v>
      </c>
      <c r="J515" t="s">
        <v>80</v>
      </c>
      <c r="K515">
        <f t="shared" si="1383"/>
        <v>1</v>
      </c>
      <c r="L515">
        <f t="shared" si="1384"/>
        <v>1</v>
      </c>
      <c r="M515">
        <f t="shared" si="1385"/>
        <v>0</v>
      </c>
      <c r="N515">
        <f t="shared" si="1386"/>
        <v>1</v>
      </c>
      <c r="O515">
        <f t="shared" si="1387"/>
        <v>3</v>
      </c>
      <c r="P515" t="str">
        <f t="shared" si="1388"/>
        <v>Small centralized natural gas steam reforming-Flexibility</v>
      </c>
      <c r="Q515" t="str">
        <f t="shared" si="1389"/>
        <v>Central gas storage-Flexibility</v>
      </c>
      <c r="R515" t="str">
        <f t="shared" si="1390"/>
        <v>Blending in natural gas pipeline-Flexibility</v>
      </c>
      <c r="S515" t="str">
        <f t="shared" si="1391"/>
        <v>Prime power H2 fuel cell-Flexibility</v>
      </c>
      <c r="T515">
        <f ca="1">VLOOKUP($P515,'TA database'!$I$8:$J$79,2,FALSE)</f>
        <v>0</v>
      </c>
      <c r="U515">
        <v>0</v>
      </c>
      <c r="V515">
        <v>0</v>
      </c>
      <c r="W515">
        <v>0</v>
      </c>
      <c r="X515">
        <v>0</v>
      </c>
      <c r="Y515">
        <f t="shared" ca="1" si="1396"/>
        <v>0</v>
      </c>
      <c r="Z515" t="str">
        <f t="shared" si="1392"/>
        <v>NG_SR_SML_C   →   C_GAS_STRG   →   H2_BLND_NG_P   →   H2_FC_PWR</v>
      </c>
      <c r="AA515" t="str">
        <f t="shared" si="1393"/>
        <v>Onsite / Back-up power</v>
      </c>
      <c r="AB515" t="str">
        <f t="shared" si="1394"/>
        <v>Flexibility</v>
      </c>
      <c r="AC515">
        <f t="shared" ca="1" si="1395"/>
        <v>0</v>
      </c>
      <c r="AD515">
        <v>456</v>
      </c>
      <c r="AE515" t="str">
        <f>IF(AND(ISNUMBER(SEARCH(O515,4)),ISNUMBER(SEARCH('(4) FCH pathway assessment'!$B$16,AB515)),ISNUMBER(SEARCH('(4) FCH pathway assessment'!$B$10,AA515))),AD515,"")</f>
        <v/>
      </c>
      <c r="AF515" t="str">
        <f t="shared" si="1381"/>
        <v/>
      </c>
      <c r="AG515" t="str">
        <f>VLOOKUP(C515,Assumptions!$B$116:$C$162,2,FALSE)</f>
        <v>NG_SR_SML_C</v>
      </c>
      <c r="AH515" t="str">
        <f>VLOOKUP(D515,Assumptions!$B$116:$C$162,2,FALSE)</f>
        <v>C_GAS_STRG</v>
      </c>
      <c r="AI515" t="str">
        <f>VLOOKUP(E515,Assumptions!$B$116:$C$162,2,FALSE)</f>
        <v>H2_BLND_NG_P</v>
      </c>
      <c r="AJ515" t="str">
        <f>VLOOKUP(F515,Assumptions!$B$116:$C$162,2,FALSE)</f>
        <v>H2_FC_PWR</v>
      </c>
    </row>
    <row r="516" spans="2:36" x14ac:dyDescent="0.25">
      <c r="B516" t="s">
        <v>127</v>
      </c>
      <c r="C516" t="s">
        <v>58</v>
      </c>
      <c r="D516" t="s">
        <v>155</v>
      </c>
      <c r="E516" t="s">
        <v>122</v>
      </c>
      <c r="F516" t="s">
        <v>164</v>
      </c>
      <c r="G516" t="s">
        <v>126</v>
      </c>
      <c r="H516" t="s">
        <v>433</v>
      </c>
      <c r="I516" t="s">
        <v>32</v>
      </c>
      <c r="J516" t="s">
        <v>80</v>
      </c>
      <c r="K516">
        <f t="shared" si="1383"/>
        <v>1</v>
      </c>
      <c r="L516">
        <f t="shared" si="1384"/>
        <v>1</v>
      </c>
      <c r="M516">
        <f t="shared" si="1385"/>
        <v>1</v>
      </c>
      <c r="N516">
        <f t="shared" si="1386"/>
        <v>1</v>
      </c>
      <c r="O516">
        <f t="shared" si="1387"/>
        <v>4</v>
      </c>
      <c r="P516" t="str">
        <f t="shared" si="1388"/>
        <v>Small centralized natural gas steam reforming-Flexibility</v>
      </c>
      <c r="Q516" t="str">
        <f t="shared" si="1389"/>
        <v>Central gas storage-Flexibility</v>
      </c>
      <c r="R516" t="str">
        <f t="shared" si="1390"/>
        <v>Hydrogen transmission &amp; distribution pipeline-Flexibility</v>
      </c>
      <c r="S516" t="str">
        <f t="shared" si="1391"/>
        <v>Prime power H2 fuel cell-Flexibility</v>
      </c>
      <c r="T516">
        <f ca="1">VLOOKUP($P516,'TA database'!$I$8:$J$79,2,FALSE)</f>
        <v>0</v>
      </c>
      <c r="U516">
        <v>0</v>
      </c>
      <c r="V516">
        <v>0</v>
      </c>
      <c r="W516">
        <v>0</v>
      </c>
      <c r="X516">
        <v>0</v>
      </c>
      <c r="Y516">
        <f t="shared" ca="1" si="1396"/>
        <v>0</v>
      </c>
      <c r="Z516" t="str">
        <f t="shared" si="1392"/>
        <v>NG_SR_SML_C   →   C_GAS_STRG   →   H2_T&amp;D_P   →   H2_FC_PWR</v>
      </c>
      <c r="AA516" t="str">
        <f t="shared" si="1393"/>
        <v>Onsite / Back-up power</v>
      </c>
      <c r="AB516" t="str">
        <f t="shared" si="1394"/>
        <v>Flexibility</v>
      </c>
      <c r="AC516">
        <f t="shared" ca="1" si="1395"/>
        <v>0</v>
      </c>
      <c r="AD516">
        <v>457</v>
      </c>
      <c r="AE516" t="str">
        <f>IF(AND(ISNUMBER(SEARCH(O516,4)),ISNUMBER(SEARCH('(4) FCH pathway assessment'!$B$16,AB516)),ISNUMBER(SEARCH('(4) FCH pathway assessment'!$B$10,AA516))),AD516,"")</f>
        <v/>
      </c>
      <c r="AF516" t="str">
        <f t="shared" si="1381"/>
        <v/>
      </c>
      <c r="AG516" t="str">
        <f>VLOOKUP(C516,Assumptions!$B$116:$C$162,2,FALSE)</f>
        <v>NG_SR_SML_C</v>
      </c>
      <c r="AH516" t="str">
        <f>VLOOKUP(D516,Assumptions!$B$116:$C$162,2,FALSE)</f>
        <v>C_GAS_STRG</v>
      </c>
      <c r="AI516" t="str">
        <f>VLOOKUP(E516,Assumptions!$B$116:$C$162,2,FALSE)</f>
        <v>H2_T&amp;D_P</v>
      </c>
      <c r="AJ516" t="str">
        <f>VLOOKUP(F516,Assumptions!$B$116:$C$162,2,FALSE)</f>
        <v>H2_FC_PWR</v>
      </c>
    </row>
    <row r="517" spans="2:36" x14ac:dyDescent="0.25">
      <c r="B517" t="s">
        <v>127</v>
      </c>
      <c r="C517" t="s">
        <v>58</v>
      </c>
      <c r="D517" t="s">
        <v>155</v>
      </c>
      <c r="E517" t="s">
        <v>66</v>
      </c>
      <c r="F517" t="s">
        <v>164</v>
      </c>
      <c r="G517" t="s">
        <v>126</v>
      </c>
      <c r="H517" t="s">
        <v>433</v>
      </c>
      <c r="I517" t="s">
        <v>32</v>
      </c>
      <c r="J517" t="s">
        <v>80</v>
      </c>
      <c r="K517">
        <f t="shared" si="1383"/>
        <v>1</v>
      </c>
      <c r="L517">
        <f t="shared" si="1384"/>
        <v>1</v>
      </c>
      <c r="M517">
        <f t="shared" si="1385"/>
        <v>1</v>
      </c>
      <c r="N517">
        <f t="shared" si="1386"/>
        <v>1</v>
      </c>
      <c r="O517">
        <f t="shared" si="1387"/>
        <v>4</v>
      </c>
      <c r="P517" t="str">
        <f t="shared" si="1388"/>
        <v>Small centralized natural gas steam reforming-Flexibility</v>
      </c>
      <c r="Q517" t="str">
        <f t="shared" si="1389"/>
        <v>Central gas storage-Flexibility</v>
      </c>
      <c r="R517" t="str">
        <f t="shared" si="1390"/>
        <v>Onsite-Flexibility</v>
      </c>
      <c r="S517" t="str">
        <f t="shared" si="1391"/>
        <v>Prime power H2 fuel cell-Flexibility</v>
      </c>
      <c r="T517">
        <f ca="1">VLOOKUP($P517,'TA database'!$I$8:$J$79,2,FALSE)</f>
        <v>0</v>
      </c>
      <c r="U517">
        <v>0</v>
      </c>
      <c r="V517">
        <v>0</v>
      </c>
      <c r="W517">
        <v>0</v>
      </c>
      <c r="X517">
        <v>0</v>
      </c>
      <c r="Y517">
        <f t="shared" ca="1" si="1396"/>
        <v>0</v>
      </c>
      <c r="Z517" t="str">
        <f t="shared" si="1392"/>
        <v>NG_SR_SML_C   →   C_GAS_STRG   →   ONSITE_USE   →   H2_FC_PWR</v>
      </c>
      <c r="AA517" t="str">
        <f t="shared" si="1393"/>
        <v>Onsite / Back-up power</v>
      </c>
      <c r="AB517" t="str">
        <f t="shared" si="1394"/>
        <v>Flexibility</v>
      </c>
      <c r="AC517">
        <f t="shared" ca="1" si="1395"/>
        <v>0</v>
      </c>
      <c r="AD517">
        <v>458</v>
      </c>
      <c r="AE517" t="str">
        <f>IF(AND(ISNUMBER(SEARCH(O517,4)),ISNUMBER(SEARCH('(4) FCH pathway assessment'!$B$16,AB517)),ISNUMBER(SEARCH('(4) FCH pathway assessment'!$B$10,AA517))),AD517,"")</f>
        <v/>
      </c>
      <c r="AF517" t="str">
        <f t="shared" si="1381"/>
        <v/>
      </c>
      <c r="AG517" t="str">
        <f>VLOOKUP(C517,Assumptions!$B$116:$C$162,2,FALSE)</f>
        <v>NG_SR_SML_C</v>
      </c>
      <c r="AH517" t="str">
        <f>VLOOKUP(D517,Assumptions!$B$116:$C$162,2,FALSE)</f>
        <v>C_GAS_STRG</v>
      </c>
      <c r="AI517" t="str">
        <f>VLOOKUP(E517,Assumptions!$B$116:$C$162,2,FALSE)</f>
        <v>ONSITE_USE</v>
      </c>
      <c r="AJ517" t="str">
        <f>VLOOKUP(F517,Assumptions!$B$116:$C$162,2,FALSE)</f>
        <v>H2_FC_PWR</v>
      </c>
    </row>
    <row r="518" spans="2:36" x14ac:dyDescent="0.25">
      <c r="B518" t="s">
        <v>127</v>
      </c>
      <c r="C518" t="s">
        <v>59</v>
      </c>
      <c r="D518" s="60" t="s">
        <v>130</v>
      </c>
      <c r="E518" t="s">
        <v>66</v>
      </c>
      <c r="F518" t="s">
        <v>164</v>
      </c>
      <c r="G518" t="s">
        <v>126</v>
      </c>
      <c r="H518" t="s">
        <v>433</v>
      </c>
      <c r="I518" t="s">
        <v>32</v>
      </c>
      <c r="J518" t="s">
        <v>80</v>
      </c>
      <c r="K518">
        <f t="shared" ref="K518" si="1397">SUMPRODUCT(($C$7:$C$18=$C518)*($D$6:$H$6=$D518)*($D$7:$H$18))</f>
        <v>1</v>
      </c>
      <c r="L518">
        <f t="shared" ref="L518" si="1398">SUMPRODUCT(($C$19:$C$23=$D518)*($I$6:$O$6=$E518)*($I$19:$O$23))</f>
        <v>1</v>
      </c>
      <c r="M518">
        <f t="shared" ref="M518" si="1399">SUMPRODUCT(($C$24:$C$30=$E518)*($P$6:$AI$6=$F518)*($P$24:$AI$30))</f>
        <v>1</v>
      </c>
      <c r="N518">
        <f t="shared" ref="N518" si="1400">SUMPRODUCT(($C$31:$C$50=$F518)*($AJ$6:$AM$6=$G518)*($AJ$31:$AM$50))</f>
        <v>1</v>
      </c>
      <c r="O518">
        <f t="shared" ref="O518" si="1401">K518+L518+M518+N518</f>
        <v>4</v>
      </c>
      <c r="P518" t="str">
        <f t="shared" ref="P518" si="1402">CONCATENATE(C518,"-",J518)</f>
        <v>Medium decentralized natural gas steam reforming-Flexibility</v>
      </c>
      <c r="Q518" t="str">
        <f t="shared" ref="Q518" si="1403">CONCATENATE(D518,"-",J518)</f>
        <v>Distributed gas storage-Flexibility</v>
      </c>
      <c r="R518" t="str">
        <f t="shared" ref="R518" si="1404">CONCATENATE(E518,"-",J518)</f>
        <v>Onsite-Flexibility</v>
      </c>
      <c r="S518" t="str">
        <f t="shared" ref="S518" si="1405">CONCATENATE(F518,"-",J518)</f>
        <v>Prime power H2 fuel cell-Flexibility</v>
      </c>
      <c r="T518">
        <f ca="1">VLOOKUP($P518,'TA database'!$I$8:$J$79,2,FALSE)</f>
        <v>0</v>
      </c>
      <c r="U518">
        <v>0</v>
      </c>
      <c r="V518">
        <v>0</v>
      </c>
      <c r="W518">
        <v>0</v>
      </c>
      <c r="X518">
        <v>0</v>
      </c>
      <c r="Y518">
        <f t="shared" ref="Y518:Y519" ca="1" si="1406">$T518</f>
        <v>0</v>
      </c>
      <c r="Z518" t="str">
        <f t="shared" ref="Z518" si="1407">CONCATENATE(AG518,"   →   ",AH518,"   →   ",AI518,"   →   ",AJ518)</f>
        <v>NG_SR_MED_D   →   D_GAS_STRG   →   ONSITE_USE   →   H2_FC_PWR</v>
      </c>
      <c r="AA518" t="str">
        <f t="shared" ref="AA518" si="1408">G518</f>
        <v>Onsite / Back-up power</v>
      </c>
      <c r="AB518" t="str">
        <f t="shared" ref="AB518" si="1409">J518</f>
        <v>Flexibility</v>
      </c>
      <c r="AC518">
        <f t="shared" ref="AC518" ca="1" si="1410">Y518</f>
        <v>0</v>
      </c>
      <c r="AD518">
        <v>459</v>
      </c>
      <c r="AE518" t="str">
        <f>IF(AND(ISNUMBER(SEARCH(O518,4)),ISNUMBER(SEARCH('(4) FCH pathway assessment'!$B$16,AB518)),ISNUMBER(SEARCH('(4) FCH pathway assessment'!$B$10,AA518))),AD518,"")</f>
        <v/>
      </c>
      <c r="AF518" t="str">
        <f t="shared" si="1381"/>
        <v/>
      </c>
      <c r="AG518" t="str">
        <f>VLOOKUP(C518,Assumptions!$B$116:$C$162,2,FALSE)</f>
        <v>NG_SR_MED_D</v>
      </c>
      <c r="AH518" t="str">
        <f>VLOOKUP(D518,Assumptions!$B$116:$C$162,2,FALSE)</f>
        <v>D_GAS_STRG</v>
      </c>
      <c r="AI518" t="str">
        <f>VLOOKUP(E518,Assumptions!$B$116:$C$162,2,FALSE)</f>
        <v>ONSITE_USE</v>
      </c>
      <c r="AJ518" t="str">
        <f>VLOOKUP(F518,Assumptions!$B$116:$C$162,2,FALSE)</f>
        <v>H2_FC_PWR</v>
      </c>
    </row>
    <row r="519" spans="2:36" x14ac:dyDescent="0.25">
      <c r="B519" t="s">
        <v>127</v>
      </c>
      <c r="C519" t="s">
        <v>60</v>
      </c>
      <c r="D519" s="60" t="s">
        <v>130</v>
      </c>
      <c r="E519" t="s">
        <v>66</v>
      </c>
      <c r="F519" t="s">
        <v>164</v>
      </c>
      <c r="G519" t="s">
        <v>126</v>
      </c>
      <c r="H519" t="s">
        <v>433</v>
      </c>
      <c r="I519" t="s">
        <v>32</v>
      </c>
      <c r="J519" t="s">
        <v>80</v>
      </c>
      <c r="K519">
        <f t="shared" ref="K519:K520" si="1411">SUMPRODUCT(($C$7:$C$18=$C519)*($D$6:$H$6=$D519)*($D$7:$H$18))</f>
        <v>1</v>
      </c>
      <c r="L519">
        <f t="shared" ref="L519:L520" si="1412">SUMPRODUCT(($C$19:$C$23=$D519)*($I$6:$O$6=$E519)*($I$19:$O$23))</f>
        <v>1</v>
      </c>
      <c r="M519">
        <f t="shared" ref="M519:M520" si="1413">SUMPRODUCT(($C$24:$C$30=$E519)*($P$6:$AI$6=$F519)*($P$24:$AI$30))</f>
        <v>1</v>
      </c>
      <c r="N519">
        <f t="shared" ref="N519:N520" si="1414">SUMPRODUCT(($C$31:$C$50=$F519)*($AJ$6:$AM$6=$G519)*($AJ$31:$AM$50))</f>
        <v>1</v>
      </c>
      <c r="O519">
        <f t="shared" ref="O519:O520" si="1415">K519+L519+M519+N519</f>
        <v>4</v>
      </c>
      <c r="P519" t="str">
        <f t="shared" ref="P519:P520" si="1416">CONCATENATE(C519,"-",J519)</f>
        <v>Small decentralized natural gas steam reforming-Flexibility</v>
      </c>
      <c r="Q519" t="str">
        <f t="shared" ref="Q519:Q520" si="1417">CONCATENATE(D519,"-",J519)</f>
        <v>Distributed gas storage-Flexibility</v>
      </c>
      <c r="R519" t="str">
        <f t="shared" ref="R519:R520" si="1418">CONCATENATE(E519,"-",J519)</f>
        <v>Onsite-Flexibility</v>
      </c>
      <c r="S519" t="str">
        <f t="shared" ref="S519:S520" si="1419">CONCATENATE(F519,"-",J519)</f>
        <v>Prime power H2 fuel cell-Flexibility</v>
      </c>
      <c r="T519">
        <f ca="1">VLOOKUP($P519,'TA database'!$I$8:$J$79,2,FALSE)</f>
        <v>0</v>
      </c>
      <c r="U519">
        <v>0</v>
      </c>
      <c r="V519">
        <v>0</v>
      </c>
      <c r="W519">
        <v>0</v>
      </c>
      <c r="X519">
        <v>0</v>
      </c>
      <c r="Y519">
        <f t="shared" ca="1" si="1406"/>
        <v>0</v>
      </c>
      <c r="Z519" t="str">
        <f t="shared" ref="Z519:Z520" si="1420">CONCATENATE(AG519,"   →   ",AH519,"   →   ",AI519,"   →   ",AJ519)</f>
        <v>NG_SR_SML_D   →   D_GAS_STRG   →   ONSITE_USE   →   H2_FC_PWR</v>
      </c>
      <c r="AA519" t="str">
        <f t="shared" ref="AA519:AA520" si="1421">G519</f>
        <v>Onsite / Back-up power</v>
      </c>
      <c r="AB519" t="str">
        <f t="shared" ref="AB519:AB520" si="1422">J519</f>
        <v>Flexibility</v>
      </c>
      <c r="AC519">
        <f t="shared" ref="AC519:AC520" ca="1" si="1423">Y519</f>
        <v>0</v>
      </c>
      <c r="AD519">
        <v>460</v>
      </c>
      <c r="AE519" t="str">
        <f>IF(AND(ISNUMBER(SEARCH(O519,4)),ISNUMBER(SEARCH('(4) FCH pathway assessment'!$B$16,AB519)),ISNUMBER(SEARCH('(4) FCH pathway assessment'!$B$10,AA519))),AD519,"")</f>
        <v/>
      </c>
      <c r="AF519" t="str">
        <f t="shared" si="1381"/>
        <v/>
      </c>
      <c r="AG519" t="str">
        <f>VLOOKUP(C519,Assumptions!$B$116:$C$162,2,FALSE)</f>
        <v>NG_SR_SML_D</v>
      </c>
      <c r="AH519" t="str">
        <f>VLOOKUP(D519,Assumptions!$B$116:$C$162,2,FALSE)</f>
        <v>D_GAS_STRG</v>
      </c>
      <c r="AI519" t="str">
        <f>VLOOKUP(E519,Assumptions!$B$116:$C$162,2,FALSE)</f>
        <v>ONSITE_USE</v>
      </c>
      <c r="AJ519" t="str">
        <f>VLOOKUP(F519,Assumptions!$B$116:$C$162,2,FALSE)</f>
        <v>H2_FC_PWR</v>
      </c>
    </row>
    <row r="520" spans="2:36" x14ac:dyDescent="0.25">
      <c r="B520" t="s">
        <v>117</v>
      </c>
      <c r="C520" t="s">
        <v>53</v>
      </c>
      <c r="D520" t="s">
        <v>155</v>
      </c>
      <c r="E520" t="s">
        <v>65</v>
      </c>
      <c r="F520" t="s">
        <v>165</v>
      </c>
      <c r="G520" t="s">
        <v>126</v>
      </c>
      <c r="H520" t="s">
        <v>433</v>
      </c>
      <c r="I520" t="s">
        <v>32</v>
      </c>
      <c r="J520" t="s">
        <v>80</v>
      </c>
      <c r="K520">
        <f t="shared" si="1411"/>
        <v>0</v>
      </c>
      <c r="L520">
        <f t="shared" si="1412"/>
        <v>1</v>
      </c>
      <c r="M520">
        <f t="shared" si="1413"/>
        <v>0</v>
      </c>
      <c r="N520">
        <f t="shared" si="1414"/>
        <v>1</v>
      </c>
      <c r="O520">
        <f t="shared" si="1415"/>
        <v>2</v>
      </c>
      <c r="P520" t="str">
        <f t="shared" si="1416"/>
        <v>Medium centralized biomass gasification-Flexibility</v>
      </c>
      <c r="Q520" t="str">
        <f t="shared" si="1417"/>
        <v>Central gas storage-Flexibility</v>
      </c>
      <c r="R520" t="str">
        <f t="shared" si="1418"/>
        <v>Methanation-Flexibility</v>
      </c>
      <c r="S520" t="str">
        <f t="shared" si="1419"/>
        <v>Prime power natural gas fuel cell-Flexibility</v>
      </c>
      <c r="T520">
        <f ca="1">VLOOKUP($P520,'TA database'!$I$8:$J$79,2,FALSE)</f>
        <v>0</v>
      </c>
      <c r="U520">
        <v>0</v>
      </c>
      <c r="V520">
        <v>0</v>
      </c>
      <c r="W520">
        <v>0</v>
      </c>
      <c r="X520">
        <v>0</v>
      </c>
      <c r="Y520">
        <f t="shared" ref="Y520" ca="1" si="1424">$T520</f>
        <v>0</v>
      </c>
      <c r="Z520" t="str">
        <f t="shared" si="1420"/>
        <v>BIO_GSF_MED_C   →   C_GAS_STRG   →   METHANATION   →   NG_FC_PWR</v>
      </c>
      <c r="AA520" t="str">
        <f t="shared" si="1421"/>
        <v>Onsite / Back-up power</v>
      </c>
      <c r="AB520" t="str">
        <f t="shared" si="1422"/>
        <v>Flexibility</v>
      </c>
      <c r="AC520">
        <f t="shared" ca="1" si="1423"/>
        <v>0</v>
      </c>
      <c r="AD520">
        <v>461</v>
      </c>
      <c r="AE520" t="str">
        <f>IF(AND(ISNUMBER(SEARCH(O520,4)),ISNUMBER(SEARCH('(4) FCH pathway assessment'!$B$16,AB520)),ISNUMBER(SEARCH('(4) FCH pathway assessment'!$B$10,AA520))),AD520,"")</f>
        <v/>
      </c>
      <c r="AF520" t="str">
        <f t="shared" si="1381"/>
        <v/>
      </c>
      <c r="AG520" t="str">
        <f>VLOOKUP(C520,Assumptions!$B$116:$C$162,2,FALSE)</f>
        <v>BIO_GSF_MED_C</v>
      </c>
      <c r="AH520" t="str">
        <f>VLOOKUP(D520,Assumptions!$B$116:$C$162,2,FALSE)</f>
        <v>C_GAS_STRG</v>
      </c>
      <c r="AI520" t="str">
        <f>VLOOKUP(E520,Assumptions!$B$116:$C$162,2,FALSE)</f>
        <v>METHANATION</v>
      </c>
      <c r="AJ520" t="str">
        <f>VLOOKUP(F520,Assumptions!$B$116:$C$162,2,FALSE)</f>
        <v>NG_FC_PWR</v>
      </c>
    </row>
    <row r="521" spans="2:36" x14ac:dyDescent="0.25">
      <c r="B521" t="s">
        <v>117</v>
      </c>
      <c r="C521" t="s">
        <v>54</v>
      </c>
      <c r="D521" t="s">
        <v>155</v>
      </c>
      <c r="E521" t="s">
        <v>65</v>
      </c>
      <c r="F521" t="s">
        <v>165</v>
      </c>
      <c r="G521" t="s">
        <v>126</v>
      </c>
      <c r="H521" t="s">
        <v>433</v>
      </c>
      <c r="I521" t="s">
        <v>32</v>
      </c>
      <c r="J521" t="s">
        <v>80</v>
      </c>
      <c r="K521">
        <f t="shared" ref="K521" si="1425">SUMPRODUCT(($C$7:$C$18=$C521)*($D$6:$H$6=$D521)*($D$7:$H$18))</f>
        <v>0</v>
      </c>
      <c r="L521">
        <f t="shared" ref="L521" si="1426">SUMPRODUCT(($C$19:$C$23=$D521)*($I$6:$O$6=$E521)*($I$19:$O$23))</f>
        <v>1</v>
      </c>
      <c r="M521">
        <f t="shared" ref="M521" si="1427">SUMPRODUCT(($C$24:$C$30=$E521)*($P$6:$AI$6=$F521)*($P$24:$AI$30))</f>
        <v>0</v>
      </c>
      <c r="N521">
        <f t="shared" ref="N521" si="1428">SUMPRODUCT(($C$31:$C$50=$F521)*($AJ$6:$AM$6=$G521)*($AJ$31:$AM$50))</f>
        <v>1</v>
      </c>
      <c r="O521">
        <f t="shared" ref="O521" si="1429">K521+L521+M521+N521</f>
        <v>2</v>
      </c>
      <c r="P521" t="str">
        <f t="shared" ref="P521" si="1430">CONCATENATE(C521,"-",J521)</f>
        <v>Medium centralized biomass gasification w/ CCS-Flexibility</v>
      </c>
      <c r="Q521" t="str">
        <f t="shared" ref="Q521" si="1431">CONCATENATE(D521,"-",J521)</f>
        <v>Central gas storage-Flexibility</v>
      </c>
      <c r="R521" t="str">
        <f t="shared" ref="R521" si="1432">CONCATENATE(E521,"-",J521)</f>
        <v>Methanation-Flexibility</v>
      </c>
      <c r="S521" t="str">
        <f t="shared" ref="S521" si="1433">CONCATENATE(F521,"-",J521)</f>
        <v>Prime power natural gas fuel cell-Flexibility</v>
      </c>
      <c r="T521">
        <f ca="1">VLOOKUP($P521,'TA database'!$I$8:$J$79,2,FALSE)</f>
        <v>0</v>
      </c>
      <c r="U521">
        <v>0</v>
      </c>
      <c r="V521">
        <v>0</v>
      </c>
      <c r="W521">
        <v>0</v>
      </c>
      <c r="X521">
        <v>0</v>
      </c>
      <c r="Y521">
        <f t="shared" ref="Y521" ca="1" si="1434">$T521</f>
        <v>0</v>
      </c>
      <c r="Z521" t="str">
        <f t="shared" ref="Z521" si="1435">CONCATENATE(AG521,"   →   ",AH521,"   →   ",AI521,"   →   ",AJ521)</f>
        <v>BIO_GSF_CCS_MED_C   →   C_GAS_STRG   →   METHANATION   →   NG_FC_PWR</v>
      </c>
      <c r="AA521" t="str">
        <f t="shared" ref="AA521" si="1436">G521</f>
        <v>Onsite / Back-up power</v>
      </c>
      <c r="AB521" t="str">
        <f t="shared" ref="AB521" si="1437">J521</f>
        <v>Flexibility</v>
      </c>
      <c r="AC521">
        <f t="shared" ref="AC521" ca="1" si="1438">Y521</f>
        <v>0</v>
      </c>
      <c r="AD521">
        <v>462</v>
      </c>
      <c r="AE521" t="str">
        <f>IF(AND(ISNUMBER(SEARCH(O521,4)),ISNUMBER(SEARCH('(4) FCH pathway assessment'!$B$16,AB521)),ISNUMBER(SEARCH('(4) FCH pathway assessment'!$B$10,AA521))),AD521,"")</f>
        <v/>
      </c>
      <c r="AF521" t="str">
        <f t="shared" si="1381"/>
        <v/>
      </c>
      <c r="AG521" t="str">
        <f>VLOOKUP(C521,Assumptions!$B$116:$C$162,2,FALSE)</f>
        <v>BIO_GSF_CCS_MED_C</v>
      </c>
      <c r="AH521" t="str">
        <f>VLOOKUP(D521,Assumptions!$B$116:$C$162,2,FALSE)</f>
        <v>C_GAS_STRG</v>
      </c>
      <c r="AI521" t="str">
        <f>VLOOKUP(E521,Assumptions!$B$116:$C$162,2,FALSE)</f>
        <v>METHANATION</v>
      </c>
      <c r="AJ521" t="str">
        <f>VLOOKUP(F521,Assumptions!$B$116:$C$162,2,FALSE)</f>
        <v>NG_FC_PWR</v>
      </c>
    </row>
    <row r="522" spans="2:36" x14ac:dyDescent="0.25">
      <c r="B522" t="s">
        <v>117</v>
      </c>
      <c r="C522" t="s">
        <v>56</v>
      </c>
      <c r="D522" t="s">
        <v>62</v>
      </c>
      <c r="E522" t="s">
        <v>65</v>
      </c>
      <c r="F522" t="s">
        <v>165</v>
      </c>
      <c r="G522" t="s">
        <v>126</v>
      </c>
      <c r="H522" t="s">
        <v>433</v>
      </c>
      <c r="I522" t="s">
        <v>32</v>
      </c>
      <c r="J522" t="s">
        <v>80</v>
      </c>
      <c r="K522">
        <f t="shared" ref="K522" si="1439">SUMPRODUCT(($C$7:$C$18=$C522)*($D$6:$H$6=$D522)*($D$7:$H$18))</f>
        <v>0</v>
      </c>
      <c r="L522">
        <f t="shared" ref="L522" si="1440">SUMPRODUCT(($C$19:$C$23=$D522)*($I$6:$O$6=$E522)*($I$19:$O$23))</f>
        <v>0</v>
      </c>
      <c r="M522">
        <f t="shared" ref="M522" si="1441">SUMPRODUCT(($C$24:$C$30=$E522)*($P$6:$AI$6=$F522)*($P$24:$AI$30))</f>
        <v>0</v>
      </c>
      <c r="N522">
        <f t="shared" ref="N522" si="1442">SUMPRODUCT(($C$31:$C$50=$F522)*($AJ$6:$AM$6=$G522)*($AJ$31:$AM$50))</f>
        <v>1</v>
      </c>
      <c r="O522">
        <f t="shared" ref="O522" si="1443">K522+L522+M522+N522</f>
        <v>1</v>
      </c>
      <c r="P522" t="str">
        <f t="shared" ref="P522" si="1444">CONCATENATE(C522,"-",J522)</f>
        <v>Large centralized biomass steam reforming -Flexibility</v>
      </c>
      <c r="Q522" t="str">
        <f t="shared" ref="Q522" si="1445">CONCATENATE(D522,"-",J522)</f>
        <v>Underground storage-Flexibility</v>
      </c>
      <c r="R522" t="str">
        <f t="shared" ref="R522" si="1446">CONCATENATE(E522,"-",J522)</f>
        <v>Methanation-Flexibility</v>
      </c>
      <c r="S522" t="str">
        <f t="shared" ref="S522" si="1447">CONCATENATE(F522,"-",J522)</f>
        <v>Prime power natural gas fuel cell-Flexibility</v>
      </c>
      <c r="T522">
        <f ca="1">VLOOKUP($P522,'TA database'!$I$8:$J$79,2,FALSE)</f>
        <v>0</v>
      </c>
      <c r="U522">
        <v>0</v>
      </c>
      <c r="V522">
        <v>0</v>
      </c>
      <c r="W522">
        <v>0</v>
      </c>
      <c r="X522">
        <v>0</v>
      </c>
      <c r="Y522">
        <f t="shared" ref="Y522:Y524" ca="1" si="1448">$T522</f>
        <v>0</v>
      </c>
      <c r="Z522" t="str">
        <f t="shared" ref="Z522" si="1449">CONCATENATE(AG522,"   →   ",AH522,"   →   ",AI522,"   →   ",AJ522)</f>
        <v>BIO_SR_LRG_C   →   C_UNDRGRND_STRG   →   METHANATION   →   NG_FC_PWR</v>
      </c>
      <c r="AA522" t="str">
        <f t="shared" ref="AA522" si="1450">G522</f>
        <v>Onsite / Back-up power</v>
      </c>
      <c r="AB522" t="str">
        <f t="shared" ref="AB522" si="1451">J522</f>
        <v>Flexibility</v>
      </c>
      <c r="AC522">
        <f t="shared" ref="AC522" ca="1" si="1452">Y522</f>
        <v>0</v>
      </c>
      <c r="AD522">
        <v>463</v>
      </c>
      <c r="AE522" t="str">
        <f>IF(AND(ISNUMBER(SEARCH(O522,4)),ISNUMBER(SEARCH('(4) FCH pathway assessment'!$B$16,AB522)),ISNUMBER(SEARCH('(4) FCH pathway assessment'!$B$10,AA522))),AD522,"")</f>
        <v/>
      </c>
      <c r="AF522" t="str">
        <f t="shared" si="1381"/>
        <v/>
      </c>
      <c r="AG522" t="str">
        <f>VLOOKUP(C522,Assumptions!$B$116:$C$162,2,FALSE)</f>
        <v>BIO_SR_LRG_C</v>
      </c>
      <c r="AH522" t="str">
        <f>VLOOKUP(D522,Assumptions!$B$116:$C$162,2,FALSE)</f>
        <v>C_UNDRGRND_STRG</v>
      </c>
      <c r="AI522" t="str">
        <f>VLOOKUP(E522,Assumptions!$B$116:$C$162,2,FALSE)</f>
        <v>METHANATION</v>
      </c>
      <c r="AJ522" t="str">
        <f>VLOOKUP(F522,Assumptions!$B$116:$C$162,2,FALSE)</f>
        <v>NG_FC_PWR</v>
      </c>
    </row>
    <row r="523" spans="2:36" x14ac:dyDescent="0.25">
      <c r="B523" t="s">
        <v>112</v>
      </c>
      <c r="C523" t="s">
        <v>49</v>
      </c>
      <c r="D523" t="s">
        <v>62</v>
      </c>
      <c r="E523" t="s">
        <v>65</v>
      </c>
      <c r="F523" t="s">
        <v>165</v>
      </c>
      <c r="G523" t="s">
        <v>126</v>
      </c>
      <c r="H523" t="s">
        <v>433</v>
      </c>
      <c r="I523" t="s">
        <v>32</v>
      </c>
      <c r="J523" t="s">
        <v>80</v>
      </c>
      <c r="K523">
        <f t="shared" ref="K523:K525" si="1453">SUMPRODUCT(($C$7:$C$18=$C523)*($D$6:$H$6=$D523)*($D$7:$H$18))</f>
        <v>1</v>
      </c>
      <c r="L523">
        <f t="shared" ref="L523:L525" si="1454">SUMPRODUCT(($C$19:$C$23=$D523)*($I$6:$O$6=$E523)*($I$19:$O$23))</f>
        <v>0</v>
      </c>
      <c r="M523">
        <f t="shared" ref="M523:M525" si="1455">SUMPRODUCT(($C$24:$C$30=$E523)*($P$6:$AI$6=$F523)*($P$24:$AI$30))</f>
        <v>0</v>
      </c>
      <c r="N523">
        <f t="shared" ref="N523:N525" si="1456">SUMPRODUCT(($C$31:$C$50=$F523)*($AJ$6:$AM$6=$G523)*($AJ$31:$AM$50))</f>
        <v>1</v>
      </c>
      <c r="O523">
        <f t="shared" ref="O523:O525" si="1457">K523+L523+M523+N523</f>
        <v>2</v>
      </c>
      <c r="P523" t="str">
        <f t="shared" ref="P523:P525" si="1458">CONCATENATE(C523,"-",J523)</f>
        <v>Large centralized electrolysis-Flexibility</v>
      </c>
      <c r="Q523" t="str">
        <f t="shared" ref="Q523:Q525" si="1459">CONCATENATE(D523,"-",J523)</f>
        <v>Underground storage-Flexibility</v>
      </c>
      <c r="R523" t="str">
        <f t="shared" ref="R523:R525" si="1460">CONCATENATE(E523,"-",J523)</f>
        <v>Methanation-Flexibility</v>
      </c>
      <c r="S523" t="str">
        <f t="shared" ref="S523:S525" si="1461">CONCATENATE(F523,"-",J523)</f>
        <v>Prime power natural gas fuel cell-Flexibility</v>
      </c>
      <c r="T523">
        <f ca="1">VLOOKUP($P523,'TA database'!$I$8:$J$79,2,FALSE)</f>
        <v>1</v>
      </c>
      <c r="U523">
        <v>0</v>
      </c>
      <c r="V523">
        <v>0</v>
      </c>
      <c r="W523">
        <v>0</v>
      </c>
      <c r="X523">
        <v>0</v>
      </c>
      <c r="Y523">
        <f t="shared" ca="1" si="1448"/>
        <v>1</v>
      </c>
      <c r="Z523" t="str">
        <f t="shared" ref="Z523:Z525" si="1462">CONCATENATE(AG523,"   →   ",AH523,"   →   ",AI523,"   →   ",AJ523)</f>
        <v>ELCTRLYZ_LRG_C   →   C_UNDRGRND_STRG   →   METHANATION   →   NG_FC_PWR</v>
      </c>
      <c r="AA523" t="str">
        <f t="shared" ref="AA523:AA525" si="1463">G523</f>
        <v>Onsite / Back-up power</v>
      </c>
      <c r="AB523" t="str">
        <f t="shared" ref="AB523:AB525" si="1464">J523</f>
        <v>Flexibility</v>
      </c>
      <c r="AC523">
        <f t="shared" ref="AC523:AC525" ca="1" si="1465">Y523</f>
        <v>1</v>
      </c>
      <c r="AD523">
        <v>464</v>
      </c>
      <c r="AE523" t="str">
        <f>IF(AND(ISNUMBER(SEARCH(O523,4)),ISNUMBER(SEARCH('(4) FCH pathway assessment'!$B$16,AB523)),ISNUMBER(SEARCH('(4) FCH pathway assessment'!$B$10,AA523))),AD523,"")</f>
        <v/>
      </c>
      <c r="AF523" t="str">
        <f t="shared" si="1381"/>
        <v/>
      </c>
      <c r="AG523" t="str">
        <f>VLOOKUP(C523,Assumptions!$B$116:$C$162,2,FALSE)</f>
        <v>ELCTRLYZ_LRG_C</v>
      </c>
      <c r="AH523" t="str">
        <f>VLOOKUP(D523,Assumptions!$B$116:$C$162,2,FALSE)</f>
        <v>C_UNDRGRND_STRG</v>
      </c>
      <c r="AI523" t="str">
        <f>VLOOKUP(E523,Assumptions!$B$116:$C$162,2,FALSE)</f>
        <v>METHANATION</v>
      </c>
      <c r="AJ523" t="str">
        <f>VLOOKUP(F523,Assumptions!$B$116:$C$162,2,FALSE)</f>
        <v>NG_FC_PWR</v>
      </c>
    </row>
    <row r="524" spans="2:36" x14ac:dyDescent="0.25">
      <c r="B524" t="s">
        <v>112</v>
      </c>
      <c r="C524" t="s">
        <v>49</v>
      </c>
      <c r="D524" t="s">
        <v>155</v>
      </c>
      <c r="E524" t="s">
        <v>65</v>
      </c>
      <c r="F524" t="s">
        <v>165</v>
      </c>
      <c r="G524" t="s">
        <v>126</v>
      </c>
      <c r="H524" t="s">
        <v>433</v>
      </c>
      <c r="I524" t="s">
        <v>32</v>
      </c>
      <c r="J524" t="s">
        <v>80</v>
      </c>
      <c r="K524">
        <f t="shared" si="1453"/>
        <v>1</v>
      </c>
      <c r="L524">
        <f t="shared" si="1454"/>
        <v>1</v>
      </c>
      <c r="M524">
        <f t="shared" si="1455"/>
        <v>0</v>
      </c>
      <c r="N524">
        <f t="shared" si="1456"/>
        <v>1</v>
      </c>
      <c r="O524">
        <f t="shared" si="1457"/>
        <v>3</v>
      </c>
      <c r="P524" t="str">
        <f t="shared" si="1458"/>
        <v>Large centralized electrolysis-Flexibility</v>
      </c>
      <c r="Q524" t="str">
        <f t="shared" si="1459"/>
        <v>Central gas storage-Flexibility</v>
      </c>
      <c r="R524" t="str">
        <f t="shared" si="1460"/>
        <v>Methanation-Flexibility</v>
      </c>
      <c r="S524" t="str">
        <f t="shared" si="1461"/>
        <v>Prime power natural gas fuel cell-Flexibility</v>
      </c>
      <c r="T524">
        <f ca="1">VLOOKUP($P524,'TA database'!$I$8:$J$79,2,FALSE)</f>
        <v>1</v>
      </c>
      <c r="U524">
        <v>0</v>
      </c>
      <c r="V524">
        <v>0</v>
      </c>
      <c r="W524">
        <v>0</v>
      </c>
      <c r="X524">
        <v>0</v>
      </c>
      <c r="Y524">
        <f t="shared" ca="1" si="1448"/>
        <v>1</v>
      </c>
      <c r="Z524" t="str">
        <f t="shared" si="1462"/>
        <v>ELCTRLYZ_LRG_C   →   C_GAS_STRG   →   METHANATION   →   NG_FC_PWR</v>
      </c>
      <c r="AA524" t="str">
        <f t="shared" si="1463"/>
        <v>Onsite / Back-up power</v>
      </c>
      <c r="AB524" t="str">
        <f t="shared" si="1464"/>
        <v>Flexibility</v>
      </c>
      <c r="AC524">
        <f t="shared" ca="1" si="1465"/>
        <v>1</v>
      </c>
      <c r="AD524">
        <v>465</v>
      </c>
      <c r="AE524" t="str">
        <f>IF(AND(ISNUMBER(SEARCH(O524,4)),ISNUMBER(SEARCH('(4) FCH pathway assessment'!$B$16,AB524)),ISNUMBER(SEARCH('(4) FCH pathway assessment'!$B$10,AA524))),AD524,"")</f>
        <v/>
      </c>
      <c r="AF524" t="str">
        <f t="shared" si="1381"/>
        <v/>
      </c>
      <c r="AG524" t="str">
        <f>VLOOKUP(C524,Assumptions!$B$116:$C$162,2,FALSE)</f>
        <v>ELCTRLYZ_LRG_C</v>
      </c>
      <c r="AH524" t="str">
        <f>VLOOKUP(D524,Assumptions!$B$116:$C$162,2,FALSE)</f>
        <v>C_GAS_STRG</v>
      </c>
      <c r="AI524" t="str">
        <f>VLOOKUP(E524,Assumptions!$B$116:$C$162,2,FALSE)</f>
        <v>METHANATION</v>
      </c>
      <c r="AJ524" t="str">
        <f>VLOOKUP(F524,Assumptions!$B$116:$C$162,2,FALSE)</f>
        <v>NG_FC_PWR</v>
      </c>
    </row>
    <row r="525" spans="2:36" x14ac:dyDescent="0.25">
      <c r="B525" t="s">
        <v>112</v>
      </c>
      <c r="C525" t="s">
        <v>51</v>
      </c>
      <c r="D525" t="s">
        <v>155</v>
      </c>
      <c r="E525" t="s">
        <v>65</v>
      </c>
      <c r="F525" t="s">
        <v>165</v>
      </c>
      <c r="G525" t="s">
        <v>126</v>
      </c>
      <c r="H525" t="s">
        <v>433</v>
      </c>
      <c r="I525" t="s">
        <v>32</v>
      </c>
      <c r="J525" t="s">
        <v>80</v>
      </c>
      <c r="K525">
        <f t="shared" si="1453"/>
        <v>1</v>
      </c>
      <c r="L525">
        <f t="shared" si="1454"/>
        <v>1</v>
      </c>
      <c r="M525">
        <f t="shared" si="1455"/>
        <v>0</v>
      </c>
      <c r="N525">
        <f t="shared" si="1456"/>
        <v>1</v>
      </c>
      <c r="O525">
        <f t="shared" si="1457"/>
        <v>3</v>
      </c>
      <c r="P525" t="str">
        <f t="shared" si="1458"/>
        <v>Medium centralized electrolysis-Flexibility</v>
      </c>
      <c r="Q525" t="str">
        <f t="shared" si="1459"/>
        <v>Central gas storage-Flexibility</v>
      </c>
      <c r="R525" t="str">
        <f t="shared" si="1460"/>
        <v>Methanation-Flexibility</v>
      </c>
      <c r="S525" t="str">
        <f t="shared" si="1461"/>
        <v>Prime power natural gas fuel cell-Flexibility</v>
      </c>
      <c r="T525">
        <f ca="1">VLOOKUP($P525,'TA database'!$I$8:$J$79,2,FALSE)</f>
        <v>1</v>
      </c>
      <c r="U525">
        <v>0</v>
      </c>
      <c r="V525">
        <v>0</v>
      </c>
      <c r="W525">
        <v>0</v>
      </c>
      <c r="X525">
        <v>0</v>
      </c>
      <c r="Y525">
        <f t="shared" ref="Y525" ca="1" si="1466">$T525</f>
        <v>1</v>
      </c>
      <c r="Z525" t="str">
        <f t="shared" si="1462"/>
        <v>ELCTRLYZ_MED_C   →   C_GAS_STRG   →   METHANATION   →   NG_FC_PWR</v>
      </c>
      <c r="AA525" t="str">
        <f t="shared" si="1463"/>
        <v>Onsite / Back-up power</v>
      </c>
      <c r="AB525" t="str">
        <f t="shared" si="1464"/>
        <v>Flexibility</v>
      </c>
      <c r="AC525">
        <f t="shared" ca="1" si="1465"/>
        <v>1</v>
      </c>
      <c r="AD525">
        <v>466</v>
      </c>
      <c r="AE525" t="str">
        <f>IF(AND(ISNUMBER(SEARCH(O525,4)),ISNUMBER(SEARCH('(4) FCH pathway assessment'!$B$16,AB525)),ISNUMBER(SEARCH('(4) FCH pathway assessment'!$B$10,AA525))),AD525,"")</f>
        <v/>
      </c>
      <c r="AF525" t="str">
        <f t="shared" si="1381"/>
        <v/>
      </c>
      <c r="AG525" t="str">
        <f>VLOOKUP(C525,Assumptions!$B$116:$C$162,2,FALSE)</f>
        <v>ELCTRLYZ_MED_C</v>
      </c>
      <c r="AH525" t="str">
        <f>VLOOKUP(D525,Assumptions!$B$116:$C$162,2,FALSE)</f>
        <v>C_GAS_STRG</v>
      </c>
      <c r="AI525" t="str">
        <f>VLOOKUP(E525,Assumptions!$B$116:$C$162,2,FALSE)</f>
        <v>METHANATION</v>
      </c>
      <c r="AJ525" t="str">
        <f>VLOOKUP(F525,Assumptions!$B$116:$C$162,2,FALSE)</f>
        <v>NG_FC_PWR</v>
      </c>
    </row>
    <row r="526" spans="2:36" x14ac:dyDescent="0.25">
      <c r="B526" t="s">
        <v>127</v>
      </c>
      <c r="C526" t="s">
        <v>57</v>
      </c>
      <c r="D526" t="s">
        <v>62</v>
      </c>
      <c r="E526" t="s">
        <v>65</v>
      </c>
      <c r="F526" t="s">
        <v>165</v>
      </c>
      <c r="G526" t="s">
        <v>126</v>
      </c>
      <c r="H526" t="s">
        <v>433</v>
      </c>
      <c r="I526" t="s">
        <v>32</v>
      </c>
      <c r="J526" t="s">
        <v>80</v>
      </c>
      <c r="K526">
        <f t="shared" ref="K526" si="1467">SUMPRODUCT(($C$7:$C$18=$C526)*($D$6:$H$6=$D526)*($D$7:$H$18))</f>
        <v>1</v>
      </c>
      <c r="L526">
        <f t="shared" ref="L526" si="1468">SUMPRODUCT(($C$19:$C$23=$D526)*($I$6:$O$6=$E526)*($I$19:$O$23))</f>
        <v>0</v>
      </c>
      <c r="M526">
        <f t="shared" ref="M526" si="1469">SUMPRODUCT(($C$24:$C$30=$E526)*($P$6:$AI$6=$F526)*($P$24:$AI$30))</f>
        <v>0</v>
      </c>
      <c r="N526">
        <f t="shared" ref="N526" si="1470">SUMPRODUCT(($C$31:$C$50=$F526)*($AJ$6:$AM$6=$G526)*($AJ$31:$AM$50))</f>
        <v>1</v>
      </c>
      <c r="O526">
        <f t="shared" ref="O526" si="1471">K526+L526+M526+N526</f>
        <v>2</v>
      </c>
      <c r="P526" t="str">
        <f t="shared" ref="P526" si="1472">CONCATENATE(C526,"-",J526)</f>
        <v>Large centralized natural gas steam reforming-Flexibility</v>
      </c>
      <c r="Q526" t="str">
        <f t="shared" ref="Q526" si="1473">CONCATENATE(D526,"-",J526)</f>
        <v>Underground storage-Flexibility</v>
      </c>
      <c r="R526" t="str">
        <f t="shared" ref="R526" si="1474">CONCATENATE(E526,"-",J526)</f>
        <v>Methanation-Flexibility</v>
      </c>
      <c r="S526" t="str">
        <f t="shared" ref="S526" si="1475">CONCATENATE(F526,"-",J526)</f>
        <v>Prime power natural gas fuel cell-Flexibility</v>
      </c>
      <c r="T526">
        <f ca="1">VLOOKUP($P526,'TA database'!$I$8:$J$79,2,FALSE)</f>
        <v>0</v>
      </c>
      <c r="U526">
        <v>0</v>
      </c>
      <c r="V526">
        <v>0</v>
      </c>
      <c r="W526">
        <v>0</v>
      </c>
      <c r="X526">
        <v>0</v>
      </c>
      <c r="Y526">
        <f t="shared" ref="Y526" ca="1" si="1476">$T526</f>
        <v>0</v>
      </c>
      <c r="Z526" t="str">
        <f t="shared" ref="Z526" si="1477">CONCATENATE(AG526,"   →   ",AH526,"   →   ",AI526,"   →   ",AJ526)</f>
        <v>NG_SR_LRG_C   →   C_UNDRGRND_STRG   →   METHANATION   →   NG_FC_PWR</v>
      </c>
      <c r="AA526" t="str">
        <f t="shared" ref="AA526" si="1478">G526</f>
        <v>Onsite / Back-up power</v>
      </c>
      <c r="AB526" t="str">
        <f t="shared" ref="AB526" si="1479">J526</f>
        <v>Flexibility</v>
      </c>
      <c r="AC526">
        <f t="shared" ref="AC526" ca="1" si="1480">Y526</f>
        <v>0</v>
      </c>
      <c r="AD526">
        <v>467</v>
      </c>
      <c r="AE526" t="str">
        <f>IF(AND(ISNUMBER(SEARCH(O526,4)),ISNUMBER(SEARCH('(4) FCH pathway assessment'!$B$16,AB526)),ISNUMBER(SEARCH('(4) FCH pathway assessment'!$B$10,AA526))),AD526,"")</f>
        <v/>
      </c>
      <c r="AF526" t="str">
        <f t="shared" si="1381"/>
        <v/>
      </c>
      <c r="AG526" t="str">
        <f>VLOOKUP(C526,Assumptions!$B$116:$C$162,2,FALSE)</f>
        <v>NG_SR_LRG_C</v>
      </c>
      <c r="AH526" t="str">
        <f>VLOOKUP(D526,Assumptions!$B$116:$C$162,2,FALSE)</f>
        <v>C_UNDRGRND_STRG</v>
      </c>
      <c r="AI526" t="str">
        <f>VLOOKUP(E526,Assumptions!$B$116:$C$162,2,FALSE)</f>
        <v>METHANATION</v>
      </c>
      <c r="AJ526" t="str">
        <f>VLOOKUP(F526,Assumptions!$B$116:$C$162,2,FALSE)</f>
        <v>NG_FC_PWR</v>
      </c>
    </row>
    <row r="527" spans="2:36" x14ac:dyDescent="0.25">
      <c r="B527" t="s">
        <v>127</v>
      </c>
      <c r="C527" t="s">
        <v>58</v>
      </c>
      <c r="D527" t="s">
        <v>155</v>
      </c>
      <c r="E527" t="s">
        <v>65</v>
      </c>
      <c r="F527" t="s">
        <v>165</v>
      </c>
      <c r="G527" t="s">
        <v>126</v>
      </c>
      <c r="H527" t="s">
        <v>433</v>
      </c>
      <c r="I527" t="s">
        <v>32</v>
      </c>
      <c r="J527" t="s">
        <v>80</v>
      </c>
      <c r="K527">
        <f t="shared" ref="K527" si="1481">SUMPRODUCT(($C$7:$C$18=$C527)*($D$6:$H$6=$D527)*($D$7:$H$18))</f>
        <v>1</v>
      </c>
      <c r="L527">
        <f t="shared" ref="L527" si="1482">SUMPRODUCT(($C$19:$C$23=$D527)*($I$6:$O$6=$E527)*($I$19:$O$23))</f>
        <v>1</v>
      </c>
      <c r="M527">
        <f t="shared" ref="M527" si="1483">SUMPRODUCT(($C$24:$C$30=$E527)*($P$6:$AI$6=$F527)*($P$24:$AI$30))</f>
        <v>0</v>
      </c>
      <c r="N527">
        <f t="shared" ref="N527" si="1484">SUMPRODUCT(($C$31:$C$50=$F527)*($AJ$6:$AM$6=$G527)*($AJ$31:$AM$50))</f>
        <v>1</v>
      </c>
      <c r="O527">
        <f t="shared" ref="O527" si="1485">K527+L527+M527+N527</f>
        <v>3</v>
      </c>
      <c r="P527" t="str">
        <f t="shared" ref="P527" si="1486">CONCATENATE(C527,"-",J527)</f>
        <v>Small centralized natural gas steam reforming-Flexibility</v>
      </c>
      <c r="Q527" t="str">
        <f t="shared" ref="Q527" si="1487">CONCATENATE(D527,"-",J527)</f>
        <v>Central gas storage-Flexibility</v>
      </c>
      <c r="R527" t="str">
        <f t="shared" ref="R527" si="1488">CONCATENATE(E527,"-",J527)</f>
        <v>Methanation-Flexibility</v>
      </c>
      <c r="S527" t="str">
        <f t="shared" ref="S527" si="1489">CONCATENATE(F527,"-",J527)</f>
        <v>Prime power natural gas fuel cell-Flexibility</v>
      </c>
      <c r="T527">
        <f ca="1">VLOOKUP($P527,'TA database'!$I$8:$J$79,2,FALSE)</f>
        <v>0</v>
      </c>
      <c r="U527">
        <v>0</v>
      </c>
      <c r="V527">
        <v>0</v>
      </c>
      <c r="W527">
        <v>0</v>
      </c>
      <c r="X527">
        <v>0</v>
      </c>
      <c r="Y527">
        <f t="shared" ref="Y527" ca="1" si="1490">$T527</f>
        <v>0</v>
      </c>
      <c r="Z527" t="str">
        <f t="shared" ref="Z527" si="1491">CONCATENATE(AG527,"   →   ",AH527,"   →   ",AI527,"   →   ",AJ527)</f>
        <v>NG_SR_SML_C   →   C_GAS_STRG   →   METHANATION   →   NG_FC_PWR</v>
      </c>
      <c r="AA527" t="str">
        <f t="shared" ref="AA527" si="1492">G527</f>
        <v>Onsite / Back-up power</v>
      </c>
      <c r="AB527" t="str">
        <f t="shared" ref="AB527" si="1493">J527</f>
        <v>Flexibility</v>
      </c>
      <c r="AC527">
        <f t="shared" ref="AC527" ca="1" si="1494">Y527</f>
        <v>0</v>
      </c>
      <c r="AD527">
        <v>468</v>
      </c>
      <c r="AE527" t="str">
        <f>IF(AND(ISNUMBER(SEARCH(O527,4)),ISNUMBER(SEARCH('(4) FCH pathway assessment'!$B$16,AB527)),ISNUMBER(SEARCH('(4) FCH pathway assessment'!$B$10,AA527))),AD527,"")</f>
        <v/>
      </c>
      <c r="AF527" t="str">
        <f t="shared" si="1381"/>
        <v/>
      </c>
      <c r="AG527" t="str">
        <f>VLOOKUP(C527,Assumptions!$B$116:$C$162,2,FALSE)</f>
        <v>NG_SR_SML_C</v>
      </c>
      <c r="AH527" t="str">
        <f>VLOOKUP(D527,Assumptions!$B$116:$C$162,2,FALSE)</f>
        <v>C_GAS_STRG</v>
      </c>
      <c r="AI527" t="str">
        <f>VLOOKUP(E527,Assumptions!$B$116:$C$162,2,FALSE)</f>
        <v>METHANATION</v>
      </c>
      <c r="AJ527" t="str">
        <f>VLOOKUP(F527,Assumptions!$B$116:$C$162,2,FALSE)</f>
        <v>NG_FC_PWR</v>
      </c>
    </row>
    <row r="528" spans="2:36" x14ac:dyDescent="0.25">
      <c r="B528" t="s">
        <v>127</v>
      </c>
      <c r="C528" t="s">
        <v>174</v>
      </c>
      <c r="D528" s="61" t="s">
        <v>177</v>
      </c>
      <c r="E528" t="s">
        <v>180</v>
      </c>
      <c r="F528" t="s">
        <v>165</v>
      </c>
      <c r="G528" t="s">
        <v>126</v>
      </c>
      <c r="H528" t="s">
        <v>433</v>
      </c>
      <c r="I528" t="s">
        <v>32</v>
      </c>
      <c r="J528" t="s">
        <v>80</v>
      </c>
      <c r="K528">
        <f t="shared" ref="K528:K532" si="1495">SUMPRODUCT(($C$7:$C$18=$C528)*($D$6:$H$6=$D528)*($D$7:$H$18))</f>
        <v>1</v>
      </c>
      <c r="L528">
        <f t="shared" ref="L528:L532" si="1496">SUMPRODUCT(($C$19:$C$23=$D528)*($I$6:$O$6=$E528)*($I$19:$O$23))</f>
        <v>1</v>
      </c>
      <c r="M528">
        <f t="shared" ref="M528:M532" si="1497">SUMPRODUCT(($C$24:$C$30=$E528)*($P$6:$AI$6=$F528)*($P$24:$AI$30))</f>
        <v>1</v>
      </c>
      <c r="N528">
        <f t="shared" ref="N528:N532" si="1498">SUMPRODUCT(($C$31:$C$50=$F528)*($AJ$6:$AM$6=$G528)*($AJ$31:$AM$50))</f>
        <v>1</v>
      </c>
      <c r="O528">
        <f t="shared" ref="O528:O532" si="1499">K528+L528+M528+N528</f>
        <v>4</v>
      </c>
      <c r="P528" t="str">
        <f t="shared" ref="P528:P532" si="1500">CONCATENATE(C528,"-",J528)</f>
        <v>Natural gas production-Flexibility</v>
      </c>
      <c r="Q528" t="str">
        <f t="shared" ref="Q528:Q532" si="1501">CONCATENATE(D528,"-",J528)</f>
        <v>Natural gas storage-Flexibility</v>
      </c>
      <c r="R528" t="str">
        <f t="shared" ref="R528:R532" si="1502">CONCATENATE(E528,"-",J528)</f>
        <v>Natural gas transport-Flexibility</v>
      </c>
      <c r="S528" t="str">
        <f t="shared" ref="S528:S532" si="1503">CONCATENATE(F528,"-",J528)</f>
        <v>Prime power natural gas fuel cell-Flexibility</v>
      </c>
      <c r="T528">
        <f ca="1">VLOOKUP($P528,'TA database'!$I$8:$J$79,2,FALSE)</f>
        <v>0</v>
      </c>
      <c r="U528">
        <v>0</v>
      </c>
      <c r="V528">
        <v>0</v>
      </c>
      <c r="W528">
        <v>0</v>
      </c>
      <c r="X528">
        <v>0</v>
      </c>
      <c r="Y528">
        <f t="shared" ref="Y528:Y536" ca="1" si="1504">$T528</f>
        <v>0</v>
      </c>
      <c r="Z528" t="str">
        <f t="shared" ref="Z528:Z532" si="1505">CONCATENATE(AG528,"   →   ",AH528,"   →   ",AI528,"   →   ",AJ528)</f>
        <v>[NG_PROD]   →   [NG_STRG]   →   [NG_TRNSP]   →   NG_FC_PWR</v>
      </c>
      <c r="AA528" t="str">
        <f t="shared" ref="AA528:AA532" si="1506">G528</f>
        <v>Onsite / Back-up power</v>
      </c>
      <c r="AB528" t="str">
        <f t="shared" ref="AB528:AB532" si="1507">J528</f>
        <v>Flexibility</v>
      </c>
      <c r="AC528">
        <f t="shared" ref="AC528:AC532" ca="1" si="1508">Y528</f>
        <v>0</v>
      </c>
      <c r="AD528">
        <v>469</v>
      </c>
      <c r="AE528" t="str">
        <f>IF(AND(ISNUMBER(SEARCH(O528,4)),ISNUMBER(SEARCH('(4) FCH pathway assessment'!$B$16,AB528)),ISNUMBER(SEARCH('(4) FCH pathway assessment'!$B$10,AA528))),AD528,"")</f>
        <v/>
      </c>
      <c r="AF528" t="str">
        <f t="shared" si="1381"/>
        <v/>
      </c>
      <c r="AG528" t="str">
        <f>VLOOKUP(C528,Assumptions!$B$116:$C$162,2,FALSE)</f>
        <v>[NG_PROD]</v>
      </c>
      <c r="AH528" t="str">
        <f>VLOOKUP(D528,Assumptions!$B$116:$C$162,2,FALSE)</f>
        <v>[NG_STRG]</v>
      </c>
      <c r="AI528" t="str">
        <f>VLOOKUP(E528,Assumptions!$B$116:$C$162,2,FALSE)</f>
        <v>[NG_TRNSP]</v>
      </c>
      <c r="AJ528" t="str">
        <f>VLOOKUP(F528,Assumptions!$B$116:$C$162,2,FALSE)</f>
        <v>NG_FC_PWR</v>
      </c>
    </row>
    <row r="529" spans="2:36" x14ac:dyDescent="0.25">
      <c r="B529" t="s">
        <v>117</v>
      </c>
      <c r="C529" t="s">
        <v>53</v>
      </c>
      <c r="D529" t="s">
        <v>155</v>
      </c>
      <c r="E529" t="s">
        <v>157</v>
      </c>
      <c r="F529" t="s">
        <v>552</v>
      </c>
      <c r="G529" t="s">
        <v>132</v>
      </c>
      <c r="H529" t="s">
        <v>434</v>
      </c>
      <c r="I529" t="s">
        <v>32</v>
      </c>
      <c r="J529" t="s">
        <v>80</v>
      </c>
      <c r="K529">
        <f t="shared" si="1495"/>
        <v>0</v>
      </c>
      <c r="L529">
        <f t="shared" si="1496"/>
        <v>1</v>
      </c>
      <c r="M529">
        <f t="shared" si="1497"/>
        <v>0</v>
      </c>
      <c r="N529">
        <f t="shared" si="1498"/>
        <v>1</v>
      </c>
      <c r="O529">
        <f t="shared" si="1499"/>
        <v>2</v>
      </c>
      <c r="P529" t="str">
        <f t="shared" si="1500"/>
        <v>Medium centralized biomass gasification-Flexibility</v>
      </c>
      <c r="Q529" t="str">
        <f t="shared" si="1501"/>
        <v>Central gas storage-Flexibility</v>
      </c>
      <c r="R529" t="str">
        <f t="shared" si="1502"/>
        <v>Blending in natural gas pipeline-Flexibility</v>
      </c>
      <c r="S529" t="str">
        <f t="shared" si="1503"/>
        <v>District-CHP with H2 fuel cell (heat)-Flexibility</v>
      </c>
      <c r="T529">
        <f ca="1">VLOOKUP($P529,'TA database'!$I$8:$J$79,2,FALSE)</f>
        <v>0</v>
      </c>
      <c r="U529">
        <v>0</v>
      </c>
      <c r="V529">
        <v>0</v>
      </c>
      <c r="W529">
        <v>0</v>
      </c>
      <c r="X529">
        <v>0</v>
      </c>
      <c r="Y529">
        <f t="shared" ca="1" si="1504"/>
        <v>0</v>
      </c>
      <c r="Z529" t="str">
        <f t="shared" si="1505"/>
        <v>BIO_GSF_MED_C   →   C_GAS_STRG   →   H2_BLND_NG_P   →   H2_FC_DCHP_HEAT</v>
      </c>
      <c r="AA529" t="str">
        <f t="shared" si="1506"/>
        <v>Building heat</v>
      </c>
      <c r="AB529" t="str">
        <f t="shared" si="1507"/>
        <v>Flexibility</v>
      </c>
      <c r="AC529">
        <f t="shared" ca="1" si="1508"/>
        <v>0</v>
      </c>
      <c r="AD529">
        <v>470</v>
      </c>
      <c r="AE529" t="str">
        <f>IF(AND(ISNUMBER(SEARCH(O529,4)),ISNUMBER(SEARCH('(4) FCH pathway assessment'!$B$16,AB529)),ISNUMBER(SEARCH('(4) FCH pathway assessment'!$B$10,AA529))),AD529,"")</f>
        <v/>
      </c>
      <c r="AF529" t="str">
        <f t="shared" si="1381"/>
        <v/>
      </c>
      <c r="AG529" t="str">
        <f>VLOOKUP(C529,Assumptions!$B$116:$C$162,2,FALSE)</f>
        <v>BIO_GSF_MED_C</v>
      </c>
      <c r="AH529" t="str">
        <f>VLOOKUP(D529,Assumptions!$B$116:$C$162,2,FALSE)</f>
        <v>C_GAS_STRG</v>
      </c>
      <c r="AI529" t="str">
        <f>VLOOKUP(E529,Assumptions!$B$116:$C$162,2,FALSE)</f>
        <v>H2_BLND_NG_P</v>
      </c>
      <c r="AJ529" t="str">
        <f>VLOOKUP(F529,Assumptions!$B$116:$C$162,2,FALSE)</f>
        <v>H2_FC_DCHP_HEAT</v>
      </c>
    </row>
    <row r="530" spans="2:36" x14ac:dyDescent="0.25">
      <c r="B530" t="s">
        <v>117</v>
      </c>
      <c r="C530" t="s">
        <v>53</v>
      </c>
      <c r="D530" t="s">
        <v>155</v>
      </c>
      <c r="E530" t="s">
        <v>122</v>
      </c>
      <c r="F530" t="s">
        <v>552</v>
      </c>
      <c r="G530" t="s">
        <v>132</v>
      </c>
      <c r="H530" t="s">
        <v>434</v>
      </c>
      <c r="I530" t="s">
        <v>32</v>
      </c>
      <c r="J530" t="s">
        <v>80</v>
      </c>
      <c r="K530">
        <f t="shared" si="1495"/>
        <v>0</v>
      </c>
      <c r="L530">
        <f t="shared" si="1496"/>
        <v>1</v>
      </c>
      <c r="M530">
        <f t="shared" si="1497"/>
        <v>1</v>
      </c>
      <c r="N530">
        <f t="shared" si="1498"/>
        <v>1</v>
      </c>
      <c r="O530">
        <f t="shared" si="1499"/>
        <v>3</v>
      </c>
      <c r="P530" t="str">
        <f t="shared" si="1500"/>
        <v>Medium centralized biomass gasification-Flexibility</v>
      </c>
      <c r="Q530" t="str">
        <f t="shared" si="1501"/>
        <v>Central gas storage-Flexibility</v>
      </c>
      <c r="R530" t="str">
        <f t="shared" si="1502"/>
        <v>Hydrogen transmission &amp; distribution pipeline-Flexibility</v>
      </c>
      <c r="S530" t="str">
        <f t="shared" si="1503"/>
        <v>District-CHP with H2 fuel cell (heat)-Flexibility</v>
      </c>
      <c r="T530">
        <f ca="1">VLOOKUP($P530,'TA database'!$I$8:$J$79,2,FALSE)</f>
        <v>0</v>
      </c>
      <c r="U530">
        <v>0</v>
      </c>
      <c r="V530">
        <v>0</v>
      </c>
      <c r="W530">
        <v>0</v>
      </c>
      <c r="X530">
        <v>0</v>
      </c>
      <c r="Y530">
        <f t="shared" ca="1" si="1504"/>
        <v>0</v>
      </c>
      <c r="Z530" t="str">
        <f t="shared" si="1505"/>
        <v>BIO_GSF_MED_C   →   C_GAS_STRG   →   H2_T&amp;D_P   →   H2_FC_DCHP_HEAT</v>
      </c>
      <c r="AA530" t="str">
        <f t="shared" si="1506"/>
        <v>Building heat</v>
      </c>
      <c r="AB530" t="str">
        <f t="shared" si="1507"/>
        <v>Flexibility</v>
      </c>
      <c r="AC530">
        <f t="shared" ca="1" si="1508"/>
        <v>0</v>
      </c>
      <c r="AD530">
        <v>471</v>
      </c>
      <c r="AE530" t="str">
        <f>IF(AND(ISNUMBER(SEARCH(O530,4)),ISNUMBER(SEARCH('(4) FCH pathway assessment'!$B$16,AB530)),ISNUMBER(SEARCH('(4) FCH pathway assessment'!$B$10,AA530))),AD530,"")</f>
        <v/>
      </c>
      <c r="AF530" t="str">
        <f t="shared" si="1381"/>
        <v/>
      </c>
      <c r="AG530" t="str">
        <f>VLOOKUP(C530,Assumptions!$B$116:$C$162,2,FALSE)</f>
        <v>BIO_GSF_MED_C</v>
      </c>
      <c r="AH530" t="str">
        <f>VLOOKUP(D530,Assumptions!$B$116:$C$162,2,FALSE)</f>
        <v>C_GAS_STRG</v>
      </c>
      <c r="AI530" t="str">
        <f>VLOOKUP(E530,Assumptions!$B$116:$C$162,2,FALSE)</f>
        <v>H2_T&amp;D_P</v>
      </c>
      <c r="AJ530" t="str">
        <f>VLOOKUP(F530,Assumptions!$B$116:$C$162,2,FALSE)</f>
        <v>H2_FC_DCHP_HEAT</v>
      </c>
    </row>
    <row r="531" spans="2:36" x14ac:dyDescent="0.25">
      <c r="B531" t="s">
        <v>117</v>
      </c>
      <c r="C531" t="s">
        <v>53</v>
      </c>
      <c r="D531" t="s">
        <v>155</v>
      </c>
      <c r="E531" t="s">
        <v>116</v>
      </c>
      <c r="F531" t="s">
        <v>552</v>
      </c>
      <c r="G531" t="s">
        <v>132</v>
      </c>
      <c r="H531" t="s">
        <v>434</v>
      </c>
      <c r="I531" t="s">
        <v>32</v>
      </c>
      <c r="J531" t="s">
        <v>80</v>
      </c>
      <c r="K531">
        <f t="shared" si="1495"/>
        <v>0</v>
      </c>
      <c r="L531">
        <f t="shared" si="1496"/>
        <v>1</v>
      </c>
      <c r="M531">
        <f t="shared" si="1497"/>
        <v>1</v>
      </c>
      <c r="N531">
        <f t="shared" si="1498"/>
        <v>1</v>
      </c>
      <c r="O531">
        <f t="shared" si="1499"/>
        <v>3</v>
      </c>
      <c r="P531" t="str">
        <f t="shared" si="1500"/>
        <v>Medium centralized biomass gasification-Flexibility</v>
      </c>
      <c r="Q531" t="str">
        <f t="shared" si="1501"/>
        <v>Central gas storage-Flexibility</v>
      </c>
      <c r="R531" t="str">
        <f t="shared" si="1502"/>
        <v>Liquid hydrogen truck-Flexibility</v>
      </c>
      <c r="S531" t="str">
        <f t="shared" si="1503"/>
        <v>District-CHP with H2 fuel cell (heat)-Flexibility</v>
      </c>
      <c r="T531">
        <f ca="1">VLOOKUP($P531,'TA database'!$I$8:$J$79,2,FALSE)</f>
        <v>0</v>
      </c>
      <c r="U531">
        <v>0</v>
      </c>
      <c r="V531">
        <v>0</v>
      </c>
      <c r="W531">
        <v>0</v>
      </c>
      <c r="X531">
        <v>0</v>
      </c>
      <c r="Y531">
        <f t="shared" ca="1" si="1504"/>
        <v>0</v>
      </c>
      <c r="Z531" t="str">
        <f t="shared" si="1505"/>
        <v>BIO_GSF_MED_C   →   C_GAS_STRG   →   LQ_TRUCK   →   H2_FC_DCHP_HEAT</v>
      </c>
      <c r="AA531" t="str">
        <f t="shared" si="1506"/>
        <v>Building heat</v>
      </c>
      <c r="AB531" t="str">
        <f t="shared" si="1507"/>
        <v>Flexibility</v>
      </c>
      <c r="AC531">
        <f t="shared" ca="1" si="1508"/>
        <v>0</v>
      </c>
      <c r="AD531">
        <v>472</v>
      </c>
      <c r="AE531" t="str">
        <f>IF(AND(ISNUMBER(SEARCH(O531,4)),ISNUMBER(SEARCH('(4) FCH pathway assessment'!$B$16,AB531)),ISNUMBER(SEARCH('(4) FCH pathway assessment'!$B$10,AA531))),AD531,"")</f>
        <v/>
      </c>
      <c r="AF531" t="str">
        <f t="shared" si="1381"/>
        <v/>
      </c>
      <c r="AG531" t="str">
        <f>VLOOKUP(C531,Assumptions!$B$116:$C$162,2,FALSE)</f>
        <v>BIO_GSF_MED_C</v>
      </c>
      <c r="AH531" t="str">
        <f>VLOOKUP(D531,Assumptions!$B$116:$C$162,2,FALSE)</f>
        <v>C_GAS_STRG</v>
      </c>
      <c r="AI531" t="str">
        <f>VLOOKUP(E531,Assumptions!$B$116:$C$162,2,FALSE)</f>
        <v>LQ_TRUCK</v>
      </c>
      <c r="AJ531" t="str">
        <f>VLOOKUP(F531,Assumptions!$B$116:$C$162,2,FALSE)</f>
        <v>H2_FC_DCHP_HEAT</v>
      </c>
    </row>
    <row r="532" spans="2:36" x14ac:dyDescent="0.25">
      <c r="B532" t="s">
        <v>117</v>
      </c>
      <c r="C532" t="s">
        <v>53</v>
      </c>
      <c r="D532" t="s">
        <v>155</v>
      </c>
      <c r="E532" t="s">
        <v>66</v>
      </c>
      <c r="F532" t="s">
        <v>552</v>
      </c>
      <c r="G532" t="s">
        <v>132</v>
      </c>
      <c r="H532" t="s">
        <v>434</v>
      </c>
      <c r="I532" t="s">
        <v>32</v>
      </c>
      <c r="J532" t="s">
        <v>80</v>
      </c>
      <c r="K532">
        <f t="shared" si="1495"/>
        <v>0</v>
      </c>
      <c r="L532">
        <f t="shared" si="1496"/>
        <v>1</v>
      </c>
      <c r="M532">
        <f t="shared" si="1497"/>
        <v>1</v>
      </c>
      <c r="N532">
        <f t="shared" si="1498"/>
        <v>1</v>
      </c>
      <c r="O532">
        <f t="shared" si="1499"/>
        <v>3</v>
      </c>
      <c r="P532" t="str">
        <f t="shared" si="1500"/>
        <v>Medium centralized biomass gasification-Flexibility</v>
      </c>
      <c r="Q532" t="str">
        <f t="shared" si="1501"/>
        <v>Central gas storage-Flexibility</v>
      </c>
      <c r="R532" t="str">
        <f t="shared" si="1502"/>
        <v>Onsite-Flexibility</v>
      </c>
      <c r="S532" t="str">
        <f t="shared" si="1503"/>
        <v>District-CHP with H2 fuel cell (heat)-Flexibility</v>
      </c>
      <c r="T532">
        <f ca="1">VLOOKUP($P532,'TA database'!$I$8:$J$79,2,FALSE)</f>
        <v>0</v>
      </c>
      <c r="U532">
        <v>0</v>
      </c>
      <c r="V532">
        <v>0</v>
      </c>
      <c r="W532">
        <v>0</v>
      </c>
      <c r="X532">
        <v>0</v>
      </c>
      <c r="Y532">
        <f t="shared" ca="1" si="1504"/>
        <v>0</v>
      </c>
      <c r="Z532" t="str">
        <f t="shared" si="1505"/>
        <v>BIO_GSF_MED_C   →   C_GAS_STRG   →   ONSITE_USE   →   H2_FC_DCHP_HEAT</v>
      </c>
      <c r="AA532" t="str">
        <f t="shared" si="1506"/>
        <v>Building heat</v>
      </c>
      <c r="AB532" t="str">
        <f t="shared" si="1507"/>
        <v>Flexibility</v>
      </c>
      <c r="AC532">
        <f t="shared" ca="1" si="1508"/>
        <v>0</v>
      </c>
      <c r="AD532">
        <v>473</v>
      </c>
      <c r="AE532" t="str">
        <f>IF(AND(ISNUMBER(SEARCH(O532,4)),ISNUMBER(SEARCH('(4) FCH pathway assessment'!$B$16,AB532)),ISNUMBER(SEARCH('(4) FCH pathway assessment'!$B$10,AA532))),AD532,"")</f>
        <v/>
      </c>
      <c r="AF532" t="str">
        <f t="shared" si="1381"/>
        <v/>
      </c>
      <c r="AG532" t="str">
        <f>VLOOKUP(C532,Assumptions!$B$116:$C$162,2,FALSE)</f>
        <v>BIO_GSF_MED_C</v>
      </c>
      <c r="AH532" t="str">
        <f>VLOOKUP(D532,Assumptions!$B$116:$C$162,2,FALSE)</f>
        <v>C_GAS_STRG</v>
      </c>
      <c r="AI532" t="str">
        <f>VLOOKUP(E532,Assumptions!$B$116:$C$162,2,FALSE)</f>
        <v>ONSITE_USE</v>
      </c>
      <c r="AJ532" t="str">
        <f>VLOOKUP(F532,Assumptions!$B$116:$C$162,2,FALSE)</f>
        <v>H2_FC_DCHP_HEAT</v>
      </c>
    </row>
    <row r="533" spans="2:36" x14ac:dyDescent="0.25">
      <c r="B533" t="s">
        <v>117</v>
      </c>
      <c r="C533" t="s">
        <v>54</v>
      </c>
      <c r="D533" t="s">
        <v>155</v>
      </c>
      <c r="E533" t="s">
        <v>157</v>
      </c>
      <c r="F533" t="s">
        <v>552</v>
      </c>
      <c r="G533" t="s">
        <v>132</v>
      </c>
      <c r="H533" t="s">
        <v>434</v>
      </c>
      <c r="I533" t="s">
        <v>32</v>
      </c>
      <c r="J533" t="s">
        <v>80</v>
      </c>
      <c r="K533">
        <f t="shared" ref="K533:K537" si="1509">SUMPRODUCT(($C$7:$C$18=$C533)*($D$6:$H$6=$D533)*($D$7:$H$18))</f>
        <v>0</v>
      </c>
      <c r="L533">
        <f t="shared" ref="L533:L537" si="1510">SUMPRODUCT(($C$19:$C$23=$D533)*($I$6:$O$6=$E533)*($I$19:$O$23))</f>
        <v>1</v>
      </c>
      <c r="M533">
        <f t="shared" ref="M533:M537" si="1511">SUMPRODUCT(($C$24:$C$30=$E533)*($P$6:$AI$6=$F533)*($P$24:$AI$30))</f>
        <v>0</v>
      </c>
      <c r="N533">
        <f t="shared" ref="N533:N537" si="1512">SUMPRODUCT(($C$31:$C$50=$F533)*($AJ$6:$AM$6=$G533)*($AJ$31:$AM$50))</f>
        <v>1</v>
      </c>
      <c r="O533">
        <f t="shared" ref="O533:O537" si="1513">K533+L533+M533+N533</f>
        <v>2</v>
      </c>
      <c r="P533" t="str">
        <f t="shared" ref="P533:P537" si="1514">CONCATENATE(C533,"-",J533)</f>
        <v>Medium centralized biomass gasification w/ CCS-Flexibility</v>
      </c>
      <c r="Q533" t="str">
        <f t="shared" ref="Q533:Q537" si="1515">CONCATENATE(D533,"-",J533)</f>
        <v>Central gas storage-Flexibility</v>
      </c>
      <c r="R533" t="str">
        <f t="shared" ref="R533:R537" si="1516">CONCATENATE(E533,"-",J533)</f>
        <v>Blending in natural gas pipeline-Flexibility</v>
      </c>
      <c r="S533" t="str">
        <f t="shared" ref="S533:S537" si="1517">CONCATENATE(F533,"-",J533)</f>
        <v>District-CHP with H2 fuel cell (heat)-Flexibility</v>
      </c>
      <c r="T533">
        <f ca="1">VLOOKUP($P533,'TA database'!$I$8:$J$79,2,FALSE)</f>
        <v>0</v>
      </c>
      <c r="U533">
        <v>0</v>
      </c>
      <c r="V533">
        <v>0</v>
      </c>
      <c r="W533">
        <v>0</v>
      </c>
      <c r="X533">
        <v>0</v>
      </c>
      <c r="Y533">
        <f t="shared" ca="1" si="1504"/>
        <v>0</v>
      </c>
      <c r="Z533" t="str">
        <f t="shared" ref="Z533:Z537" si="1518">CONCATENATE(AG533,"   →   ",AH533,"   →   ",AI533,"   →   ",AJ533)</f>
        <v>BIO_GSF_CCS_MED_C   →   C_GAS_STRG   →   H2_BLND_NG_P   →   H2_FC_DCHP_HEAT</v>
      </c>
      <c r="AA533" t="str">
        <f t="shared" ref="AA533:AA537" si="1519">G533</f>
        <v>Building heat</v>
      </c>
      <c r="AB533" t="str">
        <f t="shared" ref="AB533:AB537" si="1520">J533</f>
        <v>Flexibility</v>
      </c>
      <c r="AC533">
        <f t="shared" ref="AC533:AC537" ca="1" si="1521">Y533</f>
        <v>0</v>
      </c>
      <c r="AD533">
        <v>474</v>
      </c>
      <c r="AE533" t="str">
        <f>IF(AND(ISNUMBER(SEARCH(O533,4)),ISNUMBER(SEARCH('(4) FCH pathway assessment'!$B$16,AB533)),ISNUMBER(SEARCH('(4) FCH pathway assessment'!$B$10,AA533))),AD533,"")</f>
        <v/>
      </c>
      <c r="AF533" t="str">
        <f t="shared" si="1381"/>
        <v/>
      </c>
      <c r="AG533" t="str">
        <f>VLOOKUP(C533,Assumptions!$B$116:$C$162,2,FALSE)</f>
        <v>BIO_GSF_CCS_MED_C</v>
      </c>
      <c r="AH533" t="str">
        <f>VLOOKUP(D533,Assumptions!$B$116:$C$162,2,FALSE)</f>
        <v>C_GAS_STRG</v>
      </c>
      <c r="AI533" t="str">
        <f>VLOOKUP(E533,Assumptions!$B$116:$C$162,2,FALSE)</f>
        <v>H2_BLND_NG_P</v>
      </c>
      <c r="AJ533" t="str">
        <f>VLOOKUP(F533,Assumptions!$B$116:$C$162,2,FALSE)</f>
        <v>H2_FC_DCHP_HEAT</v>
      </c>
    </row>
    <row r="534" spans="2:36" x14ac:dyDescent="0.25">
      <c r="B534" t="s">
        <v>117</v>
      </c>
      <c r="C534" t="s">
        <v>54</v>
      </c>
      <c r="D534" t="s">
        <v>155</v>
      </c>
      <c r="E534" t="s">
        <v>122</v>
      </c>
      <c r="F534" t="s">
        <v>552</v>
      </c>
      <c r="G534" t="s">
        <v>132</v>
      </c>
      <c r="H534" t="s">
        <v>434</v>
      </c>
      <c r="I534" t="s">
        <v>32</v>
      </c>
      <c r="J534" t="s">
        <v>80</v>
      </c>
      <c r="K534">
        <f t="shared" si="1509"/>
        <v>0</v>
      </c>
      <c r="L534">
        <f t="shared" si="1510"/>
        <v>1</v>
      </c>
      <c r="M534">
        <f t="shared" si="1511"/>
        <v>1</v>
      </c>
      <c r="N534">
        <f t="shared" si="1512"/>
        <v>1</v>
      </c>
      <c r="O534">
        <f t="shared" si="1513"/>
        <v>3</v>
      </c>
      <c r="P534" t="str">
        <f t="shared" si="1514"/>
        <v>Medium centralized biomass gasification w/ CCS-Flexibility</v>
      </c>
      <c r="Q534" t="str">
        <f t="shared" si="1515"/>
        <v>Central gas storage-Flexibility</v>
      </c>
      <c r="R534" t="str">
        <f t="shared" si="1516"/>
        <v>Hydrogen transmission &amp; distribution pipeline-Flexibility</v>
      </c>
      <c r="S534" t="str">
        <f t="shared" si="1517"/>
        <v>District-CHP with H2 fuel cell (heat)-Flexibility</v>
      </c>
      <c r="T534">
        <f ca="1">VLOOKUP($P534,'TA database'!$I$8:$J$79,2,FALSE)</f>
        <v>0</v>
      </c>
      <c r="U534">
        <v>0</v>
      </c>
      <c r="V534">
        <v>0</v>
      </c>
      <c r="W534">
        <v>0</v>
      </c>
      <c r="X534">
        <v>0</v>
      </c>
      <c r="Y534">
        <f t="shared" ca="1" si="1504"/>
        <v>0</v>
      </c>
      <c r="Z534" t="str">
        <f t="shared" si="1518"/>
        <v>BIO_GSF_CCS_MED_C   →   C_GAS_STRG   →   H2_T&amp;D_P   →   H2_FC_DCHP_HEAT</v>
      </c>
      <c r="AA534" t="str">
        <f t="shared" si="1519"/>
        <v>Building heat</v>
      </c>
      <c r="AB534" t="str">
        <f t="shared" si="1520"/>
        <v>Flexibility</v>
      </c>
      <c r="AC534">
        <f t="shared" ca="1" si="1521"/>
        <v>0</v>
      </c>
      <c r="AD534">
        <v>475</v>
      </c>
      <c r="AE534" t="str">
        <f>IF(AND(ISNUMBER(SEARCH(O534,4)),ISNUMBER(SEARCH('(4) FCH pathway assessment'!$B$16,AB534)),ISNUMBER(SEARCH('(4) FCH pathway assessment'!$B$10,AA534))),AD534,"")</f>
        <v/>
      </c>
      <c r="AF534" t="str">
        <f t="shared" si="1381"/>
        <v/>
      </c>
      <c r="AG534" t="str">
        <f>VLOOKUP(C534,Assumptions!$B$116:$C$162,2,FALSE)</f>
        <v>BIO_GSF_CCS_MED_C</v>
      </c>
      <c r="AH534" t="str">
        <f>VLOOKUP(D534,Assumptions!$B$116:$C$162,2,FALSE)</f>
        <v>C_GAS_STRG</v>
      </c>
      <c r="AI534" t="str">
        <f>VLOOKUP(E534,Assumptions!$B$116:$C$162,2,FALSE)</f>
        <v>H2_T&amp;D_P</v>
      </c>
      <c r="AJ534" t="str">
        <f>VLOOKUP(F534,Assumptions!$B$116:$C$162,2,FALSE)</f>
        <v>H2_FC_DCHP_HEAT</v>
      </c>
    </row>
    <row r="535" spans="2:36" x14ac:dyDescent="0.25">
      <c r="B535" t="s">
        <v>117</v>
      </c>
      <c r="C535" t="s">
        <v>54</v>
      </c>
      <c r="D535" t="s">
        <v>155</v>
      </c>
      <c r="E535" t="s">
        <v>116</v>
      </c>
      <c r="F535" t="s">
        <v>552</v>
      </c>
      <c r="G535" t="s">
        <v>132</v>
      </c>
      <c r="H535" t="s">
        <v>434</v>
      </c>
      <c r="I535" t="s">
        <v>32</v>
      </c>
      <c r="J535" t="s">
        <v>80</v>
      </c>
      <c r="K535">
        <f t="shared" si="1509"/>
        <v>0</v>
      </c>
      <c r="L535">
        <f t="shared" si="1510"/>
        <v>1</v>
      </c>
      <c r="M535">
        <f t="shared" si="1511"/>
        <v>1</v>
      </c>
      <c r="N535">
        <f t="shared" si="1512"/>
        <v>1</v>
      </c>
      <c r="O535">
        <f t="shared" si="1513"/>
        <v>3</v>
      </c>
      <c r="P535" t="str">
        <f t="shared" si="1514"/>
        <v>Medium centralized biomass gasification w/ CCS-Flexibility</v>
      </c>
      <c r="Q535" t="str">
        <f t="shared" si="1515"/>
        <v>Central gas storage-Flexibility</v>
      </c>
      <c r="R535" t="str">
        <f t="shared" si="1516"/>
        <v>Liquid hydrogen truck-Flexibility</v>
      </c>
      <c r="S535" t="str">
        <f t="shared" si="1517"/>
        <v>District-CHP with H2 fuel cell (heat)-Flexibility</v>
      </c>
      <c r="T535">
        <f ca="1">VLOOKUP($P535,'TA database'!$I$8:$J$79,2,FALSE)</f>
        <v>0</v>
      </c>
      <c r="U535">
        <v>0</v>
      </c>
      <c r="V535">
        <v>0</v>
      </c>
      <c r="W535">
        <v>0</v>
      </c>
      <c r="X535">
        <v>0</v>
      </c>
      <c r="Y535">
        <f t="shared" ca="1" si="1504"/>
        <v>0</v>
      </c>
      <c r="Z535" t="str">
        <f t="shared" si="1518"/>
        <v>BIO_GSF_CCS_MED_C   →   C_GAS_STRG   →   LQ_TRUCK   →   H2_FC_DCHP_HEAT</v>
      </c>
      <c r="AA535" t="str">
        <f t="shared" si="1519"/>
        <v>Building heat</v>
      </c>
      <c r="AB535" t="str">
        <f t="shared" si="1520"/>
        <v>Flexibility</v>
      </c>
      <c r="AC535">
        <f t="shared" ca="1" si="1521"/>
        <v>0</v>
      </c>
      <c r="AD535">
        <v>476</v>
      </c>
      <c r="AE535" t="str">
        <f>IF(AND(ISNUMBER(SEARCH(O535,4)),ISNUMBER(SEARCH('(4) FCH pathway assessment'!$B$16,AB535)),ISNUMBER(SEARCH('(4) FCH pathway assessment'!$B$10,AA535))),AD535,"")</f>
        <v/>
      </c>
      <c r="AF535" t="str">
        <f t="shared" si="1381"/>
        <v/>
      </c>
      <c r="AG535" t="str">
        <f>VLOOKUP(C535,Assumptions!$B$116:$C$162,2,FALSE)</f>
        <v>BIO_GSF_CCS_MED_C</v>
      </c>
      <c r="AH535" t="str">
        <f>VLOOKUP(D535,Assumptions!$B$116:$C$162,2,FALSE)</f>
        <v>C_GAS_STRG</v>
      </c>
      <c r="AI535" t="str">
        <f>VLOOKUP(E535,Assumptions!$B$116:$C$162,2,FALSE)</f>
        <v>LQ_TRUCK</v>
      </c>
      <c r="AJ535" t="str">
        <f>VLOOKUP(F535,Assumptions!$B$116:$C$162,2,FALSE)</f>
        <v>H2_FC_DCHP_HEAT</v>
      </c>
    </row>
    <row r="536" spans="2:36" x14ac:dyDescent="0.25">
      <c r="B536" t="s">
        <v>117</v>
      </c>
      <c r="C536" t="s">
        <v>54</v>
      </c>
      <c r="D536" t="s">
        <v>155</v>
      </c>
      <c r="E536" t="s">
        <v>66</v>
      </c>
      <c r="F536" t="s">
        <v>552</v>
      </c>
      <c r="G536" t="s">
        <v>132</v>
      </c>
      <c r="H536" t="s">
        <v>434</v>
      </c>
      <c r="I536" t="s">
        <v>32</v>
      </c>
      <c r="J536" t="s">
        <v>80</v>
      </c>
      <c r="K536">
        <f t="shared" si="1509"/>
        <v>0</v>
      </c>
      <c r="L536">
        <f t="shared" si="1510"/>
        <v>1</v>
      </c>
      <c r="M536">
        <f t="shared" si="1511"/>
        <v>1</v>
      </c>
      <c r="N536">
        <f t="shared" si="1512"/>
        <v>1</v>
      </c>
      <c r="O536">
        <f t="shared" si="1513"/>
        <v>3</v>
      </c>
      <c r="P536" t="str">
        <f t="shared" si="1514"/>
        <v>Medium centralized biomass gasification w/ CCS-Flexibility</v>
      </c>
      <c r="Q536" t="str">
        <f t="shared" si="1515"/>
        <v>Central gas storage-Flexibility</v>
      </c>
      <c r="R536" t="str">
        <f t="shared" si="1516"/>
        <v>Onsite-Flexibility</v>
      </c>
      <c r="S536" t="str">
        <f t="shared" si="1517"/>
        <v>District-CHP with H2 fuel cell (heat)-Flexibility</v>
      </c>
      <c r="T536">
        <f ca="1">VLOOKUP($P536,'TA database'!$I$8:$J$79,2,FALSE)</f>
        <v>0</v>
      </c>
      <c r="U536">
        <v>0</v>
      </c>
      <c r="V536">
        <v>0</v>
      </c>
      <c r="W536">
        <v>0</v>
      </c>
      <c r="X536">
        <v>0</v>
      </c>
      <c r="Y536">
        <f t="shared" ca="1" si="1504"/>
        <v>0</v>
      </c>
      <c r="Z536" t="str">
        <f t="shared" si="1518"/>
        <v>BIO_GSF_CCS_MED_C   →   C_GAS_STRG   →   ONSITE_USE   →   H2_FC_DCHP_HEAT</v>
      </c>
      <c r="AA536" t="str">
        <f t="shared" si="1519"/>
        <v>Building heat</v>
      </c>
      <c r="AB536" t="str">
        <f t="shared" si="1520"/>
        <v>Flexibility</v>
      </c>
      <c r="AC536">
        <f t="shared" ca="1" si="1521"/>
        <v>0</v>
      </c>
      <c r="AD536">
        <v>477</v>
      </c>
      <c r="AE536" t="str">
        <f>IF(AND(ISNUMBER(SEARCH(O536,4)),ISNUMBER(SEARCH('(4) FCH pathway assessment'!$B$16,AB536)),ISNUMBER(SEARCH('(4) FCH pathway assessment'!$B$10,AA536))),AD536,"")</f>
        <v/>
      </c>
      <c r="AF536" t="str">
        <f t="shared" si="1381"/>
        <v/>
      </c>
      <c r="AG536" t="str">
        <f>VLOOKUP(C536,Assumptions!$B$116:$C$162,2,FALSE)</f>
        <v>BIO_GSF_CCS_MED_C</v>
      </c>
      <c r="AH536" t="str">
        <f>VLOOKUP(D536,Assumptions!$B$116:$C$162,2,FALSE)</f>
        <v>C_GAS_STRG</v>
      </c>
      <c r="AI536" t="str">
        <f>VLOOKUP(E536,Assumptions!$B$116:$C$162,2,FALSE)</f>
        <v>ONSITE_USE</v>
      </c>
      <c r="AJ536" t="str">
        <f>VLOOKUP(F536,Assumptions!$B$116:$C$162,2,FALSE)</f>
        <v>H2_FC_DCHP_HEAT</v>
      </c>
    </row>
    <row r="537" spans="2:36" x14ac:dyDescent="0.25">
      <c r="B537" t="s">
        <v>117</v>
      </c>
      <c r="C537" t="s">
        <v>55</v>
      </c>
      <c r="D537" s="60" t="s">
        <v>130</v>
      </c>
      <c r="E537" t="s">
        <v>66</v>
      </c>
      <c r="F537" t="s">
        <v>552</v>
      </c>
      <c r="G537" t="s">
        <v>132</v>
      </c>
      <c r="H537" t="s">
        <v>434</v>
      </c>
      <c r="I537" t="s">
        <v>32</v>
      </c>
      <c r="J537" t="s">
        <v>80</v>
      </c>
      <c r="K537">
        <f t="shared" si="1509"/>
        <v>0</v>
      </c>
      <c r="L537">
        <f t="shared" si="1510"/>
        <v>1</v>
      </c>
      <c r="M537">
        <f t="shared" si="1511"/>
        <v>1</v>
      </c>
      <c r="N537">
        <f t="shared" si="1512"/>
        <v>1</v>
      </c>
      <c r="O537">
        <f t="shared" si="1513"/>
        <v>3</v>
      </c>
      <c r="P537" t="str">
        <f t="shared" si="1514"/>
        <v>Small decentralized biomass gasification-Flexibility</v>
      </c>
      <c r="Q537" t="str">
        <f t="shared" si="1515"/>
        <v>Distributed gas storage-Flexibility</v>
      </c>
      <c r="R537" t="str">
        <f t="shared" si="1516"/>
        <v>Onsite-Flexibility</v>
      </c>
      <c r="S537" t="str">
        <f t="shared" si="1517"/>
        <v>District-CHP with H2 fuel cell (heat)-Flexibility</v>
      </c>
      <c r="T537">
        <f ca="1">VLOOKUP($P537,'TA database'!$I$8:$J$79,2,FALSE)</f>
        <v>0</v>
      </c>
      <c r="U537">
        <v>0</v>
      </c>
      <c r="V537">
        <v>0</v>
      </c>
      <c r="W537">
        <v>0</v>
      </c>
      <c r="X537">
        <v>0</v>
      </c>
      <c r="Y537">
        <f t="shared" ref="Y537:Y541" ca="1" si="1522">$T537</f>
        <v>0</v>
      </c>
      <c r="Z537" t="str">
        <f t="shared" si="1518"/>
        <v>BIO_GSF_SML_D   →   D_GAS_STRG   →   ONSITE_USE   →   H2_FC_DCHP_HEAT</v>
      </c>
      <c r="AA537" t="str">
        <f t="shared" si="1519"/>
        <v>Building heat</v>
      </c>
      <c r="AB537" t="str">
        <f t="shared" si="1520"/>
        <v>Flexibility</v>
      </c>
      <c r="AC537">
        <f t="shared" ca="1" si="1521"/>
        <v>0</v>
      </c>
      <c r="AD537">
        <v>478</v>
      </c>
      <c r="AE537" t="str">
        <f>IF(AND(ISNUMBER(SEARCH(O537,4)),ISNUMBER(SEARCH('(4) FCH pathway assessment'!$B$16,AB537)),ISNUMBER(SEARCH('(4) FCH pathway assessment'!$B$10,AA537))),AD537,"")</f>
        <v/>
      </c>
      <c r="AF537" t="str">
        <f t="shared" si="1381"/>
        <v/>
      </c>
      <c r="AG537" t="str">
        <f>VLOOKUP(C537,Assumptions!$B$116:$C$162,2,FALSE)</f>
        <v>BIO_GSF_SML_D</v>
      </c>
      <c r="AH537" t="str">
        <f>VLOOKUP(D537,Assumptions!$B$116:$C$162,2,FALSE)</f>
        <v>D_GAS_STRG</v>
      </c>
      <c r="AI537" t="str">
        <f>VLOOKUP(E537,Assumptions!$B$116:$C$162,2,FALSE)</f>
        <v>ONSITE_USE</v>
      </c>
      <c r="AJ537" t="str">
        <f>VLOOKUP(F537,Assumptions!$B$116:$C$162,2,FALSE)</f>
        <v>H2_FC_DCHP_HEAT</v>
      </c>
    </row>
    <row r="538" spans="2:36" x14ac:dyDescent="0.25">
      <c r="B538" t="s">
        <v>117</v>
      </c>
      <c r="C538" t="s">
        <v>56</v>
      </c>
      <c r="D538" t="s">
        <v>62</v>
      </c>
      <c r="E538" t="s">
        <v>157</v>
      </c>
      <c r="F538" t="s">
        <v>552</v>
      </c>
      <c r="G538" t="s">
        <v>132</v>
      </c>
      <c r="H538" t="s">
        <v>434</v>
      </c>
      <c r="I538" t="s">
        <v>32</v>
      </c>
      <c r="J538" t="s">
        <v>80</v>
      </c>
      <c r="K538">
        <f t="shared" ref="K538:K550" si="1523">SUMPRODUCT(($C$7:$C$18=$C538)*($D$6:$H$6=$D538)*($D$7:$H$18))</f>
        <v>0</v>
      </c>
      <c r="L538">
        <f t="shared" ref="L538:L550" si="1524">SUMPRODUCT(($C$19:$C$23=$D538)*($I$6:$O$6=$E538)*($I$19:$O$23))</f>
        <v>0</v>
      </c>
      <c r="M538">
        <f t="shared" ref="M538:M550" si="1525">SUMPRODUCT(($C$24:$C$30=$E538)*($P$6:$AI$6=$F538)*($P$24:$AI$30))</f>
        <v>0</v>
      </c>
      <c r="N538">
        <f t="shared" ref="N538:N550" si="1526">SUMPRODUCT(($C$31:$C$50=$F538)*($AJ$6:$AM$6=$G538)*($AJ$31:$AM$50))</f>
        <v>1</v>
      </c>
      <c r="O538">
        <f t="shared" ref="O538:O550" si="1527">K538+L538+M538+N538</f>
        <v>1</v>
      </c>
      <c r="P538" t="str">
        <f t="shared" ref="P538:P550" si="1528">CONCATENATE(C538,"-",J538)</f>
        <v>Large centralized biomass steam reforming -Flexibility</v>
      </c>
      <c r="Q538" t="str">
        <f t="shared" ref="Q538:Q550" si="1529">CONCATENATE(D538,"-",J538)</f>
        <v>Underground storage-Flexibility</v>
      </c>
      <c r="R538" t="str">
        <f t="shared" ref="R538:R550" si="1530">CONCATENATE(E538,"-",J538)</f>
        <v>Blending in natural gas pipeline-Flexibility</v>
      </c>
      <c r="S538" t="str">
        <f t="shared" ref="S538:S550" si="1531">CONCATENATE(F538,"-",J538)</f>
        <v>District-CHP with H2 fuel cell (heat)-Flexibility</v>
      </c>
      <c r="T538">
        <f ca="1">VLOOKUP($P538,'TA database'!$I$8:$J$79,2,FALSE)</f>
        <v>0</v>
      </c>
      <c r="U538">
        <v>0</v>
      </c>
      <c r="V538">
        <v>0</v>
      </c>
      <c r="W538">
        <v>0</v>
      </c>
      <c r="X538">
        <v>0</v>
      </c>
      <c r="Y538">
        <f t="shared" ca="1" si="1522"/>
        <v>0</v>
      </c>
      <c r="Z538" t="str">
        <f t="shared" ref="Z538:Z550" si="1532">CONCATENATE(AG538,"   →   ",AH538,"   →   ",AI538,"   →   ",AJ538)</f>
        <v>BIO_SR_LRG_C   →   C_UNDRGRND_STRG   →   H2_BLND_NG_P   →   H2_FC_DCHP_HEAT</v>
      </c>
      <c r="AA538" t="str">
        <f t="shared" ref="AA538:AA550" si="1533">G538</f>
        <v>Building heat</v>
      </c>
      <c r="AB538" t="str">
        <f t="shared" ref="AB538:AB550" si="1534">J538</f>
        <v>Flexibility</v>
      </c>
      <c r="AC538">
        <f t="shared" ref="AC538:AC550" ca="1" si="1535">Y538</f>
        <v>0</v>
      </c>
      <c r="AD538">
        <v>479</v>
      </c>
      <c r="AE538" t="str">
        <f>IF(AND(ISNUMBER(SEARCH(O538,4)),ISNUMBER(SEARCH('(4) FCH pathway assessment'!$B$16,AB538)),ISNUMBER(SEARCH('(4) FCH pathway assessment'!$B$10,AA538))),AD538,"")</f>
        <v/>
      </c>
      <c r="AF538" t="str">
        <f t="shared" si="1381"/>
        <v/>
      </c>
      <c r="AG538" t="str">
        <f>VLOOKUP(C538,Assumptions!$B$116:$C$162,2,FALSE)</f>
        <v>BIO_SR_LRG_C</v>
      </c>
      <c r="AH538" t="str">
        <f>VLOOKUP(D538,Assumptions!$B$116:$C$162,2,FALSE)</f>
        <v>C_UNDRGRND_STRG</v>
      </c>
      <c r="AI538" t="str">
        <f>VLOOKUP(E538,Assumptions!$B$116:$C$162,2,FALSE)</f>
        <v>H2_BLND_NG_P</v>
      </c>
      <c r="AJ538" t="str">
        <f>VLOOKUP(F538,Assumptions!$B$116:$C$162,2,FALSE)</f>
        <v>H2_FC_DCHP_HEAT</v>
      </c>
    </row>
    <row r="539" spans="2:36" x14ac:dyDescent="0.25">
      <c r="B539" t="s">
        <v>117</v>
      </c>
      <c r="C539" t="s">
        <v>56</v>
      </c>
      <c r="D539" t="s">
        <v>62</v>
      </c>
      <c r="E539" t="s">
        <v>122</v>
      </c>
      <c r="F539" t="s">
        <v>552</v>
      </c>
      <c r="G539" t="s">
        <v>132</v>
      </c>
      <c r="H539" t="s">
        <v>434</v>
      </c>
      <c r="I539" t="s">
        <v>32</v>
      </c>
      <c r="J539" t="s">
        <v>80</v>
      </c>
      <c r="K539">
        <f t="shared" si="1523"/>
        <v>0</v>
      </c>
      <c r="L539">
        <f t="shared" si="1524"/>
        <v>0</v>
      </c>
      <c r="M539">
        <f t="shared" si="1525"/>
        <v>1</v>
      </c>
      <c r="N539">
        <f t="shared" si="1526"/>
        <v>1</v>
      </c>
      <c r="O539">
        <f t="shared" si="1527"/>
        <v>2</v>
      </c>
      <c r="P539" t="str">
        <f t="shared" si="1528"/>
        <v>Large centralized biomass steam reforming -Flexibility</v>
      </c>
      <c r="Q539" t="str">
        <f t="shared" si="1529"/>
        <v>Underground storage-Flexibility</v>
      </c>
      <c r="R539" t="str">
        <f t="shared" si="1530"/>
        <v>Hydrogen transmission &amp; distribution pipeline-Flexibility</v>
      </c>
      <c r="S539" t="str">
        <f t="shared" si="1531"/>
        <v>District-CHP with H2 fuel cell (heat)-Flexibility</v>
      </c>
      <c r="T539">
        <f ca="1">VLOOKUP($P539,'TA database'!$I$8:$J$79,2,FALSE)</f>
        <v>0</v>
      </c>
      <c r="U539">
        <v>0</v>
      </c>
      <c r="V539">
        <v>0</v>
      </c>
      <c r="W539">
        <v>0</v>
      </c>
      <c r="X539">
        <v>0</v>
      </c>
      <c r="Y539">
        <f t="shared" ca="1" si="1522"/>
        <v>0</v>
      </c>
      <c r="Z539" t="str">
        <f t="shared" si="1532"/>
        <v>BIO_SR_LRG_C   →   C_UNDRGRND_STRG   →   H2_T&amp;D_P   →   H2_FC_DCHP_HEAT</v>
      </c>
      <c r="AA539" t="str">
        <f t="shared" si="1533"/>
        <v>Building heat</v>
      </c>
      <c r="AB539" t="str">
        <f t="shared" si="1534"/>
        <v>Flexibility</v>
      </c>
      <c r="AC539">
        <f t="shared" ca="1" si="1535"/>
        <v>0</v>
      </c>
      <c r="AD539">
        <v>480</v>
      </c>
      <c r="AE539" t="str">
        <f>IF(AND(ISNUMBER(SEARCH(O539,4)),ISNUMBER(SEARCH('(4) FCH pathway assessment'!$B$16,AB539)),ISNUMBER(SEARCH('(4) FCH pathway assessment'!$B$10,AA539))),AD539,"")</f>
        <v/>
      </c>
      <c r="AF539" t="str">
        <f t="shared" si="1381"/>
        <v/>
      </c>
      <c r="AG539" t="str">
        <f>VLOOKUP(C539,Assumptions!$B$116:$C$162,2,FALSE)</f>
        <v>BIO_SR_LRG_C</v>
      </c>
      <c r="AH539" t="str">
        <f>VLOOKUP(D539,Assumptions!$B$116:$C$162,2,FALSE)</f>
        <v>C_UNDRGRND_STRG</v>
      </c>
      <c r="AI539" t="str">
        <f>VLOOKUP(E539,Assumptions!$B$116:$C$162,2,FALSE)</f>
        <v>H2_T&amp;D_P</v>
      </c>
      <c r="AJ539" t="str">
        <f>VLOOKUP(F539,Assumptions!$B$116:$C$162,2,FALSE)</f>
        <v>H2_FC_DCHP_HEAT</v>
      </c>
    </row>
    <row r="540" spans="2:36" x14ac:dyDescent="0.25">
      <c r="B540" t="s">
        <v>117</v>
      </c>
      <c r="C540" t="s">
        <v>56</v>
      </c>
      <c r="D540" t="s">
        <v>62</v>
      </c>
      <c r="E540" t="s">
        <v>116</v>
      </c>
      <c r="F540" t="s">
        <v>552</v>
      </c>
      <c r="G540" t="s">
        <v>132</v>
      </c>
      <c r="H540" t="s">
        <v>434</v>
      </c>
      <c r="I540" t="s">
        <v>32</v>
      </c>
      <c r="J540" t="s">
        <v>80</v>
      </c>
      <c r="K540">
        <f t="shared" si="1523"/>
        <v>0</v>
      </c>
      <c r="L540">
        <f t="shared" si="1524"/>
        <v>0</v>
      </c>
      <c r="M540">
        <f t="shared" si="1525"/>
        <v>1</v>
      </c>
      <c r="N540">
        <f t="shared" si="1526"/>
        <v>1</v>
      </c>
      <c r="O540">
        <f t="shared" si="1527"/>
        <v>2</v>
      </c>
      <c r="P540" t="str">
        <f t="shared" si="1528"/>
        <v>Large centralized biomass steam reforming -Flexibility</v>
      </c>
      <c r="Q540" t="str">
        <f t="shared" si="1529"/>
        <v>Underground storage-Flexibility</v>
      </c>
      <c r="R540" t="str">
        <f t="shared" si="1530"/>
        <v>Liquid hydrogen truck-Flexibility</v>
      </c>
      <c r="S540" t="str">
        <f t="shared" si="1531"/>
        <v>District-CHP with H2 fuel cell (heat)-Flexibility</v>
      </c>
      <c r="T540">
        <f ca="1">VLOOKUP($P540,'TA database'!$I$8:$J$79,2,FALSE)</f>
        <v>0</v>
      </c>
      <c r="U540">
        <v>0</v>
      </c>
      <c r="V540">
        <v>0</v>
      </c>
      <c r="W540">
        <v>0</v>
      </c>
      <c r="X540">
        <v>0</v>
      </c>
      <c r="Y540">
        <f t="shared" ca="1" si="1522"/>
        <v>0</v>
      </c>
      <c r="Z540" t="str">
        <f t="shared" si="1532"/>
        <v>BIO_SR_LRG_C   →   C_UNDRGRND_STRG   →   LQ_TRUCK   →   H2_FC_DCHP_HEAT</v>
      </c>
      <c r="AA540" t="str">
        <f t="shared" si="1533"/>
        <v>Building heat</v>
      </c>
      <c r="AB540" t="str">
        <f t="shared" si="1534"/>
        <v>Flexibility</v>
      </c>
      <c r="AC540">
        <f t="shared" ca="1" si="1535"/>
        <v>0</v>
      </c>
      <c r="AD540">
        <v>481</v>
      </c>
      <c r="AE540" t="str">
        <f>IF(AND(ISNUMBER(SEARCH(O540,4)),ISNUMBER(SEARCH('(4) FCH pathway assessment'!$B$16,AB540)),ISNUMBER(SEARCH('(4) FCH pathway assessment'!$B$10,AA540))),AD540,"")</f>
        <v/>
      </c>
      <c r="AF540" t="str">
        <f t="shared" si="1381"/>
        <v/>
      </c>
      <c r="AG540" t="str">
        <f>VLOOKUP(C540,Assumptions!$B$116:$C$162,2,FALSE)</f>
        <v>BIO_SR_LRG_C</v>
      </c>
      <c r="AH540" t="str">
        <f>VLOOKUP(D540,Assumptions!$B$116:$C$162,2,FALSE)</f>
        <v>C_UNDRGRND_STRG</v>
      </c>
      <c r="AI540" t="str">
        <f>VLOOKUP(E540,Assumptions!$B$116:$C$162,2,FALSE)</f>
        <v>LQ_TRUCK</v>
      </c>
      <c r="AJ540" t="str">
        <f>VLOOKUP(F540,Assumptions!$B$116:$C$162,2,FALSE)</f>
        <v>H2_FC_DCHP_HEAT</v>
      </c>
    </row>
    <row r="541" spans="2:36" x14ac:dyDescent="0.25">
      <c r="B541" t="s">
        <v>117</v>
      </c>
      <c r="C541" t="s">
        <v>56</v>
      </c>
      <c r="D541" t="s">
        <v>62</v>
      </c>
      <c r="E541" t="s">
        <v>66</v>
      </c>
      <c r="F541" t="s">
        <v>552</v>
      </c>
      <c r="G541" t="s">
        <v>132</v>
      </c>
      <c r="H541" t="s">
        <v>434</v>
      </c>
      <c r="I541" t="s">
        <v>32</v>
      </c>
      <c r="J541" t="s">
        <v>80</v>
      </c>
      <c r="K541">
        <f t="shared" si="1523"/>
        <v>0</v>
      </c>
      <c r="L541">
        <f t="shared" si="1524"/>
        <v>0</v>
      </c>
      <c r="M541">
        <f t="shared" si="1525"/>
        <v>1</v>
      </c>
      <c r="N541">
        <f t="shared" si="1526"/>
        <v>1</v>
      </c>
      <c r="O541">
        <f t="shared" si="1527"/>
        <v>2</v>
      </c>
      <c r="P541" t="str">
        <f t="shared" si="1528"/>
        <v>Large centralized biomass steam reforming -Flexibility</v>
      </c>
      <c r="Q541" t="str">
        <f t="shared" si="1529"/>
        <v>Underground storage-Flexibility</v>
      </c>
      <c r="R541" t="str">
        <f t="shared" si="1530"/>
        <v>Onsite-Flexibility</v>
      </c>
      <c r="S541" t="str">
        <f t="shared" si="1531"/>
        <v>District-CHP with H2 fuel cell (heat)-Flexibility</v>
      </c>
      <c r="T541">
        <f ca="1">VLOOKUP($P541,'TA database'!$I$8:$J$79,2,FALSE)</f>
        <v>0</v>
      </c>
      <c r="U541">
        <v>0</v>
      </c>
      <c r="V541">
        <v>0</v>
      </c>
      <c r="W541">
        <v>0</v>
      </c>
      <c r="X541">
        <v>0</v>
      </c>
      <c r="Y541">
        <f t="shared" ca="1" si="1522"/>
        <v>0</v>
      </c>
      <c r="Z541" t="str">
        <f t="shared" si="1532"/>
        <v>BIO_SR_LRG_C   →   C_UNDRGRND_STRG   →   ONSITE_USE   →   H2_FC_DCHP_HEAT</v>
      </c>
      <c r="AA541" t="str">
        <f t="shared" si="1533"/>
        <v>Building heat</v>
      </c>
      <c r="AB541" t="str">
        <f t="shared" si="1534"/>
        <v>Flexibility</v>
      </c>
      <c r="AC541">
        <f t="shared" ca="1" si="1535"/>
        <v>0</v>
      </c>
      <c r="AD541">
        <v>482</v>
      </c>
      <c r="AE541" t="str">
        <f>IF(AND(ISNUMBER(SEARCH(O541,4)),ISNUMBER(SEARCH('(4) FCH pathway assessment'!$B$16,AB541)),ISNUMBER(SEARCH('(4) FCH pathway assessment'!$B$10,AA541))),AD541,"")</f>
        <v/>
      </c>
      <c r="AF541" t="str">
        <f t="shared" si="1381"/>
        <v/>
      </c>
      <c r="AG541" t="str">
        <f>VLOOKUP(C541,Assumptions!$B$116:$C$162,2,FALSE)</f>
        <v>BIO_SR_LRG_C</v>
      </c>
      <c r="AH541" t="str">
        <f>VLOOKUP(D541,Assumptions!$B$116:$C$162,2,FALSE)</f>
        <v>C_UNDRGRND_STRG</v>
      </c>
      <c r="AI541" t="str">
        <f>VLOOKUP(E541,Assumptions!$B$116:$C$162,2,FALSE)</f>
        <v>ONSITE_USE</v>
      </c>
      <c r="AJ541" t="str">
        <f>VLOOKUP(F541,Assumptions!$B$116:$C$162,2,FALSE)</f>
        <v>H2_FC_DCHP_HEAT</v>
      </c>
    </row>
    <row r="542" spans="2:36" x14ac:dyDescent="0.25">
      <c r="B542" t="s">
        <v>117</v>
      </c>
      <c r="C542" t="s">
        <v>56</v>
      </c>
      <c r="D542" s="61" t="s">
        <v>63</v>
      </c>
      <c r="E542" t="s">
        <v>122</v>
      </c>
      <c r="F542" t="s">
        <v>552</v>
      </c>
      <c r="G542" t="s">
        <v>132</v>
      </c>
      <c r="H542" t="s">
        <v>434</v>
      </c>
      <c r="I542" t="s">
        <v>32</v>
      </c>
      <c r="J542" t="s">
        <v>80</v>
      </c>
      <c r="K542">
        <f t="shared" si="1523"/>
        <v>0</v>
      </c>
      <c r="L542">
        <f t="shared" si="1524"/>
        <v>1</v>
      </c>
      <c r="M542">
        <f t="shared" si="1525"/>
        <v>1</v>
      </c>
      <c r="N542">
        <f t="shared" si="1526"/>
        <v>1</v>
      </c>
      <c r="O542">
        <f t="shared" si="1527"/>
        <v>3</v>
      </c>
      <c r="P542" t="str">
        <f t="shared" si="1528"/>
        <v>Large centralized biomass steam reforming -Flexibility</v>
      </c>
      <c r="Q542" t="str">
        <f t="shared" si="1529"/>
        <v>No storage-Flexibility</v>
      </c>
      <c r="R542" t="str">
        <f t="shared" si="1530"/>
        <v>Hydrogen transmission &amp; distribution pipeline-Flexibility</v>
      </c>
      <c r="S542" t="str">
        <f t="shared" si="1531"/>
        <v>District-CHP with H2 fuel cell (heat)-Flexibility</v>
      </c>
      <c r="T542">
        <f ca="1">VLOOKUP($P542,'TA database'!$I$8:$J$79,2,FALSE)</f>
        <v>0</v>
      </c>
      <c r="U542">
        <v>0</v>
      </c>
      <c r="V542">
        <v>0</v>
      </c>
      <c r="W542">
        <v>0</v>
      </c>
      <c r="X542">
        <v>0</v>
      </c>
      <c r="Y542">
        <f t="shared" ref="Y542:Y554" ca="1" si="1536">$T542</f>
        <v>0</v>
      </c>
      <c r="Z542" t="str">
        <f t="shared" si="1532"/>
        <v>BIO_SR_LRG_C   →   NO_STRG   →   H2_T&amp;D_P   →   H2_FC_DCHP_HEAT</v>
      </c>
      <c r="AA542" t="str">
        <f t="shared" si="1533"/>
        <v>Building heat</v>
      </c>
      <c r="AB542" t="str">
        <f t="shared" si="1534"/>
        <v>Flexibility</v>
      </c>
      <c r="AC542">
        <f t="shared" ca="1" si="1535"/>
        <v>0</v>
      </c>
      <c r="AD542">
        <v>483</v>
      </c>
      <c r="AE542" t="str">
        <f>IF(AND(ISNUMBER(SEARCH(O542,4)),ISNUMBER(SEARCH('(4) FCH pathway assessment'!$B$16,AB542)),ISNUMBER(SEARCH('(4) FCH pathway assessment'!$B$10,AA542))),AD542,"")</f>
        <v/>
      </c>
      <c r="AF542" t="str">
        <f t="shared" si="1381"/>
        <v/>
      </c>
      <c r="AG542" t="str">
        <f>VLOOKUP(C542,Assumptions!$B$116:$C$162,2,FALSE)</f>
        <v>BIO_SR_LRG_C</v>
      </c>
      <c r="AH542" t="str">
        <f>VLOOKUP(D542,Assumptions!$B$116:$C$162,2,FALSE)</f>
        <v>NO_STRG</v>
      </c>
      <c r="AI542" t="str">
        <f>VLOOKUP(E542,Assumptions!$B$116:$C$162,2,FALSE)</f>
        <v>H2_T&amp;D_P</v>
      </c>
      <c r="AJ542" t="str">
        <f>VLOOKUP(F542,Assumptions!$B$116:$C$162,2,FALSE)</f>
        <v>H2_FC_DCHP_HEAT</v>
      </c>
    </row>
    <row r="543" spans="2:36" x14ac:dyDescent="0.25">
      <c r="B543" t="s">
        <v>112</v>
      </c>
      <c r="C543" t="s">
        <v>49</v>
      </c>
      <c r="D543" t="s">
        <v>62</v>
      </c>
      <c r="E543" t="s">
        <v>157</v>
      </c>
      <c r="F543" t="s">
        <v>552</v>
      </c>
      <c r="G543" t="s">
        <v>132</v>
      </c>
      <c r="H543" t="s">
        <v>434</v>
      </c>
      <c r="I543" t="s">
        <v>32</v>
      </c>
      <c r="J543" t="s">
        <v>80</v>
      </c>
      <c r="K543">
        <f t="shared" si="1523"/>
        <v>1</v>
      </c>
      <c r="L543">
        <f t="shared" si="1524"/>
        <v>0</v>
      </c>
      <c r="M543">
        <f t="shared" si="1525"/>
        <v>0</v>
      </c>
      <c r="N543">
        <f t="shared" si="1526"/>
        <v>1</v>
      </c>
      <c r="O543">
        <f t="shared" si="1527"/>
        <v>2</v>
      </c>
      <c r="P543" t="str">
        <f t="shared" si="1528"/>
        <v>Large centralized electrolysis-Flexibility</v>
      </c>
      <c r="Q543" t="str">
        <f t="shared" si="1529"/>
        <v>Underground storage-Flexibility</v>
      </c>
      <c r="R543" t="str">
        <f t="shared" si="1530"/>
        <v>Blending in natural gas pipeline-Flexibility</v>
      </c>
      <c r="S543" t="str">
        <f t="shared" si="1531"/>
        <v>District-CHP with H2 fuel cell (heat)-Flexibility</v>
      </c>
      <c r="T543">
        <f ca="1">VLOOKUP($P543,'TA database'!$I$8:$J$79,2,FALSE)</f>
        <v>1</v>
      </c>
      <c r="U543">
        <v>0</v>
      </c>
      <c r="V543">
        <v>0</v>
      </c>
      <c r="W543">
        <v>0</v>
      </c>
      <c r="X543">
        <v>0</v>
      </c>
      <c r="Y543">
        <f t="shared" ca="1" si="1536"/>
        <v>1</v>
      </c>
      <c r="Z543" t="str">
        <f t="shared" si="1532"/>
        <v>ELCTRLYZ_LRG_C   →   C_UNDRGRND_STRG   →   H2_BLND_NG_P   →   H2_FC_DCHP_HEAT</v>
      </c>
      <c r="AA543" t="str">
        <f t="shared" si="1533"/>
        <v>Building heat</v>
      </c>
      <c r="AB543" t="str">
        <f t="shared" si="1534"/>
        <v>Flexibility</v>
      </c>
      <c r="AC543">
        <f t="shared" ca="1" si="1535"/>
        <v>1</v>
      </c>
      <c r="AD543">
        <v>484</v>
      </c>
      <c r="AE543" t="str">
        <f>IF(AND(ISNUMBER(SEARCH(O543,4)),ISNUMBER(SEARCH('(4) FCH pathway assessment'!$B$16,AB543)),ISNUMBER(SEARCH('(4) FCH pathway assessment'!$B$10,AA543))),AD543,"")</f>
        <v/>
      </c>
      <c r="AF543" t="str">
        <f t="shared" si="1381"/>
        <v/>
      </c>
      <c r="AG543" t="str">
        <f>VLOOKUP(C543,Assumptions!$B$116:$C$162,2,FALSE)</f>
        <v>ELCTRLYZ_LRG_C</v>
      </c>
      <c r="AH543" t="str">
        <f>VLOOKUP(D543,Assumptions!$B$116:$C$162,2,FALSE)</f>
        <v>C_UNDRGRND_STRG</v>
      </c>
      <c r="AI543" t="str">
        <f>VLOOKUP(E543,Assumptions!$B$116:$C$162,2,FALSE)</f>
        <v>H2_BLND_NG_P</v>
      </c>
      <c r="AJ543" t="str">
        <f>VLOOKUP(F543,Assumptions!$B$116:$C$162,2,FALSE)</f>
        <v>H2_FC_DCHP_HEAT</v>
      </c>
    </row>
    <row r="544" spans="2:36" x14ac:dyDescent="0.25">
      <c r="B544" t="s">
        <v>112</v>
      </c>
      <c r="C544" t="s">
        <v>49</v>
      </c>
      <c r="D544" t="s">
        <v>62</v>
      </c>
      <c r="E544" t="s">
        <v>122</v>
      </c>
      <c r="F544" t="s">
        <v>552</v>
      </c>
      <c r="G544" t="s">
        <v>132</v>
      </c>
      <c r="H544" t="s">
        <v>434</v>
      </c>
      <c r="I544" t="s">
        <v>32</v>
      </c>
      <c r="J544" t="s">
        <v>80</v>
      </c>
      <c r="K544">
        <f t="shared" si="1523"/>
        <v>1</v>
      </c>
      <c r="L544">
        <f t="shared" si="1524"/>
        <v>0</v>
      </c>
      <c r="M544">
        <f t="shared" si="1525"/>
        <v>1</v>
      </c>
      <c r="N544">
        <f t="shared" si="1526"/>
        <v>1</v>
      </c>
      <c r="O544">
        <f t="shared" si="1527"/>
        <v>3</v>
      </c>
      <c r="P544" t="str">
        <f t="shared" si="1528"/>
        <v>Large centralized electrolysis-Flexibility</v>
      </c>
      <c r="Q544" t="str">
        <f t="shared" si="1529"/>
        <v>Underground storage-Flexibility</v>
      </c>
      <c r="R544" t="str">
        <f t="shared" si="1530"/>
        <v>Hydrogen transmission &amp; distribution pipeline-Flexibility</v>
      </c>
      <c r="S544" t="str">
        <f t="shared" si="1531"/>
        <v>District-CHP with H2 fuel cell (heat)-Flexibility</v>
      </c>
      <c r="T544">
        <f ca="1">VLOOKUP($P544,'TA database'!$I$8:$J$79,2,FALSE)</f>
        <v>1</v>
      </c>
      <c r="U544">
        <v>0</v>
      </c>
      <c r="V544">
        <v>0</v>
      </c>
      <c r="W544">
        <v>0</v>
      </c>
      <c r="X544">
        <v>0</v>
      </c>
      <c r="Y544">
        <f t="shared" ca="1" si="1536"/>
        <v>1</v>
      </c>
      <c r="Z544" t="str">
        <f t="shared" si="1532"/>
        <v>ELCTRLYZ_LRG_C   →   C_UNDRGRND_STRG   →   H2_T&amp;D_P   →   H2_FC_DCHP_HEAT</v>
      </c>
      <c r="AA544" t="str">
        <f t="shared" si="1533"/>
        <v>Building heat</v>
      </c>
      <c r="AB544" t="str">
        <f t="shared" si="1534"/>
        <v>Flexibility</v>
      </c>
      <c r="AC544">
        <f t="shared" ca="1" si="1535"/>
        <v>1</v>
      </c>
      <c r="AD544">
        <v>485</v>
      </c>
      <c r="AE544" t="str">
        <f>IF(AND(ISNUMBER(SEARCH(O544,4)),ISNUMBER(SEARCH('(4) FCH pathway assessment'!$B$16,AB544)),ISNUMBER(SEARCH('(4) FCH pathway assessment'!$B$10,AA544))),AD544,"")</f>
        <v/>
      </c>
      <c r="AF544" t="str">
        <f t="shared" si="1381"/>
        <v/>
      </c>
      <c r="AG544" t="str">
        <f>VLOOKUP(C544,Assumptions!$B$116:$C$162,2,FALSE)</f>
        <v>ELCTRLYZ_LRG_C</v>
      </c>
      <c r="AH544" t="str">
        <f>VLOOKUP(D544,Assumptions!$B$116:$C$162,2,FALSE)</f>
        <v>C_UNDRGRND_STRG</v>
      </c>
      <c r="AI544" t="str">
        <f>VLOOKUP(E544,Assumptions!$B$116:$C$162,2,FALSE)</f>
        <v>H2_T&amp;D_P</v>
      </c>
      <c r="AJ544" t="str">
        <f>VLOOKUP(F544,Assumptions!$B$116:$C$162,2,FALSE)</f>
        <v>H2_FC_DCHP_HEAT</v>
      </c>
    </row>
    <row r="545" spans="2:36" x14ac:dyDescent="0.25">
      <c r="B545" t="s">
        <v>112</v>
      </c>
      <c r="C545" t="s">
        <v>49</v>
      </c>
      <c r="D545" t="s">
        <v>62</v>
      </c>
      <c r="E545" t="s">
        <v>116</v>
      </c>
      <c r="F545" t="s">
        <v>552</v>
      </c>
      <c r="G545" t="s">
        <v>132</v>
      </c>
      <c r="H545" t="s">
        <v>434</v>
      </c>
      <c r="I545" t="s">
        <v>32</v>
      </c>
      <c r="J545" t="s">
        <v>80</v>
      </c>
      <c r="K545">
        <f t="shared" si="1523"/>
        <v>1</v>
      </c>
      <c r="L545">
        <f t="shared" si="1524"/>
        <v>0</v>
      </c>
      <c r="M545">
        <f t="shared" si="1525"/>
        <v>1</v>
      </c>
      <c r="N545">
        <f t="shared" si="1526"/>
        <v>1</v>
      </c>
      <c r="O545">
        <f t="shared" si="1527"/>
        <v>3</v>
      </c>
      <c r="P545" t="str">
        <f t="shared" si="1528"/>
        <v>Large centralized electrolysis-Flexibility</v>
      </c>
      <c r="Q545" t="str">
        <f t="shared" si="1529"/>
        <v>Underground storage-Flexibility</v>
      </c>
      <c r="R545" t="str">
        <f t="shared" si="1530"/>
        <v>Liquid hydrogen truck-Flexibility</v>
      </c>
      <c r="S545" t="str">
        <f t="shared" si="1531"/>
        <v>District-CHP with H2 fuel cell (heat)-Flexibility</v>
      </c>
      <c r="T545">
        <f ca="1">VLOOKUP($P545,'TA database'!$I$8:$J$79,2,FALSE)</f>
        <v>1</v>
      </c>
      <c r="U545">
        <v>0</v>
      </c>
      <c r="V545">
        <v>0</v>
      </c>
      <c r="W545">
        <v>0</v>
      </c>
      <c r="X545">
        <v>0</v>
      </c>
      <c r="Y545">
        <f t="shared" ca="1" si="1536"/>
        <v>1</v>
      </c>
      <c r="Z545" t="str">
        <f t="shared" si="1532"/>
        <v>ELCTRLYZ_LRG_C   →   C_UNDRGRND_STRG   →   LQ_TRUCK   →   H2_FC_DCHP_HEAT</v>
      </c>
      <c r="AA545" t="str">
        <f t="shared" si="1533"/>
        <v>Building heat</v>
      </c>
      <c r="AB545" t="str">
        <f t="shared" si="1534"/>
        <v>Flexibility</v>
      </c>
      <c r="AC545">
        <f t="shared" ca="1" si="1535"/>
        <v>1</v>
      </c>
      <c r="AD545">
        <v>486</v>
      </c>
      <c r="AE545" t="str">
        <f>IF(AND(ISNUMBER(SEARCH(O545,4)),ISNUMBER(SEARCH('(4) FCH pathway assessment'!$B$16,AB545)),ISNUMBER(SEARCH('(4) FCH pathway assessment'!$B$10,AA545))),AD545,"")</f>
        <v/>
      </c>
      <c r="AF545" t="str">
        <f t="shared" si="1381"/>
        <v/>
      </c>
      <c r="AG545" t="str">
        <f>VLOOKUP(C545,Assumptions!$B$116:$C$162,2,FALSE)</f>
        <v>ELCTRLYZ_LRG_C</v>
      </c>
      <c r="AH545" t="str">
        <f>VLOOKUP(D545,Assumptions!$B$116:$C$162,2,FALSE)</f>
        <v>C_UNDRGRND_STRG</v>
      </c>
      <c r="AI545" t="str">
        <f>VLOOKUP(E545,Assumptions!$B$116:$C$162,2,FALSE)</f>
        <v>LQ_TRUCK</v>
      </c>
      <c r="AJ545" t="str">
        <f>VLOOKUP(F545,Assumptions!$B$116:$C$162,2,FALSE)</f>
        <v>H2_FC_DCHP_HEAT</v>
      </c>
    </row>
    <row r="546" spans="2:36" x14ac:dyDescent="0.25">
      <c r="B546" t="s">
        <v>112</v>
      </c>
      <c r="C546" t="s">
        <v>49</v>
      </c>
      <c r="D546" t="s">
        <v>62</v>
      </c>
      <c r="E546" t="s">
        <v>66</v>
      </c>
      <c r="F546" t="s">
        <v>552</v>
      </c>
      <c r="G546" t="s">
        <v>132</v>
      </c>
      <c r="H546" t="s">
        <v>434</v>
      </c>
      <c r="I546" t="s">
        <v>32</v>
      </c>
      <c r="J546" t="s">
        <v>80</v>
      </c>
      <c r="K546">
        <f t="shared" si="1523"/>
        <v>1</v>
      </c>
      <c r="L546">
        <f t="shared" si="1524"/>
        <v>0</v>
      </c>
      <c r="M546">
        <f t="shared" si="1525"/>
        <v>1</v>
      </c>
      <c r="N546">
        <f t="shared" si="1526"/>
        <v>1</v>
      </c>
      <c r="O546">
        <f t="shared" si="1527"/>
        <v>3</v>
      </c>
      <c r="P546" t="str">
        <f t="shared" si="1528"/>
        <v>Large centralized electrolysis-Flexibility</v>
      </c>
      <c r="Q546" t="str">
        <f t="shared" si="1529"/>
        <v>Underground storage-Flexibility</v>
      </c>
      <c r="R546" t="str">
        <f t="shared" si="1530"/>
        <v>Onsite-Flexibility</v>
      </c>
      <c r="S546" t="str">
        <f t="shared" si="1531"/>
        <v>District-CHP with H2 fuel cell (heat)-Flexibility</v>
      </c>
      <c r="T546">
        <f ca="1">VLOOKUP($P546,'TA database'!$I$8:$J$79,2,FALSE)</f>
        <v>1</v>
      </c>
      <c r="U546">
        <v>0</v>
      </c>
      <c r="V546">
        <v>0</v>
      </c>
      <c r="W546">
        <v>0</v>
      </c>
      <c r="X546">
        <v>0</v>
      </c>
      <c r="Y546">
        <f t="shared" ca="1" si="1536"/>
        <v>1</v>
      </c>
      <c r="Z546" t="str">
        <f t="shared" si="1532"/>
        <v>ELCTRLYZ_LRG_C   →   C_UNDRGRND_STRG   →   ONSITE_USE   →   H2_FC_DCHP_HEAT</v>
      </c>
      <c r="AA546" t="str">
        <f t="shared" si="1533"/>
        <v>Building heat</v>
      </c>
      <c r="AB546" t="str">
        <f t="shared" si="1534"/>
        <v>Flexibility</v>
      </c>
      <c r="AC546">
        <f t="shared" ca="1" si="1535"/>
        <v>1</v>
      </c>
      <c r="AD546">
        <v>487</v>
      </c>
      <c r="AE546" t="str">
        <f>IF(AND(ISNUMBER(SEARCH(O546,4)),ISNUMBER(SEARCH('(4) FCH pathway assessment'!$B$16,AB546)),ISNUMBER(SEARCH('(4) FCH pathway assessment'!$B$10,AA546))),AD546,"")</f>
        <v/>
      </c>
      <c r="AF546" t="str">
        <f t="shared" si="1381"/>
        <v/>
      </c>
      <c r="AG546" t="str">
        <f>VLOOKUP(C546,Assumptions!$B$116:$C$162,2,FALSE)</f>
        <v>ELCTRLYZ_LRG_C</v>
      </c>
      <c r="AH546" t="str">
        <f>VLOOKUP(D546,Assumptions!$B$116:$C$162,2,FALSE)</f>
        <v>C_UNDRGRND_STRG</v>
      </c>
      <c r="AI546" t="str">
        <f>VLOOKUP(E546,Assumptions!$B$116:$C$162,2,FALSE)</f>
        <v>ONSITE_USE</v>
      </c>
      <c r="AJ546" t="str">
        <f>VLOOKUP(F546,Assumptions!$B$116:$C$162,2,FALSE)</f>
        <v>H2_FC_DCHP_HEAT</v>
      </c>
    </row>
    <row r="547" spans="2:36" x14ac:dyDescent="0.25">
      <c r="B547" t="s">
        <v>112</v>
      </c>
      <c r="C547" t="s">
        <v>49</v>
      </c>
      <c r="D547" t="s">
        <v>155</v>
      </c>
      <c r="E547" t="s">
        <v>157</v>
      </c>
      <c r="F547" t="s">
        <v>552</v>
      </c>
      <c r="G547" t="s">
        <v>132</v>
      </c>
      <c r="H547" t="s">
        <v>434</v>
      </c>
      <c r="I547" t="s">
        <v>32</v>
      </c>
      <c r="J547" t="s">
        <v>80</v>
      </c>
      <c r="K547">
        <f t="shared" si="1523"/>
        <v>1</v>
      </c>
      <c r="L547">
        <f t="shared" si="1524"/>
        <v>1</v>
      </c>
      <c r="M547">
        <f t="shared" si="1525"/>
        <v>0</v>
      </c>
      <c r="N547">
        <f t="shared" si="1526"/>
        <v>1</v>
      </c>
      <c r="O547">
        <f t="shared" si="1527"/>
        <v>3</v>
      </c>
      <c r="P547" t="str">
        <f t="shared" si="1528"/>
        <v>Large centralized electrolysis-Flexibility</v>
      </c>
      <c r="Q547" t="str">
        <f t="shared" si="1529"/>
        <v>Central gas storage-Flexibility</v>
      </c>
      <c r="R547" t="str">
        <f t="shared" si="1530"/>
        <v>Blending in natural gas pipeline-Flexibility</v>
      </c>
      <c r="S547" t="str">
        <f t="shared" si="1531"/>
        <v>District-CHP with H2 fuel cell (heat)-Flexibility</v>
      </c>
      <c r="T547">
        <f ca="1">VLOOKUP($P547,'TA database'!$I$8:$J$79,2,FALSE)</f>
        <v>1</v>
      </c>
      <c r="U547">
        <v>0</v>
      </c>
      <c r="V547">
        <v>0</v>
      </c>
      <c r="W547">
        <v>0</v>
      </c>
      <c r="X547">
        <v>0</v>
      </c>
      <c r="Y547">
        <f t="shared" ca="1" si="1536"/>
        <v>1</v>
      </c>
      <c r="Z547" t="str">
        <f t="shared" si="1532"/>
        <v>ELCTRLYZ_LRG_C   →   C_GAS_STRG   →   H2_BLND_NG_P   →   H2_FC_DCHP_HEAT</v>
      </c>
      <c r="AA547" t="str">
        <f t="shared" si="1533"/>
        <v>Building heat</v>
      </c>
      <c r="AB547" t="str">
        <f t="shared" si="1534"/>
        <v>Flexibility</v>
      </c>
      <c r="AC547">
        <f t="shared" ca="1" si="1535"/>
        <v>1</v>
      </c>
      <c r="AD547">
        <v>488</v>
      </c>
      <c r="AE547" t="str">
        <f>IF(AND(ISNUMBER(SEARCH(O547,4)),ISNUMBER(SEARCH('(4) FCH pathway assessment'!$B$16,AB547)),ISNUMBER(SEARCH('(4) FCH pathway assessment'!$B$10,AA547))),AD547,"")</f>
        <v/>
      </c>
      <c r="AF547" t="str">
        <f t="shared" si="1381"/>
        <v/>
      </c>
      <c r="AG547" t="str">
        <f>VLOOKUP(C547,Assumptions!$B$116:$C$162,2,FALSE)</f>
        <v>ELCTRLYZ_LRG_C</v>
      </c>
      <c r="AH547" t="str">
        <f>VLOOKUP(D547,Assumptions!$B$116:$C$162,2,FALSE)</f>
        <v>C_GAS_STRG</v>
      </c>
      <c r="AI547" t="str">
        <f>VLOOKUP(E547,Assumptions!$B$116:$C$162,2,FALSE)</f>
        <v>H2_BLND_NG_P</v>
      </c>
      <c r="AJ547" t="str">
        <f>VLOOKUP(F547,Assumptions!$B$116:$C$162,2,FALSE)</f>
        <v>H2_FC_DCHP_HEAT</v>
      </c>
    </row>
    <row r="548" spans="2:36" x14ac:dyDescent="0.25">
      <c r="B548" t="s">
        <v>112</v>
      </c>
      <c r="C548" t="s">
        <v>49</v>
      </c>
      <c r="D548" t="s">
        <v>155</v>
      </c>
      <c r="E548" t="s">
        <v>122</v>
      </c>
      <c r="F548" t="s">
        <v>552</v>
      </c>
      <c r="G548" t="s">
        <v>132</v>
      </c>
      <c r="H548" t="s">
        <v>434</v>
      </c>
      <c r="I548" t="s">
        <v>32</v>
      </c>
      <c r="J548" t="s">
        <v>80</v>
      </c>
      <c r="K548">
        <f t="shared" si="1523"/>
        <v>1</v>
      </c>
      <c r="L548">
        <f t="shared" si="1524"/>
        <v>1</v>
      </c>
      <c r="M548">
        <f t="shared" si="1525"/>
        <v>1</v>
      </c>
      <c r="N548">
        <f t="shared" si="1526"/>
        <v>1</v>
      </c>
      <c r="O548">
        <f t="shared" si="1527"/>
        <v>4</v>
      </c>
      <c r="P548" t="str">
        <f t="shared" si="1528"/>
        <v>Large centralized electrolysis-Flexibility</v>
      </c>
      <c r="Q548" t="str">
        <f t="shared" si="1529"/>
        <v>Central gas storage-Flexibility</v>
      </c>
      <c r="R548" t="str">
        <f t="shared" si="1530"/>
        <v>Hydrogen transmission &amp; distribution pipeline-Flexibility</v>
      </c>
      <c r="S548" t="str">
        <f t="shared" si="1531"/>
        <v>District-CHP with H2 fuel cell (heat)-Flexibility</v>
      </c>
      <c r="T548">
        <f ca="1">VLOOKUP($P548,'TA database'!$I$8:$J$79,2,FALSE)</f>
        <v>1</v>
      </c>
      <c r="U548">
        <v>0</v>
      </c>
      <c r="V548">
        <v>0</v>
      </c>
      <c r="W548">
        <v>0</v>
      </c>
      <c r="X548">
        <v>0</v>
      </c>
      <c r="Y548">
        <f t="shared" ca="1" si="1536"/>
        <v>1</v>
      </c>
      <c r="Z548" t="str">
        <f t="shared" si="1532"/>
        <v>ELCTRLYZ_LRG_C   →   C_GAS_STRG   →   H2_T&amp;D_P   →   H2_FC_DCHP_HEAT</v>
      </c>
      <c r="AA548" t="str">
        <f t="shared" si="1533"/>
        <v>Building heat</v>
      </c>
      <c r="AB548" t="str">
        <f t="shared" si="1534"/>
        <v>Flexibility</v>
      </c>
      <c r="AC548">
        <f t="shared" ca="1" si="1535"/>
        <v>1</v>
      </c>
      <c r="AD548">
        <v>489</v>
      </c>
      <c r="AE548" t="str">
        <f>IF(AND(ISNUMBER(SEARCH(O548,4)),ISNUMBER(SEARCH('(4) FCH pathway assessment'!$B$16,AB548)),ISNUMBER(SEARCH('(4) FCH pathway assessment'!$B$10,AA548))),AD548,"")</f>
        <v/>
      </c>
      <c r="AF548" t="str">
        <f t="shared" si="1381"/>
        <v/>
      </c>
      <c r="AG548" t="str">
        <f>VLOOKUP(C548,Assumptions!$B$116:$C$162,2,FALSE)</f>
        <v>ELCTRLYZ_LRG_C</v>
      </c>
      <c r="AH548" t="str">
        <f>VLOOKUP(D548,Assumptions!$B$116:$C$162,2,FALSE)</f>
        <v>C_GAS_STRG</v>
      </c>
      <c r="AI548" t="str">
        <f>VLOOKUP(E548,Assumptions!$B$116:$C$162,2,FALSE)</f>
        <v>H2_T&amp;D_P</v>
      </c>
      <c r="AJ548" t="str">
        <f>VLOOKUP(F548,Assumptions!$B$116:$C$162,2,FALSE)</f>
        <v>H2_FC_DCHP_HEAT</v>
      </c>
    </row>
    <row r="549" spans="2:36" x14ac:dyDescent="0.25">
      <c r="B549" t="s">
        <v>112</v>
      </c>
      <c r="C549" t="s">
        <v>49</v>
      </c>
      <c r="D549" t="s">
        <v>155</v>
      </c>
      <c r="E549" t="s">
        <v>116</v>
      </c>
      <c r="F549" t="s">
        <v>552</v>
      </c>
      <c r="G549" t="s">
        <v>132</v>
      </c>
      <c r="H549" t="s">
        <v>434</v>
      </c>
      <c r="I549" t="s">
        <v>32</v>
      </c>
      <c r="J549" t="s">
        <v>80</v>
      </c>
      <c r="K549">
        <f t="shared" si="1523"/>
        <v>1</v>
      </c>
      <c r="L549">
        <f t="shared" si="1524"/>
        <v>1</v>
      </c>
      <c r="M549">
        <f t="shared" si="1525"/>
        <v>1</v>
      </c>
      <c r="N549">
        <f t="shared" si="1526"/>
        <v>1</v>
      </c>
      <c r="O549">
        <f t="shared" si="1527"/>
        <v>4</v>
      </c>
      <c r="P549" t="str">
        <f t="shared" si="1528"/>
        <v>Large centralized electrolysis-Flexibility</v>
      </c>
      <c r="Q549" t="str">
        <f t="shared" si="1529"/>
        <v>Central gas storage-Flexibility</v>
      </c>
      <c r="R549" t="str">
        <f t="shared" si="1530"/>
        <v>Liquid hydrogen truck-Flexibility</v>
      </c>
      <c r="S549" t="str">
        <f t="shared" si="1531"/>
        <v>District-CHP with H2 fuel cell (heat)-Flexibility</v>
      </c>
      <c r="T549">
        <f ca="1">VLOOKUP($P549,'TA database'!$I$8:$J$79,2,FALSE)</f>
        <v>1</v>
      </c>
      <c r="U549">
        <v>0</v>
      </c>
      <c r="V549">
        <v>0</v>
      </c>
      <c r="W549">
        <v>0</v>
      </c>
      <c r="X549">
        <v>0</v>
      </c>
      <c r="Y549">
        <f t="shared" ca="1" si="1536"/>
        <v>1</v>
      </c>
      <c r="Z549" t="str">
        <f t="shared" si="1532"/>
        <v>ELCTRLYZ_LRG_C   →   C_GAS_STRG   →   LQ_TRUCK   →   H2_FC_DCHP_HEAT</v>
      </c>
      <c r="AA549" t="str">
        <f t="shared" si="1533"/>
        <v>Building heat</v>
      </c>
      <c r="AB549" t="str">
        <f t="shared" si="1534"/>
        <v>Flexibility</v>
      </c>
      <c r="AC549">
        <f t="shared" ca="1" si="1535"/>
        <v>1</v>
      </c>
      <c r="AD549">
        <v>490</v>
      </c>
      <c r="AE549" t="str">
        <f>IF(AND(ISNUMBER(SEARCH(O549,4)),ISNUMBER(SEARCH('(4) FCH pathway assessment'!$B$16,AB549)),ISNUMBER(SEARCH('(4) FCH pathway assessment'!$B$10,AA549))),AD549,"")</f>
        <v/>
      </c>
      <c r="AF549" t="str">
        <f t="shared" si="1381"/>
        <v/>
      </c>
      <c r="AG549" t="str">
        <f>VLOOKUP(C549,Assumptions!$B$116:$C$162,2,FALSE)</f>
        <v>ELCTRLYZ_LRG_C</v>
      </c>
      <c r="AH549" t="str">
        <f>VLOOKUP(D549,Assumptions!$B$116:$C$162,2,FALSE)</f>
        <v>C_GAS_STRG</v>
      </c>
      <c r="AI549" t="str">
        <f>VLOOKUP(E549,Assumptions!$B$116:$C$162,2,FALSE)</f>
        <v>LQ_TRUCK</v>
      </c>
      <c r="AJ549" t="str">
        <f>VLOOKUP(F549,Assumptions!$B$116:$C$162,2,FALSE)</f>
        <v>H2_FC_DCHP_HEAT</v>
      </c>
    </row>
    <row r="550" spans="2:36" x14ac:dyDescent="0.25">
      <c r="B550" t="s">
        <v>112</v>
      </c>
      <c r="C550" t="s">
        <v>49</v>
      </c>
      <c r="D550" t="s">
        <v>155</v>
      </c>
      <c r="E550" t="s">
        <v>66</v>
      </c>
      <c r="F550" t="s">
        <v>552</v>
      </c>
      <c r="G550" t="s">
        <v>132</v>
      </c>
      <c r="H550" t="s">
        <v>434</v>
      </c>
      <c r="I550" t="s">
        <v>32</v>
      </c>
      <c r="J550" t="s">
        <v>80</v>
      </c>
      <c r="K550">
        <f t="shared" si="1523"/>
        <v>1</v>
      </c>
      <c r="L550">
        <f t="shared" si="1524"/>
        <v>1</v>
      </c>
      <c r="M550">
        <f t="shared" si="1525"/>
        <v>1</v>
      </c>
      <c r="N550">
        <f t="shared" si="1526"/>
        <v>1</v>
      </c>
      <c r="O550">
        <f t="shared" si="1527"/>
        <v>4</v>
      </c>
      <c r="P550" t="str">
        <f t="shared" si="1528"/>
        <v>Large centralized electrolysis-Flexibility</v>
      </c>
      <c r="Q550" t="str">
        <f t="shared" si="1529"/>
        <v>Central gas storage-Flexibility</v>
      </c>
      <c r="R550" t="str">
        <f t="shared" si="1530"/>
        <v>Onsite-Flexibility</v>
      </c>
      <c r="S550" t="str">
        <f t="shared" si="1531"/>
        <v>District-CHP with H2 fuel cell (heat)-Flexibility</v>
      </c>
      <c r="T550">
        <f ca="1">VLOOKUP($P550,'TA database'!$I$8:$J$79,2,FALSE)</f>
        <v>1</v>
      </c>
      <c r="U550">
        <v>0</v>
      </c>
      <c r="V550">
        <v>0</v>
      </c>
      <c r="W550">
        <v>0</v>
      </c>
      <c r="X550">
        <v>0</v>
      </c>
      <c r="Y550">
        <f t="shared" ca="1" si="1536"/>
        <v>1</v>
      </c>
      <c r="Z550" t="str">
        <f t="shared" si="1532"/>
        <v>ELCTRLYZ_LRG_C   →   C_GAS_STRG   →   ONSITE_USE   →   H2_FC_DCHP_HEAT</v>
      </c>
      <c r="AA550" t="str">
        <f t="shared" si="1533"/>
        <v>Building heat</v>
      </c>
      <c r="AB550" t="str">
        <f t="shared" si="1534"/>
        <v>Flexibility</v>
      </c>
      <c r="AC550">
        <f t="shared" ca="1" si="1535"/>
        <v>1</v>
      </c>
      <c r="AD550">
        <v>491</v>
      </c>
      <c r="AE550" t="str">
        <f>IF(AND(ISNUMBER(SEARCH(O550,4)),ISNUMBER(SEARCH('(4) FCH pathway assessment'!$B$16,AB550)),ISNUMBER(SEARCH('(4) FCH pathway assessment'!$B$10,AA550))),AD550,"")</f>
        <v/>
      </c>
      <c r="AF550" t="str">
        <f t="shared" si="1381"/>
        <v/>
      </c>
      <c r="AG550" t="str">
        <f>VLOOKUP(C550,Assumptions!$B$116:$C$162,2,FALSE)</f>
        <v>ELCTRLYZ_LRG_C</v>
      </c>
      <c r="AH550" t="str">
        <f>VLOOKUP(D550,Assumptions!$B$116:$C$162,2,FALSE)</f>
        <v>C_GAS_STRG</v>
      </c>
      <c r="AI550" t="str">
        <f>VLOOKUP(E550,Assumptions!$B$116:$C$162,2,FALSE)</f>
        <v>ONSITE_USE</v>
      </c>
      <c r="AJ550" t="str">
        <f>VLOOKUP(F550,Assumptions!$B$116:$C$162,2,FALSE)</f>
        <v>H2_FC_DCHP_HEAT</v>
      </c>
    </row>
    <row r="551" spans="2:36" x14ac:dyDescent="0.25">
      <c r="B551" t="s">
        <v>112</v>
      </c>
      <c r="C551" t="s">
        <v>51</v>
      </c>
      <c r="D551" t="s">
        <v>155</v>
      </c>
      <c r="E551" t="s">
        <v>157</v>
      </c>
      <c r="F551" t="s">
        <v>552</v>
      </c>
      <c r="G551" t="s">
        <v>132</v>
      </c>
      <c r="H551" t="s">
        <v>434</v>
      </c>
      <c r="I551" t="s">
        <v>32</v>
      </c>
      <c r="J551" t="s">
        <v>80</v>
      </c>
      <c r="K551">
        <f t="shared" ref="K551:K555" si="1537">SUMPRODUCT(($C$7:$C$18=$C551)*($D$6:$H$6=$D551)*($D$7:$H$18))</f>
        <v>1</v>
      </c>
      <c r="L551">
        <f t="shared" ref="L551:L555" si="1538">SUMPRODUCT(($C$19:$C$23=$D551)*($I$6:$O$6=$E551)*($I$19:$O$23))</f>
        <v>1</v>
      </c>
      <c r="M551">
        <f t="shared" ref="M551:M555" si="1539">SUMPRODUCT(($C$24:$C$30=$E551)*($P$6:$AI$6=$F551)*($P$24:$AI$30))</f>
        <v>0</v>
      </c>
      <c r="N551">
        <f t="shared" ref="N551:N555" si="1540">SUMPRODUCT(($C$31:$C$50=$F551)*($AJ$6:$AM$6=$G551)*($AJ$31:$AM$50))</f>
        <v>1</v>
      </c>
      <c r="O551">
        <f t="shared" ref="O551:O555" si="1541">K551+L551+M551+N551</f>
        <v>3</v>
      </c>
      <c r="P551" t="str">
        <f t="shared" ref="P551:P555" si="1542">CONCATENATE(C551,"-",J551)</f>
        <v>Medium centralized electrolysis-Flexibility</v>
      </c>
      <c r="Q551" t="str">
        <f t="shared" ref="Q551:Q555" si="1543">CONCATENATE(D551,"-",J551)</f>
        <v>Central gas storage-Flexibility</v>
      </c>
      <c r="R551" t="str">
        <f t="shared" ref="R551:R555" si="1544">CONCATENATE(E551,"-",J551)</f>
        <v>Blending in natural gas pipeline-Flexibility</v>
      </c>
      <c r="S551" t="str">
        <f t="shared" ref="S551:S555" si="1545">CONCATENATE(F551,"-",J551)</f>
        <v>District-CHP with H2 fuel cell (heat)-Flexibility</v>
      </c>
      <c r="T551">
        <f ca="1">VLOOKUP($P551,'TA database'!$I$8:$J$79,2,FALSE)</f>
        <v>1</v>
      </c>
      <c r="U551">
        <v>0</v>
      </c>
      <c r="V551">
        <v>0</v>
      </c>
      <c r="W551">
        <v>0</v>
      </c>
      <c r="X551">
        <v>0</v>
      </c>
      <c r="Y551">
        <f t="shared" ca="1" si="1536"/>
        <v>1</v>
      </c>
      <c r="Z551" t="str">
        <f t="shared" ref="Z551:Z555" si="1546">CONCATENATE(AG551,"   →   ",AH551,"   →   ",AI551,"   →   ",AJ551)</f>
        <v>ELCTRLYZ_MED_C   →   C_GAS_STRG   →   H2_BLND_NG_P   →   H2_FC_DCHP_HEAT</v>
      </c>
      <c r="AA551" t="str">
        <f t="shared" ref="AA551:AA555" si="1547">G551</f>
        <v>Building heat</v>
      </c>
      <c r="AB551" t="str">
        <f t="shared" ref="AB551:AB555" si="1548">J551</f>
        <v>Flexibility</v>
      </c>
      <c r="AC551">
        <f t="shared" ref="AC551:AC555" ca="1" si="1549">Y551</f>
        <v>1</v>
      </c>
      <c r="AD551">
        <v>492</v>
      </c>
      <c r="AE551" t="str">
        <f>IF(AND(ISNUMBER(SEARCH(O551,4)),ISNUMBER(SEARCH('(4) FCH pathway assessment'!$B$16,AB551)),ISNUMBER(SEARCH('(4) FCH pathway assessment'!$B$10,AA551))),AD551,"")</f>
        <v/>
      </c>
      <c r="AF551" t="str">
        <f t="shared" si="1381"/>
        <v/>
      </c>
      <c r="AG551" t="str">
        <f>VLOOKUP(C551,Assumptions!$B$116:$C$162,2,FALSE)</f>
        <v>ELCTRLYZ_MED_C</v>
      </c>
      <c r="AH551" t="str">
        <f>VLOOKUP(D551,Assumptions!$B$116:$C$162,2,FALSE)</f>
        <v>C_GAS_STRG</v>
      </c>
      <c r="AI551" t="str">
        <f>VLOOKUP(E551,Assumptions!$B$116:$C$162,2,FALSE)</f>
        <v>H2_BLND_NG_P</v>
      </c>
      <c r="AJ551" t="str">
        <f>VLOOKUP(F551,Assumptions!$B$116:$C$162,2,FALSE)</f>
        <v>H2_FC_DCHP_HEAT</v>
      </c>
    </row>
    <row r="552" spans="2:36" x14ac:dyDescent="0.25">
      <c r="B552" t="s">
        <v>112</v>
      </c>
      <c r="C552" t="s">
        <v>51</v>
      </c>
      <c r="D552" t="s">
        <v>155</v>
      </c>
      <c r="E552" t="s">
        <v>122</v>
      </c>
      <c r="F552" t="s">
        <v>552</v>
      </c>
      <c r="G552" t="s">
        <v>132</v>
      </c>
      <c r="H552" t="s">
        <v>434</v>
      </c>
      <c r="I552" t="s">
        <v>32</v>
      </c>
      <c r="J552" t="s">
        <v>80</v>
      </c>
      <c r="K552">
        <f t="shared" si="1537"/>
        <v>1</v>
      </c>
      <c r="L552">
        <f t="shared" si="1538"/>
        <v>1</v>
      </c>
      <c r="M552">
        <f t="shared" si="1539"/>
        <v>1</v>
      </c>
      <c r="N552">
        <f t="shared" si="1540"/>
        <v>1</v>
      </c>
      <c r="O552">
        <f t="shared" si="1541"/>
        <v>4</v>
      </c>
      <c r="P552" t="str">
        <f t="shared" si="1542"/>
        <v>Medium centralized electrolysis-Flexibility</v>
      </c>
      <c r="Q552" t="str">
        <f t="shared" si="1543"/>
        <v>Central gas storage-Flexibility</v>
      </c>
      <c r="R552" t="str">
        <f t="shared" si="1544"/>
        <v>Hydrogen transmission &amp; distribution pipeline-Flexibility</v>
      </c>
      <c r="S552" t="str">
        <f t="shared" si="1545"/>
        <v>District-CHP with H2 fuel cell (heat)-Flexibility</v>
      </c>
      <c r="T552">
        <f ca="1">VLOOKUP($P552,'TA database'!$I$8:$J$79,2,FALSE)</f>
        <v>1</v>
      </c>
      <c r="U552">
        <v>0</v>
      </c>
      <c r="V552">
        <v>0</v>
      </c>
      <c r="W552">
        <v>0</v>
      </c>
      <c r="X552">
        <v>0</v>
      </c>
      <c r="Y552">
        <f t="shared" ca="1" si="1536"/>
        <v>1</v>
      </c>
      <c r="Z552" t="str">
        <f t="shared" si="1546"/>
        <v>ELCTRLYZ_MED_C   →   C_GAS_STRG   →   H2_T&amp;D_P   →   H2_FC_DCHP_HEAT</v>
      </c>
      <c r="AA552" t="str">
        <f t="shared" si="1547"/>
        <v>Building heat</v>
      </c>
      <c r="AB552" t="str">
        <f t="shared" si="1548"/>
        <v>Flexibility</v>
      </c>
      <c r="AC552">
        <f t="shared" ca="1" si="1549"/>
        <v>1</v>
      </c>
      <c r="AD552">
        <v>493</v>
      </c>
      <c r="AE552" t="str">
        <f>IF(AND(ISNUMBER(SEARCH(O552,4)),ISNUMBER(SEARCH('(4) FCH pathway assessment'!$B$16,AB552)),ISNUMBER(SEARCH('(4) FCH pathway assessment'!$B$10,AA552))),AD552,"")</f>
        <v/>
      </c>
      <c r="AF552" t="str">
        <f t="shared" si="1381"/>
        <v/>
      </c>
      <c r="AG552" t="str">
        <f>VLOOKUP(C552,Assumptions!$B$116:$C$162,2,FALSE)</f>
        <v>ELCTRLYZ_MED_C</v>
      </c>
      <c r="AH552" t="str">
        <f>VLOOKUP(D552,Assumptions!$B$116:$C$162,2,FALSE)</f>
        <v>C_GAS_STRG</v>
      </c>
      <c r="AI552" t="str">
        <f>VLOOKUP(E552,Assumptions!$B$116:$C$162,2,FALSE)</f>
        <v>H2_T&amp;D_P</v>
      </c>
      <c r="AJ552" t="str">
        <f>VLOOKUP(F552,Assumptions!$B$116:$C$162,2,FALSE)</f>
        <v>H2_FC_DCHP_HEAT</v>
      </c>
    </row>
    <row r="553" spans="2:36" x14ac:dyDescent="0.25">
      <c r="B553" t="s">
        <v>112</v>
      </c>
      <c r="C553" t="s">
        <v>51</v>
      </c>
      <c r="D553" t="s">
        <v>155</v>
      </c>
      <c r="E553" t="s">
        <v>116</v>
      </c>
      <c r="F553" t="s">
        <v>552</v>
      </c>
      <c r="G553" t="s">
        <v>132</v>
      </c>
      <c r="H553" t="s">
        <v>434</v>
      </c>
      <c r="I553" t="s">
        <v>32</v>
      </c>
      <c r="J553" t="s">
        <v>80</v>
      </c>
      <c r="K553">
        <f t="shared" si="1537"/>
        <v>1</v>
      </c>
      <c r="L553">
        <f t="shared" si="1538"/>
        <v>1</v>
      </c>
      <c r="M553">
        <f t="shared" si="1539"/>
        <v>1</v>
      </c>
      <c r="N553">
        <f t="shared" si="1540"/>
        <v>1</v>
      </c>
      <c r="O553">
        <f t="shared" si="1541"/>
        <v>4</v>
      </c>
      <c r="P553" t="str">
        <f t="shared" si="1542"/>
        <v>Medium centralized electrolysis-Flexibility</v>
      </c>
      <c r="Q553" t="str">
        <f t="shared" si="1543"/>
        <v>Central gas storage-Flexibility</v>
      </c>
      <c r="R553" t="str">
        <f t="shared" si="1544"/>
        <v>Liquid hydrogen truck-Flexibility</v>
      </c>
      <c r="S553" t="str">
        <f t="shared" si="1545"/>
        <v>District-CHP with H2 fuel cell (heat)-Flexibility</v>
      </c>
      <c r="T553">
        <f ca="1">VLOOKUP($P553,'TA database'!$I$8:$J$79,2,FALSE)</f>
        <v>1</v>
      </c>
      <c r="U553">
        <v>0</v>
      </c>
      <c r="V553">
        <v>0</v>
      </c>
      <c r="W553">
        <v>0</v>
      </c>
      <c r="X553">
        <v>0</v>
      </c>
      <c r="Y553">
        <f t="shared" ca="1" si="1536"/>
        <v>1</v>
      </c>
      <c r="Z553" t="str">
        <f t="shared" si="1546"/>
        <v>ELCTRLYZ_MED_C   →   C_GAS_STRG   →   LQ_TRUCK   →   H2_FC_DCHP_HEAT</v>
      </c>
      <c r="AA553" t="str">
        <f t="shared" si="1547"/>
        <v>Building heat</v>
      </c>
      <c r="AB553" t="str">
        <f t="shared" si="1548"/>
        <v>Flexibility</v>
      </c>
      <c r="AC553">
        <f t="shared" ca="1" si="1549"/>
        <v>1</v>
      </c>
      <c r="AD553">
        <v>494</v>
      </c>
      <c r="AE553" t="str">
        <f>IF(AND(ISNUMBER(SEARCH(O553,4)),ISNUMBER(SEARCH('(4) FCH pathway assessment'!$B$16,AB553)),ISNUMBER(SEARCH('(4) FCH pathway assessment'!$B$10,AA553))),AD553,"")</f>
        <v/>
      </c>
      <c r="AF553" t="str">
        <f t="shared" si="1381"/>
        <v/>
      </c>
      <c r="AG553" t="str">
        <f>VLOOKUP(C553,Assumptions!$B$116:$C$162,2,FALSE)</f>
        <v>ELCTRLYZ_MED_C</v>
      </c>
      <c r="AH553" t="str">
        <f>VLOOKUP(D553,Assumptions!$B$116:$C$162,2,FALSE)</f>
        <v>C_GAS_STRG</v>
      </c>
      <c r="AI553" t="str">
        <f>VLOOKUP(E553,Assumptions!$B$116:$C$162,2,FALSE)</f>
        <v>LQ_TRUCK</v>
      </c>
      <c r="AJ553" t="str">
        <f>VLOOKUP(F553,Assumptions!$B$116:$C$162,2,FALSE)</f>
        <v>H2_FC_DCHP_HEAT</v>
      </c>
    </row>
    <row r="554" spans="2:36" x14ac:dyDescent="0.25">
      <c r="B554" t="s">
        <v>112</v>
      </c>
      <c r="C554" t="s">
        <v>51</v>
      </c>
      <c r="D554" t="s">
        <v>155</v>
      </c>
      <c r="E554" t="s">
        <v>66</v>
      </c>
      <c r="F554" t="s">
        <v>552</v>
      </c>
      <c r="G554" t="s">
        <v>132</v>
      </c>
      <c r="H554" t="s">
        <v>434</v>
      </c>
      <c r="I554" t="s">
        <v>32</v>
      </c>
      <c r="J554" t="s">
        <v>80</v>
      </c>
      <c r="K554">
        <f t="shared" si="1537"/>
        <v>1</v>
      </c>
      <c r="L554">
        <f t="shared" si="1538"/>
        <v>1</v>
      </c>
      <c r="M554">
        <f t="shared" si="1539"/>
        <v>1</v>
      </c>
      <c r="N554">
        <f t="shared" si="1540"/>
        <v>1</v>
      </c>
      <c r="O554">
        <f t="shared" si="1541"/>
        <v>4</v>
      </c>
      <c r="P554" t="str">
        <f t="shared" si="1542"/>
        <v>Medium centralized electrolysis-Flexibility</v>
      </c>
      <c r="Q554" t="str">
        <f t="shared" si="1543"/>
        <v>Central gas storage-Flexibility</v>
      </c>
      <c r="R554" t="str">
        <f t="shared" si="1544"/>
        <v>Onsite-Flexibility</v>
      </c>
      <c r="S554" t="str">
        <f t="shared" si="1545"/>
        <v>District-CHP with H2 fuel cell (heat)-Flexibility</v>
      </c>
      <c r="T554">
        <f ca="1">VLOOKUP($P554,'TA database'!$I$8:$J$79,2,FALSE)</f>
        <v>1</v>
      </c>
      <c r="U554">
        <v>0</v>
      </c>
      <c r="V554">
        <v>0</v>
      </c>
      <c r="W554">
        <v>0</v>
      </c>
      <c r="X554">
        <v>0</v>
      </c>
      <c r="Y554">
        <f t="shared" ca="1" si="1536"/>
        <v>1</v>
      </c>
      <c r="Z554" t="str">
        <f t="shared" si="1546"/>
        <v>ELCTRLYZ_MED_C   →   C_GAS_STRG   →   ONSITE_USE   →   H2_FC_DCHP_HEAT</v>
      </c>
      <c r="AA554" t="str">
        <f t="shared" si="1547"/>
        <v>Building heat</v>
      </c>
      <c r="AB554" t="str">
        <f t="shared" si="1548"/>
        <v>Flexibility</v>
      </c>
      <c r="AC554">
        <f t="shared" ca="1" si="1549"/>
        <v>1</v>
      </c>
      <c r="AD554">
        <v>495</v>
      </c>
      <c r="AE554" t="str">
        <f>IF(AND(ISNUMBER(SEARCH(O554,4)),ISNUMBER(SEARCH('(4) FCH pathway assessment'!$B$16,AB554)),ISNUMBER(SEARCH('(4) FCH pathway assessment'!$B$10,AA554))),AD554,"")</f>
        <v/>
      </c>
      <c r="AF554" t="str">
        <f t="shared" si="1381"/>
        <v/>
      </c>
      <c r="AG554" t="str">
        <f>VLOOKUP(C554,Assumptions!$B$116:$C$162,2,FALSE)</f>
        <v>ELCTRLYZ_MED_C</v>
      </c>
      <c r="AH554" t="str">
        <f>VLOOKUP(D554,Assumptions!$B$116:$C$162,2,FALSE)</f>
        <v>C_GAS_STRG</v>
      </c>
      <c r="AI554" t="str">
        <f>VLOOKUP(E554,Assumptions!$B$116:$C$162,2,FALSE)</f>
        <v>ONSITE_USE</v>
      </c>
      <c r="AJ554" t="str">
        <f>VLOOKUP(F554,Assumptions!$B$116:$C$162,2,FALSE)</f>
        <v>H2_FC_DCHP_HEAT</v>
      </c>
    </row>
    <row r="555" spans="2:36" x14ac:dyDescent="0.25">
      <c r="B555" t="s">
        <v>112</v>
      </c>
      <c r="C555" t="s">
        <v>52</v>
      </c>
      <c r="D555" s="60" t="s">
        <v>130</v>
      </c>
      <c r="E555" t="s">
        <v>66</v>
      </c>
      <c r="F555" t="s">
        <v>552</v>
      </c>
      <c r="G555" t="s">
        <v>132</v>
      </c>
      <c r="H555" t="s">
        <v>434</v>
      </c>
      <c r="I555" t="s">
        <v>32</v>
      </c>
      <c r="J555" t="s">
        <v>80</v>
      </c>
      <c r="K555">
        <f t="shared" si="1537"/>
        <v>1</v>
      </c>
      <c r="L555">
        <f t="shared" si="1538"/>
        <v>1</v>
      </c>
      <c r="M555">
        <f t="shared" si="1539"/>
        <v>1</v>
      </c>
      <c r="N555">
        <f t="shared" si="1540"/>
        <v>1</v>
      </c>
      <c r="O555">
        <f t="shared" si="1541"/>
        <v>4</v>
      </c>
      <c r="P555" t="str">
        <f t="shared" si="1542"/>
        <v>Small decentralized electrolysis-Flexibility</v>
      </c>
      <c r="Q555" t="str">
        <f t="shared" si="1543"/>
        <v>Distributed gas storage-Flexibility</v>
      </c>
      <c r="R555" t="str">
        <f t="shared" si="1544"/>
        <v>Onsite-Flexibility</v>
      </c>
      <c r="S555" t="str">
        <f t="shared" si="1545"/>
        <v>District-CHP with H2 fuel cell (heat)-Flexibility</v>
      </c>
      <c r="T555">
        <f ca="1">VLOOKUP($P555,'TA database'!$I$8:$J$79,2,FALSE)</f>
        <v>0.14583333333333334</v>
      </c>
      <c r="U555">
        <v>0</v>
      </c>
      <c r="V555">
        <v>0</v>
      </c>
      <c r="W555">
        <v>0</v>
      </c>
      <c r="X555">
        <v>0</v>
      </c>
      <c r="Y555">
        <f t="shared" ref="Y555:Y559" ca="1" si="1550">$T555</f>
        <v>0.14583333333333334</v>
      </c>
      <c r="Z555" t="str">
        <f t="shared" si="1546"/>
        <v>ELCTRLYZ_SML_D   →   D_GAS_STRG   →   ONSITE_USE   →   H2_FC_DCHP_HEAT</v>
      </c>
      <c r="AA555" t="str">
        <f t="shared" si="1547"/>
        <v>Building heat</v>
      </c>
      <c r="AB555" t="str">
        <f t="shared" si="1548"/>
        <v>Flexibility</v>
      </c>
      <c r="AC555">
        <f t="shared" ca="1" si="1549"/>
        <v>0.14583333333333334</v>
      </c>
      <c r="AD555">
        <v>496</v>
      </c>
      <c r="AE555" t="str">
        <f>IF(AND(ISNUMBER(SEARCH(O555,4)),ISNUMBER(SEARCH('(4) FCH pathway assessment'!$B$16,AB555)),ISNUMBER(SEARCH('(4) FCH pathway assessment'!$B$10,AA555))),AD555,"")</f>
        <v/>
      </c>
      <c r="AF555" t="str">
        <f t="shared" si="1381"/>
        <v/>
      </c>
      <c r="AG555" t="str">
        <f>VLOOKUP(C555,Assumptions!$B$116:$C$162,2,FALSE)</f>
        <v>ELCTRLYZ_SML_D</v>
      </c>
      <c r="AH555" t="str">
        <f>VLOOKUP(D555,Assumptions!$B$116:$C$162,2,FALSE)</f>
        <v>D_GAS_STRG</v>
      </c>
      <c r="AI555" t="str">
        <f>VLOOKUP(E555,Assumptions!$B$116:$C$162,2,FALSE)</f>
        <v>ONSITE_USE</v>
      </c>
      <c r="AJ555" t="str">
        <f>VLOOKUP(F555,Assumptions!$B$116:$C$162,2,FALSE)</f>
        <v>H2_FC_DCHP_HEAT</v>
      </c>
    </row>
    <row r="556" spans="2:36" x14ac:dyDescent="0.25">
      <c r="B556" t="s">
        <v>127</v>
      </c>
      <c r="C556" t="s">
        <v>57</v>
      </c>
      <c r="D556" t="s">
        <v>62</v>
      </c>
      <c r="E556" t="s">
        <v>157</v>
      </c>
      <c r="F556" t="s">
        <v>552</v>
      </c>
      <c r="G556" t="s">
        <v>132</v>
      </c>
      <c r="H556" t="s">
        <v>434</v>
      </c>
      <c r="I556" t="s">
        <v>32</v>
      </c>
      <c r="J556" t="s">
        <v>80</v>
      </c>
      <c r="K556">
        <f t="shared" ref="K556:K564" si="1551">SUMPRODUCT(($C$7:$C$18=$C556)*($D$6:$H$6=$D556)*($D$7:$H$18))</f>
        <v>1</v>
      </c>
      <c r="L556">
        <f t="shared" ref="L556:L564" si="1552">SUMPRODUCT(($C$19:$C$23=$D556)*($I$6:$O$6=$E556)*($I$19:$O$23))</f>
        <v>0</v>
      </c>
      <c r="M556">
        <f t="shared" ref="M556:M564" si="1553">SUMPRODUCT(($C$24:$C$30=$E556)*($P$6:$AI$6=$F556)*($P$24:$AI$30))</f>
        <v>0</v>
      </c>
      <c r="N556">
        <f t="shared" ref="N556:N564" si="1554">SUMPRODUCT(($C$31:$C$50=$F556)*($AJ$6:$AM$6=$G556)*($AJ$31:$AM$50))</f>
        <v>1</v>
      </c>
      <c r="O556">
        <f t="shared" ref="O556:O564" si="1555">K556+L556+M556+N556</f>
        <v>2</v>
      </c>
      <c r="P556" t="str">
        <f t="shared" ref="P556:P564" si="1556">CONCATENATE(C556,"-",J556)</f>
        <v>Large centralized natural gas steam reforming-Flexibility</v>
      </c>
      <c r="Q556" t="str">
        <f t="shared" ref="Q556:Q564" si="1557">CONCATENATE(D556,"-",J556)</f>
        <v>Underground storage-Flexibility</v>
      </c>
      <c r="R556" t="str">
        <f t="shared" ref="R556:R564" si="1558">CONCATENATE(E556,"-",J556)</f>
        <v>Blending in natural gas pipeline-Flexibility</v>
      </c>
      <c r="S556" t="str">
        <f t="shared" ref="S556:S564" si="1559">CONCATENATE(F556,"-",J556)</f>
        <v>District-CHP with H2 fuel cell (heat)-Flexibility</v>
      </c>
      <c r="T556">
        <f ca="1">VLOOKUP($P556,'TA database'!$I$8:$J$79,2,FALSE)</f>
        <v>0</v>
      </c>
      <c r="U556">
        <v>0</v>
      </c>
      <c r="V556">
        <v>0</v>
      </c>
      <c r="W556">
        <v>0</v>
      </c>
      <c r="X556">
        <v>0</v>
      </c>
      <c r="Y556">
        <f t="shared" ca="1" si="1550"/>
        <v>0</v>
      </c>
      <c r="Z556" t="str">
        <f t="shared" ref="Z556:Z564" si="1560">CONCATENATE(AG556,"   →   ",AH556,"   →   ",AI556,"   →   ",AJ556)</f>
        <v>NG_SR_LRG_C   →   C_UNDRGRND_STRG   →   H2_BLND_NG_P   →   H2_FC_DCHP_HEAT</v>
      </c>
      <c r="AA556" t="str">
        <f t="shared" ref="AA556:AA564" si="1561">G556</f>
        <v>Building heat</v>
      </c>
      <c r="AB556" t="str">
        <f t="shared" ref="AB556:AB564" si="1562">J556</f>
        <v>Flexibility</v>
      </c>
      <c r="AC556">
        <f t="shared" ref="AC556:AC564" ca="1" si="1563">Y556</f>
        <v>0</v>
      </c>
      <c r="AD556">
        <v>497</v>
      </c>
      <c r="AE556" t="str">
        <f>IF(AND(ISNUMBER(SEARCH(O556,4)),ISNUMBER(SEARCH('(4) FCH pathway assessment'!$B$16,AB556)),ISNUMBER(SEARCH('(4) FCH pathway assessment'!$B$10,AA556))),AD556,"")</f>
        <v/>
      </c>
      <c r="AF556" t="str">
        <f t="shared" si="1381"/>
        <v/>
      </c>
      <c r="AG556" t="str">
        <f>VLOOKUP(C556,Assumptions!$B$116:$C$162,2,FALSE)</f>
        <v>NG_SR_LRG_C</v>
      </c>
      <c r="AH556" t="str">
        <f>VLOOKUP(D556,Assumptions!$B$116:$C$162,2,FALSE)</f>
        <v>C_UNDRGRND_STRG</v>
      </c>
      <c r="AI556" t="str">
        <f>VLOOKUP(E556,Assumptions!$B$116:$C$162,2,FALSE)</f>
        <v>H2_BLND_NG_P</v>
      </c>
      <c r="AJ556" t="str">
        <f>VLOOKUP(F556,Assumptions!$B$116:$C$162,2,FALSE)</f>
        <v>H2_FC_DCHP_HEAT</v>
      </c>
    </row>
    <row r="557" spans="2:36" x14ac:dyDescent="0.25">
      <c r="B557" t="s">
        <v>127</v>
      </c>
      <c r="C557" t="s">
        <v>57</v>
      </c>
      <c r="D557" t="s">
        <v>62</v>
      </c>
      <c r="E557" t="s">
        <v>122</v>
      </c>
      <c r="F557" t="s">
        <v>552</v>
      </c>
      <c r="G557" t="s">
        <v>132</v>
      </c>
      <c r="H557" t="s">
        <v>434</v>
      </c>
      <c r="I557" t="s">
        <v>32</v>
      </c>
      <c r="J557" t="s">
        <v>80</v>
      </c>
      <c r="K557">
        <f t="shared" si="1551"/>
        <v>1</v>
      </c>
      <c r="L557">
        <f t="shared" si="1552"/>
        <v>0</v>
      </c>
      <c r="M557">
        <f t="shared" si="1553"/>
        <v>1</v>
      </c>
      <c r="N557">
        <f t="shared" si="1554"/>
        <v>1</v>
      </c>
      <c r="O557">
        <f t="shared" si="1555"/>
        <v>3</v>
      </c>
      <c r="P557" t="str">
        <f t="shared" si="1556"/>
        <v>Large centralized natural gas steam reforming-Flexibility</v>
      </c>
      <c r="Q557" t="str">
        <f t="shared" si="1557"/>
        <v>Underground storage-Flexibility</v>
      </c>
      <c r="R557" t="str">
        <f t="shared" si="1558"/>
        <v>Hydrogen transmission &amp; distribution pipeline-Flexibility</v>
      </c>
      <c r="S557" t="str">
        <f t="shared" si="1559"/>
        <v>District-CHP with H2 fuel cell (heat)-Flexibility</v>
      </c>
      <c r="T557">
        <f ca="1">VLOOKUP($P557,'TA database'!$I$8:$J$79,2,FALSE)</f>
        <v>0</v>
      </c>
      <c r="U557">
        <v>0</v>
      </c>
      <c r="V557">
        <v>0</v>
      </c>
      <c r="W557">
        <v>0</v>
      </c>
      <c r="X557">
        <v>0</v>
      </c>
      <c r="Y557">
        <f t="shared" ca="1" si="1550"/>
        <v>0</v>
      </c>
      <c r="Z557" t="str">
        <f t="shared" si="1560"/>
        <v>NG_SR_LRG_C   →   C_UNDRGRND_STRG   →   H2_T&amp;D_P   →   H2_FC_DCHP_HEAT</v>
      </c>
      <c r="AA557" t="str">
        <f t="shared" si="1561"/>
        <v>Building heat</v>
      </c>
      <c r="AB557" t="str">
        <f t="shared" si="1562"/>
        <v>Flexibility</v>
      </c>
      <c r="AC557">
        <f t="shared" ca="1" si="1563"/>
        <v>0</v>
      </c>
      <c r="AD557">
        <v>498</v>
      </c>
      <c r="AE557" t="str">
        <f>IF(AND(ISNUMBER(SEARCH(O557,4)),ISNUMBER(SEARCH('(4) FCH pathway assessment'!$B$16,AB557)),ISNUMBER(SEARCH('(4) FCH pathway assessment'!$B$10,AA557))),AD557,"")</f>
        <v/>
      </c>
      <c r="AF557" t="str">
        <f t="shared" si="1381"/>
        <v/>
      </c>
      <c r="AG557" t="str">
        <f>VLOOKUP(C557,Assumptions!$B$116:$C$162,2,FALSE)</f>
        <v>NG_SR_LRG_C</v>
      </c>
      <c r="AH557" t="str">
        <f>VLOOKUP(D557,Assumptions!$B$116:$C$162,2,FALSE)</f>
        <v>C_UNDRGRND_STRG</v>
      </c>
      <c r="AI557" t="str">
        <f>VLOOKUP(E557,Assumptions!$B$116:$C$162,2,FALSE)</f>
        <v>H2_T&amp;D_P</v>
      </c>
      <c r="AJ557" t="str">
        <f>VLOOKUP(F557,Assumptions!$B$116:$C$162,2,FALSE)</f>
        <v>H2_FC_DCHP_HEAT</v>
      </c>
    </row>
    <row r="558" spans="2:36" x14ac:dyDescent="0.25">
      <c r="B558" t="s">
        <v>127</v>
      </c>
      <c r="C558" t="s">
        <v>57</v>
      </c>
      <c r="D558" t="s">
        <v>62</v>
      </c>
      <c r="E558" t="s">
        <v>116</v>
      </c>
      <c r="F558" t="s">
        <v>552</v>
      </c>
      <c r="G558" t="s">
        <v>132</v>
      </c>
      <c r="H558" t="s">
        <v>434</v>
      </c>
      <c r="I558" t="s">
        <v>32</v>
      </c>
      <c r="J558" t="s">
        <v>80</v>
      </c>
      <c r="K558">
        <f t="shared" si="1551"/>
        <v>1</v>
      </c>
      <c r="L558">
        <f t="shared" si="1552"/>
        <v>0</v>
      </c>
      <c r="M558">
        <f t="shared" si="1553"/>
        <v>1</v>
      </c>
      <c r="N558">
        <f t="shared" si="1554"/>
        <v>1</v>
      </c>
      <c r="O558">
        <f t="shared" si="1555"/>
        <v>3</v>
      </c>
      <c r="P558" t="str">
        <f t="shared" si="1556"/>
        <v>Large centralized natural gas steam reforming-Flexibility</v>
      </c>
      <c r="Q558" t="str">
        <f t="shared" si="1557"/>
        <v>Underground storage-Flexibility</v>
      </c>
      <c r="R558" t="str">
        <f t="shared" si="1558"/>
        <v>Liquid hydrogen truck-Flexibility</v>
      </c>
      <c r="S558" t="str">
        <f t="shared" si="1559"/>
        <v>District-CHP with H2 fuel cell (heat)-Flexibility</v>
      </c>
      <c r="T558">
        <f ca="1">VLOOKUP($P558,'TA database'!$I$8:$J$79,2,FALSE)</f>
        <v>0</v>
      </c>
      <c r="U558">
        <v>0</v>
      </c>
      <c r="V558">
        <v>0</v>
      </c>
      <c r="W558">
        <v>0</v>
      </c>
      <c r="X558">
        <v>0</v>
      </c>
      <c r="Y558">
        <f t="shared" ca="1" si="1550"/>
        <v>0</v>
      </c>
      <c r="Z558" t="str">
        <f t="shared" si="1560"/>
        <v>NG_SR_LRG_C   →   C_UNDRGRND_STRG   →   LQ_TRUCK   →   H2_FC_DCHP_HEAT</v>
      </c>
      <c r="AA558" t="str">
        <f t="shared" si="1561"/>
        <v>Building heat</v>
      </c>
      <c r="AB558" t="str">
        <f t="shared" si="1562"/>
        <v>Flexibility</v>
      </c>
      <c r="AC558">
        <f t="shared" ca="1" si="1563"/>
        <v>0</v>
      </c>
      <c r="AD558">
        <v>499</v>
      </c>
      <c r="AE558" t="str">
        <f>IF(AND(ISNUMBER(SEARCH(O558,4)),ISNUMBER(SEARCH('(4) FCH pathway assessment'!$B$16,AB558)),ISNUMBER(SEARCH('(4) FCH pathway assessment'!$B$10,AA558))),AD558,"")</f>
        <v/>
      </c>
      <c r="AF558" t="str">
        <f t="shared" si="1381"/>
        <v/>
      </c>
      <c r="AG558" t="str">
        <f>VLOOKUP(C558,Assumptions!$B$116:$C$162,2,FALSE)</f>
        <v>NG_SR_LRG_C</v>
      </c>
      <c r="AH558" t="str">
        <f>VLOOKUP(D558,Assumptions!$B$116:$C$162,2,FALSE)</f>
        <v>C_UNDRGRND_STRG</v>
      </c>
      <c r="AI558" t="str">
        <f>VLOOKUP(E558,Assumptions!$B$116:$C$162,2,FALSE)</f>
        <v>LQ_TRUCK</v>
      </c>
      <c r="AJ558" t="str">
        <f>VLOOKUP(F558,Assumptions!$B$116:$C$162,2,FALSE)</f>
        <v>H2_FC_DCHP_HEAT</v>
      </c>
    </row>
    <row r="559" spans="2:36" x14ac:dyDescent="0.25">
      <c r="B559" t="s">
        <v>127</v>
      </c>
      <c r="C559" t="s">
        <v>57</v>
      </c>
      <c r="D559" t="s">
        <v>62</v>
      </c>
      <c r="E559" t="s">
        <v>66</v>
      </c>
      <c r="F559" t="s">
        <v>552</v>
      </c>
      <c r="G559" t="s">
        <v>132</v>
      </c>
      <c r="H559" t="s">
        <v>434</v>
      </c>
      <c r="I559" t="s">
        <v>32</v>
      </c>
      <c r="J559" t="s">
        <v>80</v>
      </c>
      <c r="K559">
        <f t="shared" si="1551"/>
        <v>1</v>
      </c>
      <c r="L559">
        <f t="shared" si="1552"/>
        <v>0</v>
      </c>
      <c r="M559">
        <f t="shared" si="1553"/>
        <v>1</v>
      </c>
      <c r="N559">
        <f t="shared" si="1554"/>
        <v>1</v>
      </c>
      <c r="O559">
        <f t="shared" si="1555"/>
        <v>3</v>
      </c>
      <c r="P559" t="str">
        <f t="shared" si="1556"/>
        <v>Large centralized natural gas steam reforming-Flexibility</v>
      </c>
      <c r="Q559" t="str">
        <f t="shared" si="1557"/>
        <v>Underground storage-Flexibility</v>
      </c>
      <c r="R559" t="str">
        <f t="shared" si="1558"/>
        <v>Onsite-Flexibility</v>
      </c>
      <c r="S559" t="str">
        <f t="shared" si="1559"/>
        <v>District-CHP with H2 fuel cell (heat)-Flexibility</v>
      </c>
      <c r="T559">
        <f ca="1">VLOOKUP($P559,'TA database'!$I$8:$J$79,2,FALSE)</f>
        <v>0</v>
      </c>
      <c r="U559">
        <v>0</v>
      </c>
      <c r="V559">
        <v>0</v>
      </c>
      <c r="W559">
        <v>0</v>
      </c>
      <c r="X559">
        <v>0</v>
      </c>
      <c r="Y559">
        <f t="shared" ca="1" si="1550"/>
        <v>0</v>
      </c>
      <c r="Z559" t="str">
        <f t="shared" si="1560"/>
        <v>NG_SR_LRG_C   →   C_UNDRGRND_STRG   →   ONSITE_USE   →   H2_FC_DCHP_HEAT</v>
      </c>
      <c r="AA559" t="str">
        <f t="shared" si="1561"/>
        <v>Building heat</v>
      </c>
      <c r="AB559" t="str">
        <f t="shared" si="1562"/>
        <v>Flexibility</v>
      </c>
      <c r="AC559">
        <f t="shared" ca="1" si="1563"/>
        <v>0</v>
      </c>
      <c r="AD559">
        <v>500</v>
      </c>
      <c r="AE559" t="str">
        <f>IF(AND(ISNUMBER(SEARCH(O559,4)),ISNUMBER(SEARCH('(4) FCH pathway assessment'!$B$16,AB559)),ISNUMBER(SEARCH('(4) FCH pathway assessment'!$B$10,AA559))),AD559,"")</f>
        <v/>
      </c>
      <c r="AF559" t="str">
        <f t="shared" si="1381"/>
        <v/>
      </c>
      <c r="AG559" t="str">
        <f>VLOOKUP(C559,Assumptions!$B$116:$C$162,2,FALSE)</f>
        <v>NG_SR_LRG_C</v>
      </c>
      <c r="AH559" t="str">
        <f>VLOOKUP(D559,Assumptions!$B$116:$C$162,2,FALSE)</f>
        <v>C_UNDRGRND_STRG</v>
      </c>
      <c r="AI559" t="str">
        <f>VLOOKUP(E559,Assumptions!$B$116:$C$162,2,FALSE)</f>
        <v>ONSITE_USE</v>
      </c>
      <c r="AJ559" t="str">
        <f>VLOOKUP(F559,Assumptions!$B$116:$C$162,2,FALSE)</f>
        <v>H2_FC_DCHP_HEAT</v>
      </c>
    </row>
    <row r="560" spans="2:36" x14ac:dyDescent="0.25">
      <c r="B560" t="s">
        <v>127</v>
      </c>
      <c r="C560" t="s">
        <v>57</v>
      </c>
      <c r="D560" s="61" t="s">
        <v>63</v>
      </c>
      <c r="E560" t="s">
        <v>122</v>
      </c>
      <c r="F560" t="s">
        <v>552</v>
      </c>
      <c r="G560" t="s">
        <v>132</v>
      </c>
      <c r="H560" t="s">
        <v>434</v>
      </c>
      <c r="I560" t="s">
        <v>32</v>
      </c>
      <c r="J560" t="s">
        <v>80</v>
      </c>
      <c r="K560">
        <f t="shared" si="1551"/>
        <v>1</v>
      </c>
      <c r="L560">
        <f t="shared" si="1552"/>
        <v>1</v>
      </c>
      <c r="M560">
        <f t="shared" si="1553"/>
        <v>1</v>
      </c>
      <c r="N560">
        <f t="shared" si="1554"/>
        <v>1</v>
      </c>
      <c r="O560">
        <f t="shared" si="1555"/>
        <v>4</v>
      </c>
      <c r="P560" t="str">
        <f t="shared" si="1556"/>
        <v>Large centralized natural gas steam reforming-Flexibility</v>
      </c>
      <c r="Q560" t="str">
        <f t="shared" si="1557"/>
        <v>No storage-Flexibility</v>
      </c>
      <c r="R560" t="str">
        <f t="shared" si="1558"/>
        <v>Hydrogen transmission &amp; distribution pipeline-Flexibility</v>
      </c>
      <c r="S560" t="str">
        <f t="shared" si="1559"/>
        <v>District-CHP with H2 fuel cell (heat)-Flexibility</v>
      </c>
      <c r="T560">
        <f ca="1">VLOOKUP($P560,'TA database'!$I$8:$J$79,2,FALSE)</f>
        <v>0</v>
      </c>
      <c r="U560">
        <v>0</v>
      </c>
      <c r="V560">
        <v>0</v>
      </c>
      <c r="W560">
        <v>0</v>
      </c>
      <c r="X560">
        <v>0</v>
      </c>
      <c r="Y560">
        <f t="shared" ref="Y560:Y564" ca="1" si="1564">$T560</f>
        <v>0</v>
      </c>
      <c r="Z560" t="str">
        <f t="shared" si="1560"/>
        <v>NG_SR_LRG_C   →   NO_STRG   →   H2_T&amp;D_P   →   H2_FC_DCHP_HEAT</v>
      </c>
      <c r="AA560" t="str">
        <f t="shared" si="1561"/>
        <v>Building heat</v>
      </c>
      <c r="AB560" t="str">
        <f t="shared" si="1562"/>
        <v>Flexibility</v>
      </c>
      <c r="AC560">
        <f t="shared" ca="1" si="1563"/>
        <v>0</v>
      </c>
      <c r="AD560">
        <v>501</v>
      </c>
      <c r="AE560" t="str">
        <f>IF(AND(ISNUMBER(SEARCH(O560,4)),ISNUMBER(SEARCH('(4) FCH pathway assessment'!$B$16,AB560)),ISNUMBER(SEARCH('(4) FCH pathway assessment'!$B$10,AA560))),AD560,"")</f>
        <v/>
      </c>
      <c r="AF560" t="str">
        <f t="shared" si="1381"/>
        <v/>
      </c>
      <c r="AG560" t="str">
        <f>VLOOKUP(C560,Assumptions!$B$116:$C$162,2,FALSE)</f>
        <v>NG_SR_LRG_C</v>
      </c>
      <c r="AH560" t="str">
        <f>VLOOKUP(D560,Assumptions!$B$116:$C$162,2,FALSE)</f>
        <v>NO_STRG</v>
      </c>
      <c r="AI560" t="str">
        <f>VLOOKUP(E560,Assumptions!$B$116:$C$162,2,FALSE)</f>
        <v>H2_T&amp;D_P</v>
      </c>
      <c r="AJ560" t="str">
        <f>VLOOKUP(F560,Assumptions!$B$116:$C$162,2,FALSE)</f>
        <v>H2_FC_DCHP_HEAT</v>
      </c>
    </row>
    <row r="561" spans="2:36" x14ac:dyDescent="0.25">
      <c r="B561" t="s">
        <v>127</v>
      </c>
      <c r="C561" t="s">
        <v>58</v>
      </c>
      <c r="D561" t="s">
        <v>155</v>
      </c>
      <c r="E561" t="s">
        <v>157</v>
      </c>
      <c r="F561" t="s">
        <v>552</v>
      </c>
      <c r="G561" t="s">
        <v>132</v>
      </c>
      <c r="H561" t="s">
        <v>434</v>
      </c>
      <c r="I561" t="s">
        <v>32</v>
      </c>
      <c r="J561" t="s">
        <v>80</v>
      </c>
      <c r="K561">
        <f t="shared" si="1551"/>
        <v>1</v>
      </c>
      <c r="L561">
        <f t="shared" si="1552"/>
        <v>1</v>
      </c>
      <c r="M561">
        <f t="shared" si="1553"/>
        <v>0</v>
      </c>
      <c r="N561">
        <f t="shared" si="1554"/>
        <v>1</v>
      </c>
      <c r="O561">
        <f t="shared" si="1555"/>
        <v>3</v>
      </c>
      <c r="P561" t="str">
        <f t="shared" si="1556"/>
        <v>Small centralized natural gas steam reforming-Flexibility</v>
      </c>
      <c r="Q561" t="str">
        <f t="shared" si="1557"/>
        <v>Central gas storage-Flexibility</v>
      </c>
      <c r="R561" t="str">
        <f t="shared" si="1558"/>
        <v>Blending in natural gas pipeline-Flexibility</v>
      </c>
      <c r="S561" t="str">
        <f t="shared" si="1559"/>
        <v>District-CHP with H2 fuel cell (heat)-Flexibility</v>
      </c>
      <c r="T561">
        <f ca="1">VLOOKUP($P561,'TA database'!$I$8:$J$79,2,FALSE)</f>
        <v>0</v>
      </c>
      <c r="U561">
        <v>0</v>
      </c>
      <c r="V561">
        <v>0</v>
      </c>
      <c r="W561">
        <v>0</v>
      </c>
      <c r="X561">
        <v>0</v>
      </c>
      <c r="Y561">
        <f t="shared" ca="1" si="1564"/>
        <v>0</v>
      </c>
      <c r="Z561" t="str">
        <f t="shared" si="1560"/>
        <v>NG_SR_SML_C   →   C_GAS_STRG   →   H2_BLND_NG_P   →   H2_FC_DCHP_HEAT</v>
      </c>
      <c r="AA561" t="str">
        <f t="shared" si="1561"/>
        <v>Building heat</v>
      </c>
      <c r="AB561" t="str">
        <f t="shared" si="1562"/>
        <v>Flexibility</v>
      </c>
      <c r="AC561">
        <f t="shared" ca="1" si="1563"/>
        <v>0</v>
      </c>
      <c r="AD561">
        <v>502</v>
      </c>
      <c r="AE561" t="str">
        <f>IF(AND(ISNUMBER(SEARCH(O561,4)),ISNUMBER(SEARCH('(4) FCH pathway assessment'!$B$16,AB561)),ISNUMBER(SEARCH('(4) FCH pathway assessment'!$B$10,AA561))),AD561,"")</f>
        <v/>
      </c>
      <c r="AF561" t="str">
        <f t="shared" si="1381"/>
        <v/>
      </c>
      <c r="AG561" t="str">
        <f>VLOOKUP(C561,Assumptions!$B$116:$C$162,2,FALSE)</f>
        <v>NG_SR_SML_C</v>
      </c>
      <c r="AH561" t="str">
        <f>VLOOKUP(D561,Assumptions!$B$116:$C$162,2,FALSE)</f>
        <v>C_GAS_STRG</v>
      </c>
      <c r="AI561" t="str">
        <f>VLOOKUP(E561,Assumptions!$B$116:$C$162,2,FALSE)</f>
        <v>H2_BLND_NG_P</v>
      </c>
      <c r="AJ561" t="str">
        <f>VLOOKUP(F561,Assumptions!$B$116:$C$162,2,FALSE)</f>
        <v>H2_FC_DCHP_HEAT</v>
      </c>
    </row>
    <row r="562" spans="2:36" x14ac:dyDescent="0.25">
      <c r="B562" t="s">
        <v>127</v>
      </c>
      <c r="C562" t="s">
        <v>58</v>
      </c>
      <c r="D562" t="s">
        <v>155</v>
      </c>
      <c r="E562" t="s">
        <v>122</v>
      </c>
      <c r="F562" t="s">
        <v>552</v>
      </c>
      <c r="G562" t="s">
        <v>132</v>
      </c>
      <c r="H562" t="s">
        <v>434</v>
      </c>
      <c r="I562" t="s">
        <v>32</v>
      </c>
      <c r="J562" t="s">
        <v>80</v>
      </c>
      <c r="K562">
        <f t="shared" si="1551"/>
        <v>1</v>
      </c>
      <c r="L562">
        <f t="shared" si="1552"/>
        <v>1</v>
      </c>
      <c r="M562">
        <f t="shared" si="1553"/>
        <v>1</v>
      </c>
      <c r="N562">
        <f t="shared" si="1554"/>
        <v>1</v>
      </c>
      <c r="O562">
        <f t="shared" si="1555"/>
        <v>4</v>
      </c>
      <c r="P562" t="str">
        <f t="shared" si="1556"/>
        <v>Small centralized natural gas steam reforming-Flexibility</v>
      </c>
      <c r="Q562" t="str">
        <f t="shared" si="1557"/>
        <v>Central gas storage-Flexibility</v>
      </c>
      <c r="R562" t="str">
        <f t="shared" si="1558"/>
        <v>Hydrogen transmission &amp; distribution pipeline-Flexibility</v>
      </c>
      <c r="S562" t="str">
        <f t="shared" si="1559"/>
        <v>District-CHP with H2 fuel cell (heat)-Flexibility</v>
      </c>
      <c r="T562">
        <f ca="1">VLOOKUP($P562,'TA database'!$I$8:$J$79,2,FALSE)</f>
        <v>0</v>
      </c>
      <c r="U562">
        <v>0</v>
      </c>
      <c r="V562">
        <v>0</v>
      </c>
      <c r="W562">
        <v>0</v>
      </c>
      <c r="X562">
        <v>0</v>
      </c>
      <c r="Y562">
        <f t="shared" ca="1" si="1564"/>
        <v>0</v>
      </c>
      <c r="Z562" t="str">
        <f t="shared" si="1560"/>
        <v>NG_SR_SML_C   →   C_GAS_STRG   →   H2_T&amp;D_P   →   H2_FC_DCHP_HEAT</v>
      </c>
      <c r="AA562" t="str">
        <f t="shared" si="1561"/>
        <v>Building heat</v>
      </c>
      <c r="AB562" t="str">
        <f t="shared" si="1562"/>
        <v>Flexibility</v>
      </c>
      <c r="AC562">
        <f t="shared" ca="1" si="1563"/>
        <v>0</v>
      </c>
      <c r="AD562">
        <v>503</v>
      </c>
      <c r="AE562" t="str">
        <f>IF(AND(ISNUMBER(SEARCH(O562,4)),ISNUMBER(SEARCH('(4) FCH pathway assessment'!$B$16,AB562)),ISNUMBER(SEARCH('(4) FCH pathway assessment'!$B$10,AA562))),AD562,"")</f>
        <v/>
      </c>
      <c r="AF562" t="str">
        <f t="shared" si="1381"/>
        <v/>
      </c>
      <c r="AG562" t="str">
        <f>VLOOKUP(C562,Assumptions!$B$116:$C$162,2,FALSE)</f>
        <v>NG_SR_SML_C</v>
      </c>
      <c r="AH562" t="str">
        <f>VLOOKUP(D562,Assumptions!$B$116:$C$162,2,FALSE)</f>
        <v>C_GAS_STRG</v>
      </c>
      <c r="AI562" t="str">
        <f>VLOOKUP(E562,Assumptions!$B$116:$C$162,2,FALSE)</f>
        <v>H2_T&amp;D_P</v>
      </c>
      <c r="AJ562" t="str">
        <f>VLOOKUP(F562,Assumptions!$B$116:$C$162,2,FALSE)</f>
        <v>H2_FC_DCHP_HEAT</v>
      </c>
    </row>
    <row r="563" spans="2:36" x14ac:dyDescent="0.25">
      <c r="B563" t="s">
        <v>127</v>
      </c>
      <c r="C563" t="s">
        <v>58</v>
      </c>
      <c r="D563" t="s">
        <v>155</v>
      </c>
      <c r="E563" t="s">
        <v>116</v>
      </c>
      <c r="F563" t="s">
        <v>552</v>
      </c>
      <c r="G563" t="s">
        <v>132</v>
      </c>
      <c r="H563" t="s">
        <v>434</v>
      </c>
      <c r="I563" t="s">
        <v>32</v>
      </c>
      <c r="J563" t="s">
        <v>80</v>
      </c>
      <c r="K563">
        <f t="shared" si="1551"/>
        <v>1</v>
      </c>
      <c r="L563">
        <f t="shared" si="1552"/>
        <v>1</v>
      </c>
      <c r="M563">
        <f t="shared" si="1553"/>
        <v>1</v>
      </c>
      <c r="N563">
        <f t="shared" si="1554"/>
        <v>1</v>
      </c>
      <c r="O563">
        <f t="shared" si="1555"/>
        <v>4</v>
      </c>
      <c r="P563" t="str">
        <f t="shared" si="1556"/>
        <v>Small centralized natural gas steam reforming-Flexibility</v>
      </c>
      <c r="Q563" t="str">
        <f t="shared" si="1557"/>
        <v>Central gas storage-Flexibility</v>
      </c>
      <c r="R563" t="str">
        <f t="shared" si="1558"/>
        <v>Liquid hydrogen truck-Flexibility</v>
      </c>
      <c r="S563" t="str">
        <f t="shared" si="1559"/>
        <v>District-CHP with H2 fuel cell (heat)-Flexibility</v>
      </c>
      <c r="T563">
        <f ca="1">VLOOKUP($P563,'TA database'!$I$8:$J$79,2,FALSE)</f>
        <v>0</v>
      </c>
      <c r="U563">
        <v>0</v>
      </c>
      <c r="V563">
        <v>0</v>
      </c>
      <c r="W563">
        <v>0</v>
      </c>
      <c r="X563">
        <v>0</v>
      </c>
      <c r="Y563">
        <f t="shared" ca="1" si="1564"/>
        <v>0</v>
      </c>
      <c r="Z563" t="str">
        <f t="shared" si="1560"/>
        <v>NG_SR_SML_C   →   C_GAS_STRG   →   LQ_TRUCK   →   H2_FC_DCHP_HEAT</v>
      </c>
      <c r="AA563" t="str">
        <f t="shared" si="1561"/>
        <v>Building heat</v>
      </c>
      <c r="AB563" t="str">
        <f t="shared" si="1562"/>
        <v>Flexibility</v>
      </c>
      <c r="AC563">
        <f t="shared" ca="1" si="1563"/>
        <v>0</v>
      </c>
      <c r="AD563">
        <v>504</v>
      </c>
      <c r="AE563" t="str">
        <f>IF(AND(ISNUMBER(SEARCH(O563,4)),ISNUMBER(SEARCH('(4) FCH pathway assessment'!$B$16,AB563)),ISNUMBER(SEARCH('(4) FCH pathway assessment'!$B$10,AA563))),AD563,"")</f>
        <v/>
      </c>
      <c r="AF563" t="str">
        <f t="shared" si="1381"/>
        <v/>
      </c>
      <c r="AG563" t="str">
        <f>VLOOKUP(C563,Assumptions!$B$116:$C$162,2,FALSE)</f>
        <v>NG_SR_SML_C</v>
      </c>
      <c r="AH563" t="str">
        <f>VLOOKUP(D563,Assumptions!$B$116:$C$162,2,FALSE)</f>
        <v>C_GAS_STRG</v>
      </c>
      <c r="AI563" t="str">
        <f>VLOOKUP(E563,Assumptions!$B$116:$C$162,2,FALSE)</f>
        <v>LQ_TRUCK</v>
      </c>
      <c r="AJ563" t="str">
        <f>VLOOKUP(F563,Assumptions!$B$116:$C$162,2,FALSE)</f>
        <v>H2_FC_DCHP_HEAT</v>
      </c>
    </row>
    <row r="564" spans="2:36" x14ac:dyDescent="0.25">
      <c r="B564" t="s">
        <v>127</v>
      </c>
      <c r="C564" t="s">
        <v>58</v>
      </c>
      <c r="D564" t="s">
        <v>155</v>
      </c>
      <c r="E564" t="s">
        <v>66</v>
      </c>
      <c r="F564" t="s">
        <v>552</v>
      </c>
      <c r="G564" t="s">
        <v>132</v>
      </c>
      <c r="H564" t="s">
        <v>434</v>
      </c>
      <c r="I564" t="s">
        <v>32</v>
      </c>
      <c r="J564" t="s">
        <v>80</v>
      </c>
      <c r="K564">
        <f t="shared" si="1551"/>
        <v>1</v>
      </c>
      <c r="L564">
        <f t="shared" si="1552"/>
        <v>1</v>
      </c>
      <c r="M564">
        <f t="shared" si="1553"/>
        <v>1</v>
      </c>
      <c r="N564">
        <f t="shared" si="1554"/>
        <v>1</v>
      </c>
      <c r="O564">
        <f t="shared" si="1555"/>
        <v>4</v>
      </c>
      <c r="P564" t="str">
        <f t="shared" si="1556"/>
        <v>Small centralized natural gas steam reforming-Flexibility</v>
      </c>
      <c r="Q564" t="str">
        <f t="shared" si="1557"/>
        <v>Central gas storage-Flexibility</v>
      </c>
      <c r="R564" t="str">
        <f t="shared" si="1558"/>
        <v>Onsite-Flexibility</v>
      </c>
      <c r="S564" t="str">
        <f t="shared" si="1559"/>
        <v>District-CHP with H2 fuel cell (heat)-Flexibility</v>
      </c>
      <c r="T564">
        <f ca="1">VLOOKUP($P564,'TA database'!$I$8:$J$79,2,FALSE)</f>
        <v>0</v>
      </c>
      <c r="U564">
        <v>0</v>
      </c>
      <c r="V564">
        <v>0</v>
      </c>
      <c r="W564">
        <v>0</v>
      </c>
      <c r="X564">
        <v>0</v>
      </c>
      <c r="Y564">
        <f t="shared" ca="1" si="1564"/>
        <v>0</v>
      </c>
      <c r="Z564" t="str">
        <f t="shared" si="1560"/>
        <v>NG_SR_SML_C   →   C_GAS_STRG   →   ONSITE_USE   →   H2_FC_DCHP_HEAT</v>
      </c>
      <c r="AA564" t="str">
        <f t="shared" si="1561"/>
        <v>Building heat</v>
      </c>
      <c r="AB564" t="str">
        <f t="shared" si="1562"/>
        <v>Flexibility</v>
      </c>
      <c r="AC564">
        <f t="shared" ca="1" si="1563"/>
        <v>0</v>
      </c>
      <c r="AD564">
        <v>505</v>
      </c>
      <c r="AE564" t="str">
        <f>IF(AND(ISNUMBER(SEARCH(O564,4)),ISNUMBER(SEARCH('(4) FCH pathway assessment'!$B$16,AB564)),ISNUMBER(SEARCH('(4) FCH pathway assessment'!$B$10,AA564))),AD564,"")</f>
        <v/>
      </c>
      <c r="AF564" t="str">
        <f t="shared" si="1381"/>
        <v/>
      </c>
      <c r="AG564" t="str">
        <f>VLOOKUP(C564,Assumptions!$B$116:$C$162,2,FALSE)</f>
        <v>NG_SR_SML_C</v>
      </c>
      <c r="AH564" t="str">
        <f>VLOOKUP(D564,Assumptions!$B$116:$C$162,2,FALSE)</f>
        <v>C_GAS_STRG</v>
      </c>
      <c r="AI564" t="str">
        <f>VLOOKUP(E564,Assumptions!$B$116:$C$162,2,FALSE)</f>
        <v>ONSITE_USE</v>
      </c>
      <c r="AJ564" t="str">
        <f>VLOOKUP(F564,Assumptions!$B$116:$C$162,2,FALSE)</f>
        <v>H2_FC_DCHP_HEAT</v>
      </c>
    </row>
    <row r="565" spans="2:36" x14ac:dyDescent="0.25">
      <c r="B565" t="s">
        <v>127</v>
      </c>
      <c r="C565" t="s">
        <v>59</v>
      </c>
      <c r="D565" s="60" t="s">
        <v>130</v>
      </c>
      <c r="E565" t="s">
        <v>66</v>
      </c>
      <c r="F565" t="s">
        <v>552</v>
      </c>
      <c r="G565" t="s">
        <v>132</v>
      </c>
      <c r="H565" t="s">
        <v>434</v>
      </c>
      <c r="I565" t="s">
        <v>32</v>
      </c>
      <c r="J565" t="s">
        <v>80</v>
      </c>
      <c r="K565">
        <f t="shared" ref="K565" si="1565">SUMPRODUCT(($C$7:$C$18=$C565)*($D$6:$H$6=$D565)*($D$7:$H$18))</f>
        <v>1</v>
      </c>
      <c r="L565">
        <f t="shared" ref="L565" si="1566">SUMPRODUCT(($C$19:$C$23=$D565)*($I$6:$O$6=$E565)*($I$19:$O$23))</f>
        <v>1</v>
      </c>
      <c r="M565">
        <f t="shared" ref="M565" si="1567">SUMPRODUCT(($C$24:$C$30=$E565)*($P$6:$AI$6=$F565)*($P$24:$AI$30))</f>
        <v>1</v>
      </c>
      <c r="N565">
        <f t="shared" ref="N565" si="1568">SUMPRODUCT(($C$31:$C$50=$F565)*($AJ$6:$AM$6=$G565)*($AJ$31:$AM$50))</f>
        <v>1</v>
      </c>
      <c r="O565">
        <f t="shared" ref="O565" si="1569">K565+L565+M565+N565</f>
        <v>4</v>
      </c>
      <c r="P565" t="str">
        <f t="shared" ref="P565" si="1570">CONCATENATE(C565,"-",J565)</f>
        <v>Medium decentralized natural gas steam reforming-Flexibility</v>
      </c>
      <c r="Q565" t="str">
        <f t="shared" ref="Q565" si="1571">CONCATENATE(D565,"-",J565)</f>
        <v>Distributed gas storage-Flexibility</v>
      </c>
      <c r="R565" t="str">
        <f t="shared" ref="R565" si="1572">CONCATENATE(E565,"-",J565)</f>
        <v>Onsite-Flexibility</v>
      </c>
      <c r="S565" t="str">
        <f t="shared" ref="S565" si="1573">CONCATENATE(F565,"-",J565)</f>
        <v>District-CHP with H2 fuel cell (heat)-Flexibility</v>
      </c>
      <c r="T565">
        <f ca="1">VLOOKUP($P565,'TA database'!$I$8:$J$79,2,FALSE)</f>
        <v>0</v>
      </c>
      <c r="U565">
        <v>0</v>
      </c>
      <c r="V565">
        <v>0</v>
      </c>
      <c r="W565">
        <v>0</v>
      </c>
      <c r="X565">
        <v>0</v>
      </c>
      <c r="Y565">
        <f t="shared" ref="Y565:Y566" ca="1" si="1574">$T565</f>
        <v>0</v>
      </c>
      <c r="Z565" t="str">
        <f t="shared" ref="Z565" si="1575">CONCATENATE(AG565,"   →   ",AH565,"   →   ",AI565,"   →   ",AJ565)</f>
        <v>NG_SR_MED_D   →   D_GAS_STRG   →   ONSITE_USE   →   H2_FC_DCHP_HEAT</v>
      </c>
      <c r="AA565" t="str">
        <f t="shared" ref="AA565" si="1576">G565</f>
        <v>Building heat</v>
      </c>
      <c r="AB565" t="str">
        <f t="shared" ref="AB565" si="1577">J565</f>
        <v>Flexibility</v>
      </c>
      <c r="AC565">
        <f t="shared" ref="AC565" ca="1" si="1578">Y565</f>
        <v>0</v>
      </c>
      <c r="AD565">
        <v>506</v>
      </c>
      <c r="AE565" t="str">
        <f>IF(AND(ISNUMBER(SEARCH(O565,4)),ISNUMBER(SEARCH('(4) FCH pathway assessment'!$B$16,AB565)),ISNUMBER(SEARCH('(4) FCH pathway assessment'!$B$10,AA565))),AD565,"")</f>
        <v/>
      </c>
      <c r="AF565" t="str">
        <f t="shared" si="1381"/>
        <v/>
      </c>
      <c r="AG565" t="str">
        <f>VLOOKUP(C565,Assumptions!$B$116:$C$162,2,FALSE)</f>
        <v>NG_SR_MED_D</v>
      </c>
      <c r="AH565" t="str">
        <f>VLOOKUP(D565,Assumptions!$B$116:$C$162,2,FALSE)</f>
        <v>D_GAS_STRG</v>
      </c>
      <c r="AI565" t="str">
        <f>VLOOKUP(E565,Assumptions!$B$116:$C$162,2,FALSE)</f>
        <v>ONSITE_USE</v>
      </c>
      <c r="AJ565" t="str">
        <f>VLOOKUP(F565,Assumptions!$B$116:$C$162,2,FALSE)</f>
        <v>H2_FC_DCHP_HEAT</v>
      </c>
    </row>
    <row r="566" spans="2:36" x14ac:dyDescent="0.25">
      <c r="B566" t="s">
        <v>127</v>
      </c>
      <c r="C566" t="s">
        <v>60</v>
      </c>
      <c r="D566" s="60" t="s">
        <v>130</v>
      </c>
      <c r="E566" t="s">
        <v>66</v>
      </c>
      <c r="F566" t="s">
        <v>552</v>
      </c>
      <c r="G566" t="s">
        <v>132</v>
      </c>
      <c r="H566" t="s">
        <v>434</v>
      </c>
      <c r="I566" t="s">
        <v>32</v>
      </c>
      <c r="J566" t="s">
        <v>80</v>
      </c>
      <c r="K566">
        <f t="shared" ref="K566" si="1579">SUMPRODUCT(($C$7:$C$18=$C566)*($D$6:$H$6=$D566)*($D$7:$H$18))</f>
        <v>1</v>
      </c>
      <c r="L566">
        <f t="shared" ref="L566" si="1580">SUMPRODUCT(($C$19:$C$23=$D566)*($I$6:$O$6=$E566)*($I$19:$O$23))</f>
        <v>1</v>
      </c>
      <c r="M566">
        <f t="shared" ref="M566" si="1581">SUMPRODUCT(($C$24:$C$30=$E566)*($P$6:$AI$6=$F566)*($P$24:$AI$30))</f>
        <v>1</v>
      </c>
      <c r="N566">
        <f t="shared" ref="N566" si="1582">SUMPRODUCT(($C$31:$C$50=$F566)*($AJ$6:$AM$6=$G566)*($AJ$31:$AM$50))</f>
        <v>1</v>
      </c>
      <c r="O566">
        <f t="shared" ref="O566" si="1583">K566+L566+M566+N566</f>
        <v>4</v>
      </c>
      <c r="P566" t="str">
        <f t="shared" ref="P566" si="1584">CONCATENATE(C566,"-",J566)</f>
        <v>Small decentralized natural gas steam reforming-Flexibility</v>
      </c>
      <c r="Q566" t="str">
        <f t="shared" ref="Q566" si="1585">CONCATENATE(D566,"-",J566)</f>
        <v>Distributed gas storage-Flexibility</v>
      </c>
      <c r="R566" t="str">
        <f t="shared" ref="R566" si="1586">CONCATENATE(E566,"-",J566)</f>
        <v>Onsite-Flexibility</v>
      </c>
      <c r="S566" t="str">
        <f t="shared" ref="S566" si="1587">CONCATENATE(F566,"-",J566)</f>
        <v>District-CHP with H2 fuel cell (heat)-Flexibility</v>
      </c>
      <c r="T566">
        <f ca="1">VLOOKUP($P566,'TA database'!$I$8:$J$79,2,FALSE)</f>
        <v>0</v>
      </c>
      <c r="U566">
        <v>0</v>
      </c>
      <c r="V566">
        <v>0</v>
      </c>
      <c r="W566">
        <v>0</v>
      </c>
      <c r="X566">
        <v>0</v>
      </c>
      <c r="Y566">
        <f t="shared" ca="1" si="1574"/>
        <v>0</v>
      </c>
      <c r="Z566" t="str">
        <f t="shared" ref="Z566" si="1588">CONCATENATE(AG566,"   →   ",AH566,"   →   ",AI566,"   →   ",AJ566)</f>
        <v>NG_SR_SML_D   →   D_GAS_STRG   →   ONSITE_USE   →   H2_FC_DCHP_HEAT</v>
      </c>
      <c r="AA566" t="str">
        <f t="shared" ref="AA566" si="1589">G566</f>
        <v>Building heat</v>
      </c>
      <c r="AB566" t="str">
        <f t="shared" ref="AB566" si="1590">J566</f>
        <v>Flexibility</v>
      </c>
      <c r="AC566">
        <f t="shared" ref="AC566" ca="1" si="1591">Y566</f>
        <v>0</v>
      </c>
      <c r="AD566">
        <v>507</v>
      </c>
      <c r="AE566" t="str">
        <f>IF(AND(ISNUMBER(SEARCH(O566,4)),ISNUMBER(SEARCH('(4) FCH pathway assessment'!$B$16,AB566)),ISNUMBER(SEARCH('(4) FCH pathway assessment'!$B$10,AA566))),AD566,"")</f>
        <v/>
      </c>
      <c r="AF566" t="str">
        <f t="shared" si="1381"/>
        <v/>
      </c>
      <c r="AG566" t="str">
        <f>VLOOKUP(C566,Assumptions!$B$116:$C$162,2,FALSE)</f>
        <v>NG_SR_SML_D</v>
      </c>
      <c r="AH566" t="str">
        <f>VLOOKUP(D566,Assumptions!$B$116:$C$162,2,FALSE)</f>
        <v>D_GAS_STRG</v>
      </c>
      <c r="AI566" t="str">
        <f>VLOOKUP(E566,Assumptions!$B$116:$C$162,2,FALSE)</f>
        <v>ONSITE_USE</v>
      </c>
      <c r="AJ566" t="str">
        <f>VLOOKUP(F566,Assumptions!$B$116:$C$162,2,FALSE)</f>
        <v>H2_FC_DCHP_HEAT</v>
      </c>
    </row>
    <row r="567" spans="2:36" x14ac:dyDescent="0.25">
      <c r="B567" t="s">
        <v>117</v>
      </c>
      <c r="C567" t="s">
        <v>53</v>
      </c>
      <c r="D567" t="s">
        <v>155</v>
      </c>
      <c r="E567" t="s">
        <v>157</v>
      </c>
      <c r="F567" t="s">
        <v>543</v>
      </c>
      <c r="G567" t="s">
        <v>132</v>
      </c>
      <c r="H567" t="s">
        <v>434</v>
      </c>
      <c r="I567" t="s">
        <v>32</v>
      </c>
      <c r="J567" t="s">
        <v>80</v>
      </c>
      <c r="K567">
        <f t="shared" ref="K567:K568" si="1592">SUMPRODUCT(($C$7:$C$18=$C567)*($D$6:$H$6=$D567)*($D$7:$H$18))</f>
        <v>0</v>
      </c>
      <c r="L567">
        <f t="shared" ref="L567:L568" si="1593">SUMPRODUCT(($C$19:$C$23=$D567)*($I$6:$O$6=$E567)*($I$19:$O$23))</f>
        <v>1</v>
      </c>
      <c r="M567">
        <f t="shared" ref="M567:M568" si="1594">SUMPRODUCT(($C$24:$C$30=$E567)*($P$6:$AI$6=$F567)*($P$24:$AI$30))</f>
        <v>0</v>
      </c>
      <c r="N567">
        <f t="shared" ref="N567:N568" si="1595">SUMPRODUCT(($C$31:$C$50=$F567)*($AJ$6:$AM$6=$G567)*($AJ$31:$AM$50))</f>
        <v>0</v>
      </c>
      <c r="O567">
        <f t="shared" ref="O567:O568" si="1596">K567+L567+M567+N567</f>
        <v>1</v>
      </c>
      <c r="P567" t="str">
        <f t="shared" ref="P567:P568" si="1597">CONCATENATE(C567,"-",J567)</f>
        <v>Medium centralized biomass gasification-Flexibility</v>
      </c>
      <c r="Q567" t="str">
        <f t="shared" ref="Q567:Q568" si="1598">CONCATENATE(D567,"-",J567)</f>
        <v>Central gas storage-Flexibility</v>
      </c>
      <c r="R567" t="str">
        <f t="shared" ref="R567:R568" si="1599">CONCATENATE(E567,"-",J567)</f>
        <v>Blending in natural gas pipeline-Flexibility</v>
      </c>
      <c r="S567" t="str">
        <f t="shared" ref="S567:S568" si="1600">CONCATENATE(F567,"-",J567)</f>
        <v>Micro-CHP with H2 fuel cell (heat)-Flexibility</v>
      </c>
      <c r="T567">
        <f ca="1">VLOOKUP($P567,'TA database'!$I$8:$J$79,2,FALSE)</f>
        <v>0</v>
      </c>
      <c r="U567">
        <v>0</v>
      </c>
      <c r="V567">
        <v>0</v>
      </c>
      <c r="W567">
        <v>0</v>
      </c>
      <c r="X567">
        <v>0</v>
      </c>
      <c r="Y567">
        <f t="shared" ref="Y567:Y570" ca="1" si="1601">$T567</f>
        <v>0</v>
      </c>
      <c r="Z567" t="str">
        <f t="shared" ref="Z567:Z568" si="1602">CONCATENATE(AG567,"   →   ",AH567,"   →   ",AI567,"   →   ",AJ567)</f>
        <v>BIO_GSF_MED_C   →   C_GAS_STRG   →   H2_BLND_NG_P   →   H2_FC_mCHP_HEAT</v>
      </c>
      <c r="AA567" t="str">
        <f t="shared" ref="AA567:AA568" si="1603">G567</f>
        <v>Building heat</v>
      </c>
      <c r="AB567" t="str">
        <f t="shared" ref="AB567:AB568" si="1604">J567</f>
        <v>Flexibility</v>
      </c>
      <c r="AC567">
        <f t="shared" ref="AC567:AC568" ca="1" si="1605">Y567</f>
        <v>0</v>
      </c>
      <c r="AD567">
        <v>508</v>
      </c>
      <c r="AE567" t="str">
        <f>IF(AND(ISNUMBER(SEARCH(O567,4)),ISNUMBER(SEARCH('(4) FCH pathway assessment'!$B$16,AB567)),ISNUMBER(SEARCH('(4) FCH pathway assessment'!$B$10,AA567))),AD567,"")</f>
        <v/>
      </c>
      <c r="AF567" t="str">
        <f t="shared" si="1381"/>
        <v/>
      </c>
      <c r="AG567" t="str">
        <f>VLOOKUP(C567,Assumptions!$B$116:$C$162,2,FALSE)</f>
        <v>BIO_GSF_MED_C</v>
      </c>
      <c r="AH567" t="str">
        <f>VLOOKUP(D567,Assumptions!$B$116:$C$162,2,FALSE)</f>
        <v>C_GAS_STRG</v>
      </c>
      <c r="AI567" t="str">
        <f>VLOOKUP(E567,Assumptions!$B$116:$C$162,2,FALSE)</f>
        <v>H2_BLND_NG_P</v>
      </c>
      <c r="AJ567" t="str">
        <f>VLOOKUP(F567,Assumptions!$B$116:$C$162,2,FALSE)</f>
        <v>H2_FC_mCHP_HEAT</v>
      </c>
    </row>
    <row r="568" spans="2:36" x14ac:dyDescent="0.25">
      <c r="B568" t="s">
        <v>117</v>
      </c>
      <c r="C568" t="s">
        <v>53</v>
      </c>
      <c r="D568" t="s">
        <v>155</v>
      </c>
      <c r="E568" t="s">
        <v>122</v>
      </c>
      <c r="F568" t="s">
        <v>543</v>
      </c>
      <c r="G568" t="s">
        <v>132</v>
      </c>
      <c r="H568" t="s">
        <v>434</v>
      </c>
      <c r="I568" t="s">
        <v>32</v>
      </c>
      <c r="J568" t="s">
        <v>80</v>
      </c>
      <c r="K568">
        <f t="shared" si="1592"/>
        <v>0</v>
      </c>
      <c r="L568">
        <f t="shared" si="1593"/>
        <v>1</v>
      </c>
      <c r="M568">
        <f t="shared" si="1594"/>
        <v>1</v>
      </c>
      <c r="N568">
        <f t="shared" si="1595"/>
        <v>0</v>
      </c>
      <c r="O568">
        <f t="shared" si="1596"/>
        <v>2</v>
      </c>
      <c r="P568" t="str">
        <f t="shared" si="1597"/>
        <v>Medium centralized biomass gasification-Flexibility</v>
      </c>
      <c r="Q568" t="str">
        <f t="shared" si="1598"/>
        <v>Central gas storage-Flexibility</v>
      </c>
      <c r="R568" t="str">
        <f t="shared" si="1599"/>
        <v>Hydrogen transmission &amp; distribution pipeline-Flexibility</v>
      </c>
      <c r="S568" t="str">
        <f t="shared" si="1600"/>
        <v>Micro-CHP with H2 fuel cell (heat)-Flexibility</v>
      </c>
      <c r="T568">
        <f ca="1">VLOOKUP($P568,'TA database'!$I$8:$J$79,2,FALSE)</f>
        <v>0</v>
      </c>
      <c r="U568">
        <v>0</v>
      </c>
      <c r="V568">
        <v>0</v>
      </c>
      <c r="W568">
        <v>0</v>
      </c>
      <c r="X568">
        <v>0</v>
      </c>
      <c r="Y568">
        <f t="shared" ca="1" si="1601"/>
        <v>0</v>
      </c>
      <c r="Z568" t="str">
        <f t="shared" si="1602"/>
        <v>BIO_GSF_MED_C   →   C_GAS_STRG   →   H2_T&amp;D_P   →   H2_FC_mCHP_HEAT</v>
      </c>
      <c r="AA568" t="str">
        <f t="shared" si="1603"/>
        <v>Building heat</v>
      </c>
      <c r="AB568" t="str">
        <f t="shared" si="1604"/>
        <v>Flexibility</v>
      </c>
      <c r="AC568">
        <f t="shared" ca="1" si="1605"/>
        <v>0</v>
      </c>
      <c r="AD568">
        <v>509</v>
      </c>
      <c r="AE568" t="str">
        <f>IF(AND(ISNUMBER(SEARCH(O568,4)),ISNUMBER(SEARCH('(4) FCH pathway assessment'!$B$16,AB568)),ISNUMBER(SEARCH('(4) FCH pathway assessment'!$B$10,AA568))),AD568,"")</f>
        <v/>
      </c>
      <c r="AF568" t="str">
        <f t="shared" si="1381"/>
        <v/>
      </c>
      <c r="AG568" t="str">
        <f>VLOOKUP(C568,Assumptions!$B$116:$C$162,2,FALSE)</f>
        <v>BIO_GSF_MED_C</v>
      </c>
      <c r="AH568" t="str">
        <f>VLOOKUP(D568,Assumptions!$B$116:$C$162,2,FALSE)</f>
        <v>C_GAS_STRG</v>
      </c>
      <c r="AI568" t="str">
        <f>VLOOKUP(E568,Assumptions!$B$116:$C$162,2,FALSE)</f>
        <v>H2_T&amp;D_P</v>
      </c>
      <c r="AJ568" t="str">
        <f>VLOOKUP(F568,Assumptions!$B$116:$C$162,2,FALSE)</f>
        <v>H2_FC_mCHP_HEAT</v>
      </c>
    </row>
    <row r="569" spans="2:36" x14ac:dyDescent="0.25">
      <c r="B569" t="s">
        <v>117</v>
      </c>
      <c r="C569" t="s">
        <v>54</v>
      </c>
      <c r="D569" t="s">
        <v>155</v>
      </c>
      <c r="E569" t="s">
        <v>157</v>
      </c>
      <c r="F569" t="s">
        <v>543</v>
      </c>
      <c r="G569" t="s">
        <v>132</v>
      </c>
      <c r="H569" t="s">
        <v>434</v>
      </c>
      <c r="I569" t="s">
        <v>32</v>
      </c>
      <c r="J569" t="s">
        <v>80</v>
      </c>
      <c r="K569">
        <f t="shared" ref="K569:K571" si="1606">SUMPRODUCT(($C$7:$C$18=$C569)*($D$6:$H$6=$D569)*($D$7:$H$18))</f>
        <v>0</v>
      </c>
      <c r="L569">
        <f t="shared" ref="L569:L571" si="1607">SUMPRODUCT(($C$19:$C$23=$D569)*($I$6:$O$6=$E569)*($I$19:$O$23))</f>
        <v>1</v>
      </c>
      <c r="M569">
        <f t="shared" ref="M569:M571" si="1608">SUMPRODUCT(($C$24:$C$30=$E569)*($P$6:$AI$6=$F569)*($P$24:$AI$30))</f>
        <v>0</v>
      </c>
      <c r="N569">
        <f t="shared" ref="N569:N571" si="1609">SUMPRODUCT(($C$31:$C$50=$F569)*($AJ$6:$AM$6=$G569)*($AJ$31:$AM$50))</f>
        <v>0</v>
      </c>
      <c r="O569">
        <f t="shared" ref="O569:O571" si="1610">K569+L569+M569+N569</f>
        <v>1</v>
      </c>
      <c r="P569" t="str">
        <f t="shared" ref="P569:P571" si="1611">CONCATENATE(C569,"-",J569)</f>
        <v>Medium centralized biomass gasification w/ CCS-Flexibility</v>
      </c>
      <c r="Q569" t="str">
        <f t="shared" ref="Q569:Q571" si="1612">CONCATENATE(D569,"-",J569)</f>
        <v>Central gas storage-Flexibility</v>
      </c>
      <c r="R569" t="str">
        <f t="shared" ref="R569:R571" si="1613">CONCATENATE(E569,"-",J569)</f>
        <v>Blending in natural gas pipeline-Flexibility</v>
      </c>
      <c r="S569" t="str">
        <f t="shared" ref="S569:S571" si="1614">CONCATENATE(F569,"-",J569)</f>
        <v>Micro-CHP with H2 fuel cell (heat)-Flexibility</v>
      </c>
      <c r="T569">
        <f ca="1">VLOOKUP($P569,'TA database'!$I$8:$J$79,2,FALSE)</f>
        <v>0</v>
      </c>
      <c r="U569">
        <v>0</v>
      </c>
      <c r="V569">
        <v>0</v>
      </c>
      <c r="W569">
        <v>0</v>
      </c>
      <c r="X569">
        <v>0</v>
      </c>
      <c r="Y569">
        <f t="shared" ca="1" si="1601"/>
        <v>0</v>
      </c>
      <c r="Z569" t="str">
        <f t="shared" ref="Z569:Z571" si="1615">CONCATENATE(AG569,"   →   ",AH569,"   →   ",AI569,"   →   ",AJ569)</f>
        <v>BIO_GSF_CCS_MED_C   →   C_GAS_STRG   →   H2_BLND_NG_P   →   H2_FC_mCHP_HEAT</v>
      </c>
      <c r="AA569" t="str">
        <f t="shared" ref="AA569:AA571" si="1616">G569</f>
        <v>Building heat</v>
      </c>
      <c r="AB569" t="str">
        <f t="shared" ref="AB569:AB571" si="1617">J569</f>
        <v>Flexibility</v>
      </c>
      <c r="AC569">
        <f t="shared" ref="AC569:AC571" ca="1" si="1618">Y569</f>
        <v>0</v>
      </c>
      <c r="AD569">
        <v>510</v>
      </c>
      <c r="AE569" t="str">
        <f>IF(AND(ISNUMBER(SEARCH(O569,4)),ISNUMBER(SEARCH('(4) FCH pathway assessment'!$B$16,AB569)),ISNUMBER(SEARCH('(4) FCH pathway assessment'!$B$10,AA569))),AD569,"")</f>
        <v/>
      </c>
      <c r="AF569" t="str">
        <f t="shared" si="1381"/>
        <v/>
      </c>
      <c r="AG569" t="str">
        <f>VLOOKUP(C569,Assumptions!$B$116:$C$162,2,FALSE)</f>
        <v>BIO_GSF_CCS_MED_C</v>
      </c>
      <c r="AH569" t="str">
        <f>VLOOKUP(D569,Assumptions!$B$116:$C$162,2,FALSE)</f>
        <v>C_GAS_STRG</v>
      </c>
      <c r="AI569" t="str">
        <f>VLOOKUP(E569,Assumptions!$B$116:$C$162,2,FALSE)</f>
        <v>H2_BLND_NG_P</v>
      </c>
      <c r="AJ569" t="str">
        <f>VLOOKUP(F569,Assumptions!$B$116:$C$162,2,FALSE)</f>
        <v>H2_FC_mCHP_HEAT</v>
      </c>
    </row>
    <row r="570" spans="2:36" x14ac:dyDescent="0.25">
      <c r="B570" t="s">
        <v>117</v>
      </c>
      <c r="C570" t="s">
        <v>54</v>
      </c>
      <c r="D570" t="s">
        <v>155</v>
      </c>
      <c r="E570" t="s">
        <v>122</v>
      </c>
      <c r="F570" t="s">
        <v>543</v>
      </c>
      <c r="G570" t="s">
        <v>132</v>
      </c>
      <c r="H570" t="s">
        <v>434</v>
      </c>
      <c r="I570" t="s">
        <v>32</v>
      </c>
      <c r="J570" t="s">
        <v>80</v>
      </c>
      <c r="K570">
        <f t="shared" si="1606"/>
        <v>0</v>
      </c>
      <c r="L570">
        <f t="shared" si="1607"/>
        <v>1</v>
      </c>
      <c r="M570">
        <f t="shared" si="1608"/>
        <v>1</v>
      </c>
      <c r="N570">
        <f t="shared" si="1609"/>
        <v>0</v>
      </c>
      <c r="O570">
        <f t="shared" si="1610"/>
        <v>2</v>
      </c>
      <c r="P570" t="str">
        <f t="shared" si="1611"/>
        <v>Medium centralized biomass gasification w/ CCS-Flexibility</v>
      </c>
      <c r="Q570" t="str">
        <f t="shared" si="1612"/>
        <v>Central gas storage-Flexibility</v>
      </c>
      <c r="R570" t="str">
        <f t="shared" si="1613"/>
        <v>Hydrogen transmission &amp; distribution pipeline-Flexibility</v>
      </c>
      <c r="S570" t="str">
        <f t="shared" si="1614"/>
        <v>Micro-CHP with H2 fuel cell (heat)-Flexibility</v>
      </c>
      <c r="T570">
        <f ca="1">VLOOKUP($P570,'TA database'!$I$8:$J$79,2,FALSE)</f>
        <v>0</v>
      </c>
      <c r="U570">
        <v>0</v>
      </c>
      <c r="V570">
        <v>0</v>
      </c>
      <c r="W570">
        <v>0</v>
      </c>
      <c r="X570">
        <v>0</v>
      </c>
      <c r="Y570">
        <f t="shared" ca="1" si="1601"/>
        <v>0</v>
      </c>
      <c r="Z570" t="str">
        <f t="shared" si="1615"/>
        <v>BIO_GSF_CCS_MED_C   →   C_GAS_STRG   →   H2_T&amp;D_P   →   H2_FC_mCHP_HEAT</v>
      </c>
      <c r="AA570" t="str">
        <f t="shared" si="1616"/>
        <v>Building heat</v>
      </c>
      <c r="AB570" t="str">
        <f t="shared" si="1617"/>
        <v>Flexibility</v>
      </c>
      <c r="AC570">
        <f t="shared" ca="1" si="1618"/>
        <v>0</v>
      </c>
      <c r="AD570">
        <v>511</v>
      </c>
      <c r="AE570" t="str">
        <f>IF(AND(ISNUMBER(SEARCH(O570,4)),ISNUMBER(SEARCH('(4) FCH pathway assessment'!$B$16,AB570)),ISNUMBER(SEARCH('(4) FCH pathway assessment'!$B$10,AA570))),AD570,"")</f>
        <v/>
      </c>
      <c r="AF570" t="str">
        <f t="shared" si="1381"/>
        <v/>
      </c>
      <c r="AG570" t="str">
        <f>VLOOKUP(C570,Assumptions!$B$116:$C$162,2,FALSE)</f>
        <v>BIO_GSF_CCS_MED_C</v>
      </c>
      <c r="AH570" t="str">
        <f>VLOOKUP(D570,Assumptions!$B$116:$C$162,2,FALSE)</f>
        <v>C_GAS_STRG</v>
      </c>
      <c r="AI570" t="str">
        <f>VLOOKUP(E570,Assumptions!$B$116:$C$162,2,FALSE)</f>
        <v>H2_T&amp;D_P</v>
      </c>
      <c r="AJ570" t="str">
        <f>VLOOKUP(F570,Assumptions!$B$116:$C$162,2,FALSE)</f>
        <v>H2_FC_mCHP_HEAT</v>
      </c>
    </row>
    <row r="571" spans="2:36" x14ac:dyDescent="0.25">
      <c r="B571" t="s">
        <v>117</v>
      </c>
      <c r="C571" t="s">
        <v>55</v>
      </c>
      <c r="D571" s="60" t="s">
        <v>130</v>
      </c>
      <c r="E571" t="s">
        <v>128</v>
      </c>
      <c r="F571" t="s">
        <v>543</v>
      </c>
      <c r="G571" t="s">
        <v>132</v>
      </c>
      <c r="H571" t="s">
        <v>434</v>
      </c>
      <c r="I571" t="s">
        <v>32</v>
      </c>
      <c r="J571" t="s">
        <v>80</v>
      </c>
      <c r="K571">
        <f t="shared" si="1606"/>
        <v>0</v>
      </c>
      <c r="L571">
        <f t="shared" si="1607"/>
        <v>1</v>
      </c>
      <c r="M571">
        <f t="shared" si="1608"/>
        <v>1</v>
      </c>
      <c r="N571">
        <f t="shared" si="1609"/>
        <v>0</v>
      </c>
      <c r="O571">
        <f t="shared" si="1610"/>
        <v>2</v>
      </c>
      <c r="P571" t="str">
        <f t="shared" si="1611"/>
        <v>Small decentralized biomass gasification-Flexibility</v>
      </c>
      <c r="Q571" t="str">
        <f t="shared" si="1612"/>
        <v>Distributed gas storage-Flexibility</v>
      </c>
      <c r="R571" t="str">
        <f t="shared" si="1613"/>
        <v>Hydrogen distribution pipeline-Flexibility</v>
      </c>
      <c r="S571" t="str">
        <f t="shared" si="1614"/>
        <v>Micro-CHP with H2 fuel cell (heat)-Flexibility</v>
      </c>
      <c r="T571">
        <f ca="1">VLOOKUP($P571,'TA database'!$I$8:$J$79,2,FALSE)</f>
        <v>0</v>
      </c>
      <c r="U571">
        <v>0</v>
      </c>
      <c r="V571">
        <v>0</v>
      </c>
      <c r="W571">
        <v>0</v>
      </c>
      <c r="X571">
        <v>0</v>
      </c>
      <c r="Y571">
        <f t="shared" ref="Y571:Y573" ca="1" si="1619">$T571</f>
        <v>0</v>
      </c>
      <c r="Z571" t="str">
        <f t="shared" si="1615"/>
        <v>BIO_GSF_SML_D   →   D_GAS_STRG   →   H2_DSTRB_P   →   H2_FC_mCHP_HEAT</v>
      </c>
      <c r="AA571" t="str">
        <f t="shared" si="1616"/>
        <v>Building heat</v>
      </c>
      <c r="AB571" t="str">
        <f t="shared" si="1617"/>
        <v>Flexibility</v>
      </c>
      <c r="AC571">
        <f t="shared" ca="1" si="1618"/>
        <v>0</v>
      </c>
      <c r="AD571">
        <v>512</v>
      </c>
      <c r="AE571" t="str">
        <f>IF(AND(ISNUMBER(SEARCH(O571,4)),ISNUMBER(SEARCH('(4) FCH pathway assessment'!$B$16,AB571)),ISNUMBER(SEARCH('(4) FCH pathway assessment'!$B$10,AA571))),AD571,"")</f>
        <v/>
      </c>
      <c r="AF571" t="str">
        <f t="shared" si="1381"/>
        <v/>
      </c>
      <c r="AG571" t="str">
        <f>VLOOKUP(C571,Assumptions!$B$116:$C$162,2,FALSE)</f>
        <v>BIO_GSF_SML_D</v>
      </c>
      <c r="AH571" t="str">
        <f>VLOOKUP(D571,Assumptions!$B$116:$C$162,2,FALSE)</f>
        <v>D_GAS_STRG</v>
      </c>
      <c r="AI571" t="str">
        <f>VLOOKUP(E571,Assumptions!$B$116:$C$162,2,FALSE)</f>
        <v>H2_DSTRB_P</v>
      </c>
      <c r="AJ571" t="str">
        <f>VLOOKUP(F571,Assumptions!$B$116:$C$162,2,FALSE)</f>
        <v>H2_FC_mCHP_HEAT</v>
      </c>
    </row>
    <row r="572" spans="2:36" x14ac:dyDescent="0.25">
      <c r="B572" t="s">
        <v>117</v>
      </c>
      <c r="C572" t="s">
        <v>56</v>
      </c>
      <c r="D572" t="s">
        <v>62</v>
      </c>
      <c r="E572" t="s">
        <v>157</v>
      </c>
      <c r="F572" t="s">
        <v>543</v>
      </c>
      <c r="G572" t="s">
        <v>132</v>
      </c>
      <c r="H572" t="s">
        <v>434</v>
      </c>
      <c r="I572" t="s">
        <v>32</v>
      </c>
      <c r="J572" t="s">
        <v>80</v>
      </c>
      <c r="K572">
        <f t="shared" ref="K572:K578" si="1620">SUMPRODUCT(($C$7:$C$18=$C572)*($D$6:$H$6=$D572)*($D$7:$H$18))</f>
        <v>0</v>
      </c>
      <c r="L572">
        <f t="shared" ref="L572:L578" si="1621">SUMPRODUCT(($C$19:$C$23=$D572)*($I$6:$O$6=$E572)*($I$19:$O$23))</f>
        <v>0</v>
      </c>
      <c r="M572">
        <f t="shared" ref="M572:M578" si="1622">SUMPRODUCT(($C$24:$C$30=$E572)*($P$6:$AI$6=$F572)*($P$24:$AI$30))</f>
        <v>0</v>
      </c>
      <c r="N572">
        <f t="shared" ref="N572:N578" si="1623">SUMPRODUCT(($C$31:$C$50=$F572)*($AJ$6:$AM$6=$G572)*($AJ$31:$AM$50))</f>
        <v>0</v>
      </c>
      <c r="O572">
        <f t="shared" ref="O572:O578" si="1624">K572+L572+M572+N572</f>
        <v>0</v>
      </c>
      <c r="P572" t="str">
        <f t="shared" ref="P572:P578" si="1625">CONCATENATE(C572,"-",J572)</f>
        <v>Large centralized biomass steam reforming -Flexibility</v>
      </c>
      <c r="Q572" t="str">
        <f t="shared" ref="Q572:Q578" si="1626">CONCATENATE(D572,"-",J572)</f>
        <v>Underground storage-Flexibility</v>
      </c>
      <c r="R572" t="str">
        <f t="shared" ref="R572:R578" si="1627">CONCATENATE(E572,"-",J572)</f>
        <v>Blending in natural gas pipeline-Flexibility</v>
      </c>
      <c r="S572" t="str">
        <f t="shared" ref="S572:S578" si="1628">CONCATENATE(F572,"-",J572)</f>
        <v>Micro-CHP with H2 fuel cell (heat)-Flexibility</v>
      </c>
      <c r="T572">
        <f ca="1">VLOOKUP($P572,'TA database'!$I$8:$J$79,2,FALSE)</f>
        <v>0</v>
      </c>
      <c r="U572">
        <v>0</v>
      </c>
      <c r="V572">
        <v>0</v>
      </c>
      <c r="W572">
        <v>0</v>
      </c>
      <c r="X572">
        <v>0</v>
      </c>
      <c r="Y572">
        <f t="shared" ca="1" si="1619"/>
        <v>0</v>
      </c>
      <c r="Z572" t="str">
        <f t="shared" ref="Z572:Z578" si="1629">CONCATENATE(AG572,"   →   ",AH572,"   →   ",AI572,"   →   ",AJ572)</f>
        <v>BIO_SR_LRG_C   →   C_UNDRGRND_STRG   →   H2_BLND_NG_P   →   H2_FC_mCHP_HEAT</v>
      </c>
      <c r="AA572" t="str">
        <f t="shared" ref="AA572:AA578" si="1630">G572</f>
        <v>Building heat</v>
      </c>
      <c r="AB572" t="str">
        <f t="shared" ref="AB572:AB578" si="1631">J572</f>
        <v>Flexibility</v>
      </c>
      <c r="AC572">
        <f t="shared" ref="AC572:AC578" ca="1" si="1632">Y572</f>
        <v>0</v>
      </c>
      <c r="AD572">
        <v>513</v>
      </c>
      <c r="AE572" t="str">
        <f>IF(AND(ISNUMBER(SEARCH(O572,4)),ISNUMBER(SEARCH('(4) FCH pathway assessment'!$B$16,AB572)),ISNUMBER(SEARCH('(4) FCH pathway assessment'!$B$10,AA572))),AD572,"")</f>
        <v/>
      </c>
      <c r="AF572" t="str">
        <f t="shared" ref="AF572:AF635" si="1633">IFERROR(SMALL($AE$60:$AE$1991,AD572),"")</f>
        <v/>
      </c>
      <c r="AG572" t="str">
        <f>VLOOKUP(C572,Assumptions!$B$116:$C$162,2,FALSE)</f>
        <v>BIO_SR_LRG_C</v>
      </c>
      <c r="AH572" t="str">
        <f>VLOOKUP(D572,Assumptions!$B$116:$C$162,2,FALSE)</f>
        <v>C_UNDRGRND_STRG</v>
      </c>
      <c r="AI572" t="str">
        <f>VLOOKUP(E572,Assumptions!$B$116:$C$162,2,FALSE)</f>
        <v>H2_BLND_NG_P</v>
      </c>
      <c r="AJ572" t="str">
        <f>VLOOKUP(F572,Assumptions!$B$116:$C$162,2,FALSE)</f>
        <v>H2_FC_mCHP_HEAT</v>
      </c>
    </row>
    <row r="573" spans="2:36" x14ac:dyDescent="0.25">
      <c r="B573" t="s">
        <v>117</v>
      </c>
      <c r="C573" t="s">
        <v>56</v>
      </c>
      <c r="D573" t="s">
        <v>62</v>
      </c>
      <c r="E573" t="s">
        <v>122</v>
      </c>
      <c r="F573" t="s">
        <v>543</v>
      </c>
      <c r="G573" t="s">
        <v>132</v>
      </c>
      <c r="H573" t="s">
        <v>434</v>
      </c>
      <c r="I573" t="s">
        <v>32</v>
      </c>
      <c r="J573" t="s">
        <v>80</v>
      </c>
      <c r="K573">
        <f t="shared" si="1620"/>
        <v>0</v>
      </c>
      <c r="L573">
        <f t="shared" si="1621"/>
        <v>0</v>
      </c>
      <c r="M573">
        <f t="shared" si="1622"/>
        <v>1</v>
      </c>
      <c r="N573">
        <f t="shared" si="1623"/>
        <v>0</v>
      </c>
      <c r="O573">
        <f t="shared" si="1624"/>
        <v>1</v>
      </c>
      <c r="P573" t="str">
        <f t="shared" si="1625"/>
        <v>Large centralized biomass steam reforming -Flexibility</v>
      </c>
      <c r="Q573" t="str">
        <f t="shared" si="1626"/>
        <v>Underground storage-Flexibility</v>
      </c>
      <c r="R573" t="str">
        <f t="shared" si="1627"/>
        <v>Hydrogen transmission &amp; distribution pipeline-Flexibility</v>
      </c>
      <c r="S573" t="str">
        <f t="shared" si="1628"/>
        <v>Micro-CHP with H2 fuel cell (heat)-Flexibility</v>
      </c>
      <c r="T573">
        <f ca="1">VLOOKUP($P573,'TA database'!$I$8:$J$79,2,FALSE)</f>
        <v>0</v>
      </c>
      <c r="U573">
        <v>0</v>
      </c>
      <c r="V573">
        <v>0</v>
      </c>
      <c r="W573">
        <v>0</v>
      </c>
      <c r="X573">
        <v>0</v>
      </c>
      <c r="Y573">
        <f t="shared" ca="1" si="1619"/>
        <v>0</v>
      </c>
      <c r="Z573" t="str">
        <f t="shared" si="1629"/>
        <v>BIO_SR_LRG_C   →   C_UNDRGRND_STRG   →   H2_T&amp;D_P   →   H2_FC_mCHP_HEAT</v>
      </c>
      <c r="AA573" t="str">
        <f t="shared" si="1630"/>
        <v>Building heat</v>
      </c>
      <c r="AB573" t="str">
        <f t="shared" si="1631"/>
        <v>Flexibility</v>
      </c>
      <c r="AC573">
        <f t="shared" ca="1" si="1632"/>
        <v>0</v>
      </c>
      <c r="AD573">
        <v>514</v>
      </c>
      <c r="AE573" t="str">
        <f>IF(AND(ISNUMBER(SEARCH(O573,4)),ISNUMBER(SEARCH('(4) FCH pathway assessment'!$B$16,AB573)),ISNUMBER(SEARCH('(4) FCH pathway assessment'!$B$10,AA573))),AD573,"")</f>
        <v/>
      </c>
      <c r="AF573" t="str">
        <f t="shared" si="1633"/>
        <v/>
      </c>
      <c r="AG573" t="str">
        <f>VLOOKUP(C573,Assumptions!$B$116:$C$162,2,FALSE)</f>
        <v>BIO_SR_LRG_C</v>
      </c>
      <c r="AH573" t="str">
        <f>VLOOKUP(D573,Assumptions!$B$116:$C$162,2,FALSE)</f>
        <v>C_UNDRGRND_STRG</v>
      </c>
      <c r="AI573" t="str">
        <f>VLOOKUP(E573,Assumptions!$B$116:$C$162,2,FALSE)</f>
        <v>H2_T&amp;D_P</v>
      </c>
      <c r="AJ573" t="str">
        <f>VLOOKUP(F573,Assumptions!$B$116:$C$162,2,FALSE)</f>
        <v>H2_FC_mCHP_HEAT</v>
      </c>
    </row>
    <row r="574" spans="2:36" x14ac:dyDescent="0.25">
      <c r="B574" t="s">
        <v>117</v>
      </c>
      <c r="C574" t="s">
        <v>56</v>
      </c>
      <c r="D574" s="61" t="s">
        <v>63</v>
      </c>
      <c r="E574" t="s">
        <v>122</v>
      </c>
      <c r="F574" t="s">
        <v>543</v>
      </c>
      <c r="G574" t="s">
        <v>132</v>
      </c>
      <c r="H574" t="s">
        <v>434</v>
      </c>
      <c r="I574" t="s">
        <v>32</v>
      </c>
      <c r="J574" t="s">
        <v>80</v>
      </c>
      <c r="K574">
        <f t="shared" si="1620"/>
        <v>0</v>
      </c>
      <c r="L574">
        <f t="shared" si="1621"/>
        <v>1</v>
      </c>
      <c r="M574">
        <f t="shared" si="1622"/>
        <v>1</v>
      </c>
      <c r="N574">
        <f t="shared" si="1623"/>
        <v>0</v>
      </c>
      <c r="O574">
        <f t="shared" si="1624"/>
        <v>2</v>
      </c>
      <c r="P574" t="str">
        <f t="shared" si="1625"/>
        <v>Large centralized biomass steam reforming -Flexibility</v>
      </c>
      <c r="Q574" t="str">
        <f t="shared" si="1626"/>
        <v>No storage-Flexibility</v>
      </c>
      <c r="R574" t="str">
        <f t="shared" si="1627"/>
        <v>Hydrogen transmission &amp; distribution pipeline-Flexibility</v>
      </c>
      <c r="S574" t="str">
        <f t="shared" si="1628"/>
        <v>Micro-CHP with H2 fuel cell (heat)-Flexibility</v>
      </c>
      <c r="T574">
        <f ca="1">VLOOKUP($P574,'TA database'!$I$8:$J$79,2,FALSE)</f>
        <v>0</v>
      </c>
      <c r="U574">
        <v>0</v>
      </c>
      <c r="V574">
        <v>0</v>
      </c>
      <c r="W574">
        <v>0</v>
      </c>
      <c r="X574">
        <v>0</v>
      </c>
      <c r="Y574">
        <f t="shared" ref="Y574:Y578" ca="1" si="1634">$T574</f>
        <v>0</v>
      </c>
      <c r="Z574" t="str">
        <f t="shared" si="1629"/>
        <v>BIO_SR_LRG_C   →   NO_STRG   →   H2_T&amp;D_P   →   H2_FC_mCHP_HEAT</v>
      </c>
      <c r="AA574" t="str">
        <f t="shared" si="1630"/>
        <v>Building heat</v>
      </c>
      <c r="AB574" t="str">
        <f t="shared" si="1631"/>
        <v>Flexibility</v>
      </c>
      <c r="AC574">
        <f t="shared" ca="1" si="1632"/>
        <v>0</v>
      </c>
      <c r="AD574">
        <v>515</v>
      </c>
      <c r="AE574" t="str">
        <f>IF(AND(ISNUMBER(SEARCH(O574,4)),ISNUMBER(SEARCH('(4) FCH pathway assessment'!$B$16,AB574)),ISNUMBER(SEARCH('(4) FCH pathway assessment'!$B$10,AA574))),AD574,"")</f>
        <v/>
      </c>
      <c r="AF574" t="str">
        <f t="shared" si="1633"/>
        <v/>
      </c>
      <c r="AG574" t="str">
        <f>VLOOKUP(C574,Assumptions!$B$116:$C$162,2,FALSE)</f>
        <v>BIO_SR_LRG_C</v>
      </c>
      <c r="AH574" t="str">
        <f>VLOOKUP(D574,Assumptions!$B$116:$C$162,2,FALSE)</f>
        <v>NO_STRG</v>
      </c>
      <c r="AI574" t="str">
        <f>VLOOKUP(E574,Assumptions!$B$116:$C$162,2,FALSE)</f>
        <v>H2_T&amp;D_P</v>
      </c>
      <c r="AJ574" t="str">
        <f>VLOOKUP(F574,Assumptions!$B$116:$C$162,2,FALSE)</f>
        <v>H2_FC_mCHP_HEAT</v>
      </c>
    </row>
    <row r="575" spans="2:36" x14ac:dyDescent="0.25">
      <c r="B575" t="s">
        <v>112</v>
      </c>
      <c r="C575" t="s">
        <v>49</v>
      </c>
      <c r="D575" t="s">
        <v>62</v>
      </c>
      <c r="E575" t="s">
        <v>157</v>
      </c>
      <c r="F575" t="s">
        <v>543</v>
      </c>
      <c r="G575" t="s">
        <v>132</v>
      </c>
      <c r="H575" t="s">
        <v>434</v>
      </c>
      <c r="I575" t="s">
        <v>32</v>
      </c>
      <c r="J575" t="s">
        <v>80</v>
      </c>
      <c r="K575">
        <f t="shared" si="1620"/>
        <v>1</v>
      </c>
      <c r="L575">
        <f t="shared" si="1621"/>
        <v>0</v>
      </c>
      <c r="M575">
        <f t="shared" si="1622"/>
        <v>0</v>
      </c>
      <c r="N575">
        <f t="shared" si="1623"/>
        <v>0</v>
      </c>
      <c r="O575">
        <f t="shared" si="1624"/>
        <v>1</v>
      </c>
      <c r="P575" t="str">
        <f t="shared" si="1625"/>
        <v>Large centralized electrolysis-Flexibility</v>
      </c>
      <c r="Q575" t="str">
        <f t="shared" si="1626"/>
        <v>Underground storage-Flexibility</v>
      </c>
      <c r="R575" t="str">
        <f t="shared" si="1627"/>
        <v>Blending in natural gas pipeline-Flexibility</v>
      </c>
      <c r="S575" t="str">
        <f t="shared" si="1628"/>
        <v>Micro-CHP with H2 fuel cell (heat)-Flexibility</v>
      </c>
      <c r="T575">
        <f ca="1">VLOOKUP($P575,'TA database'!$I$8:$J$79,2,FALSE)</f>
        <v>1</v>
      </c>
      <c r="U575">
        <v>0</v>
      </c>
      <c r="V575">
        <v>0</v>
      </c>
      <c r="W575">
        <v>0</v>
      </c>
      <c r="X575">
        <v>0</v>
      </c>
      <c r="Y575">
        <f t="shared" ca="1" si="1634"/>
        <v>1</v>
      </c>
      <c r="Z575" t="str">
        <f t="shared" si="1629"/>
        <v>ELCTRLYZ_LRG_C   →   C_UNDRGRND_STRG   →   H2_BLND_NG_P   →   H2_FC_mCHP_HEAT</v>
      </c>
      <c r="AA575" t="str">
        <f t="shared" si="1630"/>
        <v>Building heat</v>
      </c>
      <c r="AB575" t="str">
        <f t="shared" si="1631"/>
        <v>Flexibility</v>
      </c>
      <c r="AC575">
        <f t="shared" ca="1" si="1632"/>
        <v>1</v>
      </c>
      <c r="AD575">
        <v>516</v>
      </c>
      <c r="AE575" t="str">
        <f>IF(AND(ISNUMBER(SEARCH(O575,4)),ISNUMBER(SEARCH('(4) FCH pathway assessment'!$B$16,AB575)),ISNUMBER(SEARCH('(4) FCH pathway assessment'!$B$10,AA575))),AD575,"")</f>
        <v/>
      </c>
      <c r="AF575" t="str">
        <f t="shared" si="1633"/>
        <v/>
      </c>
      <c r="AG575" t="str">
        <f>VLOOKUP(C575,Assumptions!$B$116:$C$162,2,FALSE)</f>
        <v>ELCTRLYZ_LRG_C</v>
      </c>
      <c r="AH575" t="str">
        <f>VLOOKUP(D575,Assumptions!$B$116:$C$162,2,FALSE)</f>
        <v>C_UNDRGRND_STRG</v>
      </c>
      <c r="AI575" t="str">
        <f>VLOOKUP(E575,Assumptions!$B$116:$C$162,2,FALSE)</f>
        <v>H2_BLND_NG_P</v>
      </c>
      <c r="AJ575" t="str">
        <f>VLOOKUP(F575,Assumptions!$B$116:$C$162,2,FALSE)</f>
        <v>H2_FC_mCHP_HEAT</v>
      </c>
    </row>
    <row r="576" spans="2:36" x14ac:dyDescent="0.25">
      <c r="B576" t="s">
        <v>112</v>
      </c>
      <c r="C576" t="s">
        <v>49</v>
      </c>
      <c r="D576" t="s">
        <v>62</v>
      </c>
      <c r="E576" t="s">
        <v>122</v>
      </c>
      <c r="F576" t="s">
        <v>543</v>
      </c>
      <c r="G576" t="s">
        <v>132</v>
      </c>
      <c r="H576" t="s">
        <v>434</v>
      </c>
      <c r="I576" t="s">
        <v>32</v>
      </c>
      <c r="J576" t="s">
        <v>80</v>
      </c>
      <c r="K576">
        <f t="shared" si="1620"/>
        <v>1</v>
      </c>
      <c r="L576">
        <f t="shared" si="1621"/>
        <v>0</v>
      </c>
      <c r="M576">
        <f t="shared" si="1622"/>
        <v>1</v>
      </c>
      <c r="N576">
        <f t="shared" si="1623"/>
        <v>0</v>
      </c>
      <c r="O576">
        <f t="shared" si="1624"/>
        <v>2</v>
      </c>
      <c r="P576" t="str">
        <f t="shared" si="1625"/>
        <v>Large centralized electrolysis-Flexibility</v>
      </c>
      <c r="Q576" t="str">
        <f t="shared" si="1626"/>
        <v>Underground storage-Flexibility</v>
      </c>
      <c r="R576" t="str">
        <f t="shared" si="1627"/>
        <v>Hydrogen transmission &amp; distribution pipeline-Flexibility</v>
      </c>
      <c r="S576" t="str">
        <f t="shared" si="1628"/>
        <v>Micro-CHP with H2 fuel cell (heat)-Flexibility</v>
      </c>
      <c r="T576">
        <f ca="1">VLOOKUP($P576,'TA database'!$I$8:$J$79,2,FALSE)</f>
        <v>1</v>
      </c>
      <c r="U576">
        <v>0</v>
      </c>
      <c r="V576">
        <v>0</v>
      </c>
      <c r="W576">
        <v>0</v>
      </c>
      <c r="X576">
        <v>0</v>
      </c>
      <c r="Y576">
        <f t="shared" ca="1" si="1634"/>
        <v>1</v>
      </c>
      <c r="Z576" t="str">
        <f t="shared" si="1629"/>
        <v>ELCTRLYZ_LRG_C   →   C_UNDRGRND_STRG   →   H2_T&amp;D_P   →   H2_FC_mCHP_HEAT</v>
      </c>
      <c r="AA576" t="str">
        <f t="shared" si="1630"/>
        <v>Building heat</v>
      </c>
      <c r="AB576" t="str">
        <f t="shared" si="1631"/>
        <v>Flexibility</v>
      </c>
      <c r="AC576">
        <f t="shared" ca="1" si="1632"/>
        <v>1</v>
      </c>
      <c r="AD576">
        <v>517</v>
      </c>
      <c r="AE576" t="str">
        <f>IF(AND(ISNUMBER(SEARCH(O576,4)),ISNUMBER(SEARCH('(4) FCH pathway assessment'!$B$16,AB576)),ISNUMBER(SEARCH('(4) FCH pathway assessment'!$B$10,AA576))),AD576,"")</f>
        <v/>
      </c>
      <c r="AF576" t="str">
        <f t="shared" si="1633"/>
        <v/>
      </c>
      <c r="AG576" t="str">
        <f>VLOOKUP(C576,Assumptions!$B$116:$C$162,2,FALSE)</f>
        <v>ELCTRLYZ_LRG_C</v>
      </c>
      <c r="AH576" t="str">
        <f>VLOOKUP(D576,Assumptions!$B$116:$C$162,2,FALSE)</f>
        <v>C_UNDRGRND_STRG</v>
      </c>
      <c r="AI576" t="str">
        <f>VLOOKUP(E576,Assumptions!$B$116:$C$162,2,FALSE)</f>
        <v>H2_T&amp;D_P</v>
      </c>
      <c r="AJ576" t="str">
        <f>VLOOKUP(F576,Assumptions!$B$116:$C$162,2,FALSE)</f>
        <v>H2_FC_mCHP_HEAT</v>
      </c>
    </row>
    <row r="577" spans="2:36" x14ac:dyDescent="0.25">
      <c r="B577" t="s">
        <v>112</v>
      </c>
      <c r="C577" t="s">
        <v>49</v>
      </c>
      <c r="D577" t="s">
        <v>155</v>
      </c>
      <c r="E577" t="s">
        <v>157</v>
      </c>
      <c r="F577" t="s">
        <v>543</v>
      </c>
      <c r="G577" t="s">
        <v>132</v>
      </c>
      <c r="H577" t="s">
        <v>434</v>
      </c>
      <c r="I577" t="s">
        <v>32</v>
      </c>
      <c r="J577" t="s">
        <v>80</v>
      </c>
      <c r="K577">
        <f t="shared" si="1620"/>
        <v>1</v>
      </c>
      <c r="L577">
        <f t="shared" si="1621"/>
        <v>1</v>
      </c>
      <c r="M577">
        <f t="shared" si="1622"/>
        <v>0</v>
      </c>
      <c r="N577">
        <f t="shared" si="1623"/>
        <v>0</v>
      </c>
      <c r="O577">
        <f t="shared" si="1624"/>
        <v>2</v>
      </c>
      <c r="P577" t="str">
        <f t="shared" si="1625"/>
        <v>Large centralized electrolysis-Flexibility</v>
      </c>
      <c r="Q577" t="str">
        <f t="shared" si="1626"/>
        <v>Central gas storage-Flexibility</v>
      </c>
      <c r="R577" t="str">
        <f t="shared" si="1627"/>
        <v>Blending in natural gas pipeline-Flexibility</v>
      </c>
      <c r="S577" t="str">
        <f t="shared" si="1628"/>
        <v>Micro-CHP with H2 fuel cell (heat)-Flexibility</v>
      </c>
      <c r="T577">
        <f ca="1">VLOOKUP($P577,'TA database'!$I$8:$J$79,2,FALSE)</f>
        <v>1</v>
      </c>
      <c r="U577">
        <v>0</v>
      </c>
      <c r="V577">
        <v>0</v>
      </c>
      <c r="W577">
        <v>0</v>
      </c>
      <c r="X577">
        <v>0</v>
      </c>
      <c r="Y577">
        <f t="shared" ca="1" si="1634"/>
        <v>1</v>
      </c>
      <c r="Z577" t="str">
        <f t="shared" si="1629"/>
        <v>ELCTRLYZ_LRG_C   →   C_GAS_STRG   →   H2_BLND_NG_P   →   H2_FC_mCHP_HEAT</v>
      </c>
      <c r="AA577" t="str">
        <f t="shared" si="1630"/>
        <v>Building heat</v>
      </c>
      <c r="AB577" t="str">
        <f t="shared" si="1631"/>
        <v>Flexibility</v>
      </c>
      <c r="AC577">
        <f t="shared" ca="1" si="1632"/>
        <v>1</v>
      </c>
      <c r="AD577">
        <v>518</v>
      </c>
      <c r="AE577" t="str">
        <f>IF(AND(ISNUMBER(SEARCH(O577,4)),ISNUMBER(SEARCH('(4) FCH pathway assessment'!$B$16,AB577)),ISNUMBER(SEARCH('(4) FCH pathway assessment'!$B$10,AA577))),AD577,"")</f>
        <v/>
      </c>
      <c r="AF577" t="str">
        <f t="shared" si="1633"/>
        <v/>
      </c>
      <c r="AG577" t="str">
        <f>VLOOKUP(C577,Assumptions!$B$116:$C$162,2,FALSE)</f>
        <v>ELCTRLYZ_LRG_C</v>
      </c>
      <c r="AH577" t="str">
        <f>VLOOKUP(D577,Assumptions!$B$116:$C$162,2,FALSE)</f>
        <v>C_GAS_STRG</v>
      </c>
      <c r="AI577" t="str">
        <f>VLOOKUP(E577,Assumptions!$B$116:$C$162,2,FALSE)</f>
        <v>H2_BLND_NG_P</v>
      </c>
      <c r="AJ577" t="str">
        <f>VLOOKUP(F577,Assumptions!$B$116:$C$162,2,FALSE)</f>
        <v>H2_FC_mCHP_HEAT</v>
      </c>
    </row>
    <row r="578" spans="2:36" x14ac:dyDescent="0.25">
      <c r="B578" t="s">
        <v>112</v>
      </c>
      <c r="C578" t="s">
        <v>49</v>
      </c>
      <c r="D578" t="s">
        <v>155</v>
      </c>
      <c r="E578" t="s">
        <v>122</v>
      </c>
      <c r="F578" t="s">
        <v>543</v>
      </c>
      <c r="G578" t="s">
        <v>132</v>
      </c>
      <c r="H578" t="s">
        <v>434</v>
      </c>
      <c r="I578" t="s">
        <v>32</v>
      </c>
      <c r="J578" t="s">
        <v>80</v>
      </c>
      <c r="K578">
        <f t="shared" si="1620"/>
        <v>1</v>
      </c>
      <c r="L578">
        <f t="shared" si="1621"/>
        <v>1</v>
      </c>
      <c r="M578">
        <f t="shared" si="1622"/>
        <v>1</v>
      </c>
      <c r="N578">
        <f t="shared" si="1623"/>
        <v>0</v>
      </c>
      <c r="O578">
        <f t="shared" si="1624"/>
        <v>3</v>
      </c>
      <c r="P578" t="str">
        <f t="shared" si="1625"/>
        <v>Large centralized electrolysis-Flexibility</v>
      </c>
      <c r="Q578" t="str">
        <f t="shared" si="1626"/>
        <v>Central gas storage-Flexibility</v>
      </c>
      <c r="R578" t="str">
        <f t="shared" si="1627"/>
        <v>Hydrogen transmission &amp; distribution pipeline-Flexibility</v>
      </c>
      <c r="S578" t="str">
        <f t="shared" si="1628"/>
        <v>Micro-CHP with H2 fuel cell (heat)-Flexibility</v>
      </c>
      <c r="T578">
        <f ca="1">VLOOKUP($P578,'TA database'!$I$8:$J$79,2,FALSE)</f>
        <v>1</v>
      </c>
      <c r="U578">
        <v>0</v>
      </c>
      <c r="V578">
        <v>0</v>
      </c>
      <c r="W578">
        <v>0</v>
      </c>
      <c r="X578">
        <v>0</v>
      </c>
      <c r="Y578">
        <f t="shared" ca="1" si="1634"/>
        <v>1</v>
      </c>
      <c r="Z578" t="str">
        <f t="shared" si="1629"/>
        <v>ELCTRLYZ_LRG_C   →   C_GAS_STRG   →   H2_T&amp;D_P   →   H2_FC_mCHP_HEAT</v>
      </c>
      <c r="AA578" t="str">
        <f t="shared" si="1630"/>
        <v>Building heat</v>
      </c>
      <c r="AB578" t="str">
        <f t="shared" si="1631"/>
        <v>Flexibility</v>
      </c>
      <c r="AC578">
        <f t="shared" ca="1" si="1632"/>
        <v>1</v>
      </c>
      <c r="AD578">
        <v>519</v>
      </c>
      <c r="AE578" t="str">
        <f>IF(AND(ISNUMBER(SEARCH(O578,4)),ISNUMBER(SEARCH('(4) FCH pathway assessment'!$B$16,AB578)),ISNUMBER(SEARCH('(4) FCH pathway assessment'!$B$10,AA578))),AD578,"")</f>
        <v/>
      </c>
      <c r="AF578" t="str">
        <f t="shared" si="1633"/>
        <v/>
      </c>
      <c r="AG578" t="str">
        <f>VLOOKUP(C578,Assumptions!$B$116:$C$162,2,FALSE)</f>
        <v>ELCTRLYZ_LRG_C</v>
      </c>
      <c r="AH578" t="str">
        <f>VLOOKUP(D578,Assumptions!$B$116:$C$162,2,FALSE)</f>
        <v>C_GAS_STRG</v>
      </c>
      <c r="AI578" t="str">
        <f>VLOOKUP(E578,Assumptions!$B$116:$C$162,2,FALSE)</f>
        <v>H2_T&amp;D_P</v>
      </c>
      <c r="AJ578" t="str">
        <f>VLOOKUP(F578,Assumptions!$B$116:$C$162,2,FALSE)</f>
        <v>H2_FC_mCHP_HEAT</v>
      </c>
    </row>
    <row r="579" spans="2:36" x14ac:dyDescent="0.25">
      <c r="B579" t="s">
        <v>112</v>
      </c>
      <c r="C579" t="s">
        <v>51</v>
      </c>
      <c r="D579" t="s">
        <v>155</v>
      </c>
      <c r="E579" t="s">
        <v>157</v>
      </c>
      <c r="F579" t="s">
        <v>543</v>
      </c>
      <c r="G579" t="s">
        <v>132</v>
      </c>
      <c r="H579" t="s">
        <v>434</v>
      </c>
      <c r="I579" t="s">
        <v>32</v>
      </c>
      <c r="J579" t="s">
        <v>80</v>
      </c>
      <c r="K579">
        <f t="shared" ref="K579:K581" si="1635">SUMPRODUCT(($C$7:$C$18=$C579)*($D$6:$H$6=$D579)*($D$7:$H$18))</f>
        <v>1</v>
      </c>
      <c r="L579">
        <f t="shared" ref="L579:L581" si="1636">SUMPRODUCT(($C$19:$C$23=$D579)*($I$6:$O$6=$E579)*($I$19:$O$23))</f>
        <v>1</v>
      </c>
      <c r="M579">
        <f t="shared" ref="M579:M581" si="1637">SUMPRODUCT(($C$24:$C$30=$E579)*($P$6:$AI$6=$F579)*($P$24:$AI$30))</f>
        <v>0</v>
      </c>
      <c r="N579">
        <f t="shared" ref="N579:N581" si="1638">SUMPRODUCT(($C$31:$C$50=$F579)*($AJ$6:$AM$6=$G579)*($AJ$31:$AM$50))</f>
        <v>0</v>
      </c>
      <c r="O579">
        <f t="shared" ref="O579:O580" si="1639">K579+L579+M579+N579</f>
        <v>2</v>
      </c>
      <c r="P579" t="str">
        <f t="shared" ref="P579:P581" si="1640">CONCATENATE(C579,"-",J579)</f>
        <v>Medium centralized electrolysis-Flexibility</v>
      </c>
      <c r="Q579" t="str">
        <f t="shared" ref="Q579:Q581" si="1641">CONCATENATE(D579,"-",J579)</f>
        <v>Central gas storage-Flexibility</v>
      </c>
      <c r="R579" t="str">
        <f t="shared" ref="R579:R581" si="1642">CONCATENATE(E579,"-",J579)</f>
        <v>Blending in natural gas pipeline-Flexibility</v>
      </c>
      <c r="S579" t="str">
        <f t="shared" ref="S579:S581" si="1643">CONCATENATE(F579,"-",J579)</f>
        <v>Micro-CHP with H2 fuel cell (heat)-Flexibility</v>
      </c>
      <c r="T579">
        <f ca="1">VLOOKUP($P579,'TA database'!$I$8:$J$79,2,FALSE)</f>
        <v>1</v>
      </c>
      <c r="U579">
        <v>0</v>
      </c>
      <c r="V579">
        <v>0</v>
      </c>
      <c r="W579">
        <v>0</v>
      </c>
      <c r="X579">
        <v>0</v>
      </c>
      <c r="Y579">
        <f t="shared" ref="Y579:Y581" ca="1" si="1644">$T579</f>
        <v>1</v>
      </c>
      <c r="Z579" t="str">
        <f t="shared" ref="Z579:Z580" si="1645">CONCATENATE(AG579,"   →   ",AH579,"   →   ",AI579,"   →   ",AJ579)</f>
        <v>ELCTRLYZ_MED_C   →   C_GAS_STRG   →   H2_BLND_NG_P   →   H2_FC_mCHP_HEAT</v>
      </c>
      <c r="AA579" t="str">
        <f t="shared" ref="AA579:AA580" si="1646">G579</f>
        <v>Building heat</v>
      </c>
      <c r="AB579" t="str">
        <f t="shared" ref="AB579:AB580" si="1647">J579</f>
        <v>Flexibility</v>
      </c>
      <c r="AC579">
        <f t="shared" ref="AC579:AC580" ca="1" si="1648">Y579</f>
        <v>1</v>
      </c>
      <c r="AD579">
        <v>520</v>
      </c>
      <c r="AE579" t="str">
        <f>IF(AND(ISNUMBER(SEARCH(O579,4)),ISNUMBER(SEARCH('(4) FCH pathway assessment'!$B$16,AB579)),ISNUMBER(SEARCH('(4) FCH pathway assessment'!$B$10,AA579))),AD579,"")</f>
        <v/>
      </c>
      <c r="AF579" t="str">
        <f t="shared" si="1633"/>
        <v/>
      </c>
      <c r="AG579" t="str">
        <f>VLOOKUP(C579,Assumptions!$B$116:$C$162,2,FALSE)</f>
        <v>ELCTRLYZ_MED_C</v>
      </c>
      <c r="AH579" t="str">
        <f>VLOOKUP(D579,Assumptions!$B$116:$C$162,2,FALSE)</f>
        <v>C_GAS_STRG</v>
      </c>
      <c r="AI579" t="str">
        <f>VLOOKUP(E579,Assumptions!$B$116:$C$162,2,FALSE)</f>
        <v>H2_BLND_NG_P</v>
      </c>
      <c r="AJ579" t="str">
        <f>VLOOKUP(F579,Assumptions!$B$116:$C$162,2,FALSE)</f>
        <v>H2_FC_mCHP_HEAT</v>
      </c>
    </row>
    <row r="580" spans="2:36" x14ac:dyDescent="0.25">
      <c r="B580" t="s">
        <v>112</v>
      </c>
      <c r="C580" t="s">
        <v>51</v>
      </c>
      <c r="D580" t="s">
        <v>155</v>
      </c>
      <c r="E580" t="s">
        <v>122</v>
      </c>
      <c r="F580" t="s">
        <v>543</v>
      </c>
      <c r="G580" t="s">
        <v>132</v>
      </c>
      <c r="H580" t="s">
        <v>434</v>
      </c>
      <c r="I580" t="s">
        <v>32</v>
      </c>
      <c r="J580" t="s">
        <v>80</v>
      </c>
      <c r="K580">
        <f t="shared" si="1635"/>
        <v>1</v>
      </c>
      <c r="L580">
        <f t="shared" si="1636"/>
        <v>1</v>
      </c>
      <c r="M580">
        <f t="shared" si="1637"/>
        <v>1</v>
      </c>
      <c r="N580">
        <f t="shared" si="1638"/>
        <v>0</v>
      </c>
      <c r="O580">
        <f t="shared" si="1639"/>
        <v>3</v>
      </c>
      <c r="P580" t="str">
        <f t="shared" si="1640"/>
        <v>Medium centralized electrolysis-Flexibility</v>
      </c>
      <c r="Q580" t="str">
        <f t="shared" si="1641"/>
        <v>Central gas storage-Flexibility</v>
      </c>
      <c r="R580" t="str">
        <f t="shared" si="1642"/>
        <v>Hydrogen transmission &amp; distribution pipeline-Flexibility</v>
      </c>
      <c r="S580" t="str">
        <f t="shared" si="1643"/>
        <v>Micro-CHP with H2 fuel cell (heat)-Flexibility</v>
      </c>
      <c r="T580">
        <f ca="1">VLOOKUP($P580,'TA database'!$I$8:$J$79,2,FALSE)</f>
        <v>1</v>
      </c>
      <c r="U580">
        <v>0</v>
      </c>
      <c r="V580">
        <v>0</v>
      </c>
      <c r="W580">
        <v>0</v>
      </c>
      <c r="X580">
        <v>0</v>
      </c>
      <c r="Y580">
        <f t="shared" ca="1" si="1644"/>
        <v>1</v>
      </c>
      <c r="Z580" t="str">
        <f t="shared" si="1645"/>
        <v>ELCTRLYZ_MED_C   →   C_GAS_STRG   →   H2_T&amp;D_P   →   H2_FC_mCHP_HEAT</v>
      </c>
      <c r="AA580" t="str">
        <f t="shared" si="1646"/>
        <v>Building heat</v>
      </c>
      <c r="AB580" t="str">
        <f t="shared" si="1647"/>
        <v>Flexibility</v>
      </c>
      <c r="AC580">
        <f t="shared" ca="1" si="1648"/>
        <v>1</v>
      </c>
      <c r="AD580">
        <v>521</v>
      </c>
      <c r="AE580" t="str">
        <f>IF(AND(ISNUMBER(SEARCH(O580,4)),ISNUMBER(SEARCH('(4) FCH pathway assessment'!$B$16,AB580)),ISNUMBER(SEARCH('(4) FCH pathway assessment'!$B$10,AA580))),AD580,"")</f>
        <v/>
      </c>
      <c r="AF580" t="str">
        <f t="shared" si="1633"/>
        <v/>
      </c>
      <c r="AG580" t="str">
        <f>VLOOKUP(C580,Assumptions!$B$116:$C$162,2,FALSE)</f>
        <v>ELCTRLYZ_MED_C</v>
      </c>
      <c r="AH580" t="str">
        <f>VLOOKUP(D580,Assumptions!$B$116:$C$162,2,FALSE)</f>
        <v>C_GAS_STRG</v>
      </c>
      <c r="AI580" t="str">
        <f>VLOOKUP(E580,Assumptions!$B$116:$C$162,2,FALSE)</f>
        <v>H2_T&amp;D_P</v>
      </c>
      <c r="AJ580" t="str">
        <f>VLOOKUP(F580,Assumptions!$B$116:$C$162,2,FALSE)</f>
        <v>H2_FC_mCHP_HEAT</v>
      </c>
    </row>
    <row r="581" spans="2:36" x14ac:dyDescent="0.25">
      <c r="B581" t="s">
        <v>112</v>
      </c>
      <c r="C581" t="s">
        <v>52</v>
      </c>
      <c r="D581" s="60" t="s">
        <v>130</v>
      </c>
      <c r="E581" t="s">
        <v>128</v>
      </c>
      <c r="F581" t="s">
        <v>543</v>
      </c>
      <c r="G581" t="s">
        <v>132</v>
      </c>
      <c r="H581" t="s">
        <v>434</v>
      </c>
      <c r="I581" t="s">
        <v>32</v>
      </c>
      <c r="J581" t="s">
        <v>80</v>
      </c>
      <c r="K581">
        <f t="shared" si="1635"/>
        <v>1</v>
      </c>
      <c r="L581">
        <f t="shared" si="1636"/>
        <v>1</v>
      </c>
      <c r="M581">
        <f t="shared" si="1637"/>
        <v>1</v>
      </c>
      <c r="N581">
        <f t="shared" si="1638"/>
        <v>0</v>
      </c>
      <c r="O581">
        <f t="shared" ref="O581:O584" si="1649">K581+L581+M581+N581</f>
        <v>3</v>
      </c>
      <c r="P581" t="str">
        <f t="shared" si="1640"/>
        <v>Small decentralized electrolysis-Flexibility</v>
      </c>
      <c r="Q581" t="str">
        <f t="shared" si="1641"/>
        <v>Distributed gas storage-Flexibility</v>
      </c>
      <c r="R581" t="str">
        <f t="shared" si="1642"/>
        <v>Hydrogen distribution pipeline-Flexibility</v>
      </c>
      <c r="S581" t="str">
        <f t="shared" si="1643"/>
        <v>Micro-CHP with H2 fuel cell (heat)-Flexibility</v>
      </c>
      <c r="T581">
        <f ca="1">VLOOKUP($P581,'TA database'!$I$8:$J$79,2,FALSE)</f>
        <v>0.14583333333333334</v>
      </c>
      <c r="U581">
        <v>0</v>
      </c>
      <c r="V581">
        <v>0</v>
      </c>
      <c r="W581">
        <v>0</v>
      </c>
      <c r="X581">
        <v>0</v>
      </c>
      <c r="Y581">
        <f t="shared" ca="1" si="1644"/>
        <v>0.14583333333333334</v>
      </c>
      <c r="Z581" t="str">
        <f t="shared" ref="Z581:Z584" si="1650">CONCATENATE(AG581,"   →   ",AH581,"   →   ",AI581,"   →   ",AJ581)</f>
        <v>ELCTRLYZ_SML_D   →   D_GAS_STRG   →   H2_DSTRB_P   →   H2_FC_mCHP_HEAT</v>
      </c>
      <c r="AA581" t="str">
        <f t="shared" ref="AA581:AA584" si="1651">G581</f>
        <v>Building heat</v>
      </c>
      <c r="AB581" t="str">
        <f t="shared" ref="AB581:AB584" si="1652">J581</f>
        <v>Flexibility</v>
      </c>
      <c r="AC581">
        <f t="shared" ref="AC581:AC584" ca="1" si="1653">Y581</f>
        <v>0.14583333333333334</v>
      </c>
      <c r="AD581">
        <v>522</v>
      </c>
      <c r="AE581" t="str">
        <f>IF(AND(ISNUMBER(SEARCH(O581,4)),ISNUMBER(SEARCH('(4) FCH pathway assessment'!$B$16,AB581)),ISNUMBER(SEARCH('(4) FCH pathway assessment'!$B$10,AA581))),AD581,"")</f>
        <v/>
      </c>
      <c r="AF581" t="str">
        <f t="shared" si="1633"/>
        <v/>
      </c>
      <c r="AG581" t="str">
        <f>VLOOKUP(C581,Assumptions!$B$116:$C$162,2,FALSE)</f>
        <v>ELCTRLYZ_SML_D</v>
      </c>
      <c r="AH581" t="str">
        <f>VLOOKUP(D581,Assumptions!$B$116:$C$162,2,FALSE)</f>
        <v>D_GAS_STRG</v>
      </c>
      <c r="AI581" t="str">
        <f>VLOOKUP(E581,Assumptions!$B$116:$C$162,2,FALSE)</f>
        <v>H2_DSTRB_P</v>
      </c>
      <c r="AJ581" t="str">
        <f>VLOOKUP(F581,Assumptions!$B$116:$C$162,2,FALSE)</f>
        <v>H2_FC_mCHP_HEAT</v>
      </c>
    </row>
    <row r="582" spans="2:36" x14ac:dyDescent="0.25">
      <c r="B582" t="s">
        <v>127</v>
      </c>
      <c r="C582" t="s">
        <v>57</v>
      </c>
      <c r="D582" t="s">
        <v>62</v>
      </c>
      <c r="E582" t="s">
        <v>157</v>
      </c>
      <c r="F582" t="s">
        <v>543</v>
      </c>
      <c r="G582" t="s">
        <v>132</v>
      </c>
      <c r="H582" t="s">
        <v>434</v>
      </c>
      <c r="I582" t="s">
        <v>32</v>
      </c>
      <c r="J582" t="s">
        <v>80</v>
      </c>
      <c r="K582">
        <f t="shared" ref="K582:K585" si="1654">SUMPRODUCT(($C$7:$C$18=$C582)*($D$6:$H$6=$D582)*($D$7:$H$18))</f>
        <v>1</v>
      </c>
      <c r="L582">
        <f t="shared" ref="L582:L585" si="1655">SUMPRODUCT(($C$19:$C$23=$D582)*($I$6:$O$6=$E582)*($I$19:$O$23))</f>
        <v>0</v>
      </c>
      <c r="M582">
        <f t="shared" ref="M582:M585" si="1656">SUMPRODUCT(($C$24:$C$30=$E582)*($P$6:$AI$6=$F582)*($P$24:$AI$30))</f>
        <v>0</v>
      </c>
      <c r="N582">
        <f t="shared" ref="N582:N585" si="1657">SUMPRODUCT(($C$31:$C$50=$F582)*($AJ$6:$AM$6=$G582)*($AJ$31:$AM$50))</f>
        <v>0</v>
      </c>
      <c r="O582">
        <f t="shared" si="1649"/>
        <v>1</v>
      </c>
      <c r="P582" t="str">
        <f t="shared" ref="P582:P585" si="1658">CONCATENATE(C582,"-",J582)</f>
        <v>Large centralized natural gas steam reforming-Flexibility</v>
      </c>
      <c r="Q582" t="str">
        <f t="shared" ref="Q582:Q585" si="1659">CONCATENATE(D582,"-",J582)</f>
        <v>Underground storage-Flexibility</v>
      </c>
      <c r="R582" t="str">
        <f t="shared" ref="R582:R585" si="1660">CONCATENATE(E582,"-",J582)</f>
        <v>Blending in natural gas pipeline-Flexibility</v>
      </c>
      <c r="S582" t="str">
        <f t="shared" ref="S582:S585" si="1661">CONCATENATE(F582,"-",J582)</f>
        <v>Micro-CHP with H2 fuel cell (heat)-Flexibility</v>
      </c>
      <c r="T582">
        <f ca="1">VLOOKUP($P582,'TA database'!$I$8:$J$79,2,FALSE)</f>
        <v>0</v>
      </c>
      <c r="U582">
        <v>0</v>
      </c>
      <c r="V582">
        <v>0</v>
      </c>
      <c r="W582">
        <v>0</v>
      </c>
      <c r="X582">
        <v>0</v>
      </c>
      <c r="Y582">
        <f t="shared" ref="Y582:Y586" ca="1" si="1662">$T582</f>
        <v>0</v>
      </c>
      <c r="Z582" t="str">
        <f t="shared" si="1650"/>
        <v>NG_SR_LRG_C   →   C_UNDRGRND_STRG   →   H2_BLND_NG_P   →   H2_FC_mCHP_HEAT</v>
      </c>
      <c r="AA582" t="str">
        <f t="shared" si="1651"/>
        <v>Building heat</v>
      </c>
      <c r="AB582" t="str">
        <f t="shared" si="1652"/>
        <v>Flexibility</v>
      </c>
      <c r="AC582">
        <f t="shared" ca="1" si="1653"/>
        <v>0</v>
      </c>
      <c r="AD582">
        <v>523</v>
      </c>
      <c r="AE582" t="str">
        <f>IF(AND(ISNUMBER(SEARCH(O582,4)),ISNUMBER(SEARCH('(4) FCH pathway assessment'!$B$16,AB582)),ISNUMBER(SEARCH('(4) FCH pathway assessment'!$B$10,AA582))),AD582,"")</f>
        <v/>
      </c>
      <c r="AF582" t="str">
        <f t="shared" si="1633"/>
        <v/>
      </c>
      <c r="AG582" t="str">
        <f>VLOOKUP(C582,Assumptions!$B$116:$C$162,2,FALSE)</f>
        <v>NG_SR_LRG_C</v>
      </c>
      <c r="AH582" t="str">
        <f>VLOOKUP(D582,Assumptions!$B$116:$C$162,2,FALSE)</f>
        <v>C_UNDRGRND_STRG</v>
      </c>
      <c r="AI582" t="str">
        <f>VLOOKUP(E582,Assumptions!$B$116:$C$162,2,FALSE)</f>
        <v>H2_BLND_NG_P</v>
      </c>
      <c r="AJ582" t="str">
        <f>VLOOKUP(F582,Assumptions!$B$116:$C$162,2,FALSE)</f>
        <v>H2_FC_mCHP_HEAT</v>
      </c>
    </row>
    <row r="583" spans="2:36" x14ac:dyDescent="0.25">
      <c r="B583" t="s">
        <v>127</v>
      </c>
      <c r="C583" t="s">
        <v>57</v>
      </c>
      <c r="D583" t="s">
        <v>62</v>
      </c>
      <c r="E583" t="s">
        <v>122</v>
      </c>
      <c r="F583" t="s">
        <v>543</v>
      </c>
      <c r="G583" t="s">
        <v>132</v>
      </c>
      <c r="H583" t="s">
        <v>434</v>
      </c>
      <c r="I583" t="s">
        <v>32</v>
      </c>
      <c r="J583" t="s">
        <v>80</v>
      </c>
      <c r="K583">
        <f t="shared" si="1654"/>
        <v>1</v>
      </c>
      <c r="L583">
        <f t="shared" si="1655"/>
        <v>0</v>
      </c>
      <c r="M583">
        <f t="shared" si="1656"/>
        <v>1</v>
      </c>
      <c r="N583">
        <f t="shared" si="1657"/>
        <v>0</v>
      </c>
      <c r="O583">
        <f t="shared" si="1649"/>
        <v>2</v>
      </c>
      <c r="P583" t="str">
        <f t="shared" si="1658"/>
        <v>Large centralized natural gas steam reforming-Flexibility</v>
      </c>
      <c r="Q583" t="str">
        <f t="shared" si="1659"/>
        <v>Underground storage-Flexibility</v>
      </c>
      <c r="R583" t="str">
        <f t="shared" si="1660"/>
        <v>Hydrogen transmission &amp; distribution pipeline-Flexibility</v>
      </c>
      <c r="S583" t="str">
        <f t="shared" si="1661"/>
        <v>Micro-CHP with H2 fuel cell (heat)-Flexibility</v>
      </c>
      <c r="T583">
        <f ca="1">VLOOKUP($P583,'TA database'!$I$8:$J$79,2,FALSE)</f>
        <v>0</v>
      </c>
      <c r="U583">
        <v>0</v>
      </c>
      <c r="V583">
        <v>0</v>
      </c>
      <c r="W583">
        <v>0</v>
      </c>
      <c r="X583">
        <v>0</v>
      </c>
      <c r="Y583">
        <f t="shared" ca="1" si="1662"/>
        <v>0</v>
      </c>
      <c r="Z583" t="str">
        <f t="shared" si="1650"/>
        <v>NG_SR_LRG_C   →   C_UNDRGRND_STRG   →   H2_T&amp;D_P   →   H2_FC_mCHP_HEAT</v>
      </c>
      <c r="AA583" t="str">
        <f t="shared" si="1651"/>
        <v>Building heat</v>
      </c>
      <c r="AB583" t="str">
        <f t="shared" si="1652"/>
        <v>Flexibility</v>
      </c>
      <c r="AC583">
        <f t="shared" ca="1" si="1653"/>
        <v>0</v>
      </c>
      <c r="AD583">
        <v>524</v>
      </c>
      <c r="AE583" t="str">
        <f>IF(AND(ISNUMBER(SEARCH(O583,4)),ISNUMBER(SEARCH('(4) FCH pathway assessment'!$B$16,AB583)),ISNUMBER(SEARCH('(4) FCH pathway assessment'!$B$10,AA583))),AD583,"")</f>
        <v/>
      </c>
      <c r="AF583" t="str">
        <f t="shared" si="1633"/>
        <v/>
      </c>
      <c r="AG583" t="str">
        <f>VLOOKUP(C583,Assumptions!$B$116:$C$162,2,FALSE)</f>
        <v>NG_SR_LRG_C</v>
      </c>
      <c r="AH583" t="str">
        <f>VLOOKUP(D583,Assumptions!$B$116:$C$162,2,FALSE)</f>
        <v>C_UNDRGRND_STRG</v>
      </c>
      <c r="AI583" t="str">
        <f>VLOOKUP(E583,Assumptions!$B$116:$C$162,2,FALSE)</f>
        <v>H2_T&amp;D_P</v>
      </c>
      <c r="AJ583" t="str">
        <f>VLOOKUP(F583,Assumptions!$B$116:$C$162,2,FALSE)</f>
        <v>H2_FC_mCHP_HEAT</v>
      </c>
    </row>
    <row r="584" spans="2:36" x14ac:dyDescent="0.25">
      <c r="B584" t="s">
        <v>127</v>
      </c>
      <c r="C584" t="s">
        <v>57</v>
      </c>
      <c r="D584" s="61" t="s">
        <v>63</v>
      </c>
      <c r="E584" t="s">
        <v>122</v>
      </c>
      <c r="F584" t="s">
        <v>543</v>
      </c>
      <c r="G584" t="s">
        <v>132</v>
      </c>
      <c r="H584" t="s">
        <v>434</v>
      </c>
      <c r="I584" t="s">
        <v>32</v>
      </c>
      <c r="J584" t="s">
        <v>80</v>
      </c>
      <c r="K584">
        <f t="shared" si="1654"/>
        <v>1</v>
      </c>
      <c r="L584">
        <f t="shared" si="1655"/>
        <v>1</v>
      </c>
      <c r="M584">
        <f t="shared" si="1656"/>
        <v>1</v>
      </c>
      <c r="N584">
        <f t="shared" si="1657"/>
        <v>0</v>
      </c>
      <c r="O584">
        <f t="shared" si="1649"/>
        <v>3</v>
      </c>
      <c r="P584" t="str">
        <f t="shared" si="1658"/>
        <v>Large centralized natural gas steam reforming-Flexibility</v>
      </c>
      <c r="Q584" t="str">
        <f t="shared" si="1659"/>
        <v>No storage-Flexibility</v>
      </c>
      <c r="R584" t="str">
        <f t="shared" si="1660"/>
        <v>Hydrogen transmission &amp; distribution pipeline-Flexibility</v>
      </c>
      <c r="S584" t="str">
        <f t="shared" si="1661"/>
        <v>Micro-CHP with H2 fuel cell (heat)-Flexibility</v>
      </c>
      <c r="T584">
        <f ca="1">VLOOKUP($P584,'TA database'!$I$8:$J$79,2,FALSE)</f>
        <v>0</v>
      </c>
      <c r="U584">
        <v>0</v>
      </c>
      <c r="V584">
        <v>0</v>
      </c>
      <c r="W584">
        <v>0</v>
      </c>
      <c r="X584">
        <v>0</v>
      </c>
      <c r="Y584">
        <f t="shared" ca="1" si="1662"/>
        <v>0</v>
      </c>
      <c r="Z584" t="str">
        <f t="shared" si="1650"/>
        <v>NG_SR_LRG_C   →   NO_STRG   →   H2_T&amp;D_P   →   H2_FC_mCHP_HEAT</v>
      </c>
      <c r="AA584" t="str">
        <f t="shared" si="1651"/>
        <v>Building heat</v>
      </c>
      <c r="AB584" t="str">
        <f t="shared" si="1652"/>
        <v>Flexibility</v>
      </c>
      <c r="AC584">
        <f t="shared" ca="1" si="1653"/>
        <v>0</v>
      </c>
      <c r="AD584">
        <v>525</v>
      </c>
      <c r="AE584" t="str">
        <f>IF(AND(ISNUMBER(SEARCH(O584,4)),ISNUMBER(SEARCH('(4) FCH pathway assessment'!$B$16,AB584)),ISNUMBER(SEARCH('(4) FCH pathway assessment'!$B$10,AA584))),AD584,"")</f>
        <v/>
      </c>
      <c r="AF584" t="str">
        <f t="shared" si="1633"/>
        <v/>
      </c>
      <c r="AG584" t="str">
        <f>VLOOKUP(C584,Assumptions!$B$116:$C$162,2,FALSE)</f>
        <v>NG_SR_LRG_C</v>
      </c>
      <c r="AH584" t="str">
        <f>VLOOKUP(D584,Assumptions!$B$116:$C$162,2,FALSE)</f>
        <v>NO_STRG</v>
      </c>
      <c r="AI584" t="str">
        <f>VLOOKUP(E584,Assumptions!$B$116:$C$162,2,FALSE)</f>
        <v>H2_T&amp;D_P</v>
      </c>
      <c r="AJ584" t="str">
        <f>VLOOKUP(F584,Assumptions!$B$116:$C$162,2,FALSE)</f>
        <v>H2_FC_mCHP_HEAT</v>
      </c>
    </row>
    <row r="585" spans="2:36" x14ac:dyDescent="0.25">
      <c r="B585" t="s">
        <v>127</v>
      </c>
      <c r="C585" t="s">
        <v>58</v>
      </c>
      <c r="D585" t="s">
        <v>155</v>
      </c>
      <c r="E585" t="s">
        <v>157</v>
      </c>
      <c r="F585" t="s">
        <v>543</v>
      </c>
      <c r="G585" t="s">
        <v>132</v>
      </c>
      <c r="H585" t="s">
        <v>434</v>
      </c>
      <c r="I585" t="s">
        <v>32</v>
      </c>
      <c r="J585" t="s">
        <v>80</v>
      </c>
      <c r="K585">
        <f t="shared" si="1654"/>
        <v>1</v>
      </c>
      <c r="L585">
        <f t="shared" si="1655"/>
        <v>1</v>
      </c>
      <c r="M585">
        <f t="shared" si="1656"/>
        <v>0</v>
      </c>
      <c r="N585">
        <f t="shared" si="1657"/>
        <v>0</v>
      </c>
      <c r="O585">
        <f t="shared" ref="O585:O587" si="1663">K585+L585+M585+N585</f>
        <v>2</v>
      </c>
      <c r="P585" t="str">
        <f t="shared" si="1658"/>
        <v>Small centralized natural gas steam reforming-Flexibility</v>
      </c>
      <c r="Q585" t="str">
        <f t="shared" si="1659"/>
        <v>Central gas storage-Flexibility</v>
      </c>
      <c r="R585" t="str">
        <f t="shared" si="1660"/>
        <v>Blending in natural gas pipeline-Flexibility</v>
      </c>
      <c r="S585" t="str">
        <f t="shared" si="1661"/>
        <v>Micro-CHP with H2 fuel cell (heat)-Flexibility</v>
      </c>
      <c r="T585">
        <f ca="1">VLOOKUP($P585,'TA database'!$I$8:$J$79,2,FALSE)</f>
        <v>0</v>
      </c>
      <c r="U585">
        <v>0</v>
      </c>
      <c r="V585">
        <v>0</v>
      </c>
      <c r="W585">
        <v>0</v>
      </c>
      <c r="X585">
        <v>0</v>
      </c>
      <c r="Y585">
        <f t="shared" ca="1" si="1662"/>
        <v>0</v>
      </c>
      <c r="Z585" t="str">
        <f t="shared" ref="Z585:Z587" si="1664">CONCATENATE(AG585,"   →   ",AH585,"   →   ",AI585,"   →   ",AJ585)</f>
        <v>NG_SR_SML_C   →   C_GAS_STRG   →   H2_BLND_NG_P   →   H2_FC_mCHP_HEAT</v>
      </c>
      <c r="AA585" t="str">
        <f t="shared" ref="AA585:AA587" si="1665">G585</f>
        <v>Building heat</v>
      </c>
      <c r="AB585" t="str">
        <f t="shared" ref="AB585:AB587" si="1666">J585</f>
        <v>Flexibility</v>
      </c>
      <c r="AC585">
        <f t="shared" ref="AC585:AC587" ca="1" si="1667">Y585</f>
        <v>0</v>
      </c>
      <c r="AD585">
        <v>526</v>
      </c>
      <c r="AE585" t="str">
        <f>IF(AND(ISNUMBER(SEARCH(O585,4)),ISNUMBER(SEARCH('(4) FCH pathway assessment'!$B$16,AB585)),ISNUMBER(SEARCH('(4) FCH pathway assessment'!$B$10,AA585))),AD585,"")</f>
        <v/>
      </c>
      <c r="AF585" t="str">
        <f t="shared" si="1633"/>
        <v/>
      </c>
      <c r="AG585" t="str">
        <f>VLOOKUP(C585,Assumptions!$B$116:$C$162,2,FALSE)</f>
        <v>NG_SR_SML_C</v>
      </c>
      <c r="AH585" t="str">
        <f>VLOOKUP(D585,Assumptions!$B$116:$C$162,2,FALSE)</f>
        <v>C_GAS_STRG</v>
      </c>
      <c r="AI585" t="str">
        <f>VLOOKUP(E585,Assumptions!$B$116:$C$162,2,FALSE)</f>
        <v>H2_BLND_NG_P</v>
      </c>
      <c r="AJ585" t="str">
        <f>VLOOKUP(F585,Assumptions!$B$116:$C$162,2,FALSE)</f>
        <v>H2_FC_mCHP_HEAT</v>
      </c>
    </row>
    <row r="586" spans="2:36" x14ac:dyDescent="0.25">
      <c r="B586" t="s">
        <v>127</v>
      </c>
      <c r="C586" t="s">
        <v>58</v>
      </c>
      <c r="D586" t="s">
        <v>155</v>
      </c>
      <c r="E586" t="s">
        <v>122</v>
      </c>
      <c r="F586" t="s">
        <v>543</v>
      </c>
      <c r="G586" t="s">
        <v>132</v>
      </c>
      <c r="H586" t="s">
        <v>434</v>
      </c>
      <c r="I586" t="s">
        <v>32</v>
      </c>
      <c r="J586" t="s">
        <v>80</v>
      </c>
      <c r="K586">
        <f t="shared" ref="K586:K587" si="1668">SUMPRODUCT(($C$7:$C$18=$C586)*($D$6:$H$6=$D586)*($D$7:$H$18))</f>
        <v>1</v>
      </c>
      <c r="L586">
        <f t="shared" ref="L586:L587" si="1669">SUMPRODUCT(($C$19:$C$23=$D586)*($I$6:$O$6=$E586)*($I$19:$O$23))</f>
        <v>1</v>
      </c>
      <c r="M586">
        <f t="shared" ref="M586:M587" si="1670">SUMPRODUCT(($C$24:$C$30=$E586)*($P$6:$AI$6=$F586)*($P$24:$AI$30))</f>
        <v>1</v>
      </c>
      <c r="N586">
        <f t="shared" ref="N586:N587" si="1671">SUMPRODUCT(($C$31:$C$50=$F586)*($AJ$6:$AM$6=$G586)*($AJ$31:$AM$50))</f>
        <v>0</v>
      </c>
      <c r="O586">
        <f t="shared" si="1663"/>
        <v>3</v>
      </c>
      <c r="P586" t="str">
        <f t="shared" ref="P586:P587" si="1672">CONCATENATE(C586,"-",J586)</f>
        <v>Small centralized natural gas steam reforming-Flexibility</v>
      </c>
      <c r="Q586" t="str">
        <f t="shared" ref="Q586:Q587" si="1673">CONCATENATE(D586,"-",J586)</f>
        <v>Central gas storage-Flexibility</v>
      </c>
      <c r="R586" t="str">
        <f t="shared" ref="R586:R587" si="1674">CONCATENATE(E586,"-",J586)</f>
        <v>Hydrogen transmission &amp; distribution pipeline-Flexibility</v>
      </c>
      <c r="S586" t="str">
        <f t="shared" ref="S586:S587" si="1675">CONCATENATE(F586,"-",J586)</f>
        <v>Micro-CHP with H2 fuel cell (heat)-Flexibility</v>
      </c>
      <c r="T586">
        <f ca="1">VLOOKUP($P586,'TA database'!$I$8:$J$79,2,FALSE)</f>
        <v>0</v>
      </c>
      <c r="U586">
        <v>0</v>
      </c>
      <c r="V586">
        <v>0</v>
      </c>
      <c r="W586">
        <v>0</v>
      </c>
      <c r="X586">
        <v>0</v>
      </c>
      <c r="Y586">
        <f t="shared" ca="1" si="1662"/>
        <v>0</v>
      </c>
      <c r="Z586" t="str">
        <f t="shared" si="1664"/>
        <v>NG_SR_SML_C   →   C_GAS_STRG   →   H2_T&amp;D_P   →   H2_FC_mCHP_HEAT</v>
      </c>
      <c r="AA586" t="str">
        <f t="shared" si="1665"/>
        <v>Building heat</v>
      </c>
      <c r="AB586" t="str">
        <f t="shared" si="1666"/>
        <v>Flexibility</v>
      </c>
      <c r="AC586">
        <f t="shared" ca="1" si="1667"/>
        <v>0</v>
      </c>
      <c r="AD586">
        <v>527</v>
      </c>
      <c r="AE586" t="str">
        <f>IF(AND(ISNUMBER(SEARCH(O586,4)),ISNUMBER(SEARCH('(4) FCH pathway assessment'!$B$16,AB586)),ISNUMBER(SEARCH('(4) FCH pathway assessment'!$B$10,AA586))),AD586,"")</f>
        <v/>
      </c>
      <c r="AF586" t="str">
        <f t="shared" si="1633"/>
        <v/>
      </c>
      <c r="AG586" t="str">
        <f>VLOOKUP(C586,Assumptions!$B$116:$C$162,2,FALSE)</f>
        <v>NG_SR_SML_C</v>
      </c>
      <c r="AH586" t="str">
        <f>VLOOKUP(D586,Assumptions!$B$116:$C$162,2,FALSE)</f>
        <v>C_GAS_STRG</v>
      </c>
      <c r="AI586" t="str">
        <f>VLOOKUP(E586,Assumptions!$B$116:$C$162,2,FALSE)</f>
        <v>H2_T&amp;D_P</v>
      </c>
      <c r="AJ586" t="str">
        <f>VLOOKUP(F586,Assumptions!$B$116:$C$162,2,FALSE)</f>
        <v>H2_FC_mCHP_HEAT</v>
      </c>
    </row>
    <row r="587" spans="2:36" x14ac:dyDescent="0.25">
      <c r="B587" t="s">
        <v>127</v>
      </c>
      <c r="C587" t="s">
        <v>59</v>
      </c>
      <c r="D587" s="60" t="s">
        <v>130</v>
      </c>
      <c r="E587" t="s">
        <v>128</v>
      </c>
      <c r="F587" t="s">
        <v>543</v>
      </c>
      <c r="G587" t="s">
        <v>132</v>
      </c>
      <c r="H587" t="s">
        <v>434</v>
      </c>
      <c r="I587" t="s">
        <v>32</v>
      </c>
      <c r="J587" t="s">
        <v>80</v>
      </c>
      <c r="K587">
        <f t="shared" si="1668"/>
        <v>1</v>
      </c>
      <c r="L587">
        <f t="shared" si="1669"/>
        <v>1</v>
      </c>
      <c r="M587">
        <f t="shared" si="1670"/>
        <v>1</v>
      </c>
      <c r="N587">
        <f t="shared" si="1671"/>
        <v>0</v>
      </c>
      <c r="O587">
        <f t="shared" si="1663"/>
        <v>3</v>
      </c>
      <c r="P587" t="str">
        <f t="shared" si="1672"/>
        <v>Medium decentralized natural gas steam reforming-Flexibility</v>
      </c>
      <c r="Q587" t="str">
        <f t="shared" si="1673"/>
        <v>Distributed gas storage-Flexibility</v>
      </c>
      <c r="R587" t="str">
        <f t="shared" si="1674"/>
        <v>Hydrogen distribution pipeline-Flexibility</v>
      </c>
      <c r="S587" t="str">
        <f t="shared" si="1675"/>
        <v>Micro-CHP with H2 fuel cell (heat)-Flexibility</v>
      </c>
      <c r="T587">
        <f ca="1">VLOOKUP($P587,'TA database'!$I$8:$J$79,2,FALSE)</f>
        <v>0</v>
      </c>
      <c r="U587">
        <v>0</v>
      </c>
      <c r="V587">
        <v>0</v>
      </c>
      <c r="W587">
        <v>0</v>
      </c>
      <c r="X587">
        <v>0</v>
      </c>
      <c r="Y587">
        <f t="shared" ref="Y587:Y588" ca="1" si="1676">$T587</f>
        <v>0</v>
      </c>
      <c r="Z587" t="str">
        <f t="shared" si="1664"/>
        <v>NG_SR_MED_D   →   D_GAS_STRG   →   H2_DSTRB_P   →   H2_FC_mCHP_HEAT</v>
      </c>
      <c r="AA587" t="str">
        <f t="shared" si="1665"/>
        <v>Building heat</v>
      </c>
      <c r="AB587" t="str">
        <f t="shared" si="1666"/>
        <v>Flexibility</v>
      </c>
      <c r="AC587">
        <f t="shared" ca="1" si="1667"/>
        <v>0</v>
      </c>
      <c r="AD587">
        <v>528</v>
      </c>
      <c r="AE587" t="str">
        <f>IF(AND(ISNUMBER(SEARCH(O587,4)),ISNUMBER(SEARCH('(4) FCH pathway assessment'!$B$16,AB587)),ISNUMBER(SEARCH('(4) FCH pathway assessment'!$B$10,AA587))),AD587,"")</f>
        <v/>
      </c>
      <c r="AF587" t="str">
        <f t="shared" si="1633"/>
        <v/>
      </c>
      <c r="AG587" t="str">
        <f>VLOOKUP(C587,Assumptions!$B$116:$C$162,2,FALSE)</f>
        <v>NG_SR_MED_D</v>
      </c>
      <c r="AH587" t="str">
        <f>VLOOKUP(D587,Assumptions!$B$116:$C$162,2,FALSE)</f>
        <v>D_GAS_STRG</v>
      </c>
      <c r="AI587" t="str">
        <f>VLOOKUP(E587,Assumptions!$B$116:$C$162,2,FALSE)</f>
        <v>H2_DSTRB_P</v>
      </c>
      <c r="AJ587" t="str">
        <f>VLOOKUP(F587,Assumptions!$B$116:$C$162,2,FALSE)</f>
        <v>H2_FC_mCHP_HEAT</v>
      </c>
    </row>
    <row r="588" spans="2:36" x14ac:dyDescent="0.25">
      <c r="B588" t="s">
        <v>127</v>
      </c>
      <c r="C588" t="s">
        <v>60</v>
      </c>
      <c r="D588" s="60" t="s">
        <v>130</v>
      </c>
      <c r="E588" t="s">
        <v>128</v>
      </c>
      <c r="F588" t="s">
        <v>543</v>
      </c>
      <c r="G588" t="s">
        <v>132</v>
      </c>
      <c r="H588" t="s">
        <v>434</v>
      </c>
      <c r="I588" t="s">
        <v>32</v>
      </c>
      <c r="J588" t="s">
        <v>80</v>
      </c>
      <c r="K588">
        <f t="shared" ref="K588" si="1677">SUMPRODUCT(($C$7:$C$18=$C588)*($D$6:$H$6=$D588)*($D$7:$H$18))</f>
        <v>1</v>
      </c>
      <c r="L588">
        <f t="shared" ref="L588" si="1678">SUMPRODUCT(($C$19:$C$23=$D588)*($I$6:$O$6=$E588)*($I$19:$O$23))</f>
        <v>1</v>
      </c>
      <c r="M588">
        <f t="shared" ref="M588" si="1679">SUMPRODUCT(($C$24:$C$30=$E588)*($P$6:$AI$6=$F588)*($P$24:$AI$30))</f>
        <v>1</v>
      </c>
      <c r="N588">
        <f t="shared" ref="N588" si="1680">SUMPRODUCT(($C$31:$C$50=$F588)*($AJ$6:$AM$6=$G588)*($AJ$31:$AM$50))</f>
        <v>0</v>
      </c>
      <c r="O588">
        <f t="shared" ref="O588" si="1681">K588+L588+M588+N588</f>
        <v>3</v>
      </c>
      <c r="P588" t="str">
        <f t="shared" ref="P588" si="1682">CONCATENATE(C588,"-",J588)</f>
        <v>Small decentralized natural gas steam reforming-Flexibility</v>
      </c>
      <c r="Q588" t="str">
        <f t="shared" ref="Q588" si="1683">CONCATENATE(D588,"-",J588)</f>
        <v>Distributed gas storage-Flexibility</v>
      </c>
      <c r="R588" t="str">
        <f t="shared" ref="R588" si="1684">CONCATENATE(E588,"-",J588)</f>
        <v>Hydrogen distribution pipeline-Flexibility</v>
      </c>
      <c r="S588" t="str">
        <f t="shared" ref="S588" si="1685">CONCATENATE(F588,"-",J588)</f>
        <v>Micro-CHP with H2 fuel cell (heat)-Flexibility</v>
      </c>
      <c r="T588">
        <f ca="1">VLOOKUP($P588,'TA database'!$I$8:$J$79,2,FALSE)</f>
        <v>0</v>
      </c>
      <c r="U588">
        <v>0</v>
      </c>
      <c r="V588">
        <v>0</v>
      </c>
      <c r="W588">
        <v>0</v>
      </c>
      <c r="X588">
        <v>0</v>
      </c>
      <c r="Y588">
        <f t="shared" ca="1" si="1676"/>
        <v>0</v>
      </c>
      <c r="Z588" t="str">
        <f t="shared" ref="Z588" si="1686">CONCATENATE(AG588,"   →   ",AH588,"   →   ",AI588,"   →   ",AJ588)</f>
        <v>NG_SR_SML_D   →   D_GAS_STRG   →   H2_DSTRB_P   →   H2_FC_mCHP_HEAT</v>
      </c>
      <c r="AA588" t="str">
        <f t="shared" ref="AA588" si="1687">G588</f>
        <v>Building heat</v>
      </c>
      <c r="AB588" t="str">
        <f t="shared" ref="AB588" si="1688">J588</f>
        <v>Flexibility</v>
      </c>
      <c r="AC588">
        <f t="shared" ref="AC588" ca="1" si="1689">Y588</f>
        <v>0</v>
      </c>
      <c r="AD588">
        <v>529</v>
      </c>
      <c r="AE588" t="str">
        <f>IF(AND(ISNUMBER(SEARCH(O588,4)),ISNUMBER(SEARCH('(4) FCH pathway assessment'!$B$16,AB588)),ISNUMBER(SEARCH('(4) FCH pathway assessment'!$B$10,AA588))),AD588,"")</f>
        <v/>
      </c>
      <c r="AF588" t="str">
        <f t="shared" si="1633"/>
        <v/>
      </c>
      <c r="AG588" t="str">
        <f>VLOOKUP(C588,Assumptions!$B$116:$C$162,2,FALSE)</f>
        <v>NG_SR_SML_D</v>
      </c>
      <c r="AH588" t="str">
        <f>VLOOKUP(D588,Assumptions!$B$116:$C$162,2,FALSE)</f>
        <v>D_GAS_STRG</v>
      </c>
      <c r="AI588" t="str">
        <f>VLOOKUP(E588,Assumptions!$B$116:$C$162,2,FALSE)</f>
        <v>H2_DSTRB_P</v>
      </c>
      <c r="AJ588" t="str">
        <f>VLOOKUP(F588,Assumptions!$B$116:$C$162,2,FALSE)</f>
        <v>H2_FC_mCHP_HEAT</v>
      </c>
    </row>
    <row r="589" spans="2:36" x14ac:dyDescent="0.25">
      <c r="B589" t="s">
        <v>117</v>
      </c>
      <c r="C589" t="s">
        <v>53</v>
      </c>
      <c r="D589" t="s">
        <v>155</v>
      </c>
      <c r="E589" t="s">
        <v>65</v>
      </c>
      <c r="F589" t="s">
        <v>553</v>
      </c>
      <c r="G589" t="s">
        <v>132</v>
      </c>
      <c r="H589" t="s">
        <v>434</v>
      </c>
      <c r="I589" t="s">
        <v>32</v>
      </c>
      <c r="J589" t="s">
        <v>80</v>
      </c>
      <c r="K589">
        <f t="shared" ref="K589:K590" si="1690">SUMPRODUCT(($C$7:$C$18=$C589)*($D$6:$H$6=$D589)*($D$7:$H$18))</f>
        <v>0</v>
      </c>
      <c r="L589">
        <f t="shared" ref="L589:L590" si="1691">SUMPRODUCT(($C$19:$C$23=$D589)*($I$6:$O$6=$E589)*($I$19:$O$23))</f>
        <v>1</v>
      </c>
      <c r="M589">
        <f t="shared" ref="M589:M590" si="1692">SUMPRODUCT(($C$24:$C$30=$E589)*($P$6:$AI$6=$F589)*($P$24:$AI$30))</f>
        <v>0</v>
      </c>
      <c r="N589">
        <f t="shared" ref="N589:N590" si="1693">SUMPRODUCT(($C$31:$C$50=$F589)*($AJ$6:$AM$6=$G589)*($AJ$31:$AM$50))</f>
        <v>1</v>
      </c>
      <c r="O589">
        <f t="shared" ref="O589:O590" si="1694">K589+L589+M589+N589</f>
        <v>2</v>
      </c>
      <c r="P589" t="str">
        <f t="shared" ref="P589:P590" si="1695">CONCATENATE(C589,"-",J589)</f>
        <v>Medium centralized biomass gasification-Flexibility</v>
      </c>
      <c r="Q589" t="str">
        <f t="shared" ref="Q589:Q590" si="1696">CONCATENATE(D589,"-",J589)</f>
        <v>Central gas storage-Flexibility</v>
      </c>
      <c r="R589" t="str">
        <f t="shared" ref="R589:R590" si="1697">CONCATENATE(E589,"-",J589)</f>
        <v>Methanation-Flexibility</v>
      </c>
      <c r="S589" t="str">
        <f t="shared" ref="S589:S590" si="1698">CONCATENATE(F589,"-",J589)</f>
        <v>Micro-CHP with natural gas fuel cell (heat)-Flexibility</v>
      </c>
      <c r="T589">
        <f ca="1">VLOOKUP($P589,'TA database'!$I$8:$J$79,2,FALSE)</f>
        <v>0</v>
      </c>
      <c r="U589">
        <v>0</v>
      </c>
      <c r="V589">
        <v>0</v>
      </c>
      <c r="W589">
        <v>0</v>
      </c>
      <c r="X589">
        <v>0</v>
      </c>
      <c r="Y589">
        <f t="shared" ref="Y589" ca="1" si="1699">$T589</f>
        <v>0</v>
      </c>
      <c r="Z589" t="str">
        <f t="shared" ref="Z589:Z590" si="1700">CONCATENATE(AG589,"   →   ",AH589,"   →   ",AI589,"   →   ",AJ589)</f>
        <v>BIO_GSF_MED_C   →   C_GAS_STRG   →   METHANATION   →   NG_FC_mCHP_HEAT</v>
      </c>
      <c r="AA589" t="str">
        <f t="shared" ref="AA589:AA590" si="1701">G589</f>
        <v>Building heat</v>
      </c>
      <c r="AB589" t="str">
        <f t="shared" ref="AB589:AB590" si="1702">J589</f>
        <v>Flexibility</v>
      </c>
      <c r="AC589">
        <f t="shared" ref="AC589:AC590" ca="1" si="1703">Y589</f>
        <v>0</v>
      </c>
      <c r="AD589">
        <v>530</v>
      </c>
      <c r="AE589" t="str">
        <f>IF(AND(ISNUMBER(SEARCH(O589,4)),ISNUMBER(SEARCH('(4) FCH pathway assessment'!$B$16,AB589)),ISNUMBER(SEARCH('(4) FCH pathway assessment'!$B$10,AA589))),AD589,"")</f>
        <v/>
      </c>
      <c r="AF589" t="str">
        <f t="shared" si="1633"/>
        <v/>
      </c>
      <c r="AG589" t="str">
        <f>VLOOKUP(C589,Assumptions!$B$116:$C$162,2,FALSE)</f>
        <v>BIO_GSF_MED_C</v>
      </c>
      <c r="AH589" t="str">
        <f>VLOOKUP(D589,Assumptions!$B$116:$C$162,2,FALSE)</f>
        <v>C_GAS_STRG</v>
      </c>
      <c r="AI589" t="str">
        <f>VLOOKUP(E589,Assumptions!$B$116:$C$162,2,FALSE)</f>
        <v>METHANATION</v>
      </c>
      <c r="AJ589" t="str">
        <f>VLOOKUP(F589,Assumptions!$B$116:$C$162,2,FALSE)</f>
        <v>NG_FC_mCHP_HEAT</v>
      </c>
    </row>
    <row r="590" spans="2:36" x14ac:dyDescent="0.25">
      <c r="B590" t="s">
        <v>117</v>
      </c>
      <c r="C590" t="s">
        <v>54</v>
      </c>
      <c r="D590" t="s">
        <v>155</v>
      </c>
      <c r="E590" t="s">
        <v>65</v>
      </c>
      <c r="F590" t="s">
        <v>553</v>
      </c>
      <c r="G590" t="s">
        <v>132</v>
      </c>
      <c r="H590" t="s">
        <v>434</v>
      </c>
      <c r="I590" t="s">
        <v>32</v>
      </c>
      <c r="J590" t="s">
        <v>80</v>
      </c>
      <c r="K590">
        <f t="shared" si="1690"/>
        <v>0</v>
      </c>
      <c r="L590">
        <f t="shared" si="1691"/>
        <v>1</v>
      </c>
      <c r="M590">
        <f t="shared" si="1692"/>
        <v>0</v>
      </c>
      <c r="N590">
        <f t="shared" si="1693"/>
        <v>1</v>
      </c>
      <c r="O590">
        <f t="shared" si="1694"/>
        <v>2</v>
      </c>
      <c r="P590" t="str">
        <f t="shared" si="1695"/>
        <v>Medium centralized biomass gasification w/ CCS-Flexibility</v>
      </c>
      <c r="Q590" t="str">
        <f t="shared" si="1696"/>
        <v>Central gas storage-Flexibility</v>
      </c>
      <c r="R590" t="str">
        <f t="shared" si="1697"/>
        <v>Methanation-Flexibility</v>
      </c>
      <c r="S590" t="str">
        <f t="shared" si="1698"/>
        <v>Micro-CHP with natural gas fuel cell (heat)-Flexibility</v>
      </c>
      <c r="T590">
        <f ca="1">VLOOKUP($P590,'TA database'!$I$8:$J$79,2,FALSE)</f>
        <v>0</v>
      </c>
      <c r="U590">
        <v>0</v>
      </c>
      <c r="V590">
        <v>0</v>
      </c>
      <c r="W590">
        <v>0</v>
      </c>
      <c r="X590">
        <v>0</v>
      </c>
      <c r="Y590">
        <f t="shared" ref="Y590" ca="1" si="1704">$T590</f>
        <v>0</v>
      </c>
      <c r="Z590" t="str">
        <f t="shared" si="1700"/>
        <v>BIO_GSF_CCS_MED_C   →   C_GAS_STRG   →   METHANATION   →   NG_FC_mCHP_HEAT</v>
      </c>
      <c r="AA590" t="str">
        <f t="shared" si="1701"/>
        <v>Building heat</v>
      </c>
      <c r="AB590" t="str">
        <f t="shared" si="1702"/>
        <v>Flexibility</v>
      </c>
      <c r="AC590">
        <f t="shared" ca="1" si="1703"/>
        <v>0</v>
      </c>
      <c r="AD590">
        <v>531</v>
      </c>
      <c r="AE590" t="str">
        <f>IF(AND(ISNUMBER(SEARCH(O590,4)),ISNUMBER(SEARCH('(4) FCH pathway assessment'!$B$16,AB590)),ISNUMBER(SEARCH('(4) FCH pathway assessment'!$B$10,AA590))),AD590,"")</f>
        <v/>
      </c>
      <c r="AF590" t="str">
        <f t="shared" si="1633"/>
        <v/>
      </c>
      <c r="AG590" t="str">
        <f>VLOOKUP(C590,Assumptions!$B$116:$C$162,2,FALSE)</f>
        <v>BIO_GSF_CCS_MED_C</v>
      </c>
      <c r="AH590" t="str">
        <f>VLOOKUP(D590,Assumptions!$B$116:$C$162,2,FALSE)</f>
        <v>C_GAS_STRG</v>
      </c>
      <c r="AI590" t="str">
        <f>VLOOKUP(E590,Assumptions!$B$116:$C$162,2,FALSE)</f>
        <v>METHANATION</v>
      </c>
      <c r="AJ590" t="str">
        <f>VLOOKUP(F590,Assumptions!$B$116:$C$162,2,FALSE)</f>
        <v>NG_FC_mCHP_HEAT</v>
      </c>
    </row>
    <row r="591" spans="2:36" x14ac:dyDescent="0.25">
      <c r="B591" t="s">
        <v>117</v>
      </c>
      <c r="C591" t="s">
        <v>56</v>
      </c>
      <c r="D591" t="s">
        <v>62</v>
      </c>
      <c r="E591" t="s">
        <v>65</v>
      </c>
      <c r="F591" t="s">
        <v>553</v>
      </c>
      <c r="G591" t="s">
        <v>132</v>
      </c>
      <c r="H591" t="s">
        <v>434</v>
      </c>
      <c r="I591" t="s">
        <v>32</v>
      </c>
      <c r="J591" t="s">
        <v>80</v>
      </c>
      <c r="K591">
        <f t="shared" ref="K591" si="1705">SUMPRODUCT(($C$7:$C$18=$C591)*($D$6:$H$6=$D591)*($D$7:$H$18))</f>
        <v>0</v>
      </c>
      <c r="L591">
        <f t="shared" ref="L591" si="1706">SUMPRODUCT(($C$19:$C$23=$D591)*($I$6:$O$6=$E591)*($I$19:$O$23))</f>
        <v>0</v>
      </c>
      <c r="M591">
        <f t="shared" ref="M591" si="1707">SUMPRODUCT(($C$24:$C$30=$E591)*($P$6:$AI$6=$F591)*($P$24:$AI$30))</f>
        <v>0</v>
      </c>
      <c r="N591">
        <f t="shared" ref="N591" si="1708">SUMPRODUCT(($C$31:$C$50=$F591)*($AJ$6:$AM$6=$G591)*($AJ$31:$AM$50))</f>
        <v>1</v>
      </c>
      <c r="O591">
        <f t="shared" ref="O591" si="1709">K591+L591+M591+N591</f>
        <v>1</v>
      </c>
      <c r="P591" t="str">
        <f t="shared" ref="P591" si="1710">CONCATENATE(C591,"-",J591)</f>
        <v>Large centralized biomass steam reforming -Flexibility</v>
      </c>
      <c r="Q591" t="str">
        <f t="shared" ref="Q591" si="1711">CONCATENATE(D591,"-",J591)</f>
        <v>Underground storage-Flexibility</v>
      </c>
      <c r="R591" t="str">
        <f t="shared" ref="R591" si="1712">CONCATENATE(E591,"-",J591)</f>
        <v>Methanation-Flexibility</v>
      </c>
      <c r="S591" t="str">
        <f t="shared" ref="S591" si="1713">CONCATENATE(F591,"-",J591)</f>
        <v>Micro-CHP with natural gas fuel cell (heat)-Flexibility</v>
      </c>
      <c r="T591">
        <f ca="1">VLOOKUP($P591,'TA database'!$I$8:$J$79,2,FALSE)</f>
        <v>0</v>
      </c>
      <c r="U591">
        <v>0</v>
      </c>
      <c r="V591">
        <v>0</v>
      </c>
      <c r="W591">
        <v>0</v>
      </c>
      <c r="X591">
        <v>0</v>
      </c>
      <c r="Y591">
        <f t="shared" ref="Y591" ca="1" si="1714">$T591</f>
        <v>0</v>
      </c>
      <c r="Z591" t="str">
        <f t="shared" ref="Z591" si="1715">CONCATENATE(AG591,"   →   ",AH591,"   →   ",AI591,"   →   ",AJ591)</f>
        <v>BIO_SR_LRG_C   →   C_UNDRGRND_STRG   →   METHANATION   →   NG_FC_mCHP_HEAT</v>
      </c>
      <c r="AA591" t="str">
        <f t="shared" ref="AA591" si="1716">G591</f>
        <v>Building heat</v>
      </c>
      <c r="AB591" t="str">
        <f t="shared" ref="AB591" si="1717">J591</f>
        <v>Flexibility</v>
      </c>
      <c r="AC591">
        <f t="shared" ref="AC591" ca="1" si="1718">Y591</f>
        <v>0</v>
      </c>
      <c r="AD591">
        <v>532</v>
      </c>
      <c r="AE591" t="str">
        <f>IF(AND(ISNUMBER(SEARCH(O591,4)),ISNUMBER(SEARCH('(4) FCH pathway assessment'!$B$16,AB591)),ISNUMBER(SEARCH('(4) FCH pathway assessment'!$B$10,AA591))),AD591,"")</f>
        <v/>
      </c>
      <c r="AF591" t="str">
        <f t="shared" si="1633"/>
        <v/>
      </c>
      <c r="AG591" t="str">
        <f>VLOOKUP(C591,Assumptions!$B$116:$C$162,2,FALSE)</f>
        <v>BIO_SR_LRG_C</v>
      </c>
      <c r="AH591" t="str">
        <f>VLOOKUP(D591,Assumptions!$B$116:$C$162,2,FALSE)</f>
        <v>C_UNDRGRND_STRG</v>
      </c>
      <c r="AI591" t="str">
        <f>VLOOKUP(E591,Assumptions!$B$116:$C$162,2,FALSE)</f>
        <v>METHANATION</v>
      </c>
      <c r="AJ591" t="str">
        <f>VLOOKUP(F591,Assumptions!$B$116:$C$162,2,FALSE)</f>
        <v>NG_FC_mCHP_HEAT</v>
      </c>
    </row>
    <row r="592" spans="2:36" x14ac:dyDescent="0.25">
      <c r="B592" t="s">
        <v>112</v>
      </c>
      <c r="C592" t="s">
        <v>49</v>
      </c>
      <c r="D592" t="s">
        <v>62</v>
      </c>
      <c r="E592" t="s">
        <v>65</v>
      </c>
      <c r="F592" t="s">
        <v>553</v>
      </c>
      <c r="G592" t="s">
        <v>132</v>
      </c>
      <c r="H592" t="s">
        <v>434</v>
      </c>
      <c r="I592" t="s">
        <v>32</v>
      </c>
      <c r="J592" t="s">
        <v>80</v>
      </c>
      <c r="K592">
        <f t="shared" ref="K592:K594" si="1719">SUMPRODUCT(($C$7:$C$18=$C592)*($D$6:$H$6=$D592)*($D$7:$H$18))</f>
        <v>1</v>
      </c>
      <c r="L592">
        <f t="shared" ref="L592:L594" si="1720">SUMPRODUCT(($C$19:$C$23=$D592)*($I$6:$O$6=$E592)*($I$19:$O$23))</f>
        <v>0</v>
      </c>
      <c r="M592">
        <f t="shared" ref="M592:M594" si="1721">SUMPRODUCT(($C$24:$C$30=$E592)*($P$6:$AI$6=$F592)*($P$24:$AI$30))</f>
        <v>0</v>
      </c>
      <c r="N592">
        <f t="shared" ref="N592:N594" si="1722">SUMPRODUCT(($C$31:$C$50=$F592)*($AJ$6:$AM$6=$G592)*($AJ$31:$AM$50))</f>
        <v>1</v>
      </c>
      <c r="O592">
        <f t="shared" ref="O592:O594" si="1723">K592+L592+M592+N592</f>
        <v>2</v>
      </c>
      <c r="P592" t="str">
        <f t="shared" ref="P592:P594" si="1724">CONCATENATE(C592,"-",J592)</f>
        <v>Large centralized electrolysis-Flexibility</v>
      </c>
      <c r="Q592" t="str">
        <f t="shared" ref="Q592:Q594" si="1725">CONCATENATE(D592,"-",J592)</f>
        <v>Underground storage-Flexibility</v>
      </c>
      <c r="R592" t="str">
        <f t="shared" ref="R592:R594" si="1726">CONCATENATE(E592,"-",J592)</f>
        <v>Methanation-Flexibility</v>
      </c>
      <c r="S592" t="str">
        <f t="shared" ref="S592:S594" si="1727">CONCATENATE(F592,"-",J592)</f>
        <v>Micro-CHP with natural gas fuel cell (heat)-Flexibility</v>
      </c>
      <c r="T592">
        <f ca="1">VLOOKUP($P592,'TA database'!$I$8:$J$79,2,FALSE)</f>
        <v>1</v>
      </c>
      <c r="U592">
        <v>0</v>
      </c>
      <c r="V592">
        <v>0</v>
      </c>
      <c r="W592">
        <v>0</v>
      </c>
      <c r="X592">
        <v>0</v>
      </c>
      <c r="Y592">
        <f t="shared" ref="Y592:Y594" ca="1" si="1728">$T592</f>
        <v>1</v>
      </c>
      <c r="Z592" t="str">
        <f t="shared" ref="Z592:Z594" si="1729">CONCATENATE(AG592,"   →   ",AH592,"   →   ",AI592,"   →   ",AJ592)</f>
        <v>ELCTRLYZ_LRG_C   →   C_UNDRGRND_STRG   →   METHANATION   →   NG_FC_mCHP_HEAT</v>
      </c>
      <c r="AA592" t="str">
        <f t="shared" ref="AA592:AA594" si="1730">G592</f>
        <v>Building heat</v>
      </c>
      <c r="AB592" t="str">
        <f t="shared" ref="AB592:AB594" si="1731">J592</f>
        <v>Flexibility</v>
      </c>
      <c r="AC592">
        <f t="shared" ref="AC592:AC594" ca="1" si="1732">Y592</f>
        <v>1</v>
      </c>
      <c r="AD592">
        <v>533</v>
      </c>
      <c r="AE592" t="str">
        <f>IF(AND(ISNUMBER(SEARCH(O592,4)),ISNUMBER(SEARCH('(4) FCH pathway assessment'!$B$16,AB592)),ISNUMBER(SEARCH('(4) FCH pathway assessment'!$B$10,AA592))),AD592,"")</f>
        <v/>
      </c>
      <c r="AF592" t="str">
        <f t="shared" si="1633"/>
        <v/>
      </c>
      <c r="AG592" t="str">
        <f>VLOOKUP(C592,Assumptions!$B$116:$C$162,2,FALSE)</f>
        <v>ELCTRLYZ_LRG_C</v>
      </c>
      <c r="AH592" t="str">
        <f>VLOOKUP(D592,Assumptions!$B$116:$C$162,2,FALSE)</f>
        <v>C_UNDRGRND_STRG</v>
      </c>
      <c r="AI592" t="str">
        <f>VLOOKUP(E592,Assumptions!$B$116:$C$162,2,FALSE)</f>
        <v>METHANATION</v>
      </c>
      <c r="AJ592" t="str">
        <f>VLOOKUP(F592,Assumptions!$B$116:$C$162,2,FALSE)</f>
        <v>NG_FC_mCHP_HEAT</v>
      </c>
    </row>
    <row r="593" spans="2:36" x14ac:dyDescent="0.25">
      <c r="B593" t="s">
        <v>112</v>
      </c>
      <c r="C593" t="s">
        <v>49</v>
      </c>
      <c r="D593" t="s">
        <v>155</v>
      </c>
      <c r="E593" t="s">
        <v>65</v>
      </c>
      <c r="F593" t="s">
        <v>553</v>
      </c>
      <c r="G593" t="s">
        <v>132</v>
      </c>
      <c r="H593" t="s">
        <v>434</v>
      </c>
      <c r="I593" t="s">
        <v>32</v>
      </c>
      <c r="J593" t="s">
        <v>80</v>
      </c>
      <c r="K593">
        <f t="shared" si="1719"/>
        <v>1</v>
      </c>
      <c r="L593">
        <f t="shared" si="1720"/>
        <v>1</v>
      </c>
      <c r="M593">
        <f t="shared" si="1721"/>
        <v>0</v>
      </c>
      <c r="N593">
        <f t="shared" si="1722"/>
        <v>1</v>
      </c>
      <c r="O593">
        <f t="shared" si="1723"/>
        <v>3</v>
      </c>
      <c r="P593" t="str">
        <f t="shared" si="1724"/>
        <v>Large centralized electrolysis-Flexibility</v>
      </c>
      <c r="Q593" t="str">
        <f t="shared" si="1725"/>
        <v>Central gas storage-Flexibility</v>
      </c>
      <c r="R593" t="str">
        <f t="shared" si="1726"/>
        <v>Methanation-Flexibility</v>
      </c>
      <c r="S593" t="str">
        <f t="shared" si="1727"/>
        <v>Micro-CHP with natural gas fuel cell (heat)-Flexibility</v>
      </c>
      <c r="T593">
        <f ca="1">VLOOKUP($P593,'TA database'!$I$8:$J$79,2,FALSE)</f>
        <v>1</v>
      </c>
      <c r="U593">
        <v>0</v>
      </c>
      <c r="V593">
        <v>0</v>
      </c>
      <c r="W593">
        <v>0</v>
      </c>
      <c r="X593">
        <v>0</v>
      </c>
      <c r="Y593">
        <f t="shared" ca="1" si="1728"/>
        <v>1</v>
      </c>
      <c r="Z593" t="str">
        <f t="shared" si="1729"/>
        <v>ELCTRLYZ_LRG_C   →   C_GAS_STRG   →   METHANATION   →   NG_FC_mCHP_HEAT</v>
      </c>
      <c r="AA593" t="str">
        <f t="shared" si="1730"/>
        <v>Building heat</v>
      </c>
      <c r="AB593" t="str">
        <f t="shared" si="1731"/>
        <v>Flexibility</v>
      </c>
      <c r="AC593">
        <f t="shared" ca="1" si="1732"/>
        <v>1</v>
      </c>
      <c r="AD593">
        <v>534</v>
      </c>
      <c r="AE593" t="str">
        <f>IF(AND(ISNUMBER(SEARCH(O593,4)),ISNUMBER(SEARCH('(4) FCH pathway assessment'!$B$16,AB593)),ISNUMBER(SEARCH('(4) FCH pathway assessment'!$B$10,AA593))),AD593,"")</f>
        <v/>
      </c>
      <c r="AF593" t="str">
        <f t="shared" si="1633"/>
        <v/>
      </c>
      <c r="AG593" t="str">
        <f>VLOOKUP(C593,Assumptions!$B$116:$C$162,2,FALSE)</f>
        <v>ELCTRLYZ_LRG_C</v>
      </c>
      <c r="AH593" t="str">
        <f>VLOOKUP(D593,Assumptions!$B$116:$C$162,2,FALSE)</f>
        <v>C_GAS_STRG</v>
      </c>
      <c r="AI593" t="str">
        <f>VLOOKUP(E593,Assumptions!$B$116:$C$162,2,FALSE)</f>
        <v>METHANATION</v>
      </c>
      <c r="AJ593" t="str">
        <f>VLOOKUP(F593,Assumptions!$B$116:$C$162,2,FALSE)</f>
        <v>NG_FC_mCHP_HEAT</v>
      </c>
    </row>
    <row r="594" spans="2:36" x14ac:dyDescent="0.25">
      <c r="B594" t="s">
        <v>112</v>
      </c>
      <c r="C594" t="s">
        <v>51</v>
      </c>
      <c r="D594" t="s">
        <v>155</v>
      </c>
      <c r="E594" t="s">
        <v>65</v>
      </c>
      <c r="F594" t="s">
        <v>553</v>
      </c>
      <c r="G594" t="s">
        <v>132</v>
      </c>
      <c r="H594" t="s">
        <v>434</v>
      </c>
      <c r="I594" t="s">
        <v>32</v>
      </c>
      <c r="J594" t="s">
        <v>80</v>
      </c>
      <c r="K594">
        <f t="shared" si="1719"/>
        <v>1</v>
      </c>
      <c r="L594">
        <f t="shared" si="1720"/>
        <v>1</v>
      </c>
      <c r="M594">
        <f t="shared" si="1721"/>
        <v>0</v>
      </c>
      <c r="N594">
        <f t="shared" si="1722"/>
        <v>1</v>
      </c>
      <c r="O594">
        <f t="shared" si="1723"/>
        <v>3</v>
      </c>
      <c r="P594" t="str">
        <f t="shared" si="1724"/>
        <v>Medium centralized electrolysis-Flexibility</v>
      </c>
      <c r="Q594" t="str">
        <f t="shared" si="1725"/>
        <v>Central gas storage-Flexibility</v>
      </c>
      <c r="R594" t="str">
        <f t="shared" si="1726"/>
        <v>Methanation-Flexibility</v>
      </c>
      <c r="S594" t="str">
        <f t="shared" si="1727"/>
        <v>Micro-CHP with natural gas fuel cell (heat)-Flexibility</v>
      </c>
      <c r="T594">
        <f ca="1">VLOOKUP($P594,'TA database'!$I$8:$J$79,2,FALSE)</f>
        <v>1</v>
      </c>
      <c r="U594">
        <v>0</v>
      </c>
      <c r="V594">
        <v>0</v>
      </c>
      <c r="W594">
        <v>0</v>
      </c>
      <c r="X594">
        <v>0</v>
      </c>
      <c r="Y594">
        <f t="shared" ca="1" si="1728"/>
        <v>1</v>
      </c>
      <c r="Z594" t="str">
        <f t="shared" si="1729"/>
        <v>ELCTRLYZ_MED_C   →   C_GAS_STRG   →   METHANATION   →   NG_FC_mCHP_HEAT</v>
      </c>
      <c r="AA594" t="str">
        <f t="shared" si="1730"/>
        <v>Building heat</v>
      </c>
      <c r="AB594" t="str">
        <f t="shared" si="1731"/>
        <v>Flexibility</v>
      </c>
      <c r="AC594">
        <f t="shared" ca="1" si="1732"/>
        <v>1</v>
      </c>
      <c r="AD594">
        <v>535</v>
      </c>
      <c r="AE594" t="str">
        <f>IF(AND(ISNUMBER(SEARCH(O594,4)),ISNUMBER(SEARCH('(4) FCH pathway assessment'!$B$16,AB594)),ISNUMBER(SEARCH('(4) FCH pathway assessment'!$B$10,AA594))),AD594,"")</f>
        <v/>
      </c>
      <c r="AF594" t="str">
        <f t="shared" si="1633"/>
        <v/>
      </c>
      <c r="AG594" t="str">
        <f>VLOOKUP(C594,Assumptions!$B$116:$C$162,2,FALSE)</f>
        <v>ELCTRLYZ_MED_C</v>
      </c>
      <c r="AH594" t="str">
        <f>VLOOKUP(D594,Assumptions!$B$116:$C$162,2,FALSE)</f>
        <v>C_GAS_STRG</v>
      </c>
      <c r="AI594" t="str">
        <f>VLOOKUP(E594,Assumptions!$B$116:$C$162,2,FALSE)</f>
        <v>METHANATION</v>
      </c>
      <c r="AJ594" t="str">
        <f>VLOOKUP(F594,Assumptions!$B$116:$C$162,2,FALSE)</f>
        <v>NG_FC_mCHP_HEAT</v>
      </c>
    </row>
    <row r="595" spans="2:36" x14ac:dyDescent="0.25">
      <c r="B595" t="s">
        <v>127</v>
      </c>
      <c r="C595" t="s">
        <v>57</v>
      </c>
      <c r="D595" t="s">
        <v>62</v>
      </c>
      <c r="E595" t="s">
        <v>65</v>
      </c>
      <c r="F595" t="s">
        <v>553</v>
      </c>
      <c r="G595" t="s">
        <v>132</v>
      </c>
      <c r="H595" t="s">
        <v>434</v>
      </c>
      <c r="I595" t="s">
        <v>32</v>
      </c>
      <c r="J595" t="s">
        <v>80</v>
      </c>
      <c r="K595">
        <f t="shared" ref="K595" si="1733">SUMPRODUCT(($C$7:$C$18=$C595)*($D$6:$H$6=$D595)*($D$7:$H$18))</f>
        <v>1</v>
      </c>
      <c r="L595">
        <f t="shared" ref="L595" si="1734">SUMPRODUCT(($C$19:$C$23=$D595)*($I$6:$O$6=$E595)*($I$19:$O$23))</f>
        <v>0</v>
      </c>
      <c r="M595">
        <f t="shared" ref="M595" si="1735">SUMPRODUCT(($C$24:$C$30=$E595)*($P$6:$AI$6=$F595)*($P$24:$AI$30))</f>
        <v>0</v>
      </c>
      <c r="N595">
        <f t="shared" ref="N595" si="1736">SUMPRODUCT(($C$31:$C$50=$F595)*($AJ$6:$AM$6=$G595)*($AJ$31:$AM$50))</f>
        <v>1</v>
      </c>
      <c r="O595">
        <f t="shared" ref="O595" si="1737">K595+L595+M595+N595</f>
        <v>2</v>
      </c>
      <c r="P595" t="str">
        <f t="shared" ref="P595" si="1738">CONCATENATE(C595,"-",J595)</f>
        <v>Large centralized natural gas steam reforming-Flexibility</v>
      </c>
      <c r="Q595" t="str">
        <f t="shared" ref="Q595" si="1739">CONCATENATE(D595,"-",J595)</f>
        <v>Underground storage-Flexibility</v>
      </c>
      <c r="R595" t="str">
        <f t="shared" ref="R595" si="1740">CONCATENATE(E595,"-",J595)</f>
        <v>Methanation-Flexibility</v>
      </c>
      <c r="S595" t="str">
        <f t="shared" ref="S595" si="1741">CONCATENATE(F595,"-",J595)</f>
        <v>Micro-CHP with natural gas fuel cell (heat)-Flexibility</v>
      </c>
      <c r="T595">
        <f ca="1">VLOOKUP($P595,'TA database'!$I$8:$J$79,2,FALSE)</f>
        <v>0</v>
      </c>
      <c r="U595">
        <v>0</v>
      </c>
      <c r="V595">
        <v>0</v>
      </c>
      <c r="W595">
        <v>0</v>
      </c>
      <c r="X595">
        <v>0</v>
      </c>
      <c r="Y595">
        <f t="shared" ref="Y595" ca="1" si="1742">$T595</f>
        <v>0</v>
      </c>
      <c r="Z595" t="str">
        <f t="shared" ref="Z595" si="1743">CONCATENATE(AG595,"   →   ",AH595,"   →   ",AI595,"   →   ",AJ595)</f>
        <v>NG_SR_LRG_C   →   C_UNDRGRND_STRG   →   METHANATION   →   NG_FC_mCHP_HEAT</v>
      </c>
      <c r="AA595" t="str">
        <f t="shared" ref="AA595" si="1744">G595</f>
        <v>Building heat</v>
      </c>
      <c r="AB595" t="str">
        <f t="shared" ref="AB595" si="1745">J595</f>
        <v>Flexibility</v>
      </c>
      <c r="AC595">
        <f t="shared" ref="AC595" ca="1" si="1746">Y595</f>
        <v>0</v>
      </c>
      <c r="AD595">
        <v>536</v>
      </c>
      <c r="AE595" t="str">
        <f>IF(AND(ISNUMBER(SEARCH(O595,4)),ISNUMBER(SEARCH('(4) FCH pathway assessment'!$B$16,AB595)),ISNUMBER(SEARCH('(4) FCH pathway assessment'!$B$10,AA595))),AD595,"")</f>
        <v/>
      </c>
      <c r="AF595" t="str">
        <f t="shared" si="1633"/>
        <v/>
      </c>
      <c r="AG595" t="str">
        <f>VLOOKUP(C595,Assumptions!$B$116:$C$162,2,FALSE)</f>
        <v>NG_SR_LRG_C</v>
      </c>
      <c r="AH595" t="str">
        <f>VLOOKUP(D595,Assumptions!$B$116:$C$162,2,FALSE)</f>
        <v>C_UNDRGRND_STRG</v>
      </c>
      <c r="AI595" t="str">
        <f>VLOOKUP(E595,Assumptions!$B$116:$C$162,2,FALSE)</f>
        <v>METHANATION</v>
      </c>
      <c r="AJ595" t="str">
        <f>VLOOKUP(F595,Assumptions!$B$116:$C$162,2,FALSE)</f>
        <v>NG_FC_mCHP_HEAT</v>
      </c>
    </row>
    <row r="596" spans="2:36" x14ac:dyDescent="0.25">
      <c r="B596" t="s">
        <v>127</v>
      </c>
      <c r="C596" t="s">
        <v>58</v>
      </c>
      <c r="D596" t="s">
        <v>155</v>
      </c>
      <c r="E596" t="s">
        <v>65</v>
      </c>
      <c r="F596" t="s">
        <v>553</v>
      </c>
      <c r="G596" t="s">
        <v>132</v>
      </c>
      <c r="H596" t="s">
        <v>434</v>
      </c>
      <c r="I596" t="s">
        <v>32</v>
      </c>
      <c r="J596" t="s">
        <v>80</v>
      </c>
      <c r="K596">
        <f t="shared" ref="K596" si="1747">SUMPRODUCT(($C$7:$C$18=$C596)*($D$6:$H$6=$D596)*($D$7:$H$18))</f>
        <v>1</v>
      </c>
      <c r="L596">
        <f t="shared" ref="L596" si="1748">SUMPRODUCT(($C$19:$C$23=$D596)*($I$6:$O$6=$E596)*($I$19:$O$23))</f>
        <v>1</v>
      </c>
      <c r="M596">
        <f t="shared" ref="M596" si="1749">SUMPRODUCT(($C$24:$C$30=$E596)*($P$6:$AI$6=$F596)*($P$24:$AI$30))</f>
        <v>0</v>
      </c>
      <c r="N596">
        <f t="shared" ref="N596" si="1750">SUMPRODUCT(($C$31:$C$50=$F596)*($AJ$6:$AM$6=$G596)*($AJ$31:$AM$50))</f>
        <v>1</v>
      </c>
      <c r="O596">
        <f t="shared" ref="O596" si="1751">K596+L596+M596+N596</f>
        <v>3</v>
      </c>
      <c r="P596" t="str">
        <f t="shared" ref="P596" si="1752">CONCATENATE(C596,"-",J596)</f>
        <v>Small centralized natural gas steam reforming-Flexibility</v>
      </c>
      <c r="Q596" t="str">
        <f t="shared" ref="Q596" si="1753">CONCATENATE(D596,"-",J596)</f>
        <v>Central gas storage-Flexibility</v>
      </c>
      <c r="R596" t="str">
        <f t="shared" ref="R596" si="1754">CONCATENATE(E596,"-",J596)</f>
        <v>Methanation-Flexibility</v>
      </c>
      <c r="S596" t="str">
        <f t="shared" ref="S596" si="1755">CONCATENATE(F596,"-",J596)</f>
        <v>Micro-CHP with natural gas fuel cell (heat)-Flexibility</v>
      </c>
      <c r="T596">
        <f ca="1">VLOOKUP($P596,'TA database'!$I$8:$J$79,2,FALSE)</f>
        <v>0</v>
      </c>
      <c r="U596">
        <v>0</v>
      </c>
      <c r="V596">
        <v>0</v>
      </c>
      <c r="W596">
        <v>0</v>
      </c>
      <c r="X596">
        <v>0</v>
      </c>
      <c r="Y596">
        <f t="shared" ref="Y596" ca="1" si="1756">$T596</f>
        <v>0</v>
      </c>
      <c r="Z596" t="str">
        <f t="shared" ref="Z596" si="1757">CONCATENATE(AG596,"   →   ",AH596,"   →   ",AI596,"   →   ",AJ596)</f>
        <v>NG_SR_SML_C   →   C_GAS_STRG   →   METHANATION   →   NG_FC_mCHP_HEAT</v>
      </c>
      <c r="AA596" t="str">
        <f t="shared" ref="AA596" si="1758">G596</f>
        <v>Building heat</v>
      </c>
      <c r="AB596" t="str">
        <f t="shared" ref="AB596" si="1759">J596</f>
        <v>Flexibility</v>
      </c>
      <c r="AC596">
        <f t="shared" ref="AC596" ca="1" si="1760">Y596</f>
        <v>0</v>
      </c>
      <c r="AD596">
        <v>537</v>
      </c>
      <c r="AE596" t="str">
        <f>IF(AND(ISNUMBER(SEARCH(O596,4)),ISNUMBER(SEARCH('(4) FCH pathway assessment'!$B$16,AB596)),ISNUMBER(SEARCH('(4) FCH pathway assessment'!$B$10,AA596))),AD596,"")</f>
        <v/>
      </c>
      <c r="AF596" t="str">
        <f t="shared" si="1633"/>
        <v/>
      </c>
      <c r="AG596" t="str">
        <f>VLOOKUP(C596,Assumptions!$B$116:$C$162,2,FALSE)</f>
        <v>NG_SR_SML_C</v>
      </c>
      <c r="AH596" t="str">
        <f>VLOOKUP(D596,Assumptions!$B$116:$C$162,2,FALSE)</f>
        <v>C_GAS_STRG</v>
      </c>
      <c r="AI596" t="str">
        <f>VLOOKUP(E596,Assumptions!$B$116:$C$162,2,FALSE)</f>
        <v>METHANATION</v>
      </c>
      <c r="AJ596" t="str">
        <f>VLOOKUP(F596,Assumptions!$B$116:$C$162,2,FALSE)</f>
        <v>NG_FC_mCHP_HEAT</v>
      </c>
    </row>
    <row r="597" spans="2:36" x14ac:dyDescent="0.25">
      <c r="B597" t="s">
        <v>127</v>
      </c>
      <c r="C597" t="s">
        <v>174</v>
      </c>
      <c r="D597" s="61" t="s">
        <v>177</v>
      </c>
      <c r="E597" t="s">
        <v>180</v>
      </c>
      <c r="F597" t="s">
        <v>553</v>
      </c>
      <c r="G597" t="s">
        <v>132</v>
      </c>
      <c r="H597" t="s">
        <v>434</v>
      </c>
      <c r="I597" t="s">
        <v>32</v>
      </c>
      <c r="J597" t="s">
        <v>80</v>
      </c>
      <c r="K597">
        <f t="shared" ref="K597:K601" si="1761">SUMPRODUCT(($C$7:$C$18=$C597)*($D$6:$H$6=$D597)*($D$7:$H$18))</f>
        <v>1</v>
      </c>
      <c r="L597">
        <f t="shared" ref="L597:L601" si="1762">SUMPRODUCT(($C$19:$C$23=$D597)*($I$6:$O$6=$E597)*($I$19:$O$23))</f>
        <v>1</v>
      </c>
      <c r="M597">
        <f t="shared" ref="M597:M601" si="1763">SUMPRODUCT(($C$24:$C$30=$E597)*($P$6:$AI$6=$F597)*($P$24:$AI$30))</f>
        <v>1</v>
      </c>
      <c r="N597">
        <f t="shared" ref="N597:N601" si="1764">SUMPRODUCT(($C$31:$C$50=$F597)*($AJ$6:$AM$6=$G597)*($AJ$31:$AM$50))</f>
        <v>1</v>
      </c>
      <c r="O597">
        <f t="shared" ref="O597:O601" si="1765">K597+L597+M597+N597</f>
        <v>4</v>
      </c>
      <c r="P597" t="str">
        <f t="shared" ref="P597:P601" si="1766">CONCATENATE(C597,"-",J597)</f>
        <v>Natural gas production-Flexibility</v>
      </c>
      <c r="Q597" t="str">
        <f t="shared" ref="Q597:Q601" si="1767">CONCATENATE(D597,"-",J597)</f>
        <v>Natural gas storage-Flexibility</v>
      </c>
      <c r="R597" t="str">
        <f t="shared" ref="R597:R601" si="1768">CONCATENATE(E597,"-",J597)</f>
        <v>Natural gas transport-Flexibility</v>
      </c>
      <c r="S597" t="str">
        <f t="shared" ref="S597:S601" si="1769">CONCATENATE(F597,"-",J597)</f>
        <v>Micro-CHP with natural gas fuel cell (heat)-Flexibility</v>
      </c>
      <c r="T597">
        <f ca="1">VLOOKUP($P597,'TA database'!$I$8:$J$79,2,FALSE)</f>
        <v>0</v>
      </c>
      <c r="U597">
        <v>0</v>
      </c>
      <c r="V597">
        <v>0</v>
      </c>
      <c r="W597">
        <v>0</v>
      </c>
      <c r="X597">
        <v>0</v>
      </c>
      <c r="Y597">
        <f t="shared" ref="Y597" ca="1" si="1770">$T597</f>
        <v>0</v>
      </c>
      <c r="Z597" t="str">
        <f t="shared" ref="Z597:Z601" si="1771">CONCATENATE(AG597,"   →   ",AH597,"   →   ",AI597,"   →   ",AJ597)</f>
        <v>[NG_PROD]   →   [NG_STRG]   →   [NG_TRNSP]   →   NG_FC_mCHP_HEAT</v>
      </c>
      <c r="AA597" t="str">
        <f t="shared" ref="AA597:AA601" si="1772">G597</f>
        <v>Building heat</v>
      </c>
      <c r="AB597" t="str">
        <f t="shared" ref="AB597:AB601" si="1773">J597</f>
        <v>Flexibility</v>
      </c>
      <c r="AC597">
        <f t="shared" ref="AC597:AC601" ca="1" si="1774">Y597</f>
        <v>0</v>
      </c>
      <c r="AD597">
        <v>538</v>
      </c>
      <c r="AE597" t="str">
        <f>IF(AND(ISNUMBER(SEARCH(O597,4)),ISNUMBER(SEARCH('(4) FCH pathway assessment'!$B$16,AB597)),ISNUMBER(SEARCH('(4) FCH pathway assessment'!$B$10,AA597))),AD597,"")</f>
        <v/>
      </c>
      <c r="AF597" t="str">
        <f t="shared" si="1633"/>
        <v/>
      </c>
      <c r="AG597" t="str">
        <f>VLOOKUP(C597,Assumptions!$B$116:$C$162,2,FALSE)</f>
        <v>[NG_PROD]</v>
      </c>
      <c r="AH597" t="str">
        <f>VLOOKUP(D597,Assumptions!$B$116:$C$162,2,FALSE)</f>
        <v>[NG_STRG]</v>
      </c>
      <c r="AI597" t="str">
        <f>VLOOKUP(E597,Assumptions!$B$116:$C$162,2,FALSE)</f>
        <v>[NG_TRNSP]</v>
      </c>
      <c r="AJ597" t="str">
        <f>VLOOKUP(F597,Assumptions!$B$116:$C$162,2,FALSE)</f>
        <v>NG_FC_mCHP_HEAT</v>
      </c>
    </row>
    <row r="598" spans="2:36" x14ac:dyDescent="0.25">
      <c r="B598" t="s">
        <v>117</v>
      </c>
      <c r="C598" t="s">
        <v>53</v>
      </c>
      <c r="D598" t="s">
        <v>155</v>
      </c>
      <c r="E598" t="s">
        <v>157</v>
      </c>
      <c r="F598" t="s">
        <v>570</v>
      </c>
      <c r="G598" t="s">
        <v>120</v>
      </c>
      <c r="H598" t="s">
        <v>432</v>
      </c>
      <c r="I598" t="s">
        <v>32</v>
      </c>
      <c r="J598" t="s">
        <v>72</v>
      </c>
      <c r="K598">
        <f t="shared" si="1761"/>
        <v>0</v>
      </c>
      <c r="L598">
        <f t="shared" si="1762"/>
        <v>1</v>
      </c>
      <c r="M598">
        <f t="shared" si="1763"/>
        <v>0</v>
      </c>
      <c r="N598">
        <f t="shared" si="1764"/>
        <v>1</v>
      </c>
      <c r="O598">
        <f t="shared" si="1765"/>
        <v>2</v>
      </c>
      <c r="P598" t="str">
        <f t="shared" si="1766"/>
        <v>Medium centralized biomass gasification-Levelized cost</v>
      </c>
      <c r="Q598" t="str">
        <f t="shared" si="1767"/>
        <v>Central gas storage-Levelized cost</v>
      </c>
      <c r="R598" t="str">
        <f t="shared" si="1768"/>
        <v>Blending in natural gas pipeline-Levelized cost</v>
      </c>
      <c r="S598" t="str">
        <f t="shared" si="1769"/>
        <v>Industrial H2 boiler-Levelized cost</v>
      </c>
      <c r="T598">
        <f ca="1">IF(timePeriod="2020-30",(VLOOKUP($P598,'TA database'!$I$8:$J$79,2,FALSE)/VLOOKUP($D598,'Merit calculation'!$B$48:$I$52,5,FALSE)/VLOOKUP($E598,'Merit calculation'!$B$67:$I$73,5,FALSE)/VLOOKUP($F598,'Merit calculation'!$B$90:$I$103,5,FALSE)/energyContentH2),(VLOOKUP($P598,'TA database'!$I$8:$J$79,2,FALSE)/VLOOKUP($D598,'Merit calculation'!$B$48:$I$52,7,FALSE)/VLOOKUP($E598,'Merit calculation'!$B$67:$I$73,7,FALSE)/VLOOKUP($F598,'Merit calculation'!$B$90:$I$103,7,FALSE)/energyContentH2))</f>
        <v>1.1853587268752056E-2</v>
      </c>
      <c r="U598">
        <f ca="1">IF(timePeriod="2020-30",(VLOOKUP($Q598,'TA database'!$I$86:$J$105,2,FALSE)/VLOOKUP($E598,'Merit calculation'!$B$67:$I$73,5,FALSE)/VLOOKUP($F598,'Merit calculation'!$B$90:$I$104,5,FALSE)/energyContentH2),VLOOKUP($Q598,'TA database'!$I$86:$J$105,2,FALSE)/VLOOKUP($E598,'Merit calculation'!$B$67:$I$73,7,FALSE)/VLOOKUP($F598,'Merit calculation'!$B$90:$I$104,7,FALSE)/energyContentH2)</f>
        <v>5.8638293535609139E-4</v>
      </c>
      <c r="V598">
        <f ca="1">IF(timePeriod="2020-30",(VLOOKUP($R598,'TA database'!$I$112:$J$139,2,FALSE)/VLOOKUP($F598,'Merit calculation'!$B$90:$I$104,5,FALSE)/energyContentH2),(VLOOKUP($R598,'TA database'!$I$112:$J$139,2,FALSE)/VLOOKUP($F598,'Merit calculation'!$B$90:$I$104,7,FALSE)/energyContentH2))</f>
        <v>1.6804566808972198E-3</v>
      </c>
      <c r="W598">
        <f ca="1">IFERROR(VLOOKUP($S598,'TA database'!$I$146:$J$193,2,FALSE),0)</f>
        <v>3.3668409136299347E-4</v>
      </c>
      <c r="X598">
        <f>IFERROR(VLOOKUP($S598,'TA database'!$I$200:$J$271,2,FALSE),0)</f>
        <v>0</v>
      </c>
      <c r="Y598">
        <f t="shared" ref="Y598:Y605" ca="1" si="1775">IF($W598=0,T598*3.6+U598*3.6+V598*3.6+X598,T598+U598+V598+W598)</f>
        <v>1.445711097636836E-2</v>
      </c>
      <c r="Z598" t="str">
        <f t="shared" si="1771"/>
        <v>BIO_GSF_MED_C   →   C_GAS_STRG   →   H2_BLND_NG_P   →   H2_IND_BOIL_HEAT</v>
      </c>
      <c r="AA598" t="str">
        <f t="shared" si="1772"/>
        <v>Industrial heat</v>
      </c>
      <c r="AB598" t="str">
        <f t="shared" si="1773"/>
        <v>Levelized cost</v>
      </c>
      <c r="AC598">
        <f t="shared" ca="1" si="1774"/>
        <v>1.445711097636836E-2</v>
      </c>
      <c r="AD598">
        <v>539</v>
      </c>
      <c r="AE598" t="str">
        <f>IF(AND(ISNUMBER(SEARCH(O598,4)),ISNUMBER(SEARCH('(4) FCH pathway assessment'!$B$16,AB598)),ISNUMBER(SEARCH('(4) FCH pathway assessment'!$B$10,AA598))),AD598,"")</f>
        <v/>
      </c>
      <c r="AF598" t="str">
        <f t="shared" si="1633"/>
        <v/>
      </c>
      <c r="AG598" t="str">
        <f>VLOOKUP(C598,Assumptions!$B$116:$C$162,2,FALSE)</f>
        <v>BIO_GSF_MED_C</v>
      </c>
      <c r="AH598" t="str">
        <f>VLOOKUP(D598,Assumptions!$B$116:$C$162,2,FALSE)</f>
        <v>C_GAS_STRG</v>
      </c>
      <c r="AI598" t="str">
        <f>VLOOKUP(E598,Assumptions!$B$116:$C$162,2,FALSE)</f>
        <v>H2_BLND_NG_P</v>
      </c>
      <c r="AJ598" t="str">
        <f>VLOOKUP(F598,Assumptions!$B$116:$C$162,2,FALSE)</f>
        <v>H2_IND_BOIL_HEAT</v>
      </c>
    </row>
    <row r="599" spans="2:36" x14ac:dyDescent="0.25">
      <c r="B599" t="s">
        <v>117</v>
      </c>
      <c r="C599" t="s">
        <v>53</v>
      </c>
      <c r="D599" t="s">
        <v>155</v>
      </c>
      <c r="E599" t="s">
        <v>122</v>
      </c>
      <c r="F599" t="s">
        <v>570</v>
      </c>
      <c r="G599" t="s">
        <v>120</v>
      </c>
      <c r="H599" t="s">
        <v>432</v>
      </c>
      <c r="I599" t="s">
        <v>32</v>
      </c>
      <c r="J599" t="s">
        <v>72</v>
      </c>
      <c r="K599">
        <f t="shared" si="1761"/>
        <v>0</v>
      </c>
      <c r="L599">
        <f t="shared" si="1762"/>
        <v>1</v>
      </c>
      <c r="M599">
        <f t="shared" si="1763"/>
        <v>1</v>
      </c>
      <c r="N599">
        <f t="shared" si="1764"/>
        <v>1</v>
      </c>
      <c r="O599">
        <f t="shared" si="1765"/>
        <v>3</v>
      </c>
      <c r="P599" t="str">
        <f t="shared" si="1766"/>
        <v>Medium centralized biomass gasification-Levelized cost</v>
      </c>
      <c r="Q599" t="str">
        <f t="shared" si="1767"/>
        <v>Central gas storage-Levelized cost</v>
      </c>
      <c r="R599" t="str">
        <f t="shared" si="1768"/>
        <v>Hydrogen transmission &amp; distribution pipeline-Levelized cost</v>
      </c>
      <c r="S599" t="str">
        <f t="shared" si="1769"/>
        <v>Industrial H2 boiler-Levelized cost</v>
      </c>
      <c r="T599">
        <f ca="1">IF(timePeriod="2020-30",(VLOOKUP($P599,'TA database'!$I$8:$J$79,2,FALSE)/VLOOKUP($D599,'Merit calculation'!$B$48:$I$52,5,FALSE)/VLOOKUP($E599,'Merit calculation'!$B$67:$I$73,5,FALSE)/VLOOKUP($F599,'Merit calculation'!$B$90:$I$103,5,FALSE)/energyContentH2),(VLOOKUP($P599,'TA database'!$I$8:$J$79,2,FALSE)/VLOOKUP($D599,'Merit calculation'!$B$48:$I$52,7,FALSE)/VLOOKUP($E599,'Merit calculation'!$B$67:$I$73,7,FALSE)/VLOOKUP($F599,'Merit calculation'!$B$90:$I$103,7,FALSE)/energyContentH2))</f>
        <v>1.1853587268752056E-2</v>
      </c>
      <c r="U599">
        <f ca="1">IF(timePeriod="2020-30",(VLOOKUP($Q599,'TA database'!$I$86:$J$105,2,FALSE)/VLOOKUP($E599,'Merit calculation'!$B$67:$I$73,5,FALSE)/VLOOKUP($F599,'Merit calculation'!$B$90:$I$104,5,FALSE)/energyContentH2),VLOOKUP($Q599,'TA database'!$I$86:$J$105,2,FALSE)/VLOOKUP($E599,'Merit calculation'!$B$67:$I$73,7,FALSE)/VLOOKUP($F599,'Merit calculation'!$B$90:$I$104,7,FALSE)/energyContentH2)</f>
        <v>5.8638293535609139E-4</v>
      </c>
      <c r="V599">
        <f ca="1">IF(timePeriod="2020-30",(VLOOKUP($R599,'TA database'!$I$112:$J$139,2,FALSE)/VLOOKUP($F599,'Merit calculation'!$B$90:$I$104,5,FALSE)/energyContentH2),(VLOOKUP($R599,'TA database'!$I$112:$J$139,2,FALSE)/VLOOKUP($F599,'Merit calculation'!$B$90:$I$104,7,FALSE)/energyContentH2))</f>
        <v>3.1265745439891346E-3</v>
      </c>
      <c r="W599">
        <f ca="1">IFERROR(VLOOKUP($S599,'TA database'!$I$146:$J$193,2,FALSE),0)</f>
        <v>3.3668409136299347E-4</v>
      </c>
      <c r="X599">
        <f>IFERROR(VLOOKUP($S599,'TA database'!$I$200:$J$271,2,FALSE),0)</f>
        <v>0</v>
      </c>
      <c r="Y599">
        <f t="shared" ca="1" si="1775"/>
        <v>1.5903228839460274E-2</v>
      </c>
      <c r="Z599" t="str">
        <f t="shared" si="1771"/>
        <v>BIO_GSF_MED_C   →   C_GAS_STRG   →   H2_T&amp;D_P   →   H2_IND_BOIL_HEAT</v>
      </c>
      <c r="AA599" t="str">
        <f t="shared" si="1772"/>
        <v>Industrial heat</v>
      </c>
      <c r="AB599" t="str">
        <f t="shared" si="1773"/>
        <v>Levelized cost</v>
      </c>
      <c r="AC599">
        <f t="shared" ca="1" si="1774"/>
        <v>1.5903228839460274E-2</v>
      </c>
      <c r="AD599">
        <v>540</v>
      </c>
      <c r="AE599" t="str">
        <f>IF(AND(ISNUMBER(SEARCH(O599,4)),ISNUMBER(SEARCH('(4) FCH pathway assessment'!$B$16,AB599)),ISNUMBER(SEARCH('(4) FCH pathway assessment'!$B$10,AA599))),AD599,"")</f>
        <v/>
      </c>
      <c r="AF599" t="str">
        <f t="shared" si="1633"/>
        <v/>
      </c>
      <c r="AG599" t="str">
        <f>VLOOKUP(C599,Assumptions!$B$116:$C$162,2,FALSE)</f>
        <v>BIO_GSF_MED_C</v>
      </c>
      <c r="AH599" t="str">
        <f>VLOOKUP(D599,Assumptions!$B$116:$C$162,2,FALSE)</f>
        <v>C_GAS_STRG</v>
      </c>
      <c r="AI599" t="str">
        <f>VLOOKUP(E599,Assumptions!$B$116:$C$162,2,FALSE)</f>
        <v>H2_T&amp;D_P</v>
      </c>
      <c r="AJ599" t="str">
        <f>VLOOKUP(F599,Assumptions!$B$116:$C$162,2,FALSE)</f>
        <v>H2_IND_BOIL_HEAT</v>
      </c>
    </row>
    <row r="600" spans="2:36" x14ac:dyDescent="0.25">
      <c r="B600" t="s">
        <v>117</v>
      </c>
      <c r="C600" t="s">
        <v>53</v>
      </c>
      <c r="D600" t="s">
        <v>155</v>
      </c>
      <c r="E600" t="s">
        <v>116</v>
      </c>
      <c r="F600" t="s">
        <v>570</v>
      </c>
      <c r="G600" t="s">
        <v>120</v>
      </c>
      <c r="H600" t="s">
        <v>432</v>
      </c>
      <c r="I600" t="s">
        <v>32</v>
      </c>
      <c r="J600" t="s">
        <v>72</v>
      </c>
      <c r="K600">
        <f t="shared" si="1761"/>
        <v>0</v>
      </c>
      <c r="L600">
        <f t="shared" si="1762"/>
        <v>1</v>
      </c>
      <c r="M600">
        <f t="shared" si="1763"/>
        <v>1</v>
      </c>
      <c r="N600">
        <f t="shared" si="1764"/>
        <v>1</v>
      </c>
      <c r="O600">
        <f t="shared" si="1765"/>
        <v>3</v>
      </c>
      <c r="P600" t="str">
        <f t="shared" si="1766"/>
        <v>Medium centralized biomass gasification-Levelized cost</v>
      </c>
      <c r="Q600" t="str">
        <f t="shared" si="1767"/>
        <v>Central gas storage-Levelized cost</v>
      </c>
      <c r="R600" t="str">
        <f t="shared" si="1768"/>
        <v>Liquid hydrogen truck-Levelized cost</v>
      </c>
      <c r="S600" t="str">
        <f t="shared" si="1769"/>
        <v>Industrial H2 boiler-Levelized cost</v>
      </c>
      <c r="T600">
        <f ca="1">IF(timePeriod="2020-30",(VLOOKUP($P600,'TA database'!$I$8:$J$79,2,FALSE)/VLOOKUP($D600,'Merit calculation'!$B$48:$I$52,5,FALSE)/VLOOKUP($E600,'Merit calculation'!$B$67:$I$73,5,FALSE)/VLOOKUP($F600,'Merit calculation'!$B$90:$I$103,5,FALSE)/energyContentH2),(VLOOKUP($P600,'TA database'!$I$8:$J$79,2,FALSE)/VLOOKUP($D600,'Merit calculation'!$B$48:$I$52,7,FALSE)/VLOOKUP($E600,'Merit calculation'!$B$67:$I$73,7,FALSE)/VLOOKUP($F600,'Merit calculation'!$B$90:$I$103,7,FALSE)/energyContentH2))</f>
        <v>1.3693175491323845E-2</v>
      </c>
      <c r="U600">
        <f ca="1">IF(timePeriod="2020-30",(VLOOKUP($Q600,'TA database'!$I$86:$J$105,2,FALSE)/VLOOKUP($E600,'Merit calculation'!$B$67:$I$73,5,FALSE)/VLOOKUP($F600,'Merit calculation'!$B$90:$I$104,5,FALSE)/energyContentH2),VLOOKUP($Q600,'TA database'!$I$86:$J$105,2,FALSE)/VLOOKUP($E600,'Merit calculation'!$B$67:$I$73,7,FALSE)/VLOOKUP($F600,'Merit calculation'!$B$90:$I$104,7,FALSE)/energyContentH2)</f>
        <v>6.7738518786759699E-4</v>
      </c>
      <c r="V600">
        <f ca="1">IF(timePeriod="2020-30",(VLOOKUP($R600,'TA database'!$I$112:$J$139,2,FALSE)/VLOOKUP($F600,'Merit calculation'!$B$90:$I$104,5,FALSE)/energyContentH2),(VLOOKUP($R600,'TA database'!$I$112:$J$139,2,FALSE)/VLOOKUP($F600,'Merit calculation'!$B$90:$I$104,7,FALSE)/energyContentH2))</f>
        <v>2.0689448723551496E-2</v>
      </c>
      <c r="W600">
        <f ca="1">IFERROR(VLOOKUP($S600,'TA database'!$I$146:$J$193,2,FALSE),0)</f>
        <v>3.3668409136299347E-4</v>
      </c>
      <c r="X600">
        <f>IFERROR(VLOOKUP($S600,'TA database'!$I$200:$J$271,2,FALSE),0)</f>
        <v>0</v>
      </c>
      <c r="Y600">
        <f t="shared" ca="1" si="1775"/>
        <v>3.539669349410593E-2</v>
      </c>
      <c r="Z600" t="str">
        <f t="shared" si="1771"/>
        <v>BIO_GSF_MED_C   →   C_GAS_STRG   →   LQ_TRUCK   →   H2_IND_BOIL_HEAT</v>
      </c>
      <c r="AA600" t="str">
        <f t="shared" si="1772"/>
        <v>Industrial heat</v>
      </c>
      <c r="AB600" t="str">
        <f t="shared" si="1773"/>
        <v>Levelized cost</v>
      </c>
      <c r="AC600">
        <f t="shared" ca="1" si="1774"/>
        <v>3.539669349410593E-2</v>
      </c>
      <c r="AD600">
        <v>541</v>
      </c>
      <c r="AE600" t="str">
        <f>IF(AND(ISNUMBER(SEARCH(O600,4)),ISNUMBER(SEARCH('(4) FCH pathway assessment'!$B$16,AB600)),ISNUMBER(SEARCH('(4) FCH pathway assessment'!$B$10,AA600))),AD600,"")</f>
        <v/>
      </c>
      <c r="AF600" t="str">
        <f t="shared" si="1633"/>
        <v/>
      </c>
      <c r="AG600" t="str">
        <f>VLOOKUP(C600,Assumptions!$B$116:$C$162,2,FALSE)</f>
        <v>BIO_GSF_MED_C</v>
      </c>
      <c r="AH600" t="str">
        <f>VLOOKUP(D600,Assumptions!$B$116:$C$162,2,FALSE)</f>
        <v>C_GAS_STRG</v>
      </c>
      <c r="AI600" t="str">
        <f>VLOOKUP(E600,Assumptions!$B$116:$C$162,2,FALSE)</f>
        <v>LQ_TRUCK</v>
      </c>
      <c r="AJ600" t="str">
        <f>VLOOKUP(F600,Assumptions!$B$116:$C$162,2,FALSE)</f>
        <v>H2_IND_BOIL_HEAT</v>
      </c>
    </row>
    <row r="601" spans="2:36" x14ac:dyDescent="0.25">
      <c r="B601" t="s">
        <v>117</v>
      </c>
      <c r="C601" t="s">
        <v>53</v>
      </c>
      <c r="D601" t="s">
        <v>155</v>
      </c>
      <c r="E601" t="s">
        <v>66</v>
      </c>
      <c r="F601" t="s">
        <v>570</v>
      </c>
      <c r="G601" t="s">
        <v>120</v>
      </c>
      <c r="H601" t="s">
        <v>432</v>
      </c>
      <c r="I601" t="s">
        <v>32</v>
      </c>
      <c r="J601" t="s">
        <v>72</v>
      </c>
      <c r="K601">
        <f t="shared" si="1761"/>
        <v>0</v>
      </c>
      <c r="L601">
        <f t="shared" si="1762"/>
        <v>1</v>
      </c>
      <c r="M601">
        <f t="shared" si="1763"/>
        <v>1</v>
      </c>
      <c r="N601">
        <f t="shared" si="1764"/>
        <v>1</v>
      </c>
      <c r="O601">
        <f t="shared" si="1765"/>
        <v>3</v>
      </c>
      <c r="P601" t="str">
        <f t="shared" si="1766"/>
        <v>Medium centralized biomass gasification-Levelized cost</v>
      </c>
      <c r="Q601" t="str">
        <f t="shared" si="1767"/>
        <v>Central gas storage-Levelized cost</v>
      </c>
      <c r="R601" t="str">
        <f t="shared" si="1768"/>
        <v>Onsite-Levelized cost</v>
      </c>
      <c r="S601" t="str">
        <f t="shared" si="1769"/>
        <v>Industrial H2 boiler-Levelized cost</v>
      </c>
      <c r="T601">
        <f ca="1">IF(timePeriod="2020-30",(VLOOKUP($P601,'TA database'!$I$8:$J$79,2,FALSE)/VLOOKUP($D601,'Merit calculation'!$B$48:$I$52,5,FALSE)/VLOOKUP($E601,'Merit calculation'!$B$67:$I$73,5,FALSE)/VLOOKUP($F601,'Merit calculation'!$B$90:$I$103,5,FALSE)/energyContentH2),(VLOOKUP($P601,'TA database'!$I$8:$J$79,2,FALSE)/VLOOKUP($D601,'Merit calculation'!$B$48:$I$52,7,FALSE)/VLOOKUP($E601,'Merit calculation'!$B$67:$I$73,7,FALSE)/VLOOKUP($F601,'Merit calculation'!$B$90:$I$103,7,FALSE)/energyContentH2))</f>
        <v>1.1735051396064535E-2</v>
      </c>
      <c r="U601">
        <f ca="1">IF(timePeriod="2020-30",(VLOOKUP($Q601,'TA database'!$I$86:$J$105,2,FALSE)/VLOOKUP($E601,'Merit calculation'!$B$67:$I$73,5,FALSE)/VLOOKUP($F601,'Merit calculation'!$B$90:$I$104,5,FALSE)/energyContentH2),VLOOKUP($Q601,'TA database'!$I$86:$J$105,2,FALSE)/VLOOKUP($E601,'Merit calculation'!$B$67:$I$73,7,FALSE)/VLOOKUP($F601,'Merit calculation'!$B$90:$I$104,7,FALSE)/energyContentH2)</f>
        <v>5.8051910600253058E-4</v>
      </c>
      <c r="V601">
        <f ca="1">IF(timePeriod="2020-30",(VLOOKUP($R601,'TA database'!$I$112:$J$139,2,FALSE)/VLOOKUP($F601,'Merit calculation'!$B$90:$I$104,5,FALSE)/energyContentH2),(VLOOKUP($R601,'TA database'!$I$112:$J$139,2,FALSE)/VLOOKUP($F601,'Merit calculation'!$B$90:$I$104,7,FALSE)/energyContentH2))</f>
        <v>0</v>
      </c>
      <c r="W601">
        <f ca="1">IFERROR(VLOOKUP($S601,'TA database'!$I$146:$J$193,2,FALSE),0)</f>
        <v>3.3668409136299347E-4</v>
      </c>
      <c r="X601">
        <f>IFERROR(VLOOKUP($S601,'TA database'!$I$200:$J$271,2,FALSE),0)</f>
        <v>0</v>
      </c>
      <c r="Y601">
        <f t="shared" ca="1" si="1775"/>
        <v>1.265225459343006E-2</v>
      </c>
      <c r="Z601" t="str">
        <f t="shared" si="1771"/>
        <v>BIO_GSF_MED_C   →   C_GAS_STRG   →   ONSITE_USE   →   H2_IND_BOIL_HEAT</v>
      </c>
      <c r="AA601" t="str">
        <f t="shared" si="1772"/>
        <v>Industrial heat</v>
      </c>
      <c r="AB601" t="str">
        <f t="shared" si="1773"/>
        <v>Levelized cost</v>
      </c>
      <c r="AC601">
        <f t="shared" ca="1" si="1774"/>
        <v>1.265225459343006E-2</v>
      </c>
      <c r="AD601">
        <v>542</v>
      </c>
      <c r="AE601" t="str">
        <f>IF(AND(ISNUMBER(SEARCH(O601,4)),ISNUMBER(SEARCH('(4) FCH pathway assessment'!$B$16,AB601)),ISNUMBER(SEARCH('(4) FCH pathway assessment'!$B$10,AA601))),AD601,"")</f>
        <v/>
      </c>
      <c r="AF601" t="str">
        <f t="shared" si="1633"/>
        <v/>
      </c>
      <c r="AG601" t="str">
        <f>VLOOKUP(C601,Assumptions!$B$116:$C$162,2,FALSE)</f>
        <v>BIO_GSF_MED_C</v>
      </c>
      <c r="AH601" t="str">
        <f>VLOOKUP(D601,Assumptions!$B$116:$C$162,2,FALSE)</f>
        <v>C_GAS_STRG</v>
      </c>
      <c r="AI601" t="str">
        <f>VLOOKUP(E601,Assumptions!$B$116:$C$162,2,FALSE)</f>
        <v>ONSITE_USE</v>
      </c>
      <c r="AJ601" t="str">
        <f>VLOOKUP(F601,Assumptions!$B$116:$C$162,2,FALSE)</f>
        <v>H2_IND_BOIL_HEAT</v>
      </c>
    </row>
    <row r="602" spans="2:36" x14ac:dyDescent="0.25">
      <c r="B602" t="s">
        <v>117</v>
      </c>
      <c r="C602" t="s">
        <v>54</v>
      </c>
      <c r="D602" t="s">
        <v>155</v>
      </c>
      <c r="E602" t="s">
        <v>157</v>
      </c>
      <c r="F602" t="s">
        <v>570</v>
      </c>
      <c r="G602" t="s">
        <v>120</v>
      </c>
      <c r="H602" t="s">
        <v>432</v>
      </c>
      <c r="I602" t="s">
        <v>32</v>
      </c>
      <c r="J602" t="s">
        <v>72</v>
      </c>
      <c r="K602">
        <f t="shared" ref="K602:K605" si="1776">SUMPRODUCT(($C$7:$C$18=$C602)*($D$6:$H$6=$D602)*($D$7:$H$18))</f>
        <v>0</v>
      </c>
      <c r="L602">
        <f t="shared" ref="L602:L605" si="1777">SUMPRODUCT(($C$19:$C$23=$D602)*($I$6:$O$6=$E602)*($I$19:$O$23))</f>
        <v>1</v>
      </c>
      <c r="M602">
        <f t="shared" ref="M602:M605" si="1778">SUMPRODUCT(($C$24:$C$30=$E602)*($P$6:$AI$6=$F602)*($P$24:$AI$30))</f>
        <v>0</v>
      </c>
      <c r="N602">
        <f t="shared" ref="N602:N605" si="1779">SUMPRODUCT(($C$31:$C$50=$F602)*($AJ$6:$AM$6=$G602)*($AJ$31:$AM$50))</f>
        <v>1</v>
      </c>
      <c r="O602">
        <f t="shared" ref="O602:O605" si="1780">K602+L602+M602+N602</f>
        <v>2</v>
      </c>
      <c r="P602" t="str">
        <f t="shared" ref="P602:P605" si="1781">CONCATENATE(C602,"-",J602)</f>
        <v>Medium centralized biomass gasification w/ CCS-Levelized cost</v>
      </c>
      <c r="Q602" t="str">
        <f t="shared" ref="Q602:Q605" si="1782">CONCATENATE(D602,"-",J602)</f>
        <v>Central gas storage-Levelized cost</v>
      </c>
      <c r="R602" t="str">
        <f t="shared" ref="R602:R605" si="1783">CONCATENATE(E602,"-",J602)</f>
        <v>Blending in natural gas pipeline-Levelized cost</v>
      </c>
      <c r="S602" t="str">
        <f t="shared" ref="S602:S605" si="1784">CONCATENATE(F602,"-",J602)</f>
        <v>Industrial H2 boiler-Levelized cost</v>
      </c>
      <c r="T602">
        <f ca="1">IF(timePeriod="2020-30",(VLOOKUP($P602,'TA database'!$I$8:$J$79,2,FALSE)/VLOOKUP($D602,'Merit calculation'!$B$48:$I$52,5,FALSE)/VLOOKUP($E602,'Merit calculation'!$B$67:$I$73,5,FALSE)/VLOOKUP($F602,'Merit calculation'!$B$90:$I$103,5,FALSE)/energyContentH2),(VLOOKUP($P602,'TA database'!$I$8:$J$79,2,FALSE)/VLOOKUP($D602,'Merit calculation'!$B$48:$I$52,7,FALSE)/VLOOKUP($E602,'Merit calculation'!$B$67:$I$73,7,FALSE)/VLOOKUP($F602,'Merit calculation'!$B$90:$I$103,7,FALSE)/energyContentH2))</f>
        <v>7.4033660848889246E-3</v>
      </c>
      <c r="U602">
        <f ca="1">IF(timePeriod="2020-30",(VLOOKUP($Q602,'TA database'!$I$86:$J$105,2,FALSE)/VLOOKUP($E602,'Merit calculation'!$B$67:$I$73,5,FALSE)/VLOOKUP($F602,'Merit calculation'!$B$90:$I$104,5,FALSE)/energyContentH2),VLOOKUP($Q602,'TA database'!$I$86:$J$105,2,FALSE)/VLOOKUP($E602,'Merit calculation'!$B$67:$I$73,7,FALSE)/VLOOKUP($F602,'Merit calculation'!$B$90:$I$104,7,FALSE)/energyContentH2)</f>
        <v>5.8638293535609139E-4</v>
      </c>
      <c r="V602">
        <f ca="1">IF(timePeriod="2020-30",(VLOOKUP($R602,'TA database'!$I$112:$J$139,2,FALSE)/VLOOKUP($F602,'Merit calculation'!$B$90:$I$104,5,FALSE)/energyContentH2),(VLOOKUP($R602,'TA database'!$I$112:$J$139,2,FALSE)/VLOOKUP($F602,'Merit calculation'!$B$90:$I$104,7,FALSE)/energyContentH2))</f>
        <v>1.6804566808972198E-3</v>
      </c>
      <c r="W602">
        <f ca="1">IFERROR(VLOOKUP($S602,'TA database'!$I$146:$J$193,2,FALSE),0)</f>
        <v>3.3668409136299347E-4</v>
      </c>
      <c r="X602">
        <f>IFERROR(VLOOKUP($S602,'TA database'!$I$200:$J$271,2,FALSE),0)</f>
        <v>0</v>
      </c>
      <c r="Y602">
        <f t="shared" ca="1" si="1775"/>
        <v>1.000688979250523E-2</v>
      </c>
      <c r="Z602" t="str">
        <f t="shared" ref="Z602:Z605" si="1785">CONCATENATE(AG602,"   →   ",AH602,"   →   ",AI602,"   →   ",AJ602)</f>
        <v>BIO_GSF_CCS_MED_C   →   C_GAS_STRG   →   H2_BLND_NG_P   →   H2_IND_BOIL_HEAT</v>
      </c>
      <c r="AA602" t="str">
        <f t="shared" ref="AA602:AA605" si="1786">G602</f>
        <v>Industrial heat</v>
      </c>
      <c r="AB602" t="str">
        <f t="shared" ref="AB602:AB605" si="1787">J602</f>
        <v>Levelized cost</v>
      </c>
      <c r="AC602">
        <f t="shared" ref="AC602:AC605" ca="1" si="1788">Y602</f>
        <v>1.000688979250523E-2</v>
      </c>
      <c r="AD602">
        <v>543</v>
      </c>
      <c r="AE602" t="str">
        <f>IF(AND(ISNUMBER(SEARCH(O602,4)),ISNUMBER(SEARCH('(4) FCH pathway assessment'!$B$16,AB602)),ISNUMBER(SEARCH('(4) FCH pathway assessment'!$B$10,AA602))),AD602,"")</f>
        <v/>
      </c>
      <c r="AF602" t="str">
        <f t="shared" si="1633"/>
        <v/>
      </c>
      <c r="AG602" t="str">
        <f>VLOOKUP(C602,Assumptions!$B$116:$C$162,2,FALSE)</f>
        <v>BIO_GSF_CCS_MED_C</v>
      </c>
      <c r="AH602" t="str">
        <f>VLOOKUP(D602,Assumptions!$B$116:$C$162,2,FALSE)</f>
        <v>C_GAS_STRG</v>
      </c>
      <c r="AI602" t="str">
        <f>VLOOKUP(E602,Assumptions!$B$116:$C$162,2,FALSE)</f>
        <v>H2_BLND_NG_P</v>
      </c>
      <c r="AJ602" t="str">
        <f>VLOOKUP(F602,Assumptions!$B$116:$C$162,2,FALSE)</f>
        <v>H2_IND_BOIL_HEAT</v>
      </c>
    </row>
    <row r="603" spans="2:36" x14ac:dyDescent="0.25">
      <c r="B603" t="s">
        <v>117</v>
      </c>
      <c r="C603" t="s">
        <v>54</v>
      </c>
      <c r="D603" t="s">
        <v>155</v>
      </c>
      <c r="E603" t="s">
        <v>122</v>
      </c>
      <c r="F603" t="s">
        <v>570</v>
      </c>
      <c r="G603" t="s">
        <v>120</v>
      </c>
      <c r="H603" t="s">
        <v>432</v>
      </c>
      <c r="I603" t="s">
        <v>32</v>
      </c>
      <c r="J603" t="s">
        <v>72</v>
      </c>
      <c r="K603">
        <f t="shared" si="1776"/>
        <v>0</v>
      </c>
      <c r="L603">
        <f t="shared" si="1777"/>
        <v>1</v>
      </c>
      <c r="M603">
        <f t="shared" si="1778"/>
        <v>1</v>
      </c>
      <c r="N603">
        <f t="shared" si="1779"/>
        <v>1</v>
      </c>
      <c r="O603">
        <f t="shared" si="1780"/>
        <v>3</v>
      </c>
      <c r="P603" t="str">
        <f t="shared" si="1781"/>
        <v>Medium centralized biomass gasification w/ CCS-Levelized cost</v>
      </c>
      <c r="Q603" t="str">
        <f t="shared" si="1782"/>
        <v>Central gas storage-Levelized cost</v>
      </c>
      <c r="R603" t="str">
        <f t="shared" si="1783"/>
        <v>Hydrogen transmission &amp; distribution pipeline-Levelized cost</v>
      </c>
      <c r="S603" t="str">
        <f t="shared" si="1784"/>
        <v>Industrial H2 boiler-Levelized cost</v>
      </c>
      <c r="T603">
        <f ca="1">IF(timePeriod="2020-30",(VLOOKUP($P603,'TA database'!$I$8:$J$79,2,FALSE)/VLOOKUP($D603,'Merit calculation'!$B$48:$I$52,5,FALSE)/VLOOKUP($E603,'Merit calculation'!$B$67:$I$73,5,FALSE)/VLOOKUP($F603,'Merit calculation'!$B$90:$I$103,5,FALSE)/energyContentH2),(VLOOKUP($P603,'TA database'!$I$8:$J$79,2,FALSE)/VLOOKUP($D603,'Merit calculation'!$B$48:$I$52,7,FALSE)/VLOOKUP($E603,'Merit calculation'!$B$67:$I$73,7,FALSE)/VLOOKUP($F603,'Merit calculation'!$B$90:$I$103,7,FALSE)/energyContentH2))</f>
        <v>7.4033660848889246E-3</v>
      </c>
      <c r="U603">
        <f ca="1">IF(timePeriod="2020-30",(VLOOKUP($Q603,'TA database'!$I$86:$J$105,2,FALSE)/VLOOKUP($E603,'Merit calculation'!$B$67:$I$73,5,FALSE)/VLOOKUP($F603,'Merit calculation'!$B$90:$I$104,5,FALSE)/energyContentH2),VLOOKUP($Q603,'TA database'!$I$86:$J$105,2,FALSE)/VLOOKUP($E603,'Merit calculation'!$B$67:$I$73,7,FALSE)/VLOOKUP($F603,'Merit calculation'!$B$90:$I$104,7,FALSE)/energyContentH2)</f>
        <v>5.8638293535609139E-4</v>
      </c>
      <c r="V603">
        <f ca="1">IF(timePeriod="2020-30",(VLOOKUP($R603,'TA database'!$I$112:$J$139,2,FALSE)/VLOOKUP($F603,'Merit calculation'!$B$90:$I$104,5,FALSE)/energyContentH2),(VLOOKUP($R603,'TA database'!$I$112:$J$139,2,FALSE)/VLOOKUP($F603,'Merit calculation'!$B$90:$I$104,7,FALSE)/energyContentH2))</f>
        <v>3.1265745439891346E-3</v>
      </c>
      <c r="W603">
        <f ca="1">IFERROR(VLOOKUP($S603,'TA database'!$I$146:$J$193,2,FALSE),0)</f>
        <v>3.3668409136299347E-4</v>
      </c>
      <c r="X603">
        <f>IFERROR(VLOOKUP($S603,'TA database'!$I$200:$J$271,2,FALSE),0)</f>
        <v>0</v>
      </c>
      <c r="Y603">
        <f t="shared" ca="1" si="1775"/>
        <v>1.1453007655597145E-2</v>
      </c>
      <c r="Z603" t="str">
        <f t="shared" si="1785"/>
        <v>BIO_GSF_CCS_MED_C   →   C_GAS_STRG   →   H2_T&amp;D_P   →   H2_IND_BOIL_HEAT</v>
      </c>
      <c r="AA603" t="str">
        <f t="shared" si="1786"/>
        <v>Industrial heat</v>
      </c>
      <c r="AB603" t="str">
        <f t="shared" si="1787"/>
        <v>Levelized cost</v>
      </c>
      <c r="AC603">
        <f t="shared" ca="1" si="1788"/>
        <v>1.1453007655597145E-2</v>
      </c>
      <c r="AD603">
        <v>544</v>
      </c>
      <c r="AE603" t="str">
        <f>IF(AND(ISNUMBER(SEARCH(O603,4)),ISNUMBER(SEARCH('(4) FCH pathway assessment'!$B$16,AB603)),ISNUMBER(SEARCH('(4) FCH pathway assessment'!$B$10,AA603))),AD603,"")</f>
        <v/>
      </c>
      <c r="AF603" t="str">
        <f t="shared" si="1633"/>
        <v/>
      </c>
      <c r="AG603" t="str">
        <f>VLOOKUP(C603,Assumptions!$B$116:$C$162,2,FALSE)</f>
        <v>BIO_GSF_CCS_MED_C</v>
      </c>
      <c r="AH603" t="str">
        <f>VLOOKUP(D603,Assumptions!$B$116:$C$162,2,FALSE)</f>
        <v>C_GAS_STRG</v>
      </c>
      <c r="AI603" t="str">
        <f>VLOOKUP(E603,Assumptions!$B$116:$C$162,2,FALSE)</f>
        <v>H2_T&amp;D_P</v>
      </c>
      <c r="AJ603" t="str">
        <f>VLOOKUP(F603,Assumptions!$B$116:$C$162,2,FALSE)</f>
        <v>H2_IND_BOIL_HEAT</v>
      </c>
    </row>
    <row r="604" spans="2:36" x14ac:dyDescent="0.25">
      <c r="B604" t="s">
        <v>117</v>
      </c>
      <c r="C604" t="s">
        <v>54</v>
      </c>
      <c r="D604" t="s">
        <v>155</v>
      </c>
      <c r="E604" t="s">
        <v>116</v>
      </c>
      <c r="F604" t="s">
        <v>570</v>
      </c>
      <c r="G604" t="s">
        <v>120</v>
      </c>
      <c r="H604" t="s">
        <v>432</v>
      </c>
      <c r="I604" t="s">
        <v>32</v>
      </c>
      <c r="J604" t="s">
        <v>72</v>
      </c>
      <c r="K604">
        <f t="shared" si="1776"/>
        <v>0</v>
      </c>
      <c r="L604">
        <f t="shared" si="1777"/>
        <v>1</v>
      </c>
      <c r="M604">
        <f t="shared" si="1778"/>
        <v>1</v>
      </c>
      <c r="N604">
        <f t="shared" si="1779"/>
        <v>1</v>
      </c>
      <c r="O604">
        <f t="shared" si="1780"/>
        <v>3</v>
      </c>
      <c r="P604" t="str">
        <f t="shared" si="1781"/>
        <v>Medium centralized biomass gasification w/ CCS-Levelized cost</v>
      </c>
      <c r="Q604" t="str">
        <f t="shared" si="1782"/>
        <v>Central gas storage-Levelized cost</v>
      </c>
      <c r="R604" t="str">
        <f t="shared" si="1783"/>
        <v>Liquid hydrogen truck-Levelized cost</v>
      </c>
      <c r="S604" t="str">
        <f t="shared" si="1784"/>
        <v>Industrial H2 boiler-Levelized cost</v>
      </c>
      <c r="T604">
        <f ca="1">IF(timePeriod="2020-30",(VLOOKUP($P604,'TA database'!$I$8:$J$79,2,FALSE)/VLOOKUP($D604,'Merit calculation'!$B$48:$I$52,5,FALSE)/VLOOKUP($E604,'Merit calculation'!$B$67:$I$73,5,FALSE)/VLOOKUP($F604,'Merit calculation'!$B$90:$I$103,5,FALSE)/energyContentH2),(VLOOKUP($P604,'TA database'!$I$8:$J$79,2,FALSE)/VLOOKUP($D604,'Merit calculation'!$B$48:$I$52,7,FALSE)/VLOOKUP($E604,'Merit calculation'!$B$67:$I$73,7,FALSE)/VLOOKUP($F604,'Merit calculation'!$B$90:$I$103,7,FALSE)/energyContentH2))</f>
        <v>8.5523132135823052E-3</v>
      </c>
      <c r="U604">
        <f ca="1">IF(timePeriod="2020-30",(VLOOKUP($Q604,'TA database'!$I$86:$J$105,2,FALSE)/VLOOKUP($E604,'Merit calculation'!$B$67:$I$73,5,FALSE)/VLOOKUP($F604,'Merit calculation'!$B$90:$I$104,5,FALSE)/energyContentH2),VLOOKUP($Q604,'TA database'!$I$86:$J$105,2,FALSE)/VLOOKUP($E604,'Merit calculation'!$B$67:$I$73,7,FALSE)/VLOOKUP($F604,'Merit calculation'!$B$90:$I$104,7,FALSE)/energyContentH2)</f>
        <v>6.7738518786759699E-4</v>
      </c>
      <c r="V604">
        <f ca="1">IF(timePeriod="2020-30",(VLOOKUP($R604,'TA database'!$I$112:$J$139,2,FALSE)/VLOOKUP($F604,'Merit calculation'!$B$90:$I$104,5,FALSE)/energyContentH2),(VLOOKUP($R604,'TA database'!$I$112:$J$139,2,FALSE)/VLOOKUP($F604,'Merit calculation'!$B$90:$I$104,7,FALSE)/energyContentH2))</f>
        <v>2.0689448723551496E-2</v>
      </c>
      <c r="W604">
        <f ca="1">IFERROR(VLOOKUP($S604,'TA database'!$I$146:$J$193,2,FALSE),0)</f>
        <v>3.3668409136299347E-4</v>
      </c>
      <c r="X604">
        <f>IFERROR(VLOOKUP($S604,'TA database'!$I$200:$J$271,2,FALSE),0)</f>
        <v>0</v>
      </c>
      <c r="Y604">
        <f t="shared" ca="1" si="1775"/>
        <v>3.0255831216364392E-2</v>
      </c>
      <c r="Z604" t="str">
        <f t="shared" si="1785"/>
        <v>BIO_GSF_CCS_MED_C   →   C_GAS_STRG   →   LQ_TRUCK   →   H2_IND_BOIL_HEAT</v>
      </c>
      <c r="AA604" t="str">
        <f t="shared" si="1786"/>
        <v>Industrial heat</v>
      </c>
      <c r="AB604" t="str">
        <f t="shared" si="1787"/>
        <v>Levelized cost</v>
      </c>
      <c r="AC604">
        <f t="shared" ca="1" si="1788"/>
        <v>3.0255831216364392E-2</v>
      </c>
      <c r="AD604">
        <v>545</v>
      </c>
      <c r="AE604" t="str">
        <f>IF(AND(ISNUMBER(SEARCH(O604,4)),ISNUMBER(SEARCH('(4) FCH pathway assessment'!$B$16,AB604)),ISNUMBER(SEARCH('(4) FCH pathway assessment'!$B$10,AA604))),AD604,"")</f>
        <v/>
      </c>
      <c r="AF604" t="str">
        <f t="shared" si="1633"/>
        <v/>
      </c>
      <c r="AG604" t="str">
        <f>VLOOKUP(C604,Assumptions!$B$116:$C$162,2,FALSE)</f>
        <v>BIO_GSF_CCS_MED_C</v>
      </c>
      <c r="AH604" t="str">
        <f>VLOOKUP(D604,Assumptions!$B$116:$C$162,2,FALSE)</f>
        <v>C_GAS_STRG</v>
      </c>
      <c r="AI604" t="str">
        <f>VLOOKUP(E604,Assumptions!$B$116:$C$162,2,FALSE)</f>
        <v>LQ_TRUCK</v>
      </c>
      <c r="AJ604" t="str">
        <f>VLOOKUP(F604,Assumptions!$B$116:$C$162,2,FALSE)</f>
        <v>H2_IND_BOIL_HEAT</v>
      </c>
    </row>
    <row r="605" spans="2:36" x14ac:dyDescent="0.25">
      <c r="B605" t="s">
        <v>117</v>
      </c>
      <c r="C605" t="s">
        <v>54</v>
      </c>
      <c r="D605" t="s">
        <v>155</v>
      </c>
      <c r="E605" t="s">
        <v>66</v>
      </c>
      <c r="F605" t="s">
        <v>570</v>
      </c>
      <c r="G605" t="s">
        <v>120</v>
      </c>
      <c r="H605" t="s">
        <v>432</v>
      </c>
      <c r="I605" t="s">
        <v>32</v>
      </c>
      <c r="J605" t="s">
        <v>72</v>
      </c>
      <c r="K605">
        <f t="shared" si="1776"/>
        <v>0</v>
      </c>
      <c r="L605">
        <f t="shared" si="1777"/>
        <v>1</v>
      </c>
      <c r="M605">
        <f t="shared" si="1778"/>
        <v>1</v>
      </c>
      <c r="N605">
        <f t="shared" si="1779"/>
        <v>1</v>
      </c>
      <c r="O605">
        <f t="shared" si="1780"/>
        <v>3</v>
      </c>
      <c r="P605" t="str">
        <f t="shared" si="1781"/>
        <v>Medium centralized biomass gasification w/ CCS-Levelized cost</v>
      </c>
      <c r="Q605" t="str">
        <f t="shared" si="1782"/>
        <v>Central gas storage-Levelized cost</v>
      </c>
      <c r="R605" t="str">
        <f t="shared" si="1783"/>
        <v>Onsite-Levelized cost</v>
      </c>
      <c r="S605" t="str">
        <f t="shared" si="1784"/>
        <v>Industrial H2 boiler-Levelized cost</v>
      </c>
      <c r="T605">
        <f ca="1">IF(timePeriod="2020-30",(VLOOKUP($P605,'TA database'!$I$8:$J$79,2,FALSE)/VLOOKUP($D605,'Merit calculation'!$B$48:$I$52,5,FALSE)/VLOOKUP($E605,'Merit calculation'!$B$67:$I$73,5,FALSE)/VLOOKUP($F605,'Merit calculation'!$B$90:$I$103,5,FALSE)/energyContentH2),(VLOOKUP($P605,'TA database'!$I$8:$J$79,2,FALSE)/VLOOKUP($D605,'Merit calculation'!$B$48:$I$52,7,FALSE)/VLOOKUP($E605,'Merit calculation'!$B$67:$I$73,7,FALSE)/VLOOKUP($F605,'Merit calculation'!$B$90:$I$103,7,FALSE)/energyContentH2))</f>
        <v>7.3293324240400358E-3</v>
      </c>
      <c r="U605">
        <f ca="1">IF(timePeriod="2020-30",(VLOOKUP($Q605,'TA database'!$I$86:$J$105,2,FALSE)/VLOOKUP($E605,'Merit calculation'!$B$67:$I$73,5,FALSE)/VLOOKUP($F605,'Merit calculation'!$B$90:$I$104,5,FALSE)/energyContentH2),VLOOKUP($Q605,'TA database'!$I$86:$J$105,2,FALSE)/VLOOKUP($E605,'Merit calculation'!$B$67:$I$73,7,FALSE)/VLOOKUP($F605,'Merit calculation'!$B$90:$I$104,7,FALSE)/energyContentH2)</f>
        <v>5.8051910600253058E-4</v>
      </c>
      <c r="V605">
        <f ca="1">IF(timePeriod="2020-30",(VLOOKUP($R605,'TA database'!$I$112:$J$139,2,FALSE)/VLOOKUP($F605,'Merit calculation'!$B$90:$I$104,5,FALSE)/energyContentH2),(VLOOKUP($R605,'TA database'!$I$112:$J$139,2,FALSE)/VLOOKUP($F605,'Merit calculation'!$B$90:$I$104,7,FALSE)/energyContentH2))</f>
        <v>0</v>
      </c>
      <c r="W605">
        <f ca="1">IFERROR(VLOOKUP($S605,'TA database'!$I$146:$J$193,2,FALSE),0)</f>
        <v>3.3668409136299347E-4</v>
      </c>
      <c r="X605">
        <f>IFERROR(VLOOKUP($S605,'TA database'!$I$200:$J$271,2,FALSE),0)</f>
        <v>0</v>
      </c>
      <c r="Y605">
        <f t="shared" ca="1" si="1775"/>
        <v>8.24653562140556E-3</v>
      </c>
      <c r="Z605" t="str">
        <f t="shared" si="1785"/>
        <v>BIO_GSF_CCS_MED_C   →   C_GAS_STRG   →   ONSITE_USE   →   H2_IND_BOIL_HEAT</v>
      </c>
      <c r="AA605" t="str">
        <f t="shared" si="1786"/>
        <v>Industrial heat</v>
      </c>
      <c r="AB605" t="str">
        <f t="shared" si="1787"/>
        <v>Levelized cost</v>
      </c>
      <c r="AC605">
        <f t="shared" ca="1" si="1788"/>
        <v>8.24653562140556E-3</v>
      </c>
      <c r="AD605">
        <v>546</v>
      </c>
      <c r="AE605" t="str">
        <f>IF(AND(ISNUMBER(SEARCH(O605,4)),ISNUMBER(SEARCH('(4) FCH pathway assessment'!$B$16,AB605)),ISNUMBER(SEARCH('(4) FCH pathway assessment'!$B$10,AA605))),AD605,"")</f>
        <v/>
      </c>
      <c r="AF605" t="str">
        <f t="shared" si="1633"/>
        <v/>
      </c>
      <c r="AG605" t="str">
        <f>VLOOKUP(C605,Assumptions!$B$116:$C$162,2,FALSE)</f>
        <v>BIO_GSF_CCS_MED_C</v>
      </c>
      <c r="AH605" t="str">
        <f>VLOOKUP(D605,Assumptions!$B$116:$C$162,2,FALSE)</f>
        <v>C_GAS_STRG</v>
      </c>
      <c r="AI605" t="str">
        <f>VLOOKUP(E605,Assumptions!$B$116:$C$162,2,FALSE)</f>
        <v>ONSITE_USE</v>
      </c>
      <c r="AJ605" t="str">
        <f>VLOOKUP(F605,Assumptions!$B$116:$C$162,2,FALSE)</f>
        <v>H2_IND_BOIL_HEAT</v>
      </c>
    </row>
    <row r="606" spans="2:36" x14ac:dyDescent="0.25">
      <c r="B606" t="s">
        <v>117</v>
      </c>
      <c r="C606" t="s">
        <v>55</v>
      </c>
      <c r="D606" s="60" t="s">
        <v>130</v>
      </c>
      <c r="E606" t="s">
        <v>66</v>
      </c>
      <c r="F606" t="s">
        <v>570</v>
      </c>
      <c r="G606" t="s">
        <v>120</v>
      </c>
      <c r="H606" t="s">
        <v>432</v>
      </c>
      <c r="I606" t="s">
        <v>32</v>
      </c>
      <c r="J606" t="s">
        <v>72</v>
      </c>
      <c r="K606">
        <f t="shared" ref="K606:K619" si="1789">SUMPRODUCT(($C$7:$C$18=$C606)*($D$6:$H$6=$D606)*($D$7:$H$18))</f>
        <v>0</v>
      </c>
      <c r="L606">
        <f t="shared" ref="L606:L619" si="1790">SUMPRODUCT(($C$19:$C$23=$D606)*($I$6:$O$6=$E606)*($I$19:$O$23))</f>
        <v>1</v>
      </c>
      <c r="M606">
        <f t="shared" ref="M606:M619" si="1791">SUMPRODUCT(($C$24:$C$30=$E606)*($P$6:$AI$6=$F606)*($P$24:$AI$30))</f>
        <v>1</v>
      </c>
      <c r="N606">
        <f t="shared" ref="N606:N619" si="1792">SUMPRODUCT(($C$31:$C$50=$F606)*($AJ$6:$AM$6=$G606)*($AJ$31:$AM$50))</f>
        <v>1</v>
      </c>
      <c r="O606">
        <f t="shared" ref="O606:O618" si="1793">K606+L606+M606+N606</f>
        <v>3</v>
      </c>
      <c r="P606" t="str">
        <f t="shared" ref="P606:P619" si="1794">CONCATENATE(C606,"-",J606)</f>
        <v>Small decentralized biomass gasification-Levelized cost</v>
      </c>
      <c r="Q606" t="str">
        <f t="shared" ref="Q606:Q619" si="1795">CONCATENATE(D606,"-",J606)</f>
        <v>Distributed gas storage-Levelized cost</v>
      </c>
      <c r="R606" t="str">
        <f t="shared" ref="R606:R619" si="1796">CONCATENATE(E606,"-",J606)</f>
        <v>Onsite-Levelized cost</v>
      </c>
      <c r="S606" t="str">
        <f t="shared" ref="S606:S619" si="1797">CONCATENATE(F606,"-",J606)</f>
        <v>Industrial H2 boiler-Levelized cost</v>
      </c>
      <c r="T606">
        <f ca="1">IF(timePeriod="2020-30",(VLOOKUP($P606,'TA database'!$I$8:$J$79,2,FALSE)/VLOOKUP($D606,'Merit calculation'!$B$48:$I$52,5,FALSE)/VLOOKUP($E606,'Merit calculation'!$B$67:$I$73,5,FALSE)/VLOOKUP($F606,'Merit calculation'!$B$90:$I$103,5,FALSE)/energyContentH2),(VLOOKUP($P606,'TA database'!$I$8:$J$79,2,FALSE)/VLOOKUP($D606,'Merit calculation'!$B$48:$I$52,7,FALSE)/VLOOKUP($E606,'Merit calculation'!$B$67:$I$73,7,FALSE)/VLOOKUP($F606,'Merit calculation'!$B$90:$I$103,7,FALSE)/energyContentH2))</f>
        <v>1.8909679193749116E-2</v>
      </c>
      <c r="U606">
        <f ca="1">IF(timePeriod="2020-30",(VLOOKUP($Q606,'TA database'!$I$86:$J$105,2,FALSE)/VLOOKUP($E606,'Merit calculation'!$B$67:$I$73,5,FALSE)/VLOOKUP($F606,'Merit calculation'!$B$90:$I$104,5,FALSE)/energyContentH2),VLOOKUP($Q606,'TA database'!$I$86:$J$105,2,FALSE)/VLOOKUP($E606,'Merit calculation'!$B$67:$I$73,7,FALSE)/VLOOKUP($F606,'Merit calculation'!$B$90:$I$104,7,FALSE)/energyContentH2)</f>
        <v>1.0320339662267212E-3</v>
      </c>
      <c r="V606">
        <f ca="1">IF(timePeriod="2020-30",(VLOOKUP($R606,'TA database'!$I$112:$J$139,2,FALSE)/VLOOKUP($F606,'Merit calculation'!$B$90:$I$104,5,FALSE)/energyContentH2),(VLOOKUP($R606,'TA database'!$I$112:$J$139,2,FALSE)/VLOOKUP($F606,'Merit calculation'!$B$90:$I$104,7,FALSE)/energyContentH2))</f>
        <v>0</v>
      </c>
      <c r="W606">
        <f ca="1">IFERROR(VLOOKUP($S606,'TA database'!$I$146:$J$193,2,FALSE),0)</f>
        <v>3.3668409136299347E-4</v>
      </c>
      <c r="X606">
        <f>IFERROR(VLOOKUP($S606,'TA database'!$I$200:$J$271,2,FALSE),0)</f>
        <v>0</v>
      </c>
      <c r="Y606">
        <f t="shared" ref="Y606:Y611" ca="1" si="1798">IF($W606=0,T606*3.6+U606*3.6+V606*3.6+X606,T606+U606+V606+W606)</f>
        <v>2.0278397251338832E-2</v>
      </c>
      <c r="Z606" t="str">
        <f t="shared" ref="Z606:Z618" si="1799">CONCATENATE(AG606,"   →   ",AH606,"   →   ",AI606,"   →   ",AJ606)</f>
        <v>BIO_GSF_SML_D   →   D_GAS_STRG   →   ONSITE_USE   →   H2_IND_BOIL_HEAT</v>
      </c>
      <c r="AA606" t="str">
        <f t="shared" ref="AA606:AA618" si="1800">G606</f>
        <v>Industrial heat</v>
      </c>
      <c r="AB606" t="str">
        <f t="shared" ref="AB606:AB618" si="1801">J606</f>
        <v>Levelized cost</v>
      </c>
      <c r="AC606">
        <f t="shared" ref="AC606:AC618" ca="1" si="1802">Y606</f>
        <v>2.0278397251338832E-2</v>
      </c>
      <c r="AD606">
        <v>547</v>
      </c>
      <c r="AE606" t="str">
        <f>IF(AND(ISNUMBER(SEARCH(O606,4)),ISNUMBER(SEARCH('(4) FCH pathway assessment'!$B$16,AB606)),ISNUMBER(SEARCH('(4) FCH pathway assessment'!$B$10,AA606))),AD606,"")</f>
        <v/>
      </c>
      <c r="AF606" t="str">
        <f t="shared" si="1633"/>
        <v/>
      </c>
      <c r="AG606" t="str">
        <f>VLOOKUP(C606,Assumptions!$B$116:$C$162,2,FALSE)</f>
        <v>BIO_GSF_SML_D</v>
      </c>
      <c r="AH606" t="str">
        <f>VLOOKUP(D606,Assumptions!$B$116:$C$162,2,FALSE)</f>
        <v>D_GAS_STRG</v>
      </c>
      <c r="AI606" t="str">
        <f>VLOOKUP(E606,Assumptions!$B$116:$C$162,2,FALSE)</f>
        <v>ONSITE_USE</v>
      </c>
      <c r="AJ606" t="str">
        <f>VLOOKUP(F606,Assumptions!$B$116:$C$162,2,FALSE)</f>
        <v>H2_IND_BOIL_HEAT</v>
      </c>
    </row>
    <row r="607" spans="2:36" x14ac:dyDescent="0.25">
      <c r="B607" t="s">
        <v>117</v>
      </c>
      <c r="C607" t="s">
        <v>56</v>
      </c>
      <c r="D607" t="s">
        <v>62</v>
      </c>
      <c r="E607" t="s">
        <v>157</v>
      </c>
      <c r="F607" t="s">
        <v>570</v>
      </c>
      <c r="G607" t="s">
        <v>120</v>
      </c>
      <c r="H607" t="s">
        <v>432</v>
      </c>
      <c r="I607" t="s">
        <v>32</v>
      </c>
      <c r="J607" t="s">
        <v>72</v>
      </c>
      <c r="K607">
        <f t="shared" si="1789"/>
        <v>0</v>
      </c>
      <c r="L607">
        <f t="shared" si="1790"/>
        <v>0</v>
      </c>
      <c r="M607">
        <f t="shared" si="1791"/>
        <v>0</v>
      </c>
      <c r="N607">
        <f t="shared" si="1792"/>
        <v>1</v>
      </c>
      <c r="O607">
        <f t="shared" si="1793"/>
        <v>1</v>
      </c>
      <c r="P607" t="str">
        <f t="shared" si="1794"/>
        <v>Large centralized biomass steam reforming -Levelized cost</v>
      </c>
      <c r="Q607" t="str">
        <f t="shared" si="1795"/>
        <v>Underground storage-Levelized cost</v>
      </c>
      <c r="R607" t="str">
        <f t="shared" si="1796"/>
        <v>Blending in natural gas pipeline-Levelized cost</v>
      </c>
      <c r="S607" t="str">
        <f t="shared" si="1797"/>
        <v>Industrial H2 boiler-Levelized cost</v>
      </c>
      <c r="T607">
        <f ca="1">IF(timePeriod="2020-30",(VLOOKUP($P607,'TA database'!$I$8:$J$79,2,FALSE)/VLOOKUP($D607,'Merit calculation'!$B$48:$I$52,5,FALSE)/VLOOKUP($E607,'Merit calculation'!$B$67:$I$73,5,FALSE)/VLOOKUP($F607,'Merit calculation'!$B$90:$I$103,5,FALSE)/energyContentH2),(VLOOKUP($P607,'TA database'!$I$8:$J$79,2,FALSE)/VLOOKUP($D607,'Merit calculation'!$B$48:$I$52,7,FALSE)/VLOOKUP($E607,'Merit calculation'!$B$67:$I$73,7,FALSE)/VLOOKUP($F607,'Merit calculation'!$B$90:$I$103,7,FALSE)/energyContentH2))</f>
        <v>8.288812438647453E-3</v>
      </c>
      <c r="U607">
        <f ca="1">IF(timePeriod="2020-30",(VLOOKUP($Q607,'TA database'!$I$86:$J$105,2,FALSE)/VLOOKUP($E607,'Merit calculation'!$B$67:$I$73,5,FALSE)/VLOOKUP($F607,'Merit calculation'!$B$90:$I$104,5,FALSE)/energyContentH2),VLOOKUP($Q607,'TA database'!$I$86:$J$105,2,FALSE)/VLOOKUP($E607,'Merit calculation'!$B$67:$I$73,7,FALSE)/VLOOKUP($F607,'Merit calculation'!$B$90:$I$104,7,FALSE)/energyContentH2)</f>
        <v>1.1679396737133677E-4</v>
      </c>
      <c r="V607">
        <f ca="1">IF(timePeriod="2020-30",(VLOOKUP($R607,'TA database'!$I$112:$J$139,2,FALSE)/VLOOKUP($F607,'Merit calculation'!$B$90:$I$104,5,FALSE)/energyContentH2),(VLOOKUP($R607,'TA database'!$I$112:$J$139,2,FALSE)/VLOOKUP($F607,'Merit calculation'!$B$90:$I$104,7,FALSE)/energyContentH2))</f>
        <v>1.6804566808972198E-3</v>
      </c>
      <c r="W607">
        <f ca="1">IFERROR(VLOOKUP($S607,'TA database'!$I$146:$J$193,2,FALSE),0)</f>
        <v>3.3668409136299347E-4</v>
      </c>
      <c r="X607">
        <f>IFERROR(VLOOKUP($S607,'TA database'!$I$200:$J$271,2,FALSE),0)</f>
        <v>0</v>
      </c>
      <c r="Y607">
        <f t="shared" ca="1" si="1798"/>
        <v>1.0422747178279002E-2</v>
      </c>
      <c r="Z607" t="str">
        <f t="shared" si="1799"/>
        <v>BIO_SR_LRG_C   →   C_UNDRGRND_STRG   →   H2_BLND_NG_P   →   H2_IND_BOIL_HEAT</v>
      </c>
      <c r="AA607" t="str">
        <f t="shared" si="1800"/>
        <v>Industrial heat</v>
      </c>
      <c r="AB607" t="str">
        <f t="shared" si="1801"/>
        <v>Levelized cost</v>
      </c>
      <c r="AC607">
        <f t="shared" ca="1" si="1802"/>
        <v>1.0422747178279002E-2</v>
      </c>
      <c r="AD607">
        <v>548</v>
      </c>
      <c r="AE607" t="str">
        <f>IF(AND(ISNUMBER(SEARCH(O607,4)),ISNUMBER(SEARCH('(4) FCH pathway assessment'!$B$16,AB607)),ISNUMBER(SEARCH('(4) FCH pathway assessment'!$B$10,AA607))),AD607,"")</f>
        <v/>
      </c>
      <c r="AF607" t="str">
        <f t="shared" si="1633"/>
        <v/>
      </c>
      <c r="AG607" t="str">
        <f>VLOOKUP(C607,Assumptions!$B$116:$C$162,2,FALSE)</f>
        <v>BIO_SR_LRG_C</v>
      </c>
      <c r="AH607" t="str">
        <f>VLOOKUP(D607,Assumptions!$B$116:$C$162,2,FALSE)</f>
        <v>C_UNDRGRND_STRG</v>
      </c>
      <c r="AI607" t="str">
        <f>VLOOKUP(E607,Assumptions!$B$116:$C$162,2,FALSE)</f>
        <v>H2_BLND_NG_P</v>
      </c>
      <c r="AJ607" t="str">
        <f>VLOOKUP(F607,Assumptions!$B$116:$C$162,2,FALSE)</f>
        <v>H2_IND_BOIL_HEAT</v>
      </c>
    </row>
    <row r="608" spans="2:36" x14ac:dyDescent="0.25">
      <c r="B608" t="s">
        <v>117</v>
      </c>
      <c r="C608" t="s">
        <v>56</v>
      </c>
      <c r="D608" t="s">
        <v>62</v>
      </c>
      <c r="E608" t="s">
        <v>122</v>
      </c>
      <c r="F608" t="s">
        <v>570</v>
      </c>
      <c r="G608" t="s">
        <v>120</v>
      </c>
      <c r="H608" t="s">
        <v>432</v>
      </c>
      <c r="I608" t="s">
        <v>32</v>
      </c>
      <c r="J608" t="s">
        <v>72</v>
      </c>
      <c r="K608">
        <f t="shared" si="1789"/>
        <v>0</v>
      </c>
      <c r="L608">
        <f t="shared" si="1790"/>
        <v>0</v>
      </c>
      <c r="M608">
        <f t="shared" si="1791"/>
        <v>1</v>
      </c>
      <c r="N608">
        <f t="shared" si="1792"/>
        <v>1</v>
      </c>
      <c r="O608">
        <f t="shared" si="1793"/>
        <v>2</v>
      </c>
      <c r="P608" t="str">
        <f t="shared" si="1794"/>
        <v>Large centralized biomass steam reforming -Levelized cost</v>
      </c>
      <c r="Q608" t="str">
        <f t="shared" si="1795"/>
        <v>Underground storage-Levelized cost</v>
      </c>
      <c r="R608" t="str">
        <f t="shared" si="1796"/>
        <v>Hydrogen transmission &amp; distribution pipeline-Levelized cost</v>
      </c>
      <c r="S608" t="str">
        <f t="shared" si="1797"/>
        <v>Industrial H2 boiler-Levelized cost</v>
      </c>
      <c r="T608">
        <f ca="1">IF(timePeriod="2020-30",(VLOOKUP($P608,'TA database'!$I$8:$J$79,2,FALSE)/VLOOKUP($D608,'Merit calculation'!$B$48:$I$52,5,FALSE)/VLOOKUP($E608,'Merit calculation'!$B$67:$I$73,5,FALSE)/VLOOKUP($F608,'Merit calculation'!$B$90:$I$103,5,FALSE)/energyContentH2),(VLOOKUP($P608,'TA database'!$I$8:$J$79,2,FALSE)/VLOOKUP($D608,'Merit calculation'!$B$48:$I$52,7,FALSE)/VLOOKUP($E608,'Merit calculation'!$B$67:$I$73,7,FALSE)/VLOOKUP($F608,'Merit calculation'!$B$90:$I$103,7,FALSE)/energyContentH2))</f>
        <v>8.288812438647453E-3</v>
      </c>
      <c r="U608">
        <f ca="1">IF(timePeriod="2020-30",(VLOOKUP($Q608,'TA database'!$I$86:$J$105,2,FALSE)/VLOOKUP($E608,'Merit calculation'!$B$67:$I$73,5,FALSE)/VLOOKUP($F608,'Merit calculation'!$B$90:$I$104,5,FALSE)/energyContentH2),VLOOKUP($Q608,'TA database'!$I$86:$J$105,2,FALSE)/VLOOKUP($E608,'Merit calculation'!$B$67:$I$73,7,FALSE)/VLOOKUP($F608,'Merit calculation'!$B$90:$I$104,7,FALSE)/energyContentH2)</f>
        <v>1.1679396737133677E-4</v>
      </c>
      <c r="V608">
        <f ca="1">IF(timePeriod="2020-30",(VLOOKUP($R608,'TA database'!$I$112:$J$139,2,FALSE)/VLOOKUP($F608,'Merit calculation'!$B$90:$I$104,5,FALSE)/energyContentH2),(VLOOKUP($R608,'TA database'!$I$112:$J$139,2,FALSE)/VLOOKUP($F608,'Merit calculation'!$B$90:$I$104,7,FALSE)/energyContentH2))</f>
        <v>3.1265745439891346E-3</v>
      </c>
      <c r="W608">
        <f ca="1">IFERROR(VLOOKUP($S608,'TA database'!$I$146:$J$193,2,FALSE),0)</f>
        <v>3.3668409136299347E-4</v>
      </c>
      <c r="X608">
        <f>IFERROR(VLOOKUP($S608,'TA database'!$I$200:$J$271,2,FALSE),0)</f>
        <v>0</v>
      </c>
      <c r="Y608">
        <f t="shared" ca="1" si="1798"/>
        <v>1.1868865041370918E-2</v>
      </c>
      <c r="Z608" t="str">
        <f t="shared" si="1799"/>
        <v>BIO_SR_LRG_C   →   C_UNDRGRND_STRG   →   H2_T&amp;D_P   →   H2_IND_BOIL_HEAT</v>
      </c>
      <c r="AA608" t="str">
        <f t="shared" si="1800"/>
        <v>Industrial heat</v>
      </c>
      <c r="AB608" t="str">
        <f t="shared" si="1801"/>
        <v>Levelized cost</v>
      </c>
      <c r="AC608">
        <f t="shared" ca="1" si="1802"/>
        <v>1.1868865041370918E-2</v>
      </c>
      <c r="AD608">
        <v>549</v>
      </c>
      <c r="AE608" t="str">
        <f>IF(AND(ISNUMBER(SEARCH(O608,4)),ISNUMBER(SEARCH('(4) FCH pathway assessment'!$B$16,AB608)),ISNUMBER(SEARCH('(4) FCH pathway assessment'!$B$10,AA608))),AD608,"")</f>
        <v/>
      </c>
      <c r="AF608" t="str">
        <f t="shared" si="1633"/>
        <v/>
      </c>
      <c r="AG608" t="str">
        <f>VLOOKUP(C608,Assumptions!$B$116:$C$162,2,FALSE)</f>
        <v>BIO_SR_LRG_C</v>
      </c>
      <c r="AH608" t="str">
        <f>VLOOKUP(D608,Assumptions!$B$116:$C$162,2,FALSE)</f>
        <v>C_UNDRGRND_STRG</v>
      </c>
      <c r="AI608" t="str">
        <f>VLOOKUP(E608,Assumptions!$B$116:$C$162,2,FALSE)</f>
        <v>H2_T&amp;D_P</v>
      </c>
      <c r="AJ608" t="str">
        <f>VLOOKUP(F608,Assumptions!$B$116:$C$162,2,FALSE)</f>
        <v>H2_IND_BOIL_HEAT</v>
      </c>
    </row>
    <row r="609" spans="2:36" x14ac:dyDescent="0.25">
      <c r="B609" t="s">
        <v>117</v>
      </c>
      <c r="C609" t="s">
        <v>56</v>
      </c>
      <c r="D609" t="s">
        <v>62</v>
      </c>
      <c r="E609" t="s">
        <v>116</v>
      </c>
      <c r="F609" t="s">
        <v>570</v>
      </c>
      <c r="G609" t="s">
        <v>120</v>
      </c>
      <c r="H609" t="s">
        <v>432</v>
      </c>
      <c r="I609" t="s">
        <v>32</v>
      </c>
      <c r="J609" t="s">
        <v>72</v>
      </c>
      <c r="K609">
        <f t="shared" si="1789"/>
        <v>0</v>
      </c>
      <c r="L609">
        <f t="shared" si="1790"/>
        <v>0</v>
      </c>
      <c r="M609">
        <f t="shared" si="1791"/>
        <v>1</v>
      </c>
      <c r="N609">
        <f t="shared" si="1792"/>
        <v>1</v>
      </c>
      <c r="O609">
        <f t="shared" si="1793"/>
        <v>2</v>
      </c>
      <c r="P609" t="str">
        <f t="shared" si="1794"/>
        <v>Large centralized biomass steam reforming -Levelized cost</v>
      </c>
      <c r="Q609" t="str">
        <f t="shared" si="1795"/>
        <v>Underground storage-Levelized cost</v>
      </c>
      <c r="R609" t="str">
        <f t="shared" si="1796"/>
        <v>Liquid hydrogen truck-Levelized cost</v>
      </c>
      <c r="S609" t="str">
        <f t="shared" si="1797"/>
        <v>Industrial H2 boiler-Levelized cost</v>
      </c>
      <c r="T609">
        <f ca="1">IF(timePeriod="2020-30",(VLOOKUP($P609,'TA database'!$I$8:$J$79,2,FALSE)/VLOOKUP($D609,'Merit calculation'!$B$48:$I$52,5,FALSE)/VLOOKUP($E609,'Merit calculation'!$B$67:$I$73,5,FALSE)/VLOOKUP($F609,'Merit calculation'!$B$90:$I$103,5,FALSE)/energyContentH2),(VLOOKUP($P609,'TA database'!$I$8:$J$79,2,FALSE)/VLOOKUP($D609,'Merit calculation'!$B$48:$I$52,7,FALSE)/VLOOKUP($E609,'Merit calculation'!$B$67:$I$73,7,FALSE)/VLOOKUP($F609,'Merit calculation'!$B$90:$I$103,7,FALSE)/energyContentH2))</f>
        <v>9.5751742290093103E-3</v>
      </c>
      <c r="U609">
        <f ca="1">IF(timePeriod="2020-30",(VLOOKUP($Q609,'TA database'!$I$86:$J$105,2,FALSE)/VLOOKUP($E609,'Merit calculation'!$B$67:$I$73,5,FALSE)/VLOOKUP($F609,'Merit calculation'!$B$90:$I$104,5,FALSE)/energyContentH2),VLOOKUP($Q609,'TA database'!$I$86:$J$105,2,FALSE)/VLOOKUP($E609,'Merit calculation'!$B$67:$I$73,7,FALSE)/VLOOKUP($F609,'Merit calculation'!$B$90:$I$104,7,FALSE)/energyContentH2)</f>
        <v>1.3491951890037737E-4</v>
      </c>
      <c r="V609">
        <f ca="1">IF(timePeriod="2020-30",(VLOOKUP($R609,'TA database'!$I$112:$J$139,2,FALSE)/VLOOKUP($F609,'Merit calculation'!$B$90:$I$104,5,FALSE)/energyContentH2),(VLOOKUP($R609,'TA database'!$I$112:$J$139,2,FALSE)/VLOOKUP($F609,'Merit calculation'!$B$90:$I$104,7,FALSE)/energyContentH2))</f>
        <v>2.0689448723551496E-2</v>
      </c>
      <c r="W609">
        <f ca="1">IFERROR(VLOOKUP($S609,'TA database'!$I$146:$J$193,2,FALSE),0)</f>
        <v>3.3668409136299347E-4</v>
      </c>
      <c r="X609">
        <f>IFERROR(VLOOKUP($S609,'TA database'!$I$200:$J$271,2,FALSE),0)</f>
        <v>0</v>
      </c>
      <c r="Y609">
        <f t="shared" ca="1" si="1798"/>
        <v>3.0736226562824178E-2</v>
      </c>
      <c r="Z609" t="str">
        <f t="shared" si="1799"/>
        <v>BIO_SR_LRG_C   →   C_UNDRGRND_STRG   →   LQ_TRUCK   →   H2_IND_BOIL_HEAT</v>
      </c>
      <c r="AA609" t="str">
        <f t="shared" si="1800"/>
        <v>Industrial heat</v>
      </c>
      <c r="AB609" t="str">
        <f t="shared" si="1801"/>
        <v>Levelized cost</v>
      </c>
      <c r="AC609">
        <f t="shared" ca="1" si="1802"/>
        <v>3.0736226562824178E-2</v>
      </c>
      <c r="AD609">
        <v>550</v>
      </c>
      <c r="AE609" t="str">
        <f>IF(AND(ISNUMBER(SEARCH(O609,4)),ISNUMBER(SEARCH('(4) FCH pathway assessment'!$B$16,AB609)),ISNUMBER(SEARCH('(4) FCH pathway assessment'!$B$10,AA609))),AD609,"")</f>
        <v/>
      </c>
      <c r="AF609" t="str">
        <f t="shared" si="1633"/>
        <v/>
      </c>
      <c r="AG609" t="str">
        <f>VLOOKUP(C609,Assumptions!$B$116:$C$162,2,FALSE)</f>
        <v>BIO_SR_LRG_C</v>
      </c>
      <c r="AH609" t="str">
        <f>VLOOKUP(D609,Assumptions!$B$116:$C$162,2,FALSE)</f>
        <v>C_UNDRGRND_STRG</v>
      </c>
      <c r="AI609" t="str">
        <f>VLOOKUP(E609,Assumptions!$B$116:$C$162,2,FALSE)</f>
        <v>LQ_TRUCK</v>
      </c>
      <c r="AJ609" t="str">
        <f>VLOOKUP(F609,Assumptions!$B$116:$C$162,2,FALSE)</f>
        <v>H2_IND_BOIL_HEAT</v>
      </c>
    </row>
    <row r="610" spans="2:36" x14ac:dyDescent="0.25">
      <c r="B610" t="s">
        <v>117</v>
      </c>
      <c r="C610" t="s">
        <v>56</v>
      </c>
      <c r="D610" t="s">
        <v>62</v>
      </c>
      <c r="E610" t="s">
        <v>66</v>
      </c>
      <c r="F610" t="s">
        <v>570</v>
      </c>
      <c r="G610" t="s">
        <v>120</v>
      </c>
      <c r="H610" t="s">
        <v>432</v>
      </c>
      <c r="I610" t="s">
        <v>32</v>
      </c>
      <c r="J610" t="s">
        <v>72</v>
      </c>
      <c r="K610">
        <f t="shared" si="1789"/>
        <v>0</v>
      </c>
      <c r="L610">
        <f t="shared" si="1790"/>
        <v>0</v>
      </c>
      <c r="M610">
        <f t="shared" si="1791"/>
        <v>1</v>
      </c>
      <c r="N610">
        <f t="shared" si="1792"/>
        <v>1</v>
      </c>
      <c r="O610">
        <f t="shared" si="1793"/>
        <v>2</v>
      </c>
      <c r="P610" t="str">
        <f t="shared" si="1794"/>
        <v>Large centralized biomass steam reforming -Levelized cost</v>
      </c>
      <c r="Q610" t="str">
        <f t="shared" si="1795"/>
        <v>Underground storage-Levelized cost</v>
      </c>
      <c r="R610" t="str">
        <f t="shared" si="1796"/>
        <v>Onsite-Levelized cost</v>
      </c>
      <c r="S610" t="str">
        <f t="shared" si="1797"/>
        <v>Industrial H2 boiler-Levelized cost</v>
      </c>
      <c r="T610">
        <f ca="1">IF(timePeriod="2020-30",(VLOOKUP($P610,'TA database'!$I$8:$J$79,2,FALSE)/VLOOKUP($D610,'Merit calculation'!$B$48:$I$52,5,FALSE)/VLOOKUP($E610,'Merit calculation'!$B$67:$I$73,5,FALSE)/VLOOKUP($F610,'Merit calculation'!$B$90:$I$103,5,FALSE)/energyContentH2),(VLOOKUP($P610,'TA database'!$I$8:$J$79,2,FALSE)/VLOOKUP($D610,'Merit calculation'!$B$48:$I$52,7,FALSE)/VLOOKUP($E610,'Merit calculation'!$B$67:$I$73,7,FALSE)/VLOOKUP($F610,'Merit calculation'!$B$90:$I$103,7,FALSE)/energyContentH2))</f>
        <v>8.2059243142609799E-3</v>
      </c>
      <c r="U610">
        <f ca="1">IF(timePeriod="2020-30",(VLOOKUP($Q610,'TA database'!$I$86:$J$105,2,FALSE)/VLOOKUP($E610,'Merit calculation'!$B$67:$I$73,5,FALSE)/VLOOKUP($F610,'Merit calculation'!$B$90:$I$104,5,FALSE)/energyContentH2),VLOOKUP($Q610,'TA database'!$I$86:$J$105,2,FALSE)/VLOOKUP($E610,'Merit calculation'!$B$67:$I$73,7,FALSE)/VLOOKUP($F610,'Merit calculation'!$B$90:$I$104,7,FALSE)/energyContentH2)</f>
        <v>1.156260276976234E-4</v>
      </c>
      <c r="V610">
        <f ca="1">IF(timePeriod="2020-30",(VLOOKUP($R610,'TA database'!$I$112:$J$139,2,FALSE)/VLOOKUP($F610,'Merit calculation'!$B$90:$I$104,5,FALSE)/energyContentH2),(VLOOKUP($R610,'TA database'!$I$112:$J$139,2,FALSE)/VLOOKUP($F610,'Merit calculation'!$B$90:$I$104,7,FALSE)/energyContentH2))</f>
        <v>0</v>
      </c>
      <c r="W610">
        <f ca="1">IFERROR(VLOOKUP($S610,'TA database'!$I$146:$J$193,2,FALSE),0)</f>
        <v>3.3668409136299347E-4</v>
      </c>
      <c r="X610">
        <f>IFERROR(VLOOKUP($S610,'TA database'!$I$200:$J$271,2,FALSE),0)</f>
        <v>0</v>
      </c>
      <c r="Y610">
        <f t="shared" ca="1" si="1798"/>
        <v>8.6582344333215964E-3</v>
      </c>
      <c r="Z610" t="str">
        <f t="shared" si="1799"/>
        <v>BIO_SR_LRG_C   →   C_UNDRGRND_STRG   →   ONSITE_USE   →   H2_IND_BOIL_HEAT</v>
      </c>
      <c r="AA610" t="str">
        <f t="shared" si="1800"/>
        <v>Industrial heat</v>
      </c>
      <c r="AB610" t="str">
        <f t="shared" si="1801"/>
        <v>Levelized cost</v>
      </c>
      <c r="AC610">
        <f t="shared" ca="1" si="1802"/>
        <v>8.6582344333215964E-3</v>
      </c>
      <c r="AD610">
        <v>551</v>
      </c>
      <c r="AE610" t="str">
        <f>IF(AND(ISNUMBER(SEARCH(O610,4)),ISNUMBER(SEARCH('(4) FCH pathway assessment'!$B$16,AB610)),ISNUMBER(SEARCH('(4) FCH pathway assessment'!$B$10,AA610))),AD610,"")</f>
        <v/>
      </c>
      <c r="AF610" t="str">
        <f t="shared" si="1633"/>
        <v/>
      </c>
      <c r="AG610" t="str">
        <f>VLOOKUP(C610,Assumptions!$B$116:$C$162,2,FALSE)</f>
        <v>BIO_SR_LRG_C</v>
      </c>
      <c r="AH610" t="str">
        <f>VLOOKUP(D610,Assumptions!$B$116:$C$162,2,FALSE)</f>
        <v>C_UNDRGRND_STRG</v>
      </c>
      <c r="AI610" t="str">
        <f>VLOOKUP(E610,Assumptions!$B$116:$C$162,2,FALSE)</f>
        <v>ONSITE_USE</v>
      </c>
      <c r="AJ610" t="str">
        <f>VLOOKUP(F610,Assumptions!$B$116:$C$162,2,FALSE)</f>
        <v>H2_IND_BOIL_HEAT</v>
      </c>
    </row>
    <row r="611" spans="2:36" x14ac:dyDescent="0.25">
      <c r="B611" t="s">
        <v>117</v>
      </c>
      <c r="C611" t="s">
        <v>56</v>
      </c>
      <c r="D611" s="61" t="s">
        <v>63</v>
      </c>
      <c r="E611" t="s">
        <v>122</v>
      </c>
      <c r="F611" t="s">
        <v>570</v>
      </c>
      <c r="G611" t="s">
        <v>120</v>
      </c>
      <c r="H611" t="s">
        <v>432</v>
      </c>
      <c r="I611" t="s">
        <v>32</v>
      </c>
      <c r="J611" t="s">
        <v>72</v>
      </c>
      <c r="K611">
        <f t="shared" si="1789"/>
        <v>0</v>
      </c>
      <c r="L611">
        <f t="shared" si="1790"/>
        <v>1</v>
      </c>
      <c r="M611">
        <f t="shared" si="1791"/>
        <v>1</v>
      </c>
      <c r="N611">
        <f t="shared" si="1792"/>
        <v>1</v>
      </c>
      <c r="O611">
        <f t="shared" si="1793"/>
        <v>3</v>
      </c>
      <c r="P611" t="str">
        <f t="shared" si="1794"/>
        <v>Large centralized biomass steam reforming -Levelized cost</v>
      </c>
      <c r="Q611" t="str">
        <f t="shared" si="1795"/>
        <v>No storage-Levelized cost</v>
      </c>
      <c r="R611" t="str">
        <f t="shared" si="1796"/>
        <v>Hydrogen transmission &amp; distribution pipeline-Levelized cost</v>
      </c>
      <c r="S611" t="str">
        <f t="shared" si="1797"/>
        <v>Industrial H2 boiler-Levelized cost</v>
      </c>
      <c r="T611">
        <f ca="1">IF(timePeriod="2020-30",(VLOOKUP($P611,'TA database'!$I$8:$J$79,2,FALSE)/VLOOKUP($D611,'Merit calculation'!$B$48:$I$52,5,FALSE)/VLOOKUP($E611,'Merit calculation'!$B$67:$I$73,5,FALSE)/VLOOKUP($F611,'Merit calculation'!$B$90:$I$103,5,FALSE)/energyContentH2),(VLOOKUP($P611,'TA database'!$I$8:$J$79,2,FALSE)/VLOOKUP($D611,'Merit calculation'!$B$48:$I$52,7,FALSE)/VLOOKUP($E611,'Merit calculation'!$B$67:$I$73,7,FALSE)/VLOOKUP($F611,'Merit calculation'!$B$90:$I$103,7,FALSE)/energyContentH2))</f>
        <v>8.2059243142609799E-3</v>
      </c>
      <c r="U611">
        <f ca="1">IF(timePeriod="2020-30",(VLOOKUP($Q611,'TA database'!$I$86:$J$105,2,FALSE)/VLOOKUP($E611,'Merit calculation'!$B$67:$I$73,5,FALSE)/VLOOKUP($F611,'Merit calculation'!$B$90:$I$104,5,FALSE)/energyContentH2),VLOOKUP($Q611,'TA database'!$I$86:$J$105,2,FALSE)/VLOOKUP($E611,'Merit calculation'!$B$67:$I$73,7,FALSE)/VLOOKUP($F611,'Merit calculation'!$B$90:$I$104,7,FALSE)/energyContentH2)</f>
        <v>0</v>
      </c>
      <c r="V611">
        <f ca="1">IF(timePeriod="2020-30",(VLOOKUP($R611,'TA database'!$I$112:$J$139,2,FALSE)/VLOOKUP($F611,'Merit calculation'!$B$90:$I$104,5,FALSE)/energyContentH2),(VLOOKUP($R611,'TA database'!$I$112:$J$139,2,FALSE)/VLOOKUP($F611,'Merit calculation'!$B$90:$I$104,7,FALSE)/energyContentH2))</f>
        <v>3.1265745439891346E-3</v>
      </c>
      <c r="W611">
        <f ca="1">IFERROR(VLOOKUP($S611,'TA database'!$I$146:$J$193,2,FALSE),0)</f>
        <v>3.3668409136299347E-4</v>
      </c>
      <c r="X611">
        <f>IFERROR(VLOOKUP($S611,'TA database'!$I$200:$J$271,2,FALSE),0)</f>
        <v>0</v>
      </c>
      <c r="Y611">
        <f t="shared" ca="1" si="1798"/>
        <v>1.1669182949613109E-2</v>
      </c>
      <c r="Z611" t="str">
        <f t="shared" si="1799"/>
        <v>BIO_SR_LRG_C   →   NO_STRG   →   H2_T&amp;D_P   →   H2_IND_BOIL_HEAT</v>
      </c>
      <c r="AA611" t="str">
        <f t="shared" si="1800"/>
        <v>Industrial heat</v>
      </c>
      <c r="AB611" t="str">
        <f t="shared" si="1801"/>
        <v>Levelized cost</v>
      </c>
      <c r="AC611">
        <f t="shared" ca="1" si="1802"/>
        <v>1.1669182949613109E-2</v>
      </c>
      <c r="AD611">
        <v>552</v>
      </c>
      <c r="AE611" t="str">
        <f>IF(AND(ISNUMBER(SEARCH(O611,4)),ISNUMBER(SEARCH('(4) FCH pathway assessment'!$B$16,AB611)),ISNUMBER(SEARCH('(4) FCH pathway assessment'!$B$10,AA611))),AD611,"")</f>
        <v/>
      </c>
      <c r="AF611" t="str">
        <f t="shared" si="1633"/>
        <v/>
      </c>
      <c r="AG611" t="str">
        <f>VLOOKUP(C611,Assumptions!$B$116:$C$162,2,FALSE)</f>
        <v>BIO_SR_LRG_C</v>
      </c>
      <c r="AH611" t="str">
        <f>VLOOKUP(D611,Assumptions!$B$116:$C$162,2,FALSE)</f>
        <v>NO_STRG</v>
      </c>
      <c r="AI611" t="str">
        <f>VLOOKUP(E611,Assumptions!$B$116:$C$162,2,FALSE)</f>
        <v>H2_T&amp;D_P</v>
      </c>
      <c r="AJ611" t="str">
        <f>VLOOKUP(F611,Assumptions!$B$116:$C$162,2,FALSE)</f>
        <v>H2_IND_BOIL_HEAT</v>
      </c>
    </row>
    <row r="612" spans="2:36" x14ac:dyDescent="0.25">
      <c r="B612" t="s">
        <v>112</v>
      </c>
      <c r="C612" t="s">
        <v>49</v>
      </c>
      <c r="D612" t="s">
        <v>62</v>
      </c>
      <c r="E612" t="s">
        <v>157</v>
      </c>
      <c r="F612" t="s">
        <v>570</v>
      </c>
      <c r="G612" t="s">
        <v>120</v>
      </c>
      <c r="H612" t="s">
        <v>432</v>
      </c>
      <c r="I612" t="s">
        <v>32</v>
      </c>
      <c r="J612" t="s">
        <v>72</v>
      </c>
      <c r="K612">
        <f t="shared" si="1789"/>
        <v>1</v>
      </c>
      <c r="L612">
        <f t="shared" si="1790"/>
        <v>0</v>
      </c>
      <c r="M612">
        <f t="shared" si="1791"/>
        <v>0</v>
      </c>
      <c r="N612">
        <f t="shared" si="1792"/>
        <v>1</v>
      </c>
      <c r="O612">
        <f t="shared" si="1793"/>
        <v>2</v>
      </c>
      <c r="P612" t="str">
        <f t="shared" si="1794"/>
        <v>Large centralized electrolysis-Levelized cost</v>
      </c>
      <c r="Q612" t="str">
        <f t="shared" si="1795"/>
        <v>Underground storage-Levelized cost</v>
      </c>
      <c r="R612" t="str">
        <f t="shared" si="1796"/>
        <v>Blending in natural gas pipeline-Levelized cost</v>
      </c>
      <c r="S612" t="str">
        <f t="shared" si="1797"/>
        <v>Industrial H2 boiler-Levelized cost</v>
      </c>
      <c r="T612">
        <f ca="1">IF(timePeriod="2020-30",(VLOOKUP($P612,'TA database'!$I$8:$J$79,2,FALSE)/VLOOKUP($D612,'Merit calculation'!$B$48:$I$52,5,FALSE)/VLOOKUP($E612,'Merit calculation'!$B$67:$I$73,5,FALSE)/VLOOKUP($F612,'Merit calculation'!$B$90:$I$103,5,FALSE)/energyContentH2),(VLOOKUP($P612,'TA database'!$I$8:$J$79,2,FALSE)/VLOOKUP($D612,'Merit calculation'!$B$48:$I$52,7,FALSE)/VLOOKUP($E612,'Merit calculation'!$B$67:$I$73,7,FALSE)/VLOOKUP($F612,'Merit calculation'!$B$90:$I$103,7,FALSE)/energyContentH2))</f>
        <v>1.7674221380521198E-2</v>
      </c>
      <c r="U612">
        <f ca="1">IF(timePeriod="2020-30",(VLOOKUP($Q612,'TA database'!$I$86:$J$105,2,FALSE)/VLOOKUP($E612,'Merit calculation'!$B$67:$I$73,5,FALSE)/VLOOKUP($F612,'Merit calculation'!$B$90:$I$104,5,FALSE)/energyContentH2),VLOOKUP($Q612,'TA database'!$I$86:$J$105,2,FALSE)/VLOOKUP($E612,'Merit calculation'!$B$67:$I$73,7,FALSE)/VLOOKUP($F612,'Merit calculation'!$B$90:$I$104,7,FALSE)/energyContentH2)</f>
        <v>1.1679396737133677E-4</v>
      </c>
      <c r="V612">
        <f ca="1">IF(timePeriod="2020-30",(VLOOKUP($R612,'TA database'!$I$112:$J$139,2,FALSE)/VLOOKUP($F612,'Merit calculation'!$B$90:$I$104,5,FALSE)/energyContentH2),(VLOOKUP($R612,'TA database'!$I$112:$J$139,2,FALSE)/VLOOKUP($F612,'Merit calculation'!$B$90:$I$104,7,FALSE)/energyContentH2))</f>
        <v>1.6804566808972198E-3</v>
      </c>
      <c r="W612">
        <f ca="1">IFERROR(VLOOKUP($S612,'TA database'!$I$146:$J$193,2,FALSE),0)</f>
        <v>3.3668409136299347E-4</v>
      </c>
      <c r="X612">
        <f>IFERROR(VLOOKUP($S612,'TA database'!$I$200:$J$271,2,FALSE),0)</f>
        <v>0</v>
      </c>
      <c r="Y612">
        <f t="shared" ref="Y612:Y623" ca="1" si="1803">IF($W612=0,T612*3.6+U612*3.6+V612*3.6+X612,T612+U612+V612+W612)</f>
        <v>1.9808156120152749E-2</v>
      </c>
      <c r="Z612" t="str">
        <f t="shared" si="1799"/>
        <v>ELCTRLYZ_LRG_C   →   C_UNDRGRND_STRG   →   H2_BLND_NG_P   →   H2_IND_BOIL_HEAT</v>
      </c>
      <c r="AA612" t="str">
        <f t="shared" si="1800"/>
        <v>Industrial heat</v>
      </c>
      <c r="AB612" t="str">
        <f t="shared" si="1801"/>
        <v>Levelized cost</v>
      </c>
      <c r="AC612">
        <f t="shared" ca="1" si="1802"/>
        <v>1.9808156120152749E-2</v>
      </c>
      <c r="AD612">
        <v>553</v>
      </c>
      <c r="AE612" t="str">
        <f>IF(AND(ISNUMBER(SEARCH(O612,4)),ISNUMBER(SEARCH('(4) FCH pathway assessment'!$B$16,AB612)),ISNUMBER(SEARCH('(4) FCH pathway assessment'!$B$10,AA612))),AD612,"")</f>
        <v/>
      </c>
      <c r="AF612" t="str">
        <f t="shared" si="1633"/>
        <v/>
      </c>
      <c r="AG612" t="str">
        <f>VLOOKUP(C612,Assumptions!$B$116:$C$162,2,FALSE)</f>
        <v>ELCTRLYZ_LRG_C</v>
      </c>
      <c r="AH612" t="str">
        <f>VLOOKUP(D612,Assumptions!$B$116:$C$162,2,FALSE)</f>
        <v>C_UNDRGRND_STRG</v>
      </c>
      <c r="AI612" t="str">
        <f>VLOOKUP(E612,Assumptions!$B$116:$C$162,2,FALSE)</f>
        <v>H2_BLND_NG_P</v>
      </c>
      <c r="AJ612" t="str">
        <f>VLOOKUP(F612,Assumptions!$B$116:$C$162,2,FALSE)</f>
        <v>H2_IND_BOIL_HEAT</v>
      </c>
    </row>
    <row r="613" spans="2:36" x14ac:dyDescent="0.25">
      <c r="B613" t="s">
        <v>112</v>
      </c>
      <c r="C613" t="s">
        <v>49</v>
      </c>
      <c r="D613" t="s">
        <v>62</v>
      </c>
      <c r="E613" t="s">
        <v>122</v>
      </c>
      <c r="F613" t="s">
        <v>570</v>
      </c>
      <c r="G613" t="s">
        <v>120</v>
      </c>
      <c r="H613" t="s">
        <v>432</v>
      </c>
      <c r="I613" t="s">
        <v>32</v>
      </c>
      <c r="J613" t="s">
        <v>72</v>
      </c>
      <c r="K613">
        <f t="shared" si="1789"/>
        <v>1</v>
      </c>
      <c r="L613">
        <f t="shared" si="1790"/>
        <v>0</v>
      </c>
      <c r="M613">
        <f t="shared" si="1791"/>
        <v>1</v>
      </c>
      <c r="N613">
        <f t="shared" si="1792"/>
        <v>1</v>
      </c>
      <c r="O613">
        <f t="shared" si="1793"/>
        <v>3</v>
      </c>
      <c r="P613" t="str">
        <f t="shared" si="1794"/>
        <v>Large centralized electrolysis-Levelized cost</v>
      </c>
      <c r="Q613" t="str">
        <f t="shared" si="1795"/>
        <v>Underground storage-Levelized cost</v>
      </c>
      <c r="R613" t="str">
        <f t="shared" si="1796"/>
        <v>Hydrogen transmission &amp; distribution pipeline-Levelized cost</v>
      </c>
      <c r="S613" t="str">
        <f t="shared" si="1797"/>
        <v>Industrial H2 boiler-Levelized cost</v>
      </c>
      <c r="T613">
        <f ca="1">IF(timePeriod="2020-30",(VLOOKUP($P613,'TA database'!$I$8:$J$79,2,FALSE)/VLOOKUP($D613,'Merit calculation'!$B$48:$I$52,5,FALSE)/VLOOKUP($E613,'Merit calculation'!$B$67:$I$73,5,FALSE)/VLOOKUP($F613,'Merit calculation'!$B$90:$I$103,5,FALSE)/energyContentH2),(VLOOKUP($P613,'TA database'!$I$8:$J$79,2,FALSE)/VLOOKUP($D613,'Merit calculation'!$B$48:$I$52,7,FALSE)/VLOOKUP($E613,'Merit calculation'!$B$67:$I$73,7,FALSE)/VLOOKUP($F613,'Merit calculation'!$B$90:$I$103,7,FALSE)/energyContentH2))</f>
        <v>1.7674221380521198E-2</v>
      </c>
      <c r="U613">
        <f ca="1">IF(timePeriod="2020-30",(VLOOKUP($Q613,'TA database'!$I$86:$J$105,2,FALSE)/VLOOKUP($E613,'Merit calculation'!$B$67:$I$73,5,FALSE)/VLOOKUP($F613,'Merit calculation'!$B$90:$I$104,5,FALSE)/energyContentH2),VLOOKUP($Q613,'TA database'!$I$86:$J$105,2,FALSE)/VLOOKUP($E613,'Merit calculation'!$B$67:$I$73,7,FALSE)/VLOOKUP($F613,'Merit calculation'!$B$90:$I$104,7,FALSE)/energyContentH2)</f>
        <v>1.1679396737133677E-4</v>
      </c>
      <c r="V613">
        <f ca="1">IF(timePeriod="2020-30",(VLOOKUP($R613,'TA database'!$I$112:$J$139,2,FALSE)/VLOOKUP($F613,'Merit calculation'!$B$90:$I$104,5,FALSE)/energyContentH2),(VLOOKUP($R613,'TA database'!$I$112:$J$139,2,FALSE)/VLOOKUP($F613,'Merit calculation'!$B$90:$I$104,7,FALSE)/energyContentH2))</f>
        <v>3.1265745439891346E-3</v>
      </c>
      <c r="W613">
        <f ca="1">IFERROR(VLOOKUP($S613,'TA database'!$I$146:$J$193,2,FALSE),0)</f>
        <v>3.3668409136299347E-4</v>
      </c>
      <c r="X613">
        <f>IFERROR(VLOOKUP($S613,'TA database'!$I$200:$J$271,2,FALSE),0)</f>
        <v>0</v>
      </c>
      <c r="Y613">
        <f t="shared" ca="1" si="1803"/>
        <v>2.1254273983244663E-2</v>
      </c>
      <c r="Z613" t="str">
        <f t="shared" si="1799"/>
        <v>ELCTRLYZ_LRG_C   →   C_UNDRGRND_STRG   →   H2_T&amp;D_P   →   H2_IND_BOIL_HEAT</v>
      </c>
      <c r="AA613" t="str">
        <f t="shared" si="1800"/>
        <v>Industrial heat</v>
      </c>
      <c r="AB613" t="str">
        <f t="shared" si="1801"/>
        <v>Levelized cost</v>
      </c>
      <c r="AC613">
        <f t="shared" ca="1" si="1802"/>
        <v>2.1254273983244663E-2</v>
      </c>
      <c r="AD613">
        <v>554</v>
      </c>
      <c r="AE613" t="str">
        <f>IF(AND(ISNUMBER(SEARCH(O613,4)),ISNUMBER(SEARCH('(4) FCH pathway assessment'!$B$16,AB613)),ISNUMBER(SEARCH('(4) FCH pathway assessment'!$B$10,AA613))),AD613,"")</f>
        <v/>
      </c>
      <c r="AF613" t="str">
        <f t="shared" si="1633"/>
        <v/>
      </c>
      <c r="AG613" t="str">
        <f>VLOOKUP(C613,Assumptions!$B$116:$C$162,2,FALSE)</f>
        <v>ELCTRLYZ_LRG_C</v>
      </c>
      <c r="AH613" t="str">
        <f>VLOOKUP(D613,Assumptions!$B$116:$C$162,2,FALSE)</f>
        <v>C_UNDRGRND_STRG</v>
      </c>
      <c r="AI613" t="str">
        <f>VLOOKUP(E613,Assumptions!$B$116:$C$162,2,FALSE)</f>
        <v>H2_T&amp;D_P</v>
      </c>
      <c r="AJ613" t="str">
        <f>VLOOKUP(F613,Assumptions!$B$116:$C$162,2,FALSE)</f>
        <v>H2_IND_BOIL_HEAT</v>
      </c>
    </row>
    <row r="614" spans="2:36" x14ac:dyDescent="0.25">
      <c r="B614" t="s">
        <v>112</v>
      </c>
      <c r="C614" t="s">
        <v>49</v>
      </c>
      <c r="D614" t="s">
        <v>62</v>
      </c>
      <c r="E614" t="s">
        <v>116</v>
      </c>
      <c r="F614" t="s">
        <v>570</v>
      </c>
      <c r="G614" t="s">
        <v>120</v>
      </c>
      <c r="H614" t="s">
        <v>432</v>
      </c>
      <c r="I614" t="s">
        <v>32</v>
      </c>
      <c r="J614" t="s">
        <v>72</v>
      </c>
      <c r="K614">
        <f t="shared" si="1789"/>
        <v>1</v>
      </c>
      <c r="L614">
        <f t="shared" si="1790"/>
        <v>0</v>
      </c>
      <c r="M614">
        <f t="shared" si="1791"/>
        <v>1</v>
      </c>
      <c r="N614">
        <f t="shared" si="1792"/>
        <v>1</v>
      </c>
      <c r="O614">
        <f t="shared" si="1793"/>
        <v>3</v>
      </c>
      <c r="P614" t="str">
        <f t="shared" si="1794"/>
        <v>Large centralized electrolysis-Levelized cost</v>
      </c>
      <c r="Q614" t="str">
        <f t="shared" si="1795"/>
        <v>Underground storage-Levelized cost</v>
      </c>
      <c r="R614" t="str">
        <f t="shared" si="1796"/>
        <v>Liquid hydrogen truck-Levelized cost</v>
      </c>
      <c r="S614" t="str">
        <f t="shared" si="1797"/>
        <v>Industrial H2 boiler-Levelized cost</v>
      </c>
      <c r="T614">
        <f ca="1">IF(timePeriod="2020-30",(VLOOKUP($P614,'TA database'!$I$8:$J$79,2,FALSE)/VLOOKUP($D614,'Merit calculation'!$B$48:$I$52,5,FALSE)/VLOOKUP($E614,'Merit calculation'!$B$67:$I$73,5,FALSE)/VLOOKUP($F614,'Merit calculation'!$B$90:$I$103,5,FALSE)/energyContentH2),(VLOOKUP($P614,'TA database'!$I$8:$J$79,2,FALSE)/VLOOKUP($D614,'Merit calculation'!$B$48:$I$52,7,FALSE)/VLOOKUP($E614,'Merit calculation'!$B$67:$I$73,7,FALSE)/VLOOKUP($F614,'Merit calculation'!$B$90:$I$103,7,FALSE)/energyContentH2))</f>
        <v>2.0417128549260196E-2</v>
      </c>
      <c r="U614">
        <f ca="1">IF(timePeriod="2020-30",(VLOOKUP($Q614,'TA database'!$I$86:$J$105,2,FALSE)/VLOOKUP($E614,'Merit calculation'!$B$67:$I$73,5,FALSE)/VLOOKUP($F614,'Merit calculation'!$B$90:$I$104,5,FALSE)/energyContentH2),VLOOKUP($Q614,'TA database'!$I$86:$J$105,2,FALSE)/VLOOKUP($E614,'Merit calculation'!$B$67:$I$73,7,FALSE)/VLOOKUP($F614,'Merit calculation'!$B$90:$I$104,7,FALSE)/energyContentH2)</f>
        <v>1.3491951890037737E-4</v>
      </c>
      <c r="V614">
        <f ca="1">IF(timePeriod="2020-30",(VLOOKUP($R614,'TA database'!$I$112:$J$139,2,FALSE)/VLOOKUP($F614,'Merit calculation'!$B$90:$I$104,5,FALSE)/energyContentH2),(VLOOKUP($R614,'TA database'!$I$112:$J$139,2,FALSE)/VLOOKUP($F614,'Merit calculation'!$B$90:$I$104,7,FALSE)/energyContentH2))</f>
        <v>2.0689448723551496E-2</v>
      </c>
      <c r="W614">
        <f ca="1">IFERROR(VLOOKUP($S614,'TA database'!$I$146:$J$193,2,FALSE),0)</f>
        <v>3.3668409136299347E-4</v>
      </c>
      <c r="X614">
        <f>IFERROR(VLOOKUP($S614,'TA database'!$I$200:$J$271,2,FALSE),0)</f>
        <v>0</v>
      </c>
      <c r="Y614">
        <f t="shared" ca="1" si="1803"/>
        <v>4.1578180883075064E-2</v>
      </c>
      <c r="Z614" t="str">
        <f t="shared" si="1799"/>
        <v>ELCTRLYZ_LRG_C   →   C_UNDRGRND_STRG   →   LQ_TRUCK   →   H2_IND_BOIL_HEAT</v>
      </c>
      <c r="AA614" t="str">
        <f t="shared" si="1800"/>
        <v>Industrial heat</v>
      </c>
      <c r="AB614" t="str">
        <f t="shared" si="1801"/>
        <v>Levelized cost</v>
      </c>
      <c r="AC614">
        <f t="shared" ca="1" si="1802"/>
        <v>4.1578180883075064E-2</v>
      </c>
      <c r="AD614">
        <v>555</v>
      </c>
      <c r="AE614" t="str">
        <f>IF(AND(ISNUMBER(SEARCH(O614,4)),ISNUMBER(SEARCH('(4) FCH pathway assessment'!$B$16,AB614)),ISNUMBER(SEARCH('(4) FCH pathway assessment'!$B$10,AA614))),AD614,"")</f>
        <v/>
      </c>
      <c r="AF614" t="str">
        <f t="shared" si="1633"/>
        <v/>
      </c>
      <c r="AG614" t="str">
        <f>VLOOKUP(C614,Assumptions!$B$116:$C$162,2,FALSE)</f>
        <v>ELCTRLYZ_LRG_C</v>
      </c>
      <c r="AH614" t="str">
        <f>VLOOKUP(D614,Assumptions!$B$116:$C$162,2,FALSE)</f>
        <v>C_UNDRGRND_STRG</v>
      </c>
      <c r="AI614" t="str">
        <f>VLOOKUP(E614,Assumptions!$B$116:$C$162,2,FALSE)</f>
        <v>LQ_TRUCK</v>
      </c>
      <c r="AJ614" t="str">
        <f>VLOOKUP(F614,Assumptions!$B$116:$C$162,2,FALSE)</f>
        <v>H2_IND_BOIL_HEAT</v>
      </c>
    </row>
    <row r="615" spans="2:36" x14ac:dyDescent="0.25">
      <c r="B615" t="s">
        <v>112</v>
      </c>
      <c r="C615" t="s">
        <v>49</v>
      </c>
      <c r="D615" t="s">
        <v>62</v>
      </c>
      <c r="E615" t="s">
        <v>66</v>
      </c>
      <c r="F615" t="s">
        <v>570</v>
      </c>
      <c r="G615" t="s">
        <v>120</v>
      </c>
      <c r="H615" t="s">
        <v>432</v>
      </c>
      <c r="I615" t="s">
        <v>32</v>
      </c>
      <c r="J615" t="s">
        <v>72</v>
      </c>
      <c r="K615">
        <f t="shared" si="1789"/>
        <v>1</v>
      </c>
      <c r="L615">
        <f t="shared" si="1790"/>
        <v>0</v>
      </c>
      <c r="M615">
        <f t="shared" si="1791"/>
        <v>1</v>
      </c>
      <c r="N615">
        <f t="shared" si="1792"/>
        <v>1</v>
      </c>
      <c r="O615">
        <f t="shared" si="1793"/>
        <v>3</v>
      </c>
      <c r="P615" t="str">
        <f t="shared" si="1794"/>
        <v>Large centralized electrolysis-Levelized cost</v>
      </c>
      <c r="Q615" t="str">
        <f t="shared" si="1795"/>
        <v>Underground storage-Levelized cost</v>
      </c>
      <c r="R615" t="str">
        <f t="shared" si="1796"/>
        <v>Onsite-Levelized cost</v>
      </c>
      <c r="S615" t="str">
        <f t="shared" si="1797"/>
        <v>Industrial H2 boiler-Levelized cost</v>
      </c>
      <c r="T615">
        <f ca="1">IF(timePeriod="2020-30",(VLOOKUP($P615,'TA database'!$I$8:$J$79,2,FALSE)/VLOOKUP($D615,'Merit calculation'!$B$48:$I$52,5,FALSE)/VLOOKUP($E615,'Merit calculation'!$B$67:$I$73,5,FALSE)/VLOOKUP($F615,'Merit calculation'!$B$90:$I$103,5,FALSE)/energyContentH2),(VLOOKUP($P615,'TA database'!$I$8:$J$79,2,FALSE)/VLOOKUP($D615,'Merit calculation'!$B$48:$I$52,7,FALSE)/VLOOKUP($E615,'Merit calculation'!$B$67:$I$73,7,FALSE)/VLOOKUP($F615,'Merit calculation'!$B$90:$I$103,7,FALSE)/energyContentH2))</f>
        <v>1.7497479166715988E-2</v>
      </c>
      <c r="U615">
        <f ca="1">IF(timePeriod="2020-30",(VLOOKUP($Q615,'TA database'!$I$86:$J$105,2,FALSE)/VLOOKUP($E615,'Merit calculation'!$B$67:$I$73,5,FALSE)/VLOOKUP($F615,'Merit calculation'!$B$90:$I$104,5,FALSE)/energyContentH2),VLOOKUP($Q615,'TA database'!$I$86:$J$105,2,FALSE)/VLOOKUP($E615,'Merit calculation'!$B$67:$I$73,7,FALSE)/VLOOKUP($F615,'Merit calculation'!$B$90:$I$104,7,FALSE)/energyContentH2)</f>
        <v>1.156260276976234E-4</v>
      </c>
      <c r="V615">
        <f ca="1">IF(timePeriod="2020-30",(VLOOKUP($R615,'TA database'!$I$112:$J$139,2,FALSE)/VLOOKUP($F615,'Merit calculation'!$B$90:$I$104,5,FALSE)/energyContentH2),(VLOOKUP($R615,'TA database'!$I$112:$J$139,2,FALSE)/VLOOKUP($F615,'Merit calculation'!$B$90:$I$104,7,FALSE)/energyContentH2))</f>
        <v>0</v>
      </c>
      <c r="W615">
        <f ca="1">IFERROR(VLOOKUP($S615,'TA database'!$I$146:$J$193,2,FALSE),0)</f>
        <v>3.3668409136299347E-4</v>
      </c>
      <c r="X615">
        <f>IFERROR(VLOOKUP($S615,'TA database'!$I$200:$J$271,2,FALSE),0)</f>
        <v>0</v>
      </c>
      <c r="Y615">
        <f t="shared" ca="1" si="1803"/>
        <v>1.7949789285776604E-2</v>
      </c>
      <c r="Z615" t="str">
        <f t="shared" si="1799"/>
        <v>ELCTRLYZ_LRG_C   →   C_UNDRGRND_STRG   →   ONSITE_USE   →   H2_IND_BOIL_HEAT</v>
      </c>
      <c r="AA615" t="str">
        <f t="shared" si="1800"/>
        <v>Industrial heat</v>
      </c>
      <c r="AB615" t="str">
        <f t="shared" si="1801"/>
        <v>Levelized cost</v>
      </c>
      <c r="AC615">
        <f t="shared" ca="1" si="1802"/>
        <v>1.7949789285776604E-2</v>
      </c>
      <c r="AD615">
        <v>556</v>
      </c>
      <c r="AE615" t="str">
        <f>IF(AND(ISNUMBER(SEARCH(O615,4)),ISNUMBER(SEARCH('(4) FCH pathway assessment'!$B$16,AB615)),ISNUMBER(SEARCH('(4) FCH pathway assessment'!$B$10,AA615))),AD615,"")</f>
        <v/>
      </c>
      <c r="AF615" t="str">
        <f t="shared" si="1633"/>
        <v/>
      </c>
      <c r="AG615" t="str">
        <f>VLOOKUP(C615,Assumptions!$B$116:$C$162,2,FALSE)</f>
        <v>ELCTRLYZ_LRG_C</v>
      </c>
      <c r="AH615" t="str">
        <f>VLOOKUP(D615,Assumptions!$B$116:$C$162,2,FALSE)</f>
        <v>C_UNDRGRND_STRG</v>
      </c>
      <c r="AI615" t="str">
        <f>VLOOKUP(E615,Assumptions!$B$116:$C$162,2,FALSE)</f>
        <v>ONSITE_USE</v>
      </c>
      <c r="AJ615" t="str">
        <f>VLOOKUP(F615,Assumptions!$B$116:$C$162,2,FALSE)</f>
        <v>H2_IND_BOIL_HEAT</v>
      </c>
    </row>
    <row r="616" spans="2:36" x14ac:dyDescent="0.25">
      <c r="B616" t="s">
        <v>112</v>
      </c>
      <c r="C616" t="s">
        <v>49</v>
      </c>
      <c r="D616" t="s">
        <v>155</v>
      </c>
      <c r="E616" t="s">
        <v>157</v>
      </c>
      <c r="F616" t="s">
        <v>570</v>
      </c>
      <c r="G616" t="s">
        <v>120</v>
      </c>
      <c r="H616" t="s">
        <v>432</v>
      </c>
      <c r="I616" t="s">
        <v>32</v>
      </c>
      <c r="J616" t="s">
        <v>72</v>
      </c>
      <c r="K616">
        <f t="shared" si="1789"/>
        <v>1</v>
      </c>
      <c r="L616">
        <f t="shared" si="1790"/>
        <v>1</v>
      </c>
      <c r="M616">
        <f t="shared" si="1791"/>
        <v>0</v>
      </c>
      <c r="N616">
        <f t="shared" si="1792"/>
        <v>1</v>
      </c>
      <c r="O616">
        <f t="shared" si="1793"/>
        <v>3</v>
      </c>
      <c r="P616" t="str">
        <f t="shared" si="1794"/>
        <v>Large centralized electrolysis-Levelized cost</v>
      </c>
      <c r="Q616" t="str">
        <f t="shared" si="1795"/>
        <v>Central gas storage-Levelized cost</v>
      </c>
      <c r="R616" t="str">
        <f t="shared" si="1796"/>
        <v>Blending in natural gas pipeline-Levelized cost</v>
      </c>
      <c r="S616" t="str">
        <f t="shared" si="1797"/>
        <v>Industrial H2 boiler-Levelized cost</v>
      </c>
      <c r="T616">
        <f ca="1">IF(timePeriod="2020-30",(VLOOKUP($P616,'TA database'!$I$8:$J$79,2,FALSE)/VLOOKUP($D616,'Merit calculation'!$B$48:$I$52,5,FALSE)/VLOOKUP($E616,'Merit calculation'!$B$67:$I$73,5,FALSE)/VLOOKUP($F616,'Merit calculation'!$B$90:$I$103,5,FALSE)/energyContentH2),(VLOOKUP($P616,'TA database'!$I$8:$J$79,2,FALSE)/VLOOKUP($D616,'Merit calculation'!$B$48:$I$52,7,FALSE)/VLOOKUP($E616,'Merit calculation'!$B$67:$I$73,7,FALSE)/VLOOKUP($F616,'Merit calculation'!$B$90:$I$103,7,FALSE)/energyContentH2))</f>
        <v>1.7854570578281617E-2</v>
      </c>
      <c r="U616">
        <f ca="1">IF(timePeriod="2020-30",(VLOOKUP($Q616,'TA database'!$I$86:$J$105,2,FALSE)/VLOOKUP($E616,'Merit calculation'!$B$67:$I$73,5,FALSE)/VLOOKUP($F616,'Merit calculation'!$B$90:$I$104,5,FALSE)/energyContentH2),VLOOKUP($Q616,'TA database'!$I$86:$J$105,2,FALSE)/VLOOKUP($E616,'Merit calculation'!$B$67:$I$73,7,FALSE)/VLOOKUP($F616,'Merit calculation'!$B$90:$I$104,7,FALSE)/energyContentH2)</f>
        <v>5.8638293535609139E-4</v>
      </c>
      <c r="V616">
        <f ca="1">IF(timePeriod="2020-30",(VLOOKUP($R616,'TA database'!$I$112:$J$139,2,FALSE)/VLOOKUP($F616,'Merit calculation'!$B$90:$I$104,5,FALSE)/energyContentH2),(VLOOKUP($R616,'TA database'!$I$112:$J$139,2,FALSE)/VLOOKUP($F616,'Merit calculation'!$B$90:$I$104,7,FALSE)/energyContentH2))</f>
        <v>1.6804566808972198E-3</v>
      </c>
      <c r="W616">
        <f ca="1">IFERROR(VLOOKUP($S616,'TA database'!$I$146:$J$193,2,FALSE),0)</f>
        <v>3.3668409136299347E-4</v>
      </c>
      <c r="X616">
        <f>IFERROR(VLOOKUP($S616,'TA database'!$I$200:$J$271,2,FALSE),0)</f>
        <v>0</v>
      </c>
      <c r="Y616">
        <f t="shared" ca="1" si="1803"/>
        <v>2.0458094285897923E-2</v>
      </c>
      <c r="Z616" t="str">
        <f t="shared" si="1799"/>
        <v>ELCTRLYZ_LRG_C   →   C_GAS_STRG   →   H2_BLND_NG_P   →   H2_IND_BOIL_HEAT</v>
      </c>
      <c r="AA616" t="str">
        <f t="shared" si="1800"/>
        <v>Industrial heat</v>
      </c>
      <c r="AB616" t="str">
        <f t="shared" si="1801"/>
        <v>Levelized cost</v>
      </c>
      <c r="AC616">
        <f t="shared" ca="1" si="1802"/>
        <v>2.0458094285897923E-2</v>
      </c>
      <c r="AD616">
        <v>557</v>
      </c>
      <c r="AE616" t="str">
        <f>IF(AND(ISNUMBER(SEARCH(O616,4)),ISNUMBER(SEARCH('(4) FCH pathway assessment'!$B$16,AB616)),ISNUMBER(SEARCH('(4) FCH pathway assessment'!$B$10,AA616))),AD616,"")</f>
        <v/>
      </c>
      <c r="AF616" t="str">
        <f t="shared" si="1633"/>
        <v/>
      </c>
      <c r="AG616" t="str">
        <f>VLOOKUP(C616,Assumptions!$B$116:$C$162,2,FALSE)</f>
        <v>ELCTRLYZ_LRG_C</v>
      </c>
      <c r="AH616" t="str">
        <f>VLOOKUP(D616,Assumptions!$B$116:$C$162,2,FALSE)</f>
        <v>C_GAS_STRG</v>
      </c>
      <c r="AI616" t="str">
        <f>VLOOKUP(E616,Assumptions!$B$116:$C$162,2,FALSE)</f>
        <v>H2_BLND_NG_P</v>
      </c>
      <c r="AJ616" t="str">
        <f>VLOOKUP(F616,Assumptions!$B$116:$C$162,2,FALSE)</f>
        <v>H2_IND_BOIL_HEAT</v>
      </c>
    </row>
    <row r="617" spans="2:36" x14ac:dyDescent="0.25">
      <c r="B617" t="s">
        <v>112</v>
      </c>
      <c r="C617" t="s">
        <v>49</v>
      </c>
      <c r="D617" t="s">
        <v>155</v>
      </c>
      <c r="E617" t="s">
        <v>122</v>
      </c>
      <c r="F617" t="s">
        <v>570</v>
      </c>
      <c r="G617" t="s">
        <v>120</v>
      </c>
      <c r="H617" t="s">
        <v>432</v>
      </c>
      <c r="I617" t="s">
        <v>32</v>
      </c>
      <c r="J617" t="s">
        <v>72</v>
      </c>
      <c r="K617">
        <f t="shared" si="1789"/>
        <v>1</v>
      </c>
      <c r="L617">
        <f t="shared" si="1790"/>
        <v>1</v>
      </c>
      <c r="M617">
        <f t="shared" si="1791"/>
        <v>1</v>
      </c>
      <c r="N617">
        <f t="shared" si="1792"/>
        <v>1</v>
      </c>
      <c r="O617">
        <f t="shared" si="1793"/>
        <v>4</v>
      </c>
      <c r="P617" t="str">
        <f t="shared" si="1794"/>
        <v>Large centralized electrolysis-Levelized cost</v>
      </c>
      <c r="Q617" t="str">
        <f t="shared" si="1795"/>
        <v>Central gas storage-Levelized cost</v>
      </c>
      <c r="R617" t="str">
        <f t="shared" si="1796"/>
        <v>Hydrogen transmission &amp; distribution pipeline-Levelized cost</v>
      </c>
      <c r="S617" t="str">
        <f t="shared" si="1797"/>
        <v>Industrial H2 boiler-Levelized cost</v>
      </c>
      <c r="T617">
        <f ca="1">IF(timePeriod="2020-30",(VLOOKUP($P617,'TA database'!$I$8:$J$79,2,FALSE)/VLOOKUP($D617,'Merit calculation'!$B$48:$I$52,5,FALSE)/VLOOKUP($E617,'Merit calculation'!$B$67:$I$73,5,FALSE)/VLOOKUP($F617,'Merit calculation'!$B$90:$I$103,5,FALSE)/energyContentH2),(VLOOKUP($P617,'TA database'!$I$8:$J$79,2,FALSE)/VLOOKUP($D617,'Merit calculation'!$B$48:$I$52,7,FALSE)/VLOOKUP($E617,'Merit calculation'!$B$67:$I$73,7,FALSE)/VLOOKUP($F617,'Merit calculation'!$B$90:$I$103,7,FALSE)/energyContentH2))</f>
        <v>1.7854570578281617E-2</v>
      </c>
      <c r="U617">
        <f ca="1">IF(timePeriod="2020-30",(VLOOKUP($Q617,'TA database'!$I$86:$J$105,2,FALSE)/VLOOKUP($E617,'Merit calculation'!$B$67:$I$73,5,FALSE)/VLOOKUP($F617,'Merit calculation'!$B$90:$I$104,5,FALSE)/energyContentH2),VLOOKUP($Q617,'TA database'!$I$86:$J$105,2,FALSE)/VLOOKUP($E617,'Merit calculation'!$B$67:$I$73,7,FALSE)/VLOOKUP($F617,'Merit calculation'!$B$90:$I$104,7,FALSE)/energyContentH2)</f>
        <v>5.8638293535609139E-4</v>
      </c>
      <c r="V617">
        <f ca="1">IF(timePeriod="2020-30",(VLOOKUP($R617,'TA database'!$I$112:$J$139,2,FALSE)/VLOOKUP($F617,'Merit calculation'!$B$90:$I$104,5,FALSE)/energyContentH2),(VLOOKUP($R617,'TA database'!$I$112:$J$139,2,FALSE)/VLOOKUP($F617,'Merit calculation'!$B$90:$I$104,7,FALSE)/energyContentH2))</f>
        <v>3.1265745439891346E-3</v>
      </c>
      <c r="W617">
        <f ca="1">IFERROR(VLOOKUP($S617,'TA database'!$I$146:$J$193,2,FALSE),0)</f>
        <v>3.3668409136299347E-4</v>
      </c>
      <c r="X617">
        <f>IFERROR(VLOOKUP($S617,'TA database'!$I$200:$J$271,2,FALSE),0)</f>
        <v>0</v>
      </c>
      <c r="Y617">
        <f t="shared" ca="1" si="1803"/>
        <v>2.1904212148989837E-2</v>
      </c>
      <c r="Z617" t="str">
        <f t="shared" si="1799"/>
        <v>ELCTRLYZ_LRG_C   →   C_GAS_STRG   →   H2_T&amp;D_P   →   H2_IND_BOIL_HEAT</v>
      </c>
      <c r="AA617" t="str">
        <f t="shared" si="1800"/>
        <v>Industrial heat</v>
      </c>
      <c r="AB617" t="str">
        <f t="shared" si="1801"/>
        <v>Levelized cost</v>
      </c>
      <c r="AC617">
        <f t="shared" ca="1" si="1802"/>
        <v>2.1904212148989837E-2</v>
      </c>
      <c r="AD617">
        <v>558</v>
      </c>
      <c r="AE617" t="str">
        <f>IF(AND(ISNUMBER(SEARCH(O617,4)),ISNUMBER(SEARCH('(4) FCH pathway assessment'!$B$16,AB617)),ISNUMBER(SEARCH('(4) FCH pathway assessment'!$B$10,AA617))),AD617,"")</f>
        <v/>
      </c>
      <c r="AF617" t="str">
        <f t="shared" si="1633"/>
        <v/>
      </c>
      <c r="AG617" t="str">
        <f>VLOOKUP(C617,Assumptions!$B$116:$C$162,2,FALSE)</f>
        <v>ELCTRLYZ_LRG_C</v>
      </c>
      <c r="AH617" t="str">
        <f>VLOOKUP(D617,Assumptions!$B$116:$C$162,2,FALSE)</f>
        <v>C_GAS_STRG</v>
      </c>
      <c r="AI617" t="str">
        <f>VLOOKUP(E617,Assumptions!$B$116:$C$162,2,FALSE)</f>
        <v>H2_T&amp;D_P</v>
      </c>
      <c r="AJ617" t="str">
        <f>VLOOKUP(F617,Assumptions!$B$116:$C$162,2,FALSE)</f>
        <v>H2_IND_BOIL_HEAT</v>
      </c>
    </row>
    <row r="618" spans="2:36" x14ac:dyDescent="0.25">
      <c r="B618" t="s">
        <v>112</v>
      </c>
      <c r="C618" t="s">
        <v>49</v>
      </c>
      <c r="D618" t="s">
        <v>155</v>
      </c>
      <c r="E618" t="s">
        <v>116</v>
      </c>
      <c r="F618" t="s">
        <v>570</v>
      </c>
      <c r="G618" t="s">
        <v>120</v>
      </c>
      <c r="H618" t="s">
        <v>432</v>
      </c>
      <c r="I618" t="s">
        <v>32</v>
      </c>
      <c r="J618" t="s">
        <v>72</v>
      </c>
      <c r="K618">
        <f t="shared" si="1789"/>
        <v>1</v>
      </c>
      <c r="L618">
        <f t="shared" si="1790"/>
        <v>1</v>
      </c>
      <c r="M618">
        <f t="shared" si="1791"/>
        <v>1</v>
      </c>
      <c r="N618">
        <f t="shared" si="1792"/>
        <v>1</v>
      </c>
      <c r="O618">
        <f t="shared" si="1793"/>
        <v>4</v>
      </c>
      <c r="P618" t="str">
        <f t="shared" si="1794"/>
        <v>Large centralized electrolysis-Levelized cost</v>
      </c>
      <c r="Q618" t="str">
        <f t="shared" si="1795"/>
        <v>Central gas storage-Levelized cost</v>
      </c>
      <c r="R618" t="str">
        <f t="shared" si="1796"/>
        <v>Liquid hydrogen truck-Levelized cost</v>
      </c>
      <c r="S618" t="str">
        <f t="shared" si="1797"/>
        <v>Industrial H2 boiler-Levelized cost</v>
      </c>
      <c r="T618">
        <f ca="1">IF(timePeriod="2020-30",(VLOOKUP($P618,'TA database'!$I$8:$J$79,2,FALSE)/VLOOKUP($D618,'Merit calculation'!$B$48:$I$52,5,FALSE)/VLOOKUP($E618,'Merit calculation'!$B$67:$I$73,5,FALSE)/VLOOKUP($F618,'Merit calculation'!$B$90:$I$103,5,FALSE)/energyContentH2),(VLOOKUP($P618,'TA database'!$I$8:$J$79,2,FALSE)/VLOOKUP($D618,'Merit calculation'!$B$48:$I$52,7,FALSE)/VLOOKUP($E618,'Merit calculation'!$B$67:$I$73,7,FALSE)/VLOOKUP($F618,'Merit calculation'!$B$90:$I$103,7,FALSE)/energyContentH2))</f>
        <v>2.0625466595681218E-2</v>
      </c>
      <c r="U618">
        <f ca="1">IF(timePeriod="2020-30",(VLOOKUP($Q618,'TA database'!$I$86:$J$105,2,FALSE)/VLOOKUP($E618,'Merit calculation'!$B$67:$I$73,5,FALSE)/VLOOKUP($F618,'Merit calculation'!$B$90:$I$104,5,FALSE)/energyContentH2),VLOOKUP($Q618,'TA database'!$I$86:$J$105,2,FALSE)/VLOOKUP($E618,'Merit calculation'!$B$67:$I$73,7,FALSE)/VLOOKUP($F618,'Merit calculation'!$B$90:$I$104,7,FALSE)/energyContentH2)</f>
        <v>6.7738518786759699E-4</v>
      </c>
      <c r="V618">
        <f ca="1">IF(timePeriod="2020-30",(VLOOKUP($R618,'TA database'!$I$112:$J$139,2,FALSE)/VLOOKUP($F618,'Merit calculation'!$B$90:$I$104,5,FALSE)/energyContentH2),(VLOOKUP($R618,'TA database'!$I$112:$J$139,2,FALSE)/VLOOKUP($F618,'Merit calculation'!$B$90:$I$104,7,FALSE)/energyContentH2))</f>
        <v>2.0689448723551496E-2</v>
      </c>
      <c r="W618">
        <f ca="1">IFERROR(VLOOKUP($S618,'TA database'!$I$146:$J$193,2,FALSE),0)</f>
        <v>3.3668409136299347E-4</v>
      </c>
      <c r="X618">
        <f>IFERROR(VLOOKUP($S618,'TA database'!$I$200:$J$271,2,FALSE),0)</f>
        <v>0</v>
      </c>
      <c r="Y618">
        <f t="shared" ca="1" si="1803"/>
        <v>4.23289845984633E-2</v>
      </c>
      <c r="Z618" t="str">
        <f t="shared" si="1799"/>
        <v>ELCTRLYZ_LRG_C   →   C_GAS_STRG   →   LQ_TRUCK   →   H2_IND_BOIL_HEAT</v>
      </c>
      <c r="AA618" t="str">
        <f t="shared" si="1800"/>
        <v>Industrial heat</v>
      </c>
      <c r="AB618" t="str">
        <f t="shared" si="1801"/>
        <v>Levelized cost</v>
      </c>
      <c r="AC618">
        <f t="shared" ca="1" si="1802"/>
        <v>4.23289845984633E-2</v>
      </c>
      <c r="AD618">
        <v>559</v>
      </c>
      <c r="AE618" t="str">
        <f>IF(AND(ISNUMBER(SEARCH(O618,4)),ISNUMBER(SEARCH('(4) FCH pathway assessment'!$B$16,AB618)),ISNUMBER(SEARCH('(4) FCH pathway assessment'!$B$10,AA618))),AD618,"")</f>
        <v/>
      </c>
      <c r="AF618" t="str">
        <f t="shared" si="1633"/>
        <v/>
      </c>
      <c r="AG618" t="str">
        <f>VLOOKUP(C618,Assumptions!$B$116:$C$162,2,FALSE)</f>
        <v>ELCTRLYZ_LRG_C</v>
      </c>
      <c r="AH618" t="str">
        <f>VLOOKUP(D618,Assumptions!$B$116:$C$162,2,FALSE)</f>
        <v>C_GAS_STRG</v>
      </c>
      <c r="AI618" t="str">
        <f>VLOOKUP(E618,Assumptions!$B$116:$C$162,2,FALSE)</f>
        <v>LQ_TRUCK</v>
      </c>
      <c r="AJ618" t="str">
        <f>VLOOKUP(F618,Assumptions!$B$116:$C$162,2,FALSE)</f>
        <v>H2_IND_BOIL_HEAT</v>
      </c>
    </row>
    <row r="619" spans="2:36" x14ac:dyDescent="0.25">
      <c r="B619" t="s">
        <v>112</v>
      </c>
      <c r="C619" t="s">
        <v>49</v>
      </c>
      <c r="D619" t="s">
        <v>155</v>
      </c>
      <c r="E619" t="s">
        <v>66</v>
      </c>
      <c r="F619" t="s">
        <v>570</v>
      </c>
      <c r="G619" t="s">
        <v>120</v>
      </c>
      <c r="H619" t="s">
        <v>432</v>
      </c>
      <c r="I619" t="s">
        <v>32</v>
      </c>
      <c r="J619" t="s">
        <v>72</v>
      </c>
      <c r="K619">
        <f t="shared" si="1789"/>
        <v>1</v>
      </c>
      <c r="L619">
        <f t="shared" si="1790"/>
        <v>1</v>
      </c>
      <c r="M619">
        <f t="shared" si="1791"/>
        <v>1</v>
      </c>
      <c r="N619">
        <f t="shared" si="1792"/>
        <v>1</v>
      </c>
      <c r="O619">
        <f t="shared" ref="O619:O623" si="1804">K619+L619+M619+N619</f>
        <v>4</v>
      </c>
      <c r="P619" t="str">
        <f t="shared" si="1794"/>
        <v>Large centralized electrolysis-Levelized cost</v>
      </c>
      <c r="Q619" t="str">
        <f t="shared" si="1795"/>
        <v>Central gas storage-Levelized cost</v>
      </c>
      <c r="R619" t="str">
        <f t="shared" si="1796"/>
        <v>Onsite-Levelized cost</v>
      </c>
      <c r="S619" t="str">
        <f t="shared" si="1797"/>
        <v>Industrial H2 boiler-Levelized cost</v>
      </c>
      <c r="T619">
        <f ca="1">IF(timePeriod="2020-30",(VLOOKUP($P619,'TA database'!$I$8:$J$79,2,FALSE)/VLOOKUP($D619,'Merit calculation'!$B$48:$I$52,5,FALSE)/VLOOKUP($E619,'Merit calculation'!$B$67:$I$73,5,FALSE)/VLOOKUP($F619,'Merit calculation'!$B$90:$I$103,5,FALSE)/energyContentH2),(VLOOKUP($P619,'TA database'!$I$8:$J$79,2,FALSE)/VLOOKUP($D619,'Merit calculation'!$B$48:$I$52,7,FALSE)/VLOOKUP($E619,'Merit calculation'!$B$67:$I$73,7,FALSE)/VLOOKUP($F619,'Merit calculation'!$B$90:$I$103,7,FALSE)/energyContentH2))</f>
        <v>1.7676024872498804E-2</v>
      </c>
      <c r="U619">
        <f ca="1">IF(timePeriod="2020-30",(VLOOKUP($Q619,'TA database'!$I$86:$J$105,2,FALSE)/VLOOKUP($E619,'Merit calculation'!$B$67:$I$73,5,FALSE)/VLOOKUP($F619,'Merit calculation'!$B$90:$I$104,5,FALSE)/energyContentH2),VLOOKUP($Q619,'TA database'!$I$86:$J$105,2,FALSE)/VLOOKUP($E619,'Merit calculation'!$B$67:$I$73,7,FALSE)/VLOOKUP($F619,'Merit calculation'!$B$90:$I$104,7,FALSE)/energyContentH2)</f>
        <v>5.8051910600253058E-4</v>
      </c>
      <c r="V619">
        <f ca="1">IF(timePeriod="2020-30",(VLOOKUP($R619,'TA database'!$I$112:$J$139,2,FALSE)/VLOOKUP($F619,'Merit calculation'!$B$90:$I$104,5,FALSE)/energyContentH2),(VLOOKUP($R619,'TA database'!$I$112:$J$139,2,FALSE)/VLOOKUP($F619,'Merit calculation'!$B$90:$I$104,7,FALSE)/energyContentH2))</f>
        <v>0</v>
      </c>
      <c r="W619">
        <f ca="1">IFERROR(VLOOKUP($S619,'TA database'!$I$146:$J$193,2,FALSE),0)</f>
        <v>3.3668409136299347E-4</v>
      </c>
      <c r="X619">
        <f>IFERROR(VLOOKUP($S619,'TA database'!$I$200:$J$271,2,FALSE),0)</f>
        <v>0</v>
      </c>
      <c r="Y619">
        <f t="shared" ca="1" si="1803"/>
        <v>1.8593228069864329E-2</v>
      </c>
      <c r="Z619" t="str">
        <f t="shared" ref="Z619:Z623" si="1805">CONCATENATE(AG619,"   →   ",AH619,"   →   ",AI619,"   →   ",AJ619)</f>
        <v>ELCTRLYZ_LRG_C   →   C_GAS_STRG   →   ONSITE_USE   →   H2_IND_BOIL_HEAT</v>
      </c>
      <c r="AA619" t="str">
        <f t="shared" ref="AA619:AA623" si="1806">G619</f>
        <v>Industrial heat</v>
      </c>
      <c r="AB619" t="str">
        <f t="shared" ref="AB619:AB623" si="1807">J619</f>
        <v>Levelized cost</v>
      </c>
      <c r="AC619">
        <f t="shared" ref="AC619:AC623" ca="1" si="1808">Y619</f>
        <v>1.8593228069864329E-2</v>
      </c>
      <c r="AD619">
        <v>560</v>
      </c>
      <c r="AE619" t="str">
        <f>IF(AND(ISNUMBER(SEARCH(O619,4)),ISNUMBER(SEARCH('(4) FCH pathway assessment'!$B$16,AB619)),ISNUMBER(SEARCH('(4) FCH pathway assessment'!$B$10,AA619))),AD619,"")</f>
        <v/>
      </c>
      <c r="AF619" t="str">
        <f t="shared" si="1633"/>
        <v/>
      </c>
      <c r="AG619" t="str">
        <f>VLOOKUP(C619,Assumptions!$B$116:$C$162,2,FALSE)</f>
        <v>ELCTRLYZ_LRG_C</v>
      </c>
      <c r="AH619" t="str">
        <f>VLOOKUP(D619,Assumptions!$B$116:$C$162,2,FALSE)</f>
        <v>C_GAS_STRG</v>
      </c>
      <c r="AI619" t="str">
        <f>VLOOKUP(E619,Assumptions!$B$116:$C$162,2,FALSE)</f>
        <v>ONSITE_USE</v>
      </c>
      <c r="AJ619" t="str">
        <f>VLOOKUP(F619,Assumptions!$B$116:$C$162,2,FALSE)</f>
        <v>H2_IND_BOIL_HEAT</v>
      </c>
    </row>
    <row r="620" spans="2:36" x14ac:dyDescent="0.25">
      <c r="B620" t="s">
        <v>112</v>
      </c>
      <c r="C620" t="s">
        <v>51</v>
      </c>
      <c r="D620" t="s">
        <v>155</v>
      </c>
      <c r="E620" t="s">
        <v>157</v>
      </c>
      <c r="F620" t="s">
        <v>570</v>
      </c>
      <c r="G620" t="s">
        <v>120</v>
      </c>
      <c r="H620" t="s">
        <v>432</v>
      </c>
      <c r="I620" t="s">
        <v>32</v>
      </c>
      <c r="J620" t="s">
        <v>72</v>
      </c>
      <c r="K620">
        <f t="shared" ref="K620:K623" si="1809">SUMPRODUCT(($C$7:$C$18=$C620)*($D$6:$H$6=$D620)*($D$7:$H$18))</f>
        <v>1</v>
      </c>
      <c r="L620">
        <f t="shared" ref="L620:L623" si="1810">SUMPRODUCT(($C$19:$C$23=$D620)*($I$6:$O$6=$E620)*($I$19:$O$23))</f>
        <v>1</v>
      </c>
      <c r="M620">
        <f t="shared" ref="M620:M623" si="1811">SUMPRODUCT(($C$24:$C$30=$E620)*($P$6:$AI$6=$F620)*($P$24:$AI$30))</f>
        <v>0</v>
      </c>
      <c r="N620">
        <f t="shared" ref="N620:N623" si="1812">SUMPRODUCT(($C$31:$C$50=$F620)*($AJ$6:$AM$6=$G620)*($AJ$31:$AM$50))</f>
        <v>1</v>
      </c>
      <c r="O620">
        <f t="shared" si="1804"/>
        <v>3</v>
      </c>
      <c r="P620" t="str">
        <f t="shared" ref="P620:P623" si="1813">CONCATENATE(C620,"-",J620)</f>
        <v>Medium centralized electrolysis-Levelized cost</v>
      </c>
      <c r="Q620" t="str">
        <f t="shared" ref="Q620:Q623" si="1814">CONCATENATE(D620,"-",J620)</f>
        <v>Central gas storage-Levelized cost</v>
      </c>
      <c r="R620" t="str">
        <f t="shared" ref="R620:R623" si="1815">CONCATENATE(E620,"-",J620)</f>
        <v>Blending in natural gas pipeline-Levelized cost</v>
      </c>
      <c r="S620" t="str">
        <f t="shared" ref="S620:S623" si="1816">CONCATENATE(F620,"-",J620)</f>
        <v>Industrial H2 boiler-Levelized cost</v>
      </c>
      <c r="T620">
        <f ca="1">IF(timePeriod="2020-30",(VLOOKUP($P620,'TA database'!$I$8:$J$79,2,FALSE)/VLOOKUP($D620,'Merit calculation'!$B$48:$I$52,5,FALSE)/VLOOKUP($E620,'Merit calculation'!$B$67:$I$73,5,FALSE)/VLOOKUP($F620,'Merit calculation'!$B$90:$I$103,5,FALSE)/energyContentH2),(VLOOKUP($P620,'TA database'!$I$8:$J$79,2,FALSE)/VLOOKUP($D620,'Merit calculation'!$B$48:$I$52,7,FALSE)/VLOOKUP($E620,'Merit calculation'!$B$67:$I$73,7,FALSE)/VLOOKUP($F620,'Merit calculation'!$B$90:$I$103,7,FALSE)/energyContentH2))</f>
        <v>1.8599575762492541E-2</v>
      </c>
      <c r="U620">
        <f ca="1">IF(timePeriod="2020-30",(VLOOKUP($Q620,'TA database'!$I$86:$J$105,2,FALSE)/VLOOKUP($E620,'Merit calculation'!$B$67:$I$73,5,FALSE)/VLOOKUP($F620,'Merit calculation'!$B$90:$I$104,5,FALSE)/energyContentH2),VLOOKUP($Q620,'TA database'!$I$86:$J$105,2,FALSE)/VLOOKUP($E620,'Merit calculation'!$B$67:$I$73,7,FALSE)/VLOOKUP($F620,'Merit calculation'!$B$90:$I$104,7,FALSE)/energyContentH2)</f>
        <v>5.8638293535609139E-4</v>
      </c>
      <c r="V620">
        <f ca="1">IF(timePeriod="2020-30",(VLOOKUP($R620,'TA database'!$I$112:$J$139,2,FALSE)/VLOOKUP($F620,'Merit calculation'!$B$90:$I$104,5,FALSE)/energyContentH2),(VLOOKUP($R620,'TA database'!$I$112:$J$139,2,FALSE)/VLOOKUP($F620,'Merit calculation'!$B$90:$I$104,7,FALSE)/energyContentH2))</f>
        <v>1.6804566808972198E-3</v>
      </c>
      <c r="W620">
        <f ca="1">IFERROR(VLOOKUP($S620,'TA database'!$I$146:$J$193,2,FALSE),0)</f>
        <v>3.3668409136299347E-4</v>
      </c>
      <c r="X620">
        <f>IFERROR(VLOOKUP($S620,'TA database'!$I$200:$J$271,2,FALSE),0)</f>
        <v>0</v>
      </c>
      <c r="Y620">
        <f t="shared" ca="1" si="1803"/>
        <v>2.1203099470108847E-2</v>
      </c>
      <c r="Z620" t="str">
        <f t="shared" si="1805"/>
        <v>ELCTRLYZ_MED_C   →   C_GAS_STRG   →   H2_BLND_NG_P   →   H2_IND_BOIL_HEAT</v>
      </c>
      <c r="AA620" t="str">
        <f t="shared" si="1806"/>
        <v>Industrial heat</v>
      </c>
      <c r="AB620" t="str">
        <f t="shared" si="1807"/>
        <v>Levelized cost</v>
      </c>
      <c r="AC620">
        <f t="shared" ca="1" si="1808"/>
        <v>2.1203099470108847E-2</v>
      </c>
      <c r="AD620">
        <v>561</v>
      </c>
      <c r="AE620" t="str">
        <f>IF(AND(ISNUMBER(SEARCH(O620,4)),ISNUMBER(SEARCH('(4) FCH pathway assessment'!$B$16,AB620)),ISNUMBER(SEARCH('(4) FCH pathway assessment'!$B$10,AA620))),AD620,"")</f>
        <v/>
      </c>
      <c r="AF620" t="str">
        <f t="shared" si="1633"/>
        <v/>
      </c>
      <c r="AG620" t="str">
        <f>VLOOKUP(C620,Assumptions!$B$116:$C$162,2,FALSE)</f>
        <v>ELCTRLYZ_MED_C</v>
      </c>
      <c r="AH620" t="str">
        <f>VLOOKUP(D620,Assumptions!$B$116:$C$162,2,FALSE)</f>
        <v>C_GAS_STRG</v>
      </c>
      <c r="AI620" t="str">
        <f>VLOOKUP(E620,Assumptions!$B$116:$C$162,2,FALSE)</f>
        <v>H2_BLND_NG_P</v>
      </c>
      <c r="AJ620" t="str">
        <f>VLOOKUP(F620,Assumptions!$B$116:$C$162,2,FALSE)</f>
        <v>H2_IND_BOIL_HEAT</v>
      </c>
    </row>
    <row r="621" spans="2:36" x14ac:dyDescent="0.25">
      <c r="B621" t="s">
        <v>112</v>
      </c>
      <c r="C621" t="s">
        <v>51</v>
      </c>
      <c r="D621" t="s">
        <v>155</v>
      </c>
      <c r="E621" t="s">
        <v>122</v>
      </c>
      <c r="F621" t="s">
        <v>570</v>
      </c>
      <c r="G621" t="s">
        <v>120</v>
      </c>
      <c r="H621" t="s">
        <v>432</v>
      </c>
      <c r="I621" t="s">
        <v>32</v>
      </c>
      <c r="J621" t="s">
        <v>72</v>
      </c>
      <c r="K621">
        <f t="shared" si="1809"/>
        <v>1</v>
      </c>
      <c r="L621">
        <f t="shared" si="1810"/>
        <v>1</v>
      </c>
      <c r="M621">
        <f t="shared" si="1811"/>
        <v>1</v>
      </c>
      <c r="N621">
        <f t="shared" si="1812"/>
        <v>1</v>
      </c>
      <c r="O621">
        <f t="shared" si="1804"/>
        <v>4</v>
      </c>
      <c r="P621" t="str">
        <f t="shared" si="1813"/>
        <v>Medium centralized electrolysis-Levelized cost</v>
      </c>
      <c r="Q621" t="str">
        <f t="shared" si="1814"/>
        <v>Central gas storage-Levelized cost</v>
      </c>
      <c r="R621" t="str">
        <f t="shared" si="1815"/>
        <v>Hydrogen transmission &amp; distribution pipeline-Levelized cost</v>
      </c>
      <c r="S621" t="str">
        <f t="shared" si="1816"/>
        <v>Industrial H2 boiler-Levelized cost</v>
      </c>
      <c r="T621">
        <f ca="1">IF(timePeriod="2020-30",(VLOOKUP($P621,'TA database'!$I$8:$J$79,2,FALSE)/VLOOKUP($D621,'Merit calculation'!$B$48:$I$52,5,FALSE)/VLOOKUP($E621,'Merit calculation'!$B$67:$I$73,5,FALSE)/VLOOKUP($F621,'Merit calculation'!$B$90:$I$103,5,FALSE)/energyContentH2),(VLOOKUP($P621,'TA database'!$I$8:$J$79,2,FALSE)/VLOOKUP($D621,'Merit calculation'!$B$48:$I$52,7,FALSE)/VLOOKUP($E621,'Merit calculation'!$B$67:$I$73,7,FALSE)/VLOOKUP($F621,'Merit calculation'!$B$90:$I$103,7,FALSE)/energyContentH2))</f>
        <v>1.8599575762492541E-2</v>
      </c>
      <c r="U621">
        <f ca="1">IF(timePeriod="2020-30",(VLOOKUP($Q621,'TA database'!$I$86:$J$105,2,FALSE)/VLOOKUP($E621,'Merit calculation'!$B$67:$I$73,5,FALSE)/VLOOKUP($F621,'Merit calculation'!$B$90:$I$104,5,FALSE)/energyContentH2),VLOOKUP($Q621,'TA database'!$I$86:$J$105,2,FALSE)/VLOOKUP($E621,'Merit calculation'!$B$67:$I$73,7,FALSE)/VLOOKUP($F621,'Merit calculation'!$B$90:$I$104,7,FALSE)/energyContentH2)</f>
        <v>5.8638293535609139E-4</v>
      </c>
      <c r="V621">
        <f ca="1">IF(timePeriod="2020-30",(VLOOKUP($R621,'TA database'!$I$112:$J$139,2,FALSE)/VLOOKUP($F621,'Merit calculation'!$B$90:$I$104,5,FALSE)/energyContentH2),(VLOOKUP($R621,'TA database'!$I$112:$J$139,2,FALSE)/VLOOKUP($F621,'Merit calculation'!$B$90:$I$104,7,FALSE)/energyContentH2))</f>
        <v>3.1265745439891346E-3</v>
      </c>
      <c r="W621">
        <f ca="1">IFERROR(VLOOKUP($S621,'TA database'!$I$146:$J$193,2,FALSE),0)</f>
        <v>3.3668409136299347E-4</v>
      </c>
      <c r="X621">
        <f>IFERROR(VLOOKUP($S621,'TA database'!$I$200:$J$271,2,FALSE),0)</f>
        <v>0</v>
      </c>
      <c r="Y621">
        <f t="shared" ca="1" si="1803"/>
        <v>2.2649217333200761E-2</v>
      </c>
      <c r="Z621" t="str">
        <f t="shared" si="1805"/>
        <v>ELCTRLYZ_MED_C   →   C_GAS_STRG   →   H2_T&amp;D_P   →   H2_IND_BOIL_HEAT</v>
      </c>
      <c r="AA621" t="str">
        <f t="shared" si="1806"/>
        <v>Industrial heat</v>
      </c>
      <c r="AB621" t="str">
        <f t="shared" si="1807"/>
        <v>Levelized cost</v>
      </c>
      <c r="AC621">
        <f t="shared" ca="1" si="1808"/>
        <v>2.2649217333200761E-2</v>
      </c>
      <c r="AD621">
        <v>562</v>
      </c>
      <c r="AE621" t="str">
        <f>IF(AND(ISNUMBER(SEARCH(O621,4)),ISNUMBER(SEARCH('(4) FCH pathway assessment'!$B$16,AB621)),ISNUMBER(SEARCH('(4) FCH pathway assessment'!$B$10,AA621))),AD621,"")</f>
        <v/>
      </c>
      <c r="AF621" t="str">
        <f t="shared" si="1633"/>
        <v/>
      </c>
      <c r="AG621" t="str">
        <f>VLOOKUP(C621,Assumptions!$B$116:$C$162,2,FALSE)</f>
        <v>ELCTRLYZ_MED_C</v>
      </c>
      <c r="AH621" t="str">
        <f>VLOOKUP(D621,Assumptions!$B$116:$C$162,2,FALSE)</f>
        <v>C_GAS_STRG</v>
      </c>
      <c r="AI621" t="str">
        <f>VLOOKUP(E621,Assumptions!$B$116:$C$162,2,FALSE)</f>
        <v>H2_T&amp;D_P</v>
      </c>
      <c r="AJ621" t="str">
        <f>VLOOKUP(F621,Assumptions!$B$116:$C$162,2,FALSE)</f>
        <v>H2_IND_BOIL_HEAT</v>
      </c>
    </row>
    <row r="622" spans="2:36" x14ac:dyDescent="0.25">
      <c r="B622" t="s">
        <v>112</v>
      </c>
      <c r="C622" t="s">
        <v>51</v>
      </c>
      <c r="D622" t="s">
        <v>155</v>
      </c>
      <c r="E622" t="s">
        <v>116</v>
      </c>
      <c r="F622" t="s">
        <v>570</v>
      </c>
      <c r="G622" t="s">
        <v>120</v>
      </c>
      <c r="H622" t="s">
        <v>432</v>
      </c>
      <c r="I622" t="s">
        <v>32</v>
      </c>
      <c r="J622" t="s">
        <v>72</v>
      </c>
      <c r="K622">
        <f t="shared" si="1809"/>
        <v>1</v>
      </c>
      <c r="L622">
        <f t="shared" si="1810"/>
        <v>1</v>
      </c>
      <c r="M622">
        <f t="shared" si="1811"/>
        <v>1</v>
      </c>
      <c r="N622">
        <f t="shared" si="1812"/>
        <v>1</v>
      </c>
      <c r="O622">
        <f t="shared" si="1804"/>
        <v>4</v>
      </c>
      <c r="P622" t="str">
        <f t="shared" si="1813"/>
        <v>Medium centralized electrolysis-Levelized cost</v>
      </c>
      <c r="Q622" t="str">
        <f t="shared" si="1814"/>
        <v>Central gas storage-Levelized cost</v>
      </c>
      <c r="R622" t="str">
        <f t="shared" si="1815"/>
        <v>Liquid hydrogen truck-Levelized cost</v>
      </c>
      <c r="S622" t="str">
        <f t="shared" si="1816"/>
        <v>Industrial H2 boiler-Levelized cost</v>
      </c>
      <c r="T622">
        <f ca="1">IF(timePeriod="2020-30",(VLOOKUP($P622,'TA database'!$I$8:$J$79,2,FALSE)/VLOOKUP($D622,'Merit calculation'!$B$48:$I$52,5,FALSE)/VLOOKUP($E622,'Merit calculation'!$B$67:$I$73,5,FALSE)/VLOOKUP($F622,'Merit calculation'!$B$90:$I$103,5,FALSE)/energyContentH2),(VLOOKUP($P622,'TA database'!$I$8:$J$79,2,FALSE)/VLOOKUP($D622,'Merit calculation'!$B$48:$I$52,7,FALSE)/VLOOKUP($E622,'Merit calculation'!$B$67:$I$73,7,FALSE)/VLOOKUP($F622,'Merit calculation'!$B$90:$I$103,7,FALSE)/energyContentH2))</f>
        <v>2.1486091020849026E-2</v>
      </c>
      <c r="U622">
        <f ca="1">IF(timePeriod="2020-30",(VLOOKUP($Q622,'TA database'!$I$86:$J$105,2,FALSE)/VLOOKUP($E622,'Merit calculation'!$B$67:$I$73,5,FALSE)/VLOOKUP($F622,'Merit calculation'!$B$90:$I$104,5,FALSE)/energyContentH2),VLOOKUP($Q622,'TA database'!$I$86:$J$105,2,FALSE)/VLOOKUP($E622,'Merit calculation'!$B$67:$I$73,7,FALSE)/VLOOKUP($F622,'Merit calculation'!$B$90:$I$104,7,FALSE)/energyContentH2)</f>
        <v>6.7738518786759699E-4</v>
      </c>
      <c r="V622">
        <f ca="1">IF(timePeriod="2020-30",(VLOOKUP($R622,'TA database'!$I$112:$J$139,2,FALSE)/VLOOKUP($F622,'Merit calculation'!$B$90:$I$104,5,FALSE)/energyContentH2),(VLOOKUP($R622,'TA database'!$I$112:$J$139,2,FALSE)/VLOOKUP($F622,'Merit calculation'!$B$90:$I$104,7,FALSE)/energyContentH2))</f>
        <v>2.0689448723551496E-2</v>
      </c>
      <c r="W622">
        <f ca="1">IFERROR(VLOOKUP($S622,'TA database'!$I$146:$J$193,2,FALSE),0)</f>
        <v>3.3668409136299347E-4</v>
      </c>
      <c r="X622">
        <f>IFERROR(VLOOKUP($S622,'TA database'!$I$200:$J$271,2,FALSE),0)</f>
        <v>0</v>
      </c>
      <c r="Y622">
        <f t="shared" ca="1" si="1803"/>
        <v>4.3189609023631108E-2</v>
      </c>
      <c r="Z622" t="str">
        <f t="shared" si="1805"/>
        <v>ELCTRLYZ_MED_C   →   C_GAS_STRG   →   LQ_TRUCK   →   H2_IND_BOIL_HEAT</v>
      </c>
      <c r="AA622" t="str">
        <f t="shared" si="1806"/>
        <v>Industrial heat</v>
      </c>
      <c r="AB622" t="str">
        <f t="shared" si="1807"/>
        <v>Levelized cost</v>
      </c>
      <c r="AC622">
        <f t="shared" ca="1" si="1808"/>
        <v>4.3189609023631108E-2</v>
      </c>
      <c r="AD622">
        <v>563</v>
      </c>
      <c r="AE622" t="str">
        <f>IF(AND(ISNUMBER(SEARCH(O622,4)),ISNUMBER(SEARCH('(4) FCH pathway assessment'!$B$16,AB622)),ISNUMBER(SEARCH('(4) FCH pathway assessment'!$B$10,AA622))),AD622,"")</f>
        <v/>
      </c>
      <c r="AF622" t="str">
        <f t="shared" si="1633"/>
        <v/>
      </c>
      <c r="AG622" t="str">
        <f>VLOOKUP(C622,Assumptions!$B$116:$C$162,2,FALSE)</f>
        <v>ELCTRLYZ_MED_C</v>
      </c>
      <c r="AH622" t="str">
        <f>VLOOKUP(D622,Assumptions!$B$116:$C$162,2,FALSE)</f>
        <v>C_GAS_STRG</v>
      </c>
      <c r="AI622" t="str">
        <f>VLOOKUP(E622,Assumptions!$B$116:$C$162,2,FALSE)</f>
        <v>LQ_TRUCK</v>
      </c>
      <c r="AJ622" t="str">
        <f>VLOOKUP(F622,Assumptions!$B$116:$C$162,2,FALSE)</f>
        <v>H2_IND_BOIL_HEAT</v>
      </c>
    </row>
    <row r="623" spans="2:36" x14ac:dyDescent="0.25">
      <c r="B623" t="s">
        <v>112</v>
      </c>
      <c r="C623" t="s">
        <v>51</v>
      </c>
      <c r="D623" t="s">
        <v>155</v>
      </c>
      <c r="E623" t="s">
        <v>66</v>
      </c>
      <c r="F623" t="s">
        <v>570</v>
      </c>
      <c r="G623" t="s">
        <v>120</v>
      </c>
      <c r="H623" t="s">
        <v>432</v>
      </c>
      <c r="I623" t="s">
        <v>32</v>
      </c>
      <c r="J623" t="s">
        <v>72</v>
      </c>
      <c r="K623">
        <f t="shared" si="1809"/>
        <v>1</v>
      </c>
      <c r="L623">
        <f t="shared" si="1810"/>
        <v>1</v>
      </c>
      <c r="M623">
        <f t="shared" si="1811"/>
        <v>1</v>
      </c>
      <c r="N623">
        <f t="shared" si="1812"/>
        <v>1</v>
      </c>
      <c r="O623">
        <f t="shared" si="1804"/>
        <v>4</v>
      </c>
      <c r="P623" t="str">
        <f t="shared" si="1813"/>
        <v>Medium centralized electrolysis-Levelized cost</v>
      </c>
      <c r="Q623" t="str">
        <f t="shared" si="1814"/>
        <v>Central gas storage-Levelized cost</v>
      </c>
      <c r="R623" t="str">
        <f t="shared" si="1815"/>
        <v>Onsite-Levelized cost</v>
      </c>
      <c r="S623" t="str">
        <f t="shared" si="1816"/>
        <v>Industrial H2 boiler-Levelized cost</v>
      </c>
      <c r="T623">
        <f ca="1">IF(timePeriod="2020-30",(VLOOKUP($P623,'TA database'!$I$8:$J$79,2,FALSE)/VLOOKUP($D623,'Merit calculation'!$B$48:$I$52,5,FALSE)/VLOOKUP($E623,'Merit calculation'!$B$67:$I$73,5,FALSE)/VLOOKUP($F623,'Merit calculation'!$B$90:$I$103,5,FALSE)/energyContentH2),(VLOOKUP($P623,'TA database'!$I$8:$J$79,2,FALSE)/VLOOKUP($D623,'Merit calculation'!$B$48:$I$52,7,FALSE)/VLOOKUP($E623,'Merit calculation'!$B$67:$I$73,7,FALSE)/VLOOKUP($F623,'Merit calculation'!$B$90:$I$103,7,FALSE)/energyContentH2))</f>
        <v>1.8413580004867616E-2</v>
      </c>
      <c r="U623">
        <f ca="1">IF(timePeriod="2020-30",(VLOOKUP($Q623,'TA database'!$I$86:$J$105,2,FALSE)/VLOOKUP($E623,'Merit calculation'!$B$67:$I$73,5,FALSE)/VLOOKUP($F623,'Merit calculation'!$B$90:$I$104,5,FALSE)/energyContentH2),VLOOKUP($Q623,'TA database'!$I$86:$J$105,2,FALSE)/VLOOKUP($E623,'Merit calculation'!$B$67:$I$73,7,FALSE)/VLOOKUP($F623,'Merit calculation'!$B$90:$I$104,7,FALSE)/energyContentH2)</f>
        <v>5.8051910600253058E-4</v>
      </c>
      <c r="V623">
        <f ca="1">IF(timePeriod="2020-30",(VLOOKUP($R623,'TA database'!$I$112:$J$139,2,FALSE)/VLOOKUP($F623,'Merit calculation'!$B$90:$I$104,5,FALSE)/energyContentH2),(VLOOKUP($R623,'TA database'!$I$112:$J$139,2,FALSE)/VLOOKUP($F623,'Merit calculation'!$B$90:$I$104,7,FALSE)/energyContentH2))</f>
        <v>0</v>
      </c>
      <c r="W623">
        <f ca="1">IFERROR(VLOOKUP($S623,'TA database'!$I$146:$J$193,2,FALSE),0)</f>
        <v>3.3668409136299347E-4</v>
      </c>
      <c r="X623">
        <f>IFERROR(VLOOKUP($S623,'TA database'!$I$200:$J$271,2,FALSE),0)</f>
        <v>0</v>
      </c>
      <c r="Y623">
        <f t="shared" ca="1" si="1803"/>
        <v>1.9330783202233141E-2</v>
      </c>
      <c r="Z623" t="str">
        <f t="shared" si="1805"/>
        <v>ELCTRLYZ_MED_C   →   C_GAS_STRG   →   ONSITE_USE   →   H2_IND_BOIL_HEAT</v>
      </c>
      <c r="AA623" t="str">
        <f t="shared" si="1806"/>
        <v>Industrial heat</v>
      </c>
      <c r="AB623" t="str">
        <f t="shared" si="1807"/>
        <v>Levelized cost</v>
      </c>
      <c r="AC623">
        <f t="shared" ca="1" si="1808"/>
        <v>1.9330783202233141E-2</v>
      </c>
      <c r="AD623">
        <v>564</v>
      </c>
      <c r="AE623" t="str">
        <f>IF(AND(ISNUMBER(SEARCH(O623,4)),ISNUMBER(SEARCH('(4) FCH pathway assessment'!$B$16,AB623)),ISNUMBER(SEARCH('(4) FCH pathway assessment'!$B$10,AA623))),AD623,"")</f>
        <v/>
      </c>
      <c r="AF623" t="str">
        <f t="shared" si="1633"/>
        <v/>
      </c>
      <c r="AG623" t="str">
        <f>VLOOKUP(C623,Assumptions!$B$116:$C$162,2,FALSE)</f>
        <v>ELCTRLYZ_MED_C</v>
      </c>
      <c r="AH623" t="str">
        <f>VLOOKUP(D623,Assumptions!$B$116:$C$162,2,FALSE)</f>
        <v>C_GAS_STRG</v>
      </c>
      <c r="AI623" t="str">
        <f>VLOOKUP(E623,Assumptions!$B$116:$C$162,2,FALSE)</f>
        <v>ONSITE_USE</v>
      </c>
      <c r="AJ623" t="str">
        <f>VLOOKUP(F623,Assumptions!$B$116:$C$162,2,FALSE)</f>
        <v>H2_IND_BOIL_HEAT</v>
      </c>
    </row>
    <row r="624" spans="2:36" x14ac:dyDescent="0.25">
      <c r="B624" t="s">
        <v>112</v>
      </c>
      <c r="C624" t="s">
        <v>52</v>
      </c>
      <c r="D624" s="60" t="s">
        <v>130</v>
      </c>
      <c r="E624" t="s">
        <v>66</v>
      </c>
      <c r="F624" t="s">
        <v>570</v>
      </c>
      <c r="G624" t="s">
        <v>120</v>
      </c>
      <c r="H624" t="s">
        <v>432</v>
      </c>
      <c r="I624" t="s">
        <v>32</v>
      </c>
      <c r="J624" t="s">
        <v>72</v>
      </c>
      <c r="K624">
        <f t="shared" ref="K624:K629" si="1817">SUMPRODUCT(($C$7:$C$18=$C624)*($D$6:$H$6=$D624)*($D$7:$H$18))</f>
        <v>1</v>
      </c>
      <c r="L624">
        <f t="shared" ref="L624:L629" si="1818">SUMPRODUCT(($C$19:$C$23=$D624)*($I$6:$O$6=$E624)*($I$19:$O$23))</f>
        <v>1</v>
      </c>
      <c r="M624">
        <f t="shared" ref="M624:M629" si="1819">SUMPRODUCT(($C$24:$C$30=$E624)*($P$6:$AI$6=$F624)*($P$24:$AI$30))</f>
        <v>1</v>
      </c>
      <c r="N624">
        <f t="shared" ref="N624:N629" si="1820">SUMPRODUCT(($C$31:$C$50=$F624)*($AJ$6:$AM$6=$G624)*($AJ$31:$AM$50))</f>
        <v>1</v>
      </c>
      <c r="O624">
        <f t="shared" ref="O624:O629" si="1821">K624+L624+M624+N624</f>
        <v>4</v>
      </c>
      <c r="P624" t="str">
        <f t="shared" ref="P624:P629" si="1822">CONCATENATE(C624,"-",J624)</f>
        <v>Small decentralized electrolysis-Levelized cost</v>
      </c>
      <c r="Q624" t="str">
        <f t="shared" ref="Q624:Q629" si="1823">CONCATENATE(D624,"-",J624)</f>
        <v>Distributed gas storage-Levelized cost</v>
      </c>
      <c r="R624" t="str">
        <f t="shared" ref="R624:R629" si="1824">CONCATENATE(E624,"-",J624)</f>
        <v>Onsite-Levelized cost</v>
      </c>
      <c r="S624" t="str">
        <f t="shared" ref="S624:S629" si="1825">CONCATENATE(F624,"-",J624)</f>
        <v>Industrial H2 boiler-Levelized cost</v>
      </c>
      <c r="T624">
        <f ca="1">IF(timePeriod="2020-30",(VLOOKUP($P624,'TA database'!$I$8:$J$79,2,FALSE)/VLOOKUP($D624,'Merit calculation'!$B$48:$I$52,5,FALSE)/VLOOKUP($E624,'Merit calculation'!$B$67:$I$73,5,FALSE)/VLOOKUP($F624,'Merit calculation'!$B$90:$I$103,5,FALSE)/energyContentH2),(VLOOKUP($P624,'TA database'!$I$8:$J$79,2,FALSE)/VLOOKUP($D624,'Merit calculation'!$B$48:$I$52,7,FALSE)/VLOOKUP($E624,'Merit calculation'!$B$67:$I$73,7,FALSE)/VLOOKUP($F624,'Merit calculation'!$B$90:$I$103,7,FALSE)/energyContentH2))</f>
        <v>2.0572019614005302E-2</v>
      </c>
      <c r="U624">
        <f ca="1">IF(timePeriod="2020-30",(VLOOKUP($Q624,'TA database'!$I$86:$J$105,2,FALSE)/VLOOKUP($E624,'Merit calculation'!$B$67:$I$73,5,FALSE)/VLOOKUP($F624,'Merit calculation'!$B$90:$I$104,5,FALSE)/energyContentH2),VLOOKUP($Q624,'TA database'!$I$86:$J$105,2,FALSE)/VLOOKUP($E624,'Merit calculation'!$B$67:$I$73,7,FALSE)/VLOOKUP($F624,'Merit calculation'!$B$90:$I$104,7,FALSE)/energyContentH2)</f>
        <v>1.0320339662267212E-3</v>
      </c>
      <c r="V624">
        <f ca="1">IF(timePeriod="2020-30",(VLOOKUP($R624,'TA database'!$I$112:$J$139,2,FALSE)/VLOOKUP($F624,'Merit calculation'!$B$90:$I$104,5,FALSE)/energyContentH2),(VLOOKUP($R624,'TA database'!$I$112:$J$139,2,FALSE)/VLOOKUP($F624,'Merit calculation'!$B$90:$I$104,7,FALSE)/energyContentH2))</f>
        <v>0</v>
      </c>
      <c r="W624">
        <f ca="1">IFERROR(VLOOKUP($S624,'TA database'!$I$146:$J$193,2,FALSE),0)</f>
        <v>3.3668409136299347E-4</v>
      </c>
      <c r="X624">
        <f>IFERROR(VLOOKUP($S624,'TA database'!$I$200:$J$271,2,FALSE),0)</f>
        <v>0</v>
      </c>
      <c r="Y624">
        <f t="shared" ref="Y624:Y628" ca="1" si="1826">IF($W624=0,T624*3.6+U624*3.6+V624*3.6+X624,T624+U624+V624+W624)</f>
        <v>2.1940737671595018E-2</v>
      </c>
      <c r="Z624" t="str">
        <f t="shared" ref="Z624:Z629" si="1827">CONCATENATE(AG624,"   →   ",AH624,"   →   ",AI624,"   →   ",AJ624)</f>
        <v>ELCTRLYZ_SML_D   →   D_GAS_STRG   →   ONSITE_USE   →   H2_IND_BOIL_HEAT</v>
      </c>
      <c r="AA624" t="str">
        <f t="shared" ref="AA624:AA629" si="1828">G624</f>
        <v>Industrial heat</v>
      </c>
      <c r="AB624" t="str">
        <f t="shared" ref="AB624:AB629" si="1829">J624</f>
        <v>Levelized cost</v>
      </c>
      <c r="AC624">
        <f t="shared" ref="AC624:AC629" ca="1" si="1830">Y624</f>
        <v>2.1940737671595018E-2</v>
      </c>
      <c r="AD624">
        <v>565</v>
      </c>
      <c r="AE624" t="str">
        <f>IF(AND(ISNUMBER(SEARCH(O624,4)),ISNUMBER(SEARCH('(4) FCH pathway assessment'!$B$16,AB624)),ISNUMBER(SEARCH('(4) FCH pathway assessment'!$B$10,AA624))),AD624,"")</f>
        <v/>
      </c>
      <c r="AF624" t="str">
        <f t="shared" si="1633"/>
        <v/>
      </c>
      <c r="AG624" t="str">
        <f>VLOOKUP(C624,Assumptions!$B$116:$C$162,2,FALSE)</f>
        <v>ELCTRLYZ_SML_D</v>
      </c>
      <c r="AH624" t="str">
        <f>VLOOKUP(D624,Assumptions!$B$116:$C$162,2,FALSE)</f>
        <v>D_GAS_STRG</v>
      </c>
      <c r="AI624" t="str">
        <f>VLOOKUP(E624,Assumptions!$B$116:$C$162,2,FALSE)</f>
        <v>ONSITE_USE</v>
      </c>
      <c r="AJ624" t="str">
        <f>VLOOKUP(F624,Assumptions!$B$116:$C$162,2,FALSE)</f>
        <v>H2_IND_BOIL_HEAT</v>
      </c>
    </row>
    <row r="625" spans="2:36" x14ac:dyDescent="0.25">
      <c r="B625" t="s">
        <v>127</v>
      </c>
      <c r="C625" t="s">
        <v>57</v>
      </c>
      <c r="D625" t="s">
        <v>62</v>
      </c>
      <c r="E625" t="s">
        <v>157</v>
      </c>
      <c r="F625" t="s">
        <v>570</v>
      </c>
      <c r="G625" t="s">
        <v>120</v>
      </c>
      <c r="H625" t="s">
        <v>432</v>
      </c>
      <c r="I625" t="s">
        <v>32</v>
      </c>
      <c r="J625" t="s">
        <v>72</v>
      </c>
      <c r="K625">
        <f t="shared" si="1817"/>
        <v>1</v>
      </c>
      <c r="L625">
        <f t="shared" si="1818"/>
        <v>0</v>
      </c>
      <c r="M625">
        <f t="shared" si="1819"/>
        <v>0</v>
      </c>
      <c r="N625">
        <f t="shared" si="1820"/>
        <v>1</v>
      </c>
      <c r="O625">
        <f t="shared" si="1821"/>
        <v>2</v>
      </c>
      <c r="P625" t="str">
        <f t="shared" si="1822"/>
        <v>Large centralized natural gas steam reforming-Levelized cost</v>
      </c>
      <c r="Q625" t="str">
        <f t="shared" si="1823"/>
        <v>Underground storage-Levelized cost</v>
      </c>
      <c r="R625" t="str">
        <f t="shared" si="1824"/>
        <v>Blending in natural gas pipeline-Levelized cost</v>
      </c>
      <c r="S625" t="str">
        <f t="shared" si="1825"/>
        <v>Industrial H2 boiler-Levelized cost</v>
      </c>
      <c r="T625">
        <f ca="1">IF(timePeriod="2020-30",(VLOOKUP($P625,'TA database'!$I$8:$J$79,2,FALSE)/VLOOKUP($D625,'Merit calculation'!$B$48:$I$52,5,FALSE)/VLOOKUP($E625,'Merit calculation'!$B$67:$I$73,5,FALSE)/VLOOKUP($F625,'Merit calculation'!$B$90:$I$103,5,FALSE)/energyContentH2),(VLOOKUP($P625,'TA database'!$I$8:$J$79,2,FALSE)/VLOOKUP($D625,'Merit calculation'!$B$48:$I$52,7,FALSE)/VLOOKUP($E625,'Merit calculation'!$B$67:$I$73,7,FALSE)/VLOOKUP($F625,'Merit calculation'!$B$90:$I$103,7,FALSE)/energyContentH2))</f>
        <v>4.0796666889420782E-2</v>
      </c>
      <c r="U625">
        <f ca="1">IF(timePeriod="2020-30",(VLOOKUP($Q625,'TA database'!$I$86:$J$105,2,FALSE)/VLOOKUP($E625,'Merit calculation'!$B$67:$I$73,5,FALSE)/VLOOKUP($F625,'Merit calculation'!$B$90:$I$104,5,FALSE)/energyContentH2),VLOOKUP($Q625,'TA database'!$I$86:$J$105,2,FALSE)/VLOOKUP($E625,'Merit calculation'!$B$67:$I$73,7,FALSE)/VLOOKUP($F625,'Merit calculation'!$B$90:$I$104,7,FALSE)/energyContentH2)</f>
        <v>1.1679396737133677E-4</v>
      </c>
      <c r="V625">
        <f ca="1">IF(timePeriod="2020-30",(VLOOKUP($R625,'TA database'!$I$112:$J$139,2,FALSE)/VLOOKUP($F625,'Merit calculation'!$B$90:$I$104,5,FALSE)/energyContentH2),(VLOOKUP($R625,'TA database'!$I$112:$J$139,2,FALSE)/VLOOKUP($F625,'Merit calculation'!$B$90:$I$104,7,FALSE)/energyContentH2))</f>
        <v>1.6804566808972198E-3</v>
      </c>
      <c r="W625">
        <f ca="1">IFERROR(VLOOKUP($S625,'TA database'!$I$146:$J$193,2,FALSE),0)</f>
        <v>3.3668409136299347E-4</v>
      </c>
      <c r="X625">
        <f>IFERROR(VLOOKUP($S625,'TA database'!$I$200:$J$271,2,FALSE),0)</f>
        <v>0</v>
      </c>
      <c r="Y625">
        <f t="shared" ca="1" si="1826"/>
        <v>4.293060162905233E-2</v>
      </c>
      <c r="Z625" t="str">
        <f t="shared" si="1827"/>
        <v>NG_SR_LRG_C   →   C_UNDRGRND_STRG   →   H2_BLND_NG_P   →   H2_IND_BOIL_HEAT</v>
      </c>
      <c r="AA625" t="str">
        <f t="shared" si="1828"/>
        <v>Industrial heat</v>
      </c>
      <c r="AB625" t="str">
        <f t="shared" si="1829"/>
        <v>Levelized cost</v>
      </c>
      <c r="AC625">
        <f t="shared" ca="1" si="1830"/>
        <v>4.293060162905233E-2</v>
      </c>
      <c r="AD625">
        <v>566</v>
      </c>
      <c r="AE625" t="str">
        <f>IF(AND(ISNUMBER(SEARCH(O625,4)),ISNUMBER(SEARCH('(4) FCH pathway assessment'!$B$16,AB625)),ISNUMBER(SEARCH('(4) FCH pathway assessment'!$B$10,AA625))),AD625,"")</f>
        <v/>
      </c>
      <c r="AF625" t="str">
        <f t="shared" si="1633"/>
        <v/>
      </c>
      <c r="AG625" t="str">
        <f>VLOOKUP(C625,Assumptions!$B$116:$C$162,2,FALSE)</f>
        <v>NG_SR_LRG_C</v>
      </c>
      <c r="AH625" t="str">
        <f>VLOOKUP(D625,Assumptions!$B$116:$C$162,2,FALSE)</f>
        <v>C_UNDRGRND_STRG</v>
      </c>
      <c r="AI625" t="str">
        <f>VLOOKUP(E625,Assumptions!$B$116:$C$162,2,FALSE)</f>
        <v>H2_BLND_NG_P</v>
      </c>
      <c r="AJ625" t="str">
        <f>VLOOKUP(F625,Assumptions!$B$116:$C$162,2,FALSE)</f>
        <v>H2_IND_BOIL_HEAT</v>
      </c>
    </row>
    <row r="626" spans="2:36" x14ac:dyDescent="0.25">
      <c r="B626" t="s">
        <v>127</v>
      </c>
      <c r="C626" t="s">
        <v>57</v>
      </c>
      <c r="D626" t="s">
        <v>62</v>
      </c>
      <c r="E626" t="s">
        <v>122</v>
      </c>
      <c r="F626" t="s">
        <v>570</v>
      </c>
      <c r="G626" t="s">
        <v>120</v>
      </c>
      <c r="H626" t="s">
        <v>432</v>
      </c>
      <c r="I626" t="s">
        <v>32</v>
      </c>
      <c r="J626" t="s">
        <v>72</v>
      </c>
      <c r="K626">
        <f t="shared" si="1817"/>
        <v>1</v>
      </c>
      <c r="L626">
        <f t="shared" si="1818"/>
        <v>0</v>
      </c>
      <c r="M626">
        <f t="shared" si="1819"/>
        <v>1</v>
      </c>
      <c r="N626">
        <f t="shared" si="1820"/>
        <v>1</v>
      </c>
      <c r="O626">
        <f t="shared" si="1821"/>
        <v>3</v>
      </c>
      <c r="P626" t="str">
        <f t="shared" si="1822"/>
        <v>Large centralized natural gas steam reforming-Levelized cost</v>
      </c>
      <c r="Q626" t="str">
        <f t="shared" si="1823"/>
        <v>Underground storage-Levelized cost</v>
      </c>
      <c r="R626" t="str">
        <f t="shared" si="1824"/>
        <v>Hydrogen transmission &amp; distribution pipeline-Levelized cost</v>
      </c>
      <c r="S626" t="str">
        <f t="shared" si="1825"/>
        <v>Industrial H2 boiler-Levelized cost</v>
      </c>
      <c r="T626">
        <f ca="1">IF(timePeriod="2020-30",(VLOOKUP($P626,'TA database'!$I$8:$J$79,2,FALSE)/VLOOKUP($D626,'Merit calculation'!$B$48:$I$52,5,FALSE)/VLOOKUP($E626,'Merit calculation'!$B$67:$I$73,5,FALSE)/VLOOKUP($F626,'Merit calculation'!$B$90:$I$103,5,FALSE)/energyContentH2),(VLOOKUP($P626,'TA database'!$I$8:$J$79,2,FALSE)/VLOOKUP($D626,'Merit calculation'!$B$48:$I$52,7,FALSE)/VLOOKUP($E626,'Merit calculation'!$B$67:$I$73,7,FALSE)/VLOOKUP($F626,'Merit calculation'!$B$90:$I$103,7,FALSE)/energyContentH2))</f>
        <v>4.0796666889420782E-2</v>
      </c>
      <c r="U626">
        <f ca="1">IF(timePeriod="2020-30",(VLOOKUP($Q626,'TA database'!$I$86:$J$105,2,FALSE)/VLOOKUP($E626,'Merit calculation'!$B$67:$I$73,5,FALSE)/VLOOKUP($F626,'Merit calculation'!$B$90:$I$104,5,FALSE)/energyContentH2),VLOOKUP($Q626,'TA database'!$I$86:$J$105,2,FALSE)/VLOOKUP($E626,'Merit calculation'!$B$67:$I$73,7,FALSE)/VLOOKUP($F626,'Merit calculation'!$B$90:$I$104,7,FALSE)/energyContentH2)</f>
        <v>1.1679396737133677E-4</v>
      </c>
      <c r="V626">
        <f ca="1">IF(timePeriod="2020-30",(VLOOKUP($R626,'TA database'!$I$112:$J$139,2,FALSE)/VLOOKUP($F626,'Merit calculation'!$B$90:$I$104,5,FALSE)/energyContentH2),(VLOOKUP($R626,'TA database'!$I$112:$J$139,2,FALSE)/VLOOKUP($F626,'Merit calculation'!$B$90:$I$104,7,FALSE)/energyContentH2))</f>
        <v>3.1265745439891346E-3</v>
      </c>
      <c r="W626">
        <f ca="1">IFERROR(VLOOKUP($S626,'TA database'!$I$146:$J$193,2,FALSE),0)</f>
        <v>3.3668409136299347E-4</v>
      </c>
      <c r="X626">
        <f>IFERROR(VLOOKUP($S626,'TA database'!$I$200:$J$271,2,FALSE),0)</f>
        <v>0</v>
      </c>
      <c r="Y626">
        <f t="shared" ca="1" si="1826"/>
        <v>4.4376719492144244E-2</v>
      </c>
      <c r="Z626" t="str">
        <f t="shared" si="1827"/>
        <v>NG_SR_LRG_C   →   C_UNDRGRND_STRG   →   H2_T&amp;D_P   →   H2_IND_BOIL_HEAT</v>
      </c>
      <c r="AA626" t="str">
        <f t="shared" si="1828"/>
        <v>Industrial heat</v>
      </c>
      <c r="AB626" t="str">
        <f t="shared" si="1829"/>
        <v>Levelized cost</v>
      </c>
      <c r="AC626">
        <f t="shared" ca="1" si="1830"/>
        <v>4.4376719492144244E-2</v>
      </c>
      <c r="AD626">
        <v>567</v>
      </c>
      <c r="AE626" t="str">
        <f>IF(AND(ISNUMBER(SEARCH(O626,4)),ISNUMBER(SEARCH('(4) FCH pathway assessment'!$B$16,AB626)),ISNUMBER(SEARCH('(4) FCH pathway assessment'!$B$10,AA626))),AD626,"")</f>
        <v/>
      </c>
      <c r="AF626" t="str">
        <f t="shared" si="1633"/>
        <v/>
      </c>
      <c r="AG626" t="str">
        <f>VLOOKUP(C626,Assumptions!$B$116:$C$162,2,FALSE)</f>
        <v>NG_SR_LRG_C</v>
      </c>
      <c r="AH626" t="str">
        <f>VLOOKUP(D626,Assumptions!$B$116:$C$162,2,FALSE)</f>
        <v>C_UNDRGRND_STRG</v>
      </c>
      <c r="AI626" t="str">
        <f>VLOOKUP(E626,Assumptions!$B$116:$C$162,2,FALSE)</f>
        <v>H2_T&amp;D_P</v>
      </c>
      <c r="AJ626" t="str">
        <f>VLOOKUP(F626,Assumptions!$B$116:$C$162,2,FALSE)</f>
        <v>H2_IND_BOIL_HEAT</v>
      </c>
    </row>
    <row r="627" spans="2:36" x14ac:dyDescent="0.25">
      <c r="B627" t="s">
        <v>127</v>
      </c>
      <c r="C627" t="s">
        <v>57</v>
      </c>
      <c r="D627" t="s">
        <v>62</v>
      </c>
      <c r="E627" t="s">
        <v>116</v>
      </c>
      <c r="F627" t="s">
        <v>570</v>
      </c>
      <c r="G627" t="s">
        <v>120</v>
      </c>
      <c r="H627" t="s">
        <v>432</v>
      </c>
      <c r="I627" t="s">
        <v>32</v>
      </c>
      <c r="J627" t="s">
        <v>72</v>
      </c>
      <c r="K627">
        <f t="shared" si="1817"/>
        <v>1</v>
      </c>
      <c r="L627">
        <f t="shared" si="1818"/>
        <v>0</v>
      </c>
      <c r="M627">
        <f t="shared" si="1819"/>
        <v>1</v>
      </c>
      <c r="N627">
        <f t="shared" si="1820"/>
        <v>1</v>
      </c>
      <c r="O627">
        <f t="shared" si="1821"/>
        <v>3</v>
      </c>
      <c r="P627" t="str">
        <f t="shared" si="1822"/>
        <v>Large centralized natural gas steam reforming-Levelized cost</v>
      </c>
      <c r="Q627" t="str">
        <f t="shared" si="1823"/>
        <v>Underground storage-Levelized cost</v>
      </c>
      <c r="R627" t="str">
        <f t="shared" si="1824"/>
        <v>Liquid hydrogen truck-Levelized cost</v>
      </c>
      <c r="S627" t="str">
        <f t="shared" si="1825"/>
        <v>Industrial H2 boiler-Levelized cost</v>
      </c>
      <c r="T627">
        <f ca="1">IF(timePeriod="2020-30",(VLOOKUP($P627,'TA database'!$I$8:$J$79,2,FALSE)/VLOOKUP($D627,'Merit calculation'!$B$48:$I$52,5,FALSE)/VLOOKUP($E627,'Merit calculation'!$B$67:$I$73,5,FALSE)/VLOOKUP($F627,'Merit calculation'!$B$90:$I$103,5,FALSE)/energyContentH2),(VLOOKUP($P627,'TA database'!$I$8:$J$79,2,FALSE)/VLOOKUP($D627,'Merit calculation'!$B$48:$I$52,7,FALSE)/VLOOKUP($E627,'Merit calculation'!$B$67:$I$73,7,FALSE)/VLOOKUP($F627,'Merit calculation'!$B$90:$I$103,7,FALSE)/energyContentH2))</f>
        <v>4.7128004924768457E-2</v>
      </c>
      <c r="U627">
        <f ca="1">IF(timePeriod="2020-30",(VLOOKUP($Q627,'TA database'!$I$86:$J$105,2,FALSE)/VLOOKUP($E627,'Merit calculation'!$B$67:$I$73,5,FALSE)/VLOOKUP($F627,'Merit calculation'!$B$90:$I$104,5,FALSE)/energyContentH2),VLOOKUP($Q627,'TA database'!$I$86:$J$105,2,FALSE)/VLOOKUP($E627,'Merit calculation'!$B$67:$I$73,7,FALSE)/VLOOKUP($F627,'Merit calculation'!$B$90:$I$104,7,FALSE)/energyContentH2)</f>
        <v>1.3491951890037737E-4</v>
      </c>
      <c r="V627">
        <f ca="1">IF(timePeriod="2020-30",(VLOOKUP($R627,'TA database'!$I$112:$J$139,2,FALSE)/VLOOKUP($F627,'Merit calculation'!$B$90:$I$104,5,FALSE)/energyContentH2),(VLOOKUP($R627,'TA database'!$I$112:$J$139,2,FALSE)/VLOOKUP($F627,'Merit calculation'!$B$90:$I$104,7,FALSE)/energyContentH2))</f>
        <v>2.0689448723551496E-2</v>
      </c>
      <c r="W627">
        <f ca="1">IFERROR(VLOOKUP($S627,'TA database'!$I$146:$J$193,2,FALSE),0)</f>
        <v>3.3668409136299347E-4</v>
      </c>
      <c r="X627">
        <f>IFERROR(VLOOKUP($S627,'TA database'!$I$200:$J$271,2,FALSE),0)</f>
        <v>0</v>
      </c>
      <c r="Y627">
        <f t="shared" ca="1" si="1826"/>
        <v>6.8289057258583322E-2</v>
      </c>
      <c r="Z627" t="str">
        <f t="shared" si="1827"/>
        <v>NG_SR_LRG_C   →   C_UNDRGRND_STRG   →   LQ_TRUCK   →   H2_IND_BOIL_HEAT</v>
      </c>
      <c r="AA627" t="str">
        <f t="shared" si="1828"/>
        <v>Industrial heat</v>
      </c>
      <c r="AB627" t="str">
        <f t="shared" si="1829"/>
        <v>Levelized cost</v>
      </c>
      <c r="AC627">
        <f t="shared" ca="1" si="1830"/>
        <v>6.8289057258583322E-2</v>
      </c>
      <c r="AD627">
        <v>568</v>
      </c>
      <c r="AE627" t="str">
        <f>IF(AND(ISNUMBER(SEARCH(O627,4)),ISNUMBER(SEARCH('(4) FCH pathway assessment'!$B$16,AB627)),ISNUMBER(SEARCH('(4) FCH pathway assessment'!$B$10,AA627))),AD627,"")</f>
        <v/>
      </c>
      <c r="AF627" t="str">
        <f t="shared" si="1633"/>
        <v/>
      </c>
      <c r="AG627" t="str">
        <f>VLOOKUP(C627,Assumptions!$B$116:$C$162,2,FALSE)</f>
        <v>NG_SR_LRG_C</v>
      </c>
      <c r="AH627" t="str">
        <f>VLOOKUP(D627,Assumptions!$B$116:$C$162,2,FALSE)</f>
        <v>C_UNDRGRND_STRG</v>
      </c>
      <c r="AI627" t="str">
        <f>VLOOKUP(E627,Assumptions!$B$116:$C$162,2,FALSE)</f>
        <v>LQ_TRUCK</v>
      </c>
      <c r="AJ627" t="str">
        <f>VLOOKUP(F627,Assumptions!$B$116:$C$162,2,FALSE)</f>
        <v>H2_IND_BOIL_HEAT</v>
      </c>
    </row>
    <row r="628" spans="2:36" x14ac:dyDescent="0.25">
      <c r="B628" t="s">
        <v>127</v>
      </c>
      <c r="C628" t="s">
        <v>57</v>
      </c>
      <c r="D628" t="s">
        <v>62</v>
      </c>
      <c r="E628" t="s">
        <v>66</v>
      </c>
      <c r="F628" t="s">
        <v>570</v>
      </c>
      <c r="G628" t="s">
        <v>120</v>
      </c>
      <c r="H628" t="s">
        <v>432</v>
      </c>
      <c r="I628" t="s">
        <v>32</v>
      </c>
      <c r="J628" t="s">
        <v>72</v>
      </c>
      <c r="K628">
        <f t="shared" si="1817"/>
        <v>1</v>
      </c>
      <c r="L628">
        <f t="shared" si="1818"/>
        <v>0</v>
      </c>
      <c r="M628">
        <f t="shared" si="1819"/>
        <v>1</v>
      </c>
      <c r="N628">
        <f t="shared" si="1820"/>
        <v>1</v>
      </c>
      <c r="O628">
        <f t="shared" si="1821"/>
        <v>3</v>
      </c>
      <c r="P628" t="str">
        <f t="shared" si="1822"/>
        <v>Large centralized natural gas steam reforming-Levelized cost</v>
      </c>
      <c r="Q628" t="str">
        <f t="shared" si="1823"/>
        <v>Underground storage-Levelized cost</v>
      </c>
      <c r="R628" t="str">
        <f t="shared" si="1824"/>
        <v>Onsite-Levelized cost</v>
      </c>
      <c r="S628" t="str">
        <f t="shared" si="1825"/>
        <v>Industrial H2 boiler-Levelized cost</v>
      </c>
      <c r="T628">
        <f ca="1">IF(timePeriod="2020-30",(VLOOKUP($P628,'TA database'!$I$8:$J$79,2,FALSE)/VLOOKUP($D628,'Merit calculation'!$B$48:$I$52,5,FALSE)/VLOOKUP($E628,'Merit calculation'!$B$67:$I$73,5,FALSE)/VLOOKUP($F628,'Merit calculation'!$B$90:$I$103,5,FALSE)/energyContentH2),(VLOOKUP($P628,'TA database'!$I$8:$J$79,2,FALSE)/VLOOKUP($D628,'Merit calculation'!$B$48:$I$52,7,FALSE)/VLOOKUP($E628,'Merit calculation'!$B$67:$I$73,7,FALSE)/VLOOKUP($F628,'Merit calculation'!$B$90:$I$103,7,FALSE)/energyContentH2))</f>
        <v>4.0388700220526569E-2</v>
      </c>
      <c r="U628">
        <f ca="1">IF(timePeriod="2020-30",(VLOOKUP($Q628,'TA database'!$I$86:$J$105,2,FALSE)/VLOOKUP($E628,'Merit calculation'!$B$67:$I$73,5,FALSE)/VLOOKUP($F628,'Merit calculation'!$B$90:$I$104,5,FALSE)/energyContentH2),VLOOKUP($Q628,'TA database'!$I$86:$J$105,2,FALSE)/VLOOKUP($E628,'Merit calculation'!$B$67:$I$73,7,FALSE)/VLOOKUP($F628,'Merit calculation'!$B$90:$I$104,7,FALSE)/energyContentH2)</f>
        <v>1.156260276976234E-4</v>
      </c>
      <c r="V628">
        <f ca="1">IF(timePeriod="2020-30",(VLOOKUP($R628,'TA database'!$I$112:$J$139,2,FALSE)/VLOOKUP($F628,'Merit calculation'!$B$90:$I$104,5,FALSE)/energyContentH2),(VLOOKUP($R628,'TA database'!$I$112:$J$139,2,FALSE)/VLOOKUP($F628,'Merit calculation'!$B$90:$I$104,7,FALSE)/energyContentH2))</f>
        <v>0</v>
      </c>
      <c r="W628">
        <f ca="1">IFERROR(VLOOKUP($S628,'TA database'!$I$146:$J$193,2,FALSE),0)</f>
        <v>3.3668409136299347E-4</v>
      </c>
      <c r="X628">
        <f>IFERROR(VLOOKUP($S628,'TA database'!$I$200:$J$271,2,FALSE),0)</f>
        <v>0</v>
      </c>
      <c r="Y628">
        <f t="shared" ca="1" si="1826"/>
        <v>4.0841010339587182E-2</v>
      </c>
      <c r="Z628" t="str">
        <f t="shared" si="1827"/>
        <v>NG_SR_LRG_C   →   C_UNDRGRND_STRG   →   ONSITE_USE   →   H2_IND_BOIL_HEAT</v>
      </c>
      <c r="AA628" t="str">
        <f t="shared" si="1828"/>
        <v>Industrial heat</v>
      </c>
      <c r="AB628" t="str">
        <f t="shared" si="1829"/>
        <v>Levelized cost</v>
      </c>
      <c r="AC628">
        <f t="shared" ca="1" si="1830"/>
        <v>4.0841010339587182E-2</v>
      </c>
      <c r="AD628">
        <v>569</v>
      </c>
      <c r="AE628" t="str">
        <f>IF(AND(ISNUMBER(SEARCH(O628,4)),ISNUMBER(SEARCH('(4) FCH pathway assessment'!$B$16,AB628)),ISNUMBER(SEARCH('(4) FCH pathway assessment'!$B$10,AA628))),AD628,"")</f>
        <v/>
      </c>
      <c r="AF628" t="str">
        <f t="shared" si="1633"/>
        <v/>
      </c>
      <c r="AG628" t="str">
        <f>VLOOKUP(C628,Assumptions!$B$116:$C$162,2,FALSE)</f>
        <v>NG_SR_LRG_C</v>
      </c>
      <c r="AH628" t="str">
        <f>VLOOKUP(D628,Assumptions!$B$116:$C$162,2,FALSE)</f>
        <v>C_UNDRGRND_STRG</v>
      </c>
      <c r="AI628" t="str">
        <f>VLOOKUP(E628,Assumptions!$B$116:$C$162,2,FALSE)</f>
        <v>ONSITE_USE</v>
      </c>
      <c r="AJ628" t="str">
        <f>VLOOKUP(F628,Assumptions!$B$116:$C$162,2,FALSE)</f>
        <v>H2_IND_BOIL_HEAT</v>
      </c>
    </row>
    <row r="629" spans="2:36" x14ac:dyDescent="0.25">
      <c r="B629" t="s">
        <v>127</v>
      </c>
      <c r="C629" t="s">
        <v>57</v>
      </c>
      <c r="D629" s="61" t="s">
        <v>63</v>
      </c>
      <c r="E629" t="s">
        <v>122</v>
      </c>
      <c r="F629" t="s">
        <v>570</v>
      </c>
      <c r="G629" t="s">
        <v>120</v>
      </c>
      <c r="H629" t="s">
        <v>432</v>
      </c>
      <c r="I629" t="s">
        <v>32</v>
      </c>
      <c r="J629" t="s">
        <v>72</v>
      </c>
      <c r="K629">
        <f t="shared" si="1817"/>
        <v>1</v>
      </c>
      <c r="L629">
        <f t="shared" si="1818"/>
        <v>1</v>
      </c>
      <c r="M629">
        <f t="shared" si="1819"/>
        <v>1</v>
      </c>
      <c r="N629">
        <f t="shared" si="1820"/>
        <v>1</v>
      </c>
      <c r="O629">
        <f t="shared" si="1821"/>
        <v>4</v>
      </c>
      <c r="P629" t="str">
        <f t="shared" si="1822"/>
        <v>Large centralized natural gas steam reforming-Levelized cost</v>
      </c>
      <c r="Q629" t="str">
        <f t="shared" si="1823"/>
        <v>No storage-Levelized cost</v>
      </c>
      <c r="R629" t="str">
        <f t="shared" si="1824"/>
        <v>Hydrogen transmission &amp; distribution pipeline-Levelized cost</v>
      </c>
      <c r="S629" t="str">
        <f t="shared" si="1825"/>
        <v>Industrial H2 boiler-Levelized cost</v>
      </c>
      <c r="T629">
        <f ca="1">IF(timePeriod="2020-30",(VLOOKUP($P629,'TA database'!$I$8:$J$79,2,FALSE)/VLOOKUP($D629,'Merit calculation'!$B$48:$I$52,5,FALSE)/VLOOKUP($E629,'Merit calculation'!$B$67:$I$73,5,FALSE)/VLOOKUP($F629,'Merit calculation'!$B$90:$I$103,5,FALSE)/energyContentH2),(VLOOKUP($P629,'TA database'!$I$8:$J$79,2,FALSE)/VLOOKUP($D629,'Merit calculation'!$B$48:$I$52,7,FALSE)/VLOOKUP($E629,'Merit calculation'!$B$67:$I$73,7,FALSE)/VLOOKUP($F629,'Merit calculation'!$B$90:$I$103,7,FALSE)/energyContentH2))</f>
        <v>4.0388700220526569E-2</v>
      </c>
      <c r="U629">
        <f ca="1">IF(timePeriod="2020-30",(VLOOKUP($Q629,'TA database'!$I$86:$J$105,2,FALSE)/VLOOKUP($E629,'Merit calculation'!$B$67:$I$73,5,FALSE)/VLOOKUP($F629,'Merit calculation'!$B$90:$I$104,5,FALSE)/energyContentH2),VLOOKUP($Q629,'TA database'!$I$86:$J$105,2,FALSE)/VLOOKUP($E629,'Merit calculation'!$B$67:$I$73,7,FALSE)/VLOOKUP($F629,'Merit calculation'!$B$90:$I$104,7,FALSE)/energyContentH2)</f>
        <v>0</v>
      </c>
      <c r="V629">
        <f ca="1">IF(timePeriod="2020-30",(VLOOKUP($R629,'TA database'!$I$112:$J$139,2,FALSE)/VLOOKUP($F629,'Merit calculation'!$B$90:$I$104,5,FALSE)/energyContentH2),(VLOOKUP($R629,'TA database'!$I$112:$J$139,2,FALSE)/VLOOKUP($F629,'Merit calculation'!$B$90:$I$104,7,FALSE)/energyContentH2))</f>
        <v>3.1265745439891346E-3</v>
      </c>
      <c r="W629">
        <f ca="1">IFERROR(VLOOKUP($S629,'TA database'!$I$146:$J$193,2,FALSE),0)</f>
        <v>3.3668409136299347E-4</v>
      </c>
      <c r="X629">
        <f>IFERROR(VLOOKUP($S629,'TA database'!$I$200:$J$271,2,FALSE),0)</f>
        <v>0</v>
      </c>
      <c r="Y629">
        <f t="shared" ref="Y629:Y633" ca="1" si="1831">IF($W629=0,T629*3.6+U629*3.6+V629*3.6+X629,T629+U629+V629+W629)</f>
        <v>4.3851958855878691E-2</v>
      </c>
      <c r="Z629" t="str">
        <f t="shared" si="1827"/>
        <v>NG_SR_LRG_C   →   NO_STRG   →   H2_T&amp;D_P   →   H2_IND_BOIL_HEAT</v>
      </c>
      <c r="AA629" t="str">
        <f t="shared" si="1828"/>
        <v>Industrial heat</v>
      </c>
      <c r="AB629" t="str">
        <f t="shared" si="1829"/>
        <v>Levelized cost</v>
      </c>
      <c r="AC629">
        <f t="shared" ca="1" si="1830"/>
        <v>4.3851958855878691E-2</v>
      </c>
      <c r="AD629">
        <v>570</v>
      </c>
      <c r="AE629" t="str">
        <f>IF(AND(ISNUMBER(SEARCH(O629,4)),ISNUMBER(SEARCH('(4) FCH pathway assessment'!$B$16,AB629)),ISNUMBER(SEARCH('(4) FCH pathway assessment'!$B$10,AA629))),AD629,"")</f>
        <v/>
      </c>
      <c r="AF629" t="str">
        <f t="shared" si="1633"/>
        <v/>
      </c>
      <c r="AG629" t="str">
        <f>VLOOKUP(C629,Assumptions!$B$116:$C$162,2,FALSE)</f>
        <v>NG_SR_LRG_C</v>
      </c>
      <c r="AH629" t="str">
        <f>VLOOKUP(D629,Assumptions!$B$116:$C$162,2,FALSE)</f>
        <v>NO_STRG</v>
      </c>
      <c r="AI629" t="str">
        <f>VLOOKUP(E629,Assumptions!$B$116:$C$162,2,FALSE)</f>
        <v>H2_T&amp;D_P</v>
      </c>
      <c r="AJ629" t="str">
        <f>VLOOKUP(F629,Assumptions!$B$116:$C$162,2,FALSE)</f>
        <v>H2_IND_BOIL_HEAT</v>
      </c>
    </row>
    <row r="630" spans="2:36" x14ac:dyDescent="0.25">
      <c r="B630" t="s">
        <v>127</v>
      </c>
      <c r="C630" t="s">
        <v>58</v>
      </c>
      <c r="D630" t="s">
        <v>155</v>
      </c>
      <c r="E630" t="s">
        <v>157</v>
      </c>
      <c r="F630" t="s">
        <v>570</v>
      </c>
      <c r="G630" t="s">
        <v>120</v>
      </c>
      <c r="H630" t="s">
        <v>432</v>
      </c>
      <c r="I630" t="s">
        <v>32</v>
      </c>
      <c r="J630" t="s">
        <v>72</v>
      </c>
      <c r="K630">
        <f t="shared" ref="K630:K634" si="1832">SUMPRODUCT(($C$7:$C$18=$C630)*($D$6:$H$6=$D630)*($D$7:$H$18))</f>
        <v>1</v>
      </c>
      <c r="L630">
        <f t="shared" ref="L630:L634" si="1833">SUMPRODUCT(($C$19:$C$23=$D630)*($I$6:$O$6=$E630)*($I$19:$O$23))</f>
        <v>1</v>
      </c>
      <c r="M630">
        <f t="shared" ref="M630:M634" si="1834">SUMPRODUCT(($C$24:$C$30=$E630)*($P$6:$AI$6=$F630)*($P$24:$AI$30))</f>
        <v>0</v>
      </c>
      <c r="N630">
        <f t="shared" ref="N630:N634" si="1835">SUMPRODUCT(($C$31:$C$50=$F630)*($AJ$6:$AM$6=$G630)*($AJ$31:$AM$50))</f>
        <v>1</v>
      </c>
      <c r="O630">
        <f t="shared" ref="O630:O634" si="1836">K630+L630+M630+N630</f>
        <v>3</v>
      </c>
      <c r="P630" t="str">
        <f t="shared" ref="P630:P634" si="1837">CONCATENATE(C630,"-",J630)</f>
        <v>Small centralized natural gas steam reforming-Levelized cost</v>
      </c>
      <c r="Q630" t="str">
        <f t="shared" ref="Q630:Q634" si="1838">CONCATENATE(D630,"-",J630)</f>
        <v>Central gas storage-Levelized cost</v>
      </c>
      <c r="R630" t="str">
        <f t="shared" ref="R630:R634" si="1839">CONCATENATE(E630,"-",J630)</f>
        <v>Blending in natural gas pipeline-Levelized cost</v>
      </c>
      <c r="S630" t="str">
        <f t="shared" ref="S630:S634" si="1840">CONCATENATE(F630,"-",J630)</f>
        <v>Industrial H2 boiler-Levelized cost</v>
      </c>
      <c r="T630">
        <f ca="1">IF(timePeriod="2020-30",(VLOOKUP($P630,'TA database'!$I$8:$J$79,2,FALSE)/VLOOKUP($D630,'Merit calculation'!$B$48:$I$52,5,FALSE)/VLOOKUP($E630,'Merit calculation'!$B$67:$I$73,5,FALSE)/VLOOKUP($F630,'Merit calculation'!$B$90:$I$103,5,FALSE)/energyContentH2),(VLOOKUP($P630,'TA database'!$I$8:$J$79,2,FALSE)/VLOOKUP($D630,'Merit calculation'!$B$48:$I$52,7,FALSE)/VLOOKUP($E630,'Merit calculation'!$B$67:$I$73,7,FALSE)/VLOOKUP($F630,'Merit calculation'!$B$90:$I$103,7,FALSE)/energyContentH2))</f>
        <v>4.1866199381333472E-2</v>
      </c>
      <c r="U630">
        <f ca="1">IF(timePeriod="2020-30",(VLOOKUP($Q630,'TA database'!$I$86:$J$105,2,FALSE)/VLOOKUP($E630,'Merit calculation'!$B$67:$I$73,5,FALSE)/VLOOKUP($F630,'Merit calculation'!$B$90:$I$104,5,FALSE)/energyContentH2),VLOOKUP($Q630,'TA database'!$I$86:$J$105,2,FALSE)/VLOOKUP($E630,'Merit calculation'!$B$67:$I$73,7,FALSE)/VLOOKUP($F630,'Merit calculation'!$B$90:$I$104,7,FALSE)/energyContentH2)</f>
        <v>5.8638293535609139E-4</v>
      </c>
      <c r="V630">
        <f ca="1">IF(timePeriod="2020-30",(VLOOKUP($R630,'TA database'!$I$112:$J$139,2,FALSE)/VLOOKUP($F630,'Merit calculation'!$B$90:$I$104,5,FALSE)/energyContentH2),(VLOOKUP($R630,'TA database'!$I$112:$J$139,2,FALSE)/VLOOKUP($F630,'Merit calculation'!$B$90:$I$104,7,FALSE)/energyContentH2))</f>
        <v>1.6804566808972198E-3</v>
      </c>
      <c r="W630">
        <f ca="1">IFERROR(VLOOKUP($S630,'TA database'!$I$146:$J$193,2,FALSE),0)</f>
        <v>3.3668409136299347E-4</v>
      </c>
      <c r="X630">
        <f>IFERROR(VLOOKUP($S630,'TA database'!$I$200:$J$271,2,FALSE),0)</f>
        <v>0</v>
      </c>
      <c r="Y630">
        <f t="shared" ca="1" si="1831"/>
        <v>4.4469723088949774E-2</v>
      </c>
      <c r="Z630" t="str">
        <f t="shared" ref="Z630:Z634" si="1841">CONCATENATE(AG630,"   →   ",AH630,"   →   ",AI630,"   →   ",AJ630)</f>
        <v>NG_SR_SML_C   →   C_GAS_STRG   →   H2_BLND_NG_P   →   H2_IND_BOIL_HEAT</v>
      </c>
      <c r="AA630" t="str">
        <f t="shared" ref="AA630:AA634" si="1842">G630</f>
        <v>Industrial heat</v>
      </c>
      <c r="AB630" t="str">
        <f t="shared" ref="AB630:AB634" si="1843">J630</f>
        <v>Levelized cost</v>
      </c>
      <c r="AC630">
        <f t="shared" ref="AC630:AC634" ca="1" si="1844">Y630</f>
        <v>4.4469723088949774E-2</v>
      </c>
      <c r="AD630">
        <v>571</v>
      </c>
      <c r="AE630" t="str">
        <f>IF(AND(ISNUMBER(SEARCH(O630,4)),ISNUMBER(SEARCH('(4) FCH pathway assessment'!$B$16,AB630)),ISNUMBER(SEARCH('(4) FCH pathway assessment'!$B$10,AA630))),AD630,"")</f>
        <v/>
      </c>
      <c r="AF630" t="str">
        <f t="shared" si="1633"/>
        <v/>
      </c>
      <c r="AG630" t="str">
        <f>VLOOKUP(C630,Assumptions!$B$116:$C$162,2,FALSE)</f>
        <v>NG_SR_SML_C</v>
      </c>
      <c r="AH630" t="str">
        <f>VLOOKUP(D630,Assumptions!$B$116:$C$162,2,FALSE)</f>
        <v>C_GAS_STRG</v>
      </c>
      <c r="AI630" t="str">
        <f>VLOOKUP(E630,Assumptions!$B$116:$C$162,2,FALSE)</f>
        <v>H2_BLND_NG_P</v>
      </c>
      <c r="AJ630" t="str">
        <f>VLOOKUP(F630,Assumptions!$B$116:$C$162,2,FALSE)</f>
        <v>H2_IND_BOIL_HEAT</v>
      </c>
    </row>
    <row r="631" spans="2:36" x14ac:dyDescent="0.25">
      <c r="B631" t="s">
        <v>127</v>
      </c>
      <c r="C631" t="s">
        <v>58</v>
      </c>
      <c r="D631" t="s">
        <v>155</v>
      </c>
      <c r="E631" t="s">
        <v>122</v>
      </c>
      <c r="F631" t="s">
        <v>570</v>
      </c>
      <c r="G631" t="s">
        <v>120</v>
      </c>
      <c r="H631" t="s">
        <v>432</v>
      </c>
      <c r="I631" t="s">
        <v>32</v>
      </c>
      <c r="J631" t="s">
        <v>72</v>
      </c>
      <c r="K631">
        <f t="shared" si="1832"/>
        <v>1</v>
      </c>
      <c r="L631">
        <f t="shared" si="1833"/>
        <v>1</v>
      </c>
      <c r="M631">
        <f t="shared" si="1834"/>
        <v>1</v>
      </c>
      <c r="N631">
        <f t="shared" si="1835"/>
        <v>1</v>
      </c>
      <c r="O631">
        <f t="shared" si="1836"/>
        <v>4</v>
      </c>
      <c r="P631" t="str">
        <f t="shared" si="1837"/>
        <v>Small centralized natural gas steam reforming-Levelized cost</v>
      </c>
      <c r="Q631" t="str">
        <f t="shared" si="1838"/>
        <v>Central gas storage-Levelized cost</v>
      </c>
      <c r="R631" t="str">
        <f t="shared" si="1839"/>
        <v>Hydrogen transmission &amp; distribution pipeline-Levelized cost</v>
      </c>
      <c r="S631" t="str">
        <f t="shared" si="1840"/>
        <v>Industrial H2 boiler-Levelized cost</v>
      </c>
      <c r="T631">
        <f ca="1">IF(timePeriod="2020-30",(VLOOKUP($P631,'TA database'!$I$8:$J$79,2,FALSE)/VLOOKUP($D631,'Merit calculation'!$B$48:$I$52,5,FALSE)/VLOOKUP($E631,'Merit calculation'!$B$67:$I$73,5,FALSE)/VLOOKUP($F631,'Merit calculation'!$B$90:$I$103,5,FALSE)/energyContentH2),(VLOOKUP($P631,'TA database'!$I$8:$J$79,2,FALSE)/VLOOKUP($D631,'Merit calculation'!$B$48:$I$52,7,FALSE)/VLOOKUP($E631,'Merit calculation'!$B$67:$I$73,7,FALSE)/VLOOKUP($F631,'Merit calculation'!$B$90:$I$103,7,FALSE)/energyContentH2))</f>
        <v>4.1866199381333472E-2</v>
      </c>
      <c r="U631">
        <f ca="1">IF(timePeriod="2020-30",(VLOOKUP($Q631,'TA database'!$I$86:$J$105,2,FALSE)/VLOOKUP($E631,'Merit calculation'!$B$67:$I$73,5,FALSE)/VLOOKUP($F631,'Merit calculation'!$B$90:$I$104,5,FALSE)/energyContentH2),VLOOKUP($Q631,'TA database'!$I$86:$J$105,2,FALSE)/VLOOKUP($E631,'Merit calculation'!$B$67:$I$73,7,FALSE)/VLOOKUP($F631,'Merit calculation'!$B$90:$I$104,7,FALSE)/energyContentH2)</f>
        <v>5.8638293535609139E-4</v>
      </c>
      <c r="V631">
        <f ca="1">IF(timePeriod="2020-30",(VLOOKUP($R631,'TA database'!$I$112:$J$139,2,FALSE)/VLOOKUP($F631,'Merit calculation'!$B$90:$I$104,5,FALSE)/energyContentH2),(VLOOKUP($R631,'TA database'!$I$112:$J$139,2,FALSE)/VLOOKUP($F631,'Merit calculation'!$B$90:$I$104,7,FALSE)/energyContentH2))</f>
        <v>3.1265745439891346E-3</v>
      </c>
      <c r="W631">
        <f ca="1">IFERROR(VLOOKUP($S631,'TA database'!$I$146:$J$193,2,FALSE),0)</f>
        <v>3.3668409136299347E-4</v>
      </c>
      <c r="X631">
        <f>IFERROR(VLOOKUP($S631,'TA database'!$I$200:$J$271,2,FALSE),0)</f>
        <v>0</v>
      </c>
      <c r="Y631">
        <f t="shared" ca="1" si="1831"/>
        <v>4.5915840952041688E-2</v>
      </c>
      <c r="Z631" t="str">
        <f t="shared" si="1841"/>
        <v>NG_SR_SML_C   →   C_GAS_STRG   →   H2_T&amp;D_P   →   H2_IND_BOIL_HEAT</v>
      </c>
      <c r="AA631" t="str">
        <f t="shared" si="1842"/>
        <v>Industrial heat</v>
      </c>
      <c r="AB631" t="str">
        <f t="shared" si="1843"/>
        <v>Levelized cost</v>
      </c>
      <c r="AC631">
        <f t="shared" ca="1" si="1844"/>
        <v>4.5915840952041688E-2</v>
      </c>
      <c r="AD631">
        <v>572</v>
      </c>
      <c r="AE631" t="str">
        <f>IF(AND(ISNUMBER(SEARCH(O631,4)),ISNUMBER(SEARCH('(4) FCH pathway assessment'!$B$16,AB631)),ISNUMBER(SEARCH('(4) FCH pathway assessment'!$B$10,AA631))),AD631,"")</f>
        <v/>
      </c>
      <c r="AF631" t="str">
        <f t="shared" si="1633"/>
        <v/>
      </c>
      <c r="AG631" t="str">
        <f>VLOOKUP(C631,Assumptions!$B$116:$C$162,2,FALSE)</f>
        <v>NG_SR_SML_C</v>
      </c>
      <c r="AH631" t="str">
        <f>VLOOKUP(D631,Assumptions!$B$116:$C$162,2,FALSE)</f>
        <v>C_GAS_STRG</v>
      </c>
      <c r="AI631" t="str">
        <f>VLOOKUP(E631,Assumptions!$B$116:$C$162,2,FALSE)</f>
        <v>H2_T&amp;D_P</v>
      </c>
      <c r="AJ631" t="str">
        <f>VLOOKUP(F631,Assumptions!$B$116:$C$162,2,FALSE)</f>
        <v>H2_IND_BOIL_HEAT</v>
      </c>
    </row>
    <row r="632" spans="2:36" x14ac:dyDescent="0.25">
      <c r="B632" t="s">
        <v>127</v>
      </c>
      <c r="C632" t="s">
        <v>58</v>
      </c>
      <c r="D632" t="s">
        <v>155</v>
      </c>
      <c r="E632" t="s">
        <v>116</v>
      </c>
      <c r="F632" t="s">
        <v>570</v>
      </c>
      <c r="G632" t="s">
        <v>120</v>
      </c>
      <c r="H632" t="s">
        <v>432</v>
      </c>
      <c r="I632" t="s">
        <v>32</v>
      </c>
      <c r="J632" t="s">
        <v>72</v>
      </c>
      <c r="K632">
        <f t="shared" si="1832"/>
        <v>1</v>
      </c>
      <c r="L632">
        <f t="shared" si="1833"/>
        <v>1</v>
      </c>
      <c r="M632">
        <f t="shared" si="1834"/>
        <v>1</v>
      </c>
      <c r="N632">
        <f t="shared" si="1835"/>
        <v>1</v>
      </c>
      <c r="O632">
        <f t="shared" si="1836"/>
        <v>4</v>
      </c>
      <c r="P632" t="str">
        <f t="shared" si="1837"/>
        <v>Small centralized natural gas steam reforming-Levelized cost</v>
      </c>
      <c r="Q632" t="str">
        <f t="shared" si="1838"/>
        <v>Central gas storage-Levelized cost</v>
      </c>
      <c r="R632" t="str">
        <f t="shared" si="1839"/>
        <v>Liquid hydrogen truck-Levelized cost</v>
      </c>
      <c r="S632" t="str">
        <f t="shared" si="1840"/>
        <v>Industrial H2 boiler-Levelized cost</v>
      </c>
      <c r="T632">
        <f ca="1">IF(timePeriod="2020-30",(VLOOKUP($P632,'TA database'!$I$8:$J$79,2,FALSE)/VLOOKUP($D632,'Merit calculation'!$B$48:$I$52,5,FALSE)/VLOOKUP($E632,'Merit calculation'!$B$67:$I$73,5,FALSE)/VLOOKUP($F632,'Merit calculation'!$B$90:$I$103,5,FALSE)/energyContentH2),(VLOOKUP($P632,'TA database'!$I$8:$J$79,2,FALSE)/VLOOKUP($D632,'Merit calculation'!$B$48:$I$52,7,FALSE)/VLOOKUP($E632,'Merit calculation'!$B$67:$I$73,7,FALSE)/VLOOKUP($F632,'Merit calculation'!$B$90:$I$103,7,FALSE)/energyContentH2))</f>
        <v>4.8363520872252187E-2</v>
      </c>
      <c r="U632">
        <f ca="1">IF(timePeriod="2020-30",(VLOOKUP($Q632,'TA database'!$I$86:$J$105,2,FALSE)/VLOOKUP($E632,'Merit calculation'!$B$67:$I$73,5,FALSE)/VLOOKUP($F632,'Merit calculation'!$B$90:$I$104,5,FALSE)/energyContentH2),VLOOKUP($Q632,'TA database'!$I$86:$J$105,2,FALSE)/VLOOKUP($E632,'Merit calculation'!$B$67:$I$73,7,FALSE)/VLOOKUP($F632,'Merit calculation'!$B$90:$I$104,7,FALSE)/energyContentH2)</f>
        <v>6.7738518786759699E-4</v>
      </c>
      <c r="V632">
        <f ca="1">IF(timePeriod="2020-30",(VLOOKUP($R632,'TA database'!$I$112:$J$139,2,FALSE)/VLOOKUP($F632,'Merit calculation'!$B$90:$I$104,5,FALSE)/energyContentH2),(VLOOKUP($R632,'TA database'!$I$112:$J$139,2,FALSE)/VLOOKUP($F632,'Merit calculation'!$B$90:$I$104,7,FALSE)/energyContentH2))</f>
        <v>2.0689448723551496E-2</v>
      </c>
      <c r="W632">
        <f ca="1">IFERROR(VLOOKUP($S632,'TA database'!$I$146:$J$193,2,FALSE),0)</f>
        <v>3.3668409136299347E-4</v>
      </c>
      <c r="X632">
        <f>IFERROR(VLOOKUP($S632,'TA database'!$I$200:$J$271,2,FALSE),0)</f>
        <v>0</v>
      </c>
      <c r="Y632">
        <f t="shared" ca="1" si="1831"/>
        <v>7.0067038875034279E-2</v>
      </c>
      <c r="Z632" t="str">
        <f t="shared" si="1841"/>
        <v>NG_SR_SML_C   →   C_GAS_STRG   →   LQ_TRUCK   →   H2_IND_BOIL_HEAT</v>
      </c>
      <c r="AA632" t="str">
        <f t="shared" si="1842"/>
        <v>Industrial heat</v>
      </c>
      <c r="AB632" t="str">
        <f t="shared" si="1843"/>
        <v>Levelized cost</v>
      </c>
      <c r="AC632">
        <f t="shared" ca="1" si="1844"/>
        <v>7.0067038875034279E-2</v>
      </c>
      <c r="AD632">
        <v>573</v>
      </c>
      <c r="AE632" t="str">
        <f>IF(AND(ISNUMBER(SEARCH(O632,4)),ISNUMBER(SEARCH('(4) FCH pathway assessment'!$B$16,AB632)),ISNUMBER(SEARCH('(4) FCH pathway assessment'!$B$10,AA632))),AD632,"")</f>
        <v/>
      </c>
      <c r="AF632" t="str">
        <f t="shared" si="1633"/>
        <v/>
      </c>
      <c r="AG632" t="str">
        <f>VLOOKUP(C632,Assumptions!$B$116:$C$162,2,FALSE)</f>
        <v>NG_SR_SML_C</v>
      </c>
      <c r="AH632" t="str">
        <f>VLOOKUP(D632,Assumptions!$B$116:$C$162,2,FALSE)</f>
        <v>C_GAS_STRG</v>
      </c>
      <c r="AI632" t="str">
        <f>VLOOKUP(E632,Assumptions!$B$116:$C$162,2,FALSE)</f>
        <v>LQ_TRUCK</v>
      </c>
      <c r="AJ632" t="str">
        <f>VLOOKUP(F632,Assumptions!$B$116:$C$162,2,FALSE)</f>
        <v>H2_IND_BOIL_HEAT</v>
      </c>
    </row>
    <row r="633" spans="2:36" x14ac:dyDescent="0.25">
      <c r="B633" t="s">
        <v>127</v>
      </c>
      <c r="C633" t="s">
        <v>58</v>
      </c>
      <c r="D633" t="s">
        <v>155</v>
      </c>
      <c r="E633" t="s">
        <v>66</v>
      </c>
      <c r="F633" t="s">
        <v>570</v>
      </c>
      <c r="G633" t="s">
        <v>120</v>
      </c>
      <c r="H633" t="s">
        <v>432</v>
      </c>
      <c r="I633" t="s">
        <v>32</v>
      </c>
      <c r="J633" t="s">
        <v>72</v>
      </c>
      <c r="K633">
        <f t="shared" si="1832"/>
        <v>1</v>
      </c>
      <c r="L633">
        <f t="shared" si="1833"/>
        <v>1</v>
      </c>
      <c r="M633">
        <f t="shared" si="1834"/>
        <v>1</v>
      </c>
      <c r="N633">
        <f t="shared" si="1835"/>
        <v>1</v>
      </c>
      <c r="O633">
        <f t="shared" si="1836"/>
        <v>4</v>
      </c>
      <c r="P633" t="str">
        <f t="shared" si="1837"/>
        <v>Small centralized natural gas steam reforming-Levelized cost</v>
      </c>
      <c r="Q633" t="str">
        <f t="shared" si="1838"/>
        <v>Central gas storage-Levelized cost</v>
      </c>
      <c r="R633" t="str">
        <f t="shared" si="1839"/>
        <v>Onsite-Levelized cost</v>
      </c>
      <c r="S633" t="str">
        <f t="shared" si="1840"/>
        <v>Industrial H2 boiler-Levelized cost</v>
      </c>
      <c r="T633">
        <f ca="1">IF(timePeriod="2020-30",(VLOOKUP($P633,'TA database'!$I$8:$J$79,2,FALSE)/VLOOKUP($D633,'Merit calculation'!$B$48:$I$52,5,FALSE)/VLOOKUP($E633,'Merit calculation'!$B$67:$I$73,5,FALSE)/VLOOKUP($F633,'Merit calculation'!$B$90:$I$103,5,FALSE)/energyContentH2),(VLOOKUP($P633,'TA database'!$I$8:$J$79,2,FALSE)/VLOOKUP($D633,'Merit calculation'!$B$48:$I$52,7,FALSE)/VLOOKUP($E633,'Merit calculation'!$B$67:$I$73,7,FALSE)/VLOOKUP($F633,'Merit calculation'!$B$90:$I$103,7,FALSE)/energyContentH2))</f>
        <v>4.1447537387520134E-2</v>
      </c>
      <c r="U633">
        <f ca="1">IF(timePeriod="2020-30",(VLOOKUP($Q633,'TA database'!$I$86:$J$105,2,FALSE)/VLOOKUP($E633,'Merit calculation'!$B$67:$I$73,5,FALSE)/VLOOKUP($F633,'Merit calculation'!$B$90:$I$104,5,FALSE)/energyContentH2),VLOOKUP($Q633,'TA database'!$I$86:$J$105,2,FALSE)/VLOOKUP($E633,'Merit calculation'!$B$67:$I$73,7,FALSE)/VLOOKUP($F633,'Merit calculation'!$B$90:$I$104,7,FALSE)/energyContentH2)</f>
        <v>5.8051910600253058E-4</v>
      </c>
      <c r="V633">
        <f ca="1">IF(timePeriod="2020-30",(VLOOKUP($R633,'TA database'!$I$112:$J$139,2,FALSE)/VLOOKUP($F633,'Merit calculation'!$B$90:$I$104,5,FALSE)/energyContentH2),(VLOOKUP($R633,'TA database'!$I$112:$J$139,2,FALSE)/VLOOKUP($F633,'Merit calculation'!$B$90:$I$104,7,FALSE)/energyContentH2))</f>
        <v>0</v>
      </c>
      <c r="W633">
        <f ca="1">IFERROR(VLOOKUP($S633,'TA database'!$I$146:$J$193,2,FALSE),0)</f>
        <v>3.3668409136299347E-4</v>
      </c>
      <c r="X633">
        <f>IFERROR(VLOOKUP($S633,'TA database'!$I$200:$J$271,2,FALSE),0)</f>
        <v>0</v>
      </c>
      <c r="Y633">
        <f t="shared" ca="1" si="1831"/>
        <v>4.2364740584885652E-2</v>
      </c>
      <c r="Z633" t="str">
        <f t="shared" si="1841"/>
        <v>NG_SR_SML_C   →   C_GAS_STRG   →   ONSITE_USE   →   H2_IND_BOIL_HEAT</v>
      </c>
      <c r="AA633" t="str">
        <f t="shared" si="1842"/>
        <v>Industrial heat</v>
      </c>
      <c r="AB633" t="str">
        <f t="shared" si="1843"/>
        <v>Levelized cost</v>
      </c>
      <c r="AC633">
        <f t="shared" ca="1" si="1844"/>
        <v>4.2364740584885652E-2</v>
      </c>
      <c r="AD633">
        <v>574</v>
      </c>
      <c r="AE633" t="str">
        <f>IF(AND(ISNUMBER(SEARCH(O633,4)),ISNUMBER(SEARCH('(4) FCH pathway assessment'!$B$16,AB633)),ISNUMBER(SEARCH('(4) FCH pathway assessment'!$B$10,AA633))),AD633,"")</f>
        <v/>
      </c>
      <c r="AF633" t="str">
        <f t="shared" si="1633"/>
        <v/>
      </c>
      <c r="AG633" t="str">
        <f>VLOOKUP(C633,Assumptions!$B$116:$C$162,2,FALSE)</f>
        <v>NG_SR_SML_C</v>
      </c>
      <c r="AH633" t="str">
        <f>VLOOKUP(D633,Assumptions!$B$116:$C$162,2,FALSE)</f>
        <v>C_GAS_STRG</v>
      </c>
      <c r="AI633" t="str">
        <f>VLOOKUP(E633,Assumptions!$B$116:$C$162,2,FALSE)</f>
        <v>ONSITE_USE</v>
      </c>
      <c r="AJ633" t="str">
        <f>VLOOKUP(F633,Assumptions!$B$116:$C$162,2,FALSE)</f>
        <v>H2_IND_BOIL_HEAT</v>
      </c>
    </row>
    <row r="634" spans="2:36" x14ac:dyDescent="0.25">
      <c r="B634" t="s">
        <v>127</v>
      </c>
      <c r="C634" t="s">
        <v>59</v>
      </c>
      <c r="D634" s="60" t="s">
        <v>130</v>
      </c>
      <c r="E634" t="s">
        <v>66</v>
      </c>
      <c r="F634" t="s">
        <v>570</v>
      </c>
      <c r="G634" t="s">
        <v>120</v>
      </c>
      <c r="H634" t="s">
        <v>432</v>
      </c>
      <c r="I634" t="s">
        <v>32</v>
      </c>
      <c r="J634" t="s">
        <v>72</v>
      </c>
      <c r="K634">
        <f t="shared" si="1832"/>
        <v>1</v>
      </c>
      <c r="L634">
        <f t="shared" si="1833"/>
        <v>1</v>
      </c>
      <c r="M634">
        <f t="shared" si="1834"/>
        <v>1</v>
      </c>
      <c r="N634">
        <f t="shared" si="1835"/>
        <v>1</v>
      </c>
      <c r="O634">
        <f t="shared" si="1836"/>
        <v>4</v>
      </c>
      <c r="P634" t="str">
        <f t="shared" si="1837"/>
        <v>Medium decentralized natural gas steam reforming-Levelized cost</v>
      </c>
      <c r="Q634" t="str">
        <f t="shared" si="1838"/>
        <v>Distributed gas storage-Levelized cost</v>
      </c>
      <c r="R634" t="str">
        <f t="shared" si="1839"/>
        <v>Onsite-Levelized cost</v>
      </c>
      <c r="S634" t="str">
        <f t="shared" si="1840"/>
        <v>Industrial H2 boiler-Levelized cost</v>
      </c>
      <c r="T634">
        <f ca="1">IF(timePeriod="2020-30",(VLOOKUP($P634,'TA database'!$I$8:$J$79,2,FALSE)/VLOOKUP($D634,'Merit calculation'!$B$48:$I$52,5,FALSE)/VLOOKUP($E634,'Merit calculation'!$B$67:$I$73,5,FALSE)/VLOOKUP($F634,'Merit calculation'!$B$90:$I$103,5,FALSE)/energyContentH2),(VLOOKUP($P634,'TA database'!$I$8:$J$79,2,FALSE)/VLOOKUP($D634,'Merit calculation'!$B$48:$I$52,7,FALSE)/VLOOKUP($E634,'Merit calculation'!$B$67:$I$73,7,FALSE)/VLOOKUP($F634,'Merit calculation'!$B$90:$I$103,7,FALSE)/energyContentH2))</f>
        <v>4.4122153188340604E-2</v>
      </c>
      <c r="U634">
        <f ca="1">IF(timePeriod="2020-30",(VLOOKUP($Q634,'TA database'!$I$86:$J$105,2,FALSE)/VLOOKUP($E634,'Merit calculation'!$B$67:$I$73,5,FALSE)/VLOOKUP($F634,'Merit calculation'!$B$90:$I$104,5,FALSE)/energyContentH2),VLOOKUP($Q634,'TA database'!$I$86:$J$105,2,FALSE)/VLOOKUP($E634,'Merit calculation'!$B$67:$I$73,7,FALSE)/VLOOKUP($F634,'Merit calculation'!$B$90:$I$104,7,FALSE)/energyContentH2)</f>
        <v>1.0320339662267212E-3</v>
      </c>
      <c r="V634">
        <f ca="1">IF(timePeriod="2020-30",(VLOOKUP($R634,'TA database'!$I$112:$J$139,2,FALSE)/VLOOKUP($F634,'Merit calculation'!$B$90:$I$104,5,FALSE)/energyContentH2),(VLOOKUP($R634,'TA database'!$I$112:$J$139,2,FALSE)/VLOOKUP($F634,'Merit calculation'!$B$90:$I$104,7,FALSE)/energyContentH2))</f>
        <v>0</v>
      </c>
      <c r="W634">
        <f ca="1">IFERROR(VLOOKUP($S634,'TA database'!$I$146:$J$193,2,FALSE),0)</f>
        <v>3.3668409136299347E-4</v>
      </c>
      <c r="X634">
        <f>IFERROR(VLOOKUP($S634,'TA database'!$I$200:$J$271,2,FALSE),0)</f>
        <v>0</v>
      </c>
      <c r="Y634">
        <f t="shared" ref="Y634:Y635" ca="1" si="1845">IF($W634=0,T634*3.6+U634*3.6+V634*3.6+X634,T634+U634+V634+W634)</f>
        <v>4.5490871245930313E-2</v>
      </c>
      <c r="Z634" t="str">
        <f t="shared" si="1841"/>
        <v>NG_SR_MED_D   →   D_GAS_STRG   →   ONSITE_USE   →   H2_IND_BOIL_HEAT</v>
      </c>
      <c r="AA634" t="str">
        <f t="shared" si="1842"/>
        <v>Industrial heat</v>
      </c>
      <c r="AB634" t="str">
        <f t="shared" si="1843"/>
        <v>Levelized cost</v>
      </c>
      <c r="AC634">
        <f t="shared" ca="1" si="1844"/>
        <v>4.5490871245930313E-2</v>
      </c>
      <c r="AD634">
        <v>575</v>
      </c>
      <c r="AE634" t="str">
        <f>IF(AND(ISNUMBER(SEARCH(O634,4)),ISNUMBER(SEARCH('(4) FCH pathway assessment'!$B$16,AB634)),ISNUMBER(SEARCH('(4) FCH pathway assessment'!$B$10,AA634))),AD634,"")</f>
        <v/>
      </c>
      <c r="AF634" t="str">
        <f t="shared" si="1633"/>
        <v/>
      </c>
      <c r="AG634" t="str">
        <f>VLOOKUP(C634,Assumptions!$B$116:$C$162,2,FALSE)</f>
        <v>NG_SR_MED_D</v>
      </c>
      <c r="AH634" t="str">
        <f>VLOOKUP(D634,Assumptions!$B$116:$C$162,2,FALSE)</f>
        <v>D_GAS_STRG</v>
      </c>
      <c r="AI634" t="str">
        <f>VLOOKUP(E634,Assumptions!$B$116:$C$162,2,FALSE)</f>
        <v>ONSITE_USE</v>
      </c>
      <c r="AJ634" t="str">
        <f>VLOOKUP(F634,Assumptions!$B$116:$C$162,2,FALSE)</f>
        <v>H2_IND_BOIL_HEAT</v>
      </c>
    </row>
    <row r="635" spans="2:36" x14ac:dyDescent="0.25">
      <c r="B635" t="s">
        <v>127</v>
      </c>
      <c r="C635" t="s">
        <v>60</v>
      </c>
      <c r="D635" s="60" t="s">
        <v>130</v>
      </c>
      <c r="E635" t="s">
        <v>66</v>
      </c>
      <c r="F635" t="s">
        <v>570</v>
      </c>
      <c r="G635" t="s">
        <v>120</v>
      </c>
      <c r="H635" t="s">
        <v>432</v>
      </c>
      <c r="I635" t="s">
        <v>32</v>
      </c>
      <c r="J635" t="s">
        <v>72</v>
      </c>
      <c r="K635">
        <f t="shared" ref="K635" si="1846">SUMPRODUCT(($C$7:$C$18=$C635)*($D$6:$H$6=$D635)*($D$7:$H$18))</f>
        <v>1</v>
      </c>
      <c r="L635">
        <f t="shared" ref="L635" si="1847">SUMPRODUCT(($C$19:$C$23=$D635)*($I$6:$O$6=$E635)*($I$19:$O$23))</f>
        <v>1</v>
      </c>
      <c r="M635">
        <f t="shared" ref="M635" si="1848">SUMPRODUCT(($C$24:$C$30=$E635)*($P$6:$AI$6=$F635)*($P$24:$AI$30))</f>
        <v>1</v>
      </c>
      <c r="N635">
        <f t="shared" ref="N635" si="1849">SUMPRODUCT(($C$31:$C$50=$F635)*($AJ$6:$AM$6=$G635)*($AJ$31:$AM$50))</f>
        <v>1</v>
      </c>
      <c r="O635">
        <f t="shared" ref="O635" si="1850">K635+L635+M635+N635</f>
        <v>4</v>
      </c>
      <c r="P635" t="str">
        <f t="shared" ref="P635" si="1851">CONCATENATE(C635,"-",J635)</f>
        <v>Small decentralized natural gas steam reforming-Levelized cost</v>
      </c>
      <c r="Q635" t="str">
        <f t="shared" ref="Q635" si="1852">CONCATENATE(D635,"-",J635)</f>
        <v>Distributed gas storage-Levelized cost</v>
      </c>
      <c r="R635" t="str">
        <f t="shared" ref="R635" si="1853">CONCATENATE(E635,"-",J635)</f>
        <v>Onsite-Levelized cost</v>
      </c>
      <c r="S635" t="str">
        <f t="shared" ref="S635" si="1854">CONCATENATE(F635,"-",J635)</f>
        <v>Industrial H2 boiler-Levelized cost</v>
      </c>
      <c r="T635">
        <f ca="1">IF(timePeriod="2020-30",(VLOOKUP($P635,'TA database'!$I$8:$J$79,2,FALSE)/VLOOKUP($D635,'Merit calculation'!$B$48:$I$52,5,FALSE)/VLOOKUP($E635,'Merit calculation'!$B$67:$I$73,5,FALSE)/VLOOKUP($F635,'Merit calculation'!$B$90:$I$103,5,FALSE)/energyContentH2),(VLOOKUP($P635,'TA database'!$I$8:$J$79,2,FALSE)/VLOOKUP($D635,'Merit calculation'!$B$48:$I$52,7,FALSE)/VLOOKUP($E635,'Merit calculation'!$B$67:$I$73,7,FALSE)/VLOOKUP($F635,'Merit calculation'!$B$90:$I$103,7,FALSE)/energyContentH2))</f>
        <v>4.678938754790074E-2</v>
      </c>
      <c r="U635">
        <f ca="1">IF(timePeriod="2020-30",(VLOOKUP($Q635,'TA database'!$I$86:$J$105,2,FALSE)/VLOOKUP($E635,'Merit calculation'!$B$67:$I$73,5,FALSE)/VLOOKUP($F635,'Merit calculation'!$B$90:$I$104,5,FALSE)/energyContentH2),VLOOKUP($Q635,'TA database'!$I$86:$J$105,2,FALSE)/VLOOKUP($E635,'Merit calculation'!$B$67:$I$73,7,FALSE)/VLOOKUP($F635,'Merit calculation'!$B$90:$I$104,7,FALSE)/energyContentH2)</f>
        <v>1.0320339662267212E-3</v>
      </c>
      <c r="V635">
        <f ca="1">IF(timePeriod="2020-30",(VLOOKUP($R635,'TA database'!$I$112:$J$139,2,FALSE)/VLOOKUP($F635,'Merit calculation'!$B$90:$I$104,5,FALSE)/energyContentH2),(VLOOKUP($R635,'TA database'!$I$112:$J$139,2,FALSE)/VLOOKUP($F635,'Merit calculation'!$B$90:$I$104,7,FALSE)/energyContentH2))</f>
        <v>0</v>
      </c>
      <c r="W635">
        <f ca="1">IFERROR(VLOOKUP($S635,'TA database'!$I$146:$J$193,2,FALSE),0)</f>
        <v>3.3668409136299347E-4</v>
      </c>
      <c r="X635">
        <f>IFERROR(VLOOKUP($S635,'TA database'!$I$200:$J$271,2,FALSE),0)</f>
        <v>0</v>
      </c>
      <c r="Y635">
        <f t="shared" ca="1" si="1845"/>
        <v>4.8158105605490449E-2</v>
      </c>
      <c r="Z635" t="str">
        <f t="shared" ref="Z635" si="1855">CONCATENATE(AG635,"   →   ",AH635,"   →   ",AI635,"   →   ",AJ635)</f>
        <v>NG_SR_SML_D   →   D_GAS_STRG   →   ONSITE_USE   →   H2_IND_BOIL_HEAT</v>
      </c>
      <c r="AA635" t="str">
        <f t="shared" ref="AA635" si="1856">G635</f>
        <v>Industrial heat</v>
      </c>
      <c r="AB635" t="str">
        <f t="shared" ref="AB635" si="1857">J635</f>
        <v>Levelized cost</v>
      </c>
      <c r="AC635">
        <f t="shared" ref="AC635" ca="1" si="1858">Y635</f>
        <v>4.8158105605490449E-2</v>
      </c>
      <c r="AD635">
        <v>576</v>
      </c>
      <c r="AE635" t="str">
        <f>IF(AND(ISNUMBER(SEARCH(O635,4)),ISNUMBER(SEARCH('(4) FCH pathway assessment'!$B$16,AB635)),ISNUMBER(SEARCH('(4) FCH pathway assessment'!$B$10,AA635))),AD635,"")</f>
        <v/>
      </c>
      <c r="AF635" t="str">
        <f t="shared" si="1633"/>
        <v/>
      </c>
      <c r="AG635" t="str">
        <f>VLOOKUP(C635,Assumptions!$B$116:$C$162,2,FALSE)</f>
        <v>NG_SR_SML_D</v>
      </c>
      <c r="AH635" t="str">
        <f>VLOOKUP(D635,Assumptions!$B$116:$C$162,2,FALSE)</f>
        <v>D_GAS_STRG</v>
      </c>
      <c r="AI635" t="str">
        <f>VLOOKUP(E635,Assumptions!$B$116:$C$162,2,FALSE)</f>
        <v>ONSITE_USE</v>
      </c>
      <c r="AJ635" t="str">
        <f>VLOOKUP(F635,Assumptions!$B$116:$C$162,2,FALSE)</f>
        <v>H2_IND_BOIL_HEAT</v>
      </c>
    </row>
    <row r="636" spans="2:36" x14ac:dyDescent="0.25">
      <c r="B636" t="s">
        <v>117</v>
      </c>
      <c r="C636" t="s">
        <v>53</v>
      </c>
      <c r="D636" t="s">
        <v>155</v>
      </c>
      <c r="E636" t="s">
        <v>157</v>
      </c>
      <c r="F636" t="s">
        <v>549</v>
      </c>
      <c r="G636" t="s">
        <v>114</v>
      </c>
      <c r="H636" t="s">
        <v>433</v>
      </c>
      <c r="I636" t="s">
        <v>32</v>
      </c>
      <c r="J636" t="s">
        <v>72</v>
      </c>
      <c r="K636">
        <f t="shared" ref="K636:K643" si="1859">SUMPRODUCT(($C$7:$C$18=$C636)*($D$6:$H$6=$D636)*($D$7:$H$18))</f>
        <v>0</v>
      </c>
      <c r="L636">
        <f t="shared" ref="L636:L643" si="1860">SUMPRODUCT(($C$19:$C$23=$D636)*($I$6:$O$6=$E636)*($I$19:$O$23))</f>
        <v>1</v>
      </c>
      <c r="M636">
        <f t="shared" ref="M636:M643" si="1861">SUMPRODUCT(($C$24:$C$30=$E636)*($P$6:$AI$6=$F636)*($P$24:$AI$30))</f>
        <v>0</v>
      </c>
      <c r="N636">
        <f t="shared" ref="N636:N643" si="1862">SUMPRODUCT(($C$31:$C$50=$F636)*($AJ$6:$AM$6=$G636)*($AJ$31:$AM$50))</f>
        <v>0</v>
      </c>
      <c r="O636">
        <f t="shared" ref="O636:O643" si="1863">K636+L636+M636+N636</f>
        <v>1</v>
      </c>
      <c r="P636" t="str">
        <f t="shared" ref="P636:P643" si="1864">CONCATENATE(C636,"-",J636)</f>
        <v>Medium centralized biomass gasification-Levelized cost</v>
      </c>
      <c r="Q636" t="str">
        <f t="shared" ref="Q636:Q643" si="1865">CONCATENATE(D636,"-",J636)</f>
        <v>Central gas storage-Levelized cost</v>
      </c>
      <c r="R636" t="str">
        <f t="shared" ref="R636:R643" si="1866">CONCATENATE(E636,"-",J636)</f>
        <v>Blending in natural gas pipeline-Levelized cost</v>
      </c>
      <c r="S636" t="str">
        <f t="shared" ref="S636:S643" si="1867">CONCATENATE(F636,"-",J636)</f>
        <v>District-CHP with H2 fuel cell (power)-Levelized cost</v>
      </c>
      <c r="T636">
        <f ca="1">IF(timePeriod="2020-30",(VLOOKUP($P636,'TA database'!$I$8:$J$79,2,FALSE)/VLOOKUP($D636,'Merit calculation'!$B$48:$I$52,5,FALSE)/VLOOKUP($E636,'Merit calculation'!$B$67:$I$73,5,FALSE)/VLOOKUP($F636,'Merit calculation'!$B$90:$I$103,5,FALSE)/energyContentH2),(VLOOKUP($P636,'TA database'!$I$8:$J$79,2,FALSE)/VLOOKUP($D636,'Merit calculation'!$B$48:$I$52,7,FALSE)/VLOOKUP($E636,'Merit calculation'!$B$67:$I$73,7,FALSE)/VLOOKUP($F636,'Merit calculation'!$B$90:$I$103,7,FALSE)/energyContentH2))</f>
        <v>1.4037142818259015E-2</v>
      </c>
      <c r="U636">
        <f ca="1">IF(timePeriod="2020-30",(VLOOKUP($Q636,'TA database'!$I$86:$J$105,2,FALSE)/VLOOKUP($E636,'Merit calculation'!$B$67:$I$73,5,FALSE)/VLOOKUP($F636,'Merit calculation'!$B$90:$I$104,5,FALSE)/energyContentH2),VLOOKUP($Q636,'TA database'!$I$86:$J$105,2,FALSE)/VLOOKUP($E636,'Merit calculation'!$B$67:$I$73,7,FALSE)/VLOOKUP($F636,'Merit calculation'!$B$90:$I$104,7,FALSE)/energyContentH2)</f>
        <v>6.9440084450063454E-4</v>
      </c>
      <c r="V636">
        <f ca="1">IF(timePeriod="2020-30",(VLOOKUP($R636,'TA database'!$I$112:$J$139,2,FALSE)/VLOOKUP($F636,'Merit calculation'!$B$90:$I$104,5,FALSE)/energyContentH2),(VLOOKUP($R636,'TA database'!$I$112:$J$139,2,FALSE)/VLOOKUP($F636,'Merit calculation'!$B$90:$I$104,7,FALSE)/energyContentH2))</f>
        <v>1.9900144905361811E-3</v>
      </c>
      <c r="W636">
        <f>IFERROR(VLOOKUP($S636,'TA database'!$I$146:$J$193,2,FALSE),0)</f>
        <v>0</v>
      </c>
      <c r="X636">
        <f ca="1">IFERROR(VLOOKUP($S636,'TA database'!$I$200:$J$271,2,FALSE),0)</f>
        <v>6.4083910818335019E-2</v>
      </c>
      <c r="Y636">
        <f t="shared" ref="Y636:Y639" ca="1" si="1868">IF($W636=0,T636*3.6+U636*3.6+V636*3.6+X636,T636+U636+V636+W636)</f>
        <v>0.12428152017020001</v>
      </c>
      <c r="Z636" t="str">
        <f t="shared" ref="Z636:Z643" si="1869">CONCATENATE(AG636,"   →   ",AH636,"   →   ",AI636,"   →   ",AJ636)</f>
        <v>BIO_GSF_MED_C   →   C_GAS_STRG   →   H2_BLND_NG_P   →   H2_FC_DCHP_PWR</v>
      </c>
      <c r="AA636" t="str">
        <f t="shared" ref="AA636:AA643" si="1870">G636</f>
        <v>Grid electricity</v>
      </c>
      <c r="AB636" t="str">
        <f t="shared" ref="AB636:AB643" si="1871">J636</f>
        <v>Levelized cost</v>
      </c>
      <c r="AC636">
        <f t="shared" ref="AC636:AC643" ca="1" si="1872">Y636</f>
        <v>0.12428152017020001</v>
      </c>
      <c r="AD636">
        <v>577</v>
      </c>
      <c r="AE636" t="str">
        <f>IF(AND(ISNUMBER(SEARCH(O636,4)),ISNUMBER(SEARCH('(4) FCH pathway assessment'!$B$16,AB636)),ISNUMBER(SEARCH('(4) FCH pathway assessment'!$B$10,AA636))),AD636,"")</f>
        <v/>
      </c>
      <c r="AF636" t="str">
        <f t="shared" ref="AF636:AF699" si="1873">IFERROR(SMALL($AE$60:$AE$1991,AD636),"")</f>
        <v/>
      </c>
      <c r="AG636" t="str">
        <f>VLOOKUP(C636,Assumptions!$B$116:$C$162,2,FALSE)</f>
        <v>BIO_GSF_MED_C</v>
      </c>
      <c r="AH636" t="str">
        <f>VLOOKUP(D636,Assumptions!$B$116:$C$162,2,FALSE)</f>
        <v>C_GAS_STRG</v>
      </c>
      <c r="AI636" t="str">
        <f>VLOOKUP(E636,Assumptions!$B$116:$C$162,2,FALSE)</f>
        <v>H2_BLND_NG_P</v>
      </c>
      <c r="AJ636" t="str">
        <f>VLOOKUP(F636,Assumptions!$B$116:$C$162,2,FALSE)</f>
        <v>H2_FC_DCHP_PWR</v>
      </c>
    </row>
    <row r="637" spans="2:36" x14ac:dyDescent="0.25">
      <c r="B637" t="s">
        <v>117</v>
      </c>
      <c r="C637" t="s">
        <v>53</v>
      </c>
      <c r="D637" t="s">
        <v>155</v>
      </c>
      <c r="E637" t="s">
        <v>122</v>
      </c>
      <c r="F637" t="s">
        <v>549</v>
      </c>
      <c r="G637" t="s">
        <v>114</v>
      </c>
      <c r="H637" t="s">
        <v>433</v>
      </c>
      <c r="I637" t="s">
        <v>32</v>
      </c>
      <c r="J637" t="s">
        <v>72</v>
      </c>
      <c r="K637">
        <f t="shared" si="1859"/>
        <v>0</v>
      </c>
      <c r="L637">
        <f t="shared" si="1860"/>
        <v>1</v>
      </c>
      <c r="M637">
        <f t="shared" si="1861"/>
        <v>1</v>
      </c>
      <c r="N637">
        <f t="shared" si="1862"/>
        <v>0</v>
      </c>
      <c r="O637">
        <f t="shared" si="1863"/>
        <v>2</v>
      </c>
      <c r="P637" t="str">
        <f t="shared" si="1864"/>
        <v>Medium centralized biomass gasification-Levelized cost</v>
      </c>
      <c r="Q637" t="str">
        <f t="shared" si="1865"/>
        <v>Central gas storage-Levelized cost</v>
      </c>
      <c r="R637" t="str">
        <f t="shared" si="1866"/>
        <v>Hydrogen transmission &amp; distribution pipeline-Levelized cost</v>
      </c>
      <c r="S637" t="str">
        <f t="shared" si="1867"/>
        <v>District-CHP with H2 fuel cell (power)-Levelized cost</v>
      </c>
      <c r="T637">
        <f ca="1">IF(timePeriod="2020-30",(VLOOKUP($P637,'TA database'!$I$8:$J$79,2,FALSE)/VLOOKUP($D637,'Merit calculation'!$B$48:$I$52,5,FALSE)/VLOOKUP($E637,'Merit calculation'!$B$67:$I$73,5,FALSE)/VLOOKUP($F637,'Merit calculation'!$B$90:$I$103,5,FALSE)/energyContentH2),(VLOOKUP($P637,'TA database'!$I$8:$J$79,2,FALSE)/VLOOKUP($D637,'Merit calculation'!$B$48:$I$52,7,FALSE)/VLOOKUP($E637,'Merit calculation'!$B$67:$I$73,7,FALSE)/VLOOKUP($F637,'Merit calculation'!$B$90:$I$103,7,FALSE)/energyContentH2))</f>
        <v>1.4037142818259015E-2</v>
      </c>
      <c r="U637">
        <f ca="1">IF(timePeriod="2020-30",(VLOOKUP($Q637,'TA database'!$I$86:$J$105,2,FALSE)/VLOOKUP($E637,'Merit calculation'!$B$67:$I$73,5,FALSE)/VLOOKUP($F637,'Merit calculation'!$B$90:$I$104,5,FALSE)/energyContentH2),VLOOKUP($Q637,'TA database'!$I$86:$J$105,2,FALSE)/VLOOKUP($E637,'Merit calculation'!$B$67:$I$73,7,FALSE)/VLOOKUP($F637,'Merit calculation'!$B$90:$I$104,7,FALSE)/energyContentH2)</f>
        <v>6.9440084450063454E-4</v>
      </c>
      <c r="V637">
        <f ca="1">IF(timePeriod="2020-30",(VLOOKUP($R637,'TA database'!$I$112:$J$139,2,FALSE)/VLOOKUP($F637,'Merit calculation'!$B$90:$I$104,5,FALSE)/energyContentH2),(VLOOKUP($R637,'TA database'!$I$112:$J$139,2,FALSE)/VLOOKUP($F637,'Merit calculation'!$B$90:$I$104,7,FALSE)/energyContentH2))</f>
        <v>3.7025224863029226E-3</v>
      </c>
      <c r="W637">
        <f>IFERROR(VLOOKUP($S637,'TA database'!$I$146:$J$193,2,FALSE),0)</f>
        <v>0</v>
      </c>
      <c r="X637">
        <f ca="1">IFERROR(VLOOKUP($S637,'TA database'!$I$200:$J$271,2,FALSE),0)</f>
        <v>6.4083910818335019E-2</v>
      </c>
      <c r="Y637">
        <f t="shared" ca="1" si="1868"/>
        <v>0.13044654895496027</v>
      </c>
      <c r="Z637" t="str">
        <f t="shared" si="1869"/>
        <v>BIO_GSF_MED_C   →   C_GAS_STRG   →   H2_T&amp;D_P   →   H2_FC_DCHP_PWR</v>
      </c>
      <c r="AA637" t="str">
        <f t="shared" si="1870"/>
        <v>Grid electricity</v>
      </c>
      <c r="AB637" t="str">
        <f t="shared" si="1871"/>
        <v>Levelized cost</v>
      </c>
      <c r="AC637">
        <f t="shared" ca="1" si="1872"/>
        <v>0.13044654895496027</v>
      </c>
      <c r="AD637">
        <v>578</v>
      </c>
      <c r="AE637" t="str">
        <f>IF(AND(ISNUMBER(SEARCH(O637,4)),ISNUMBER(SEARCH('(4) FCH pathway assessment'!$B$16,AB637)),ISNUMBER(SEARCH('(4) FCH pathway assessment'!$B$10,AA637))),AD637,"")</f>
        <v/>
      </c>
      <c r="AF637" t="str">
        <f t="shared" si="1873"/>
        <v/>
      </c>
      <c r="AG637" t="str">
        <f>VLOOKUP(C637,Assumptions!$B$116:$C$162,2,FALSE)</f>
        <v>BIO_GSF_MED_C</v>
      </c>
      <c r="AH637" t="str">
        <f>VLOOKUP(D637,Assumptions!$B$116:$C$162,2,FALSE)</f>
        <v>C_GAS_STRG</v>
      </c>
      <c r="AI637" t="str">
        <f>VLOOKUP(E637,Assumptions!$B$116:$C$162,2,FALSE)</f>
        <v>H2_T&amp;D_P</v>
      </c>
      <c r="AJ637" t="str">
        <f>VLOOKUP(F637,Assumptions!$B$116:$C$162,2,FALSE)</f>
        <v>H2_FC_DCHP_PWR</v>
      </c>
    </row>
    <row r="638" spans="2:36" x14ac:dyDescent="0.25">
      <c r="B638" t="s">
        <v>117</v>
      </c>
      <c r="C638" t="s">
        <v>53</v>
      </c>
      <c r="D638" t="s">
        <v>155</v>
      </c>
      <c r="E638" t="s">
        <v>116</v>
      </c>
      <c r="F638" t="s">
        <v>549</v>
      </c>
      <c r="G638" t="s">
        <v>114</v>
      </c>
      <c r="H638" t="s">
        <v>433</v>
      </c>
      <c r="I638" t="s">
        <v>32</v>
      </c>
      <c r="J638" t="s">
        <v>72</v>
      </c>
      <c r="K638">
        <f t="shared" si="1859"/>
        <v>0</v>
      </c>
      <c r="L638">
        <f t="shared" si="1860"/>
        <v>1</v>
      </c>
      <c r="M638">
        <f t="shared" si="1861"/>
        <v>1</v>
      </c>
      <c r="N638">
        <f t="shared" si="1862"/>
        <v>0</v>
      </c>
      <c r="O638">
        <f t="shared" si="1863"/>
        <v>2</v>
      </c>
      <c r="P638" t="str">
        <f t="shared" si="1864"/>
        <v>Medium centralized biomass gasification-Levelized cost</v>
      </c>
      <c r="Q638" t="str">
        <f t="shared" si="1865"/>
        <v>Central gas storage-Levelized cost</v>
      </c>
      <c r="R638" t="str">
        <f t="shared" si="1866"/>
        <v>Liquid hydrogen truck-Levelized cost</v>
      </c>
      <c r="S638" t="str">
        <f t="shared" si="1867"/>
        <v>District-CHP with H2 fuel cell (power)-Levelized cost</v>
      </c>
      <c r="T638">
        <f ca="1">IF(timePeriod="2020-30",(VLOOKUP($P638,'TA database'!$I$8:$J$79,2,FALSE)/VLOOKUP($D638,'Merit calculation'!$B$48:$I$52,5,FALSE)/VLOOKUP($E638,'Merit calculation'!$B$67:$I$73,5,FALSE)/VLOOKUP($F638,'Merit calculation'!$B$90:$I$103,5,FALSE)/energyContentH2),(VLOOKUP($P638,'TA database'!$I$8:$J$79,2,FALSE)/VLOOKUP($D638,'Merit calculation'!$B$48:$I$52,7,FALSE)/VLOOKUP($E638,'Merit calculation'!$B$67:$I$73,7,FALSE)/VLOOKUP($F638,'Merit calculation'!$B$90:$I$103,7,FALSE)/energyContentH2))</f>
        <v>1.6215602555515081E-2</v>
      </c>
      <c r="U638">
        <f ca="1">IF(timePeriod="2020-30",(VLOOKUP($Q638,'TA database'!$I$86:$J$105,2,FALSE)/VLOOKUP($E638,'Merit calculation'!$B$67:$I$73,5,FALSE)/VLOOKUP($F638,'Merit calculation'!$B$90:$I$104,5,FALSE)/energyContentH2),VLOOKUP($Q638,'TA database'!$I$86:$J$105,2,FALSE)/VLOOKUP($E638,'Merit calculation'!$B$67:$I$73,7,FALSE)/VLOOKUP($F638,'Merit calculation'!$B$90:$I$104,7,FALSE)/energyContentH2)</f>
        <v>8.0216666984320693E-4</v>
      </c>
      <c r="V638">
        <f ca="1">IF(timePeriod="2020-30",(VLOOKUP($R638,'TA database'!$I$112:$J$139,2,FALSE)/VLOOKUP($F638,'Merit calculation'!$B$90:$I$104,5,FALSE)/energyContentH2),(VLOOKUP($R638,'TA database'!$I$112:$J$139,2,FALSE)/VLOOKUP($F638,'Merit calculation'!$B$90:$I$104,7,FALSE)/energyContentH2))</f>
        <v>2.4500662962100454E-2</v>
      </c>
      <c r="W638">
        <f>IFERROR(VLOOKUP($S638,'TA database'!$I$146:$J$193,2,FALSE),0)</f>
        <v>0</v>
      </c>
      <c r="X638">
        <f ca="1">IFERROR(VLOOKUP($S638,'TA database'!$I$200:$J$271,2,FALSE),0)</f>
        <v>6.4083910818335019E-2</v>
      </c>
      <c r="Y638">
        <f t="shared" ca="1" si="1868"/>
        <v>0.2135502666931865</v>
      </c>
      <c r="Z638" t="str">
        <f t="shared" si="1869"/>
        <v>BIO_GSF_MED_C   →   C_GAS_STRG   →   LQ_TRUCK   →   H2_FC_DCHP_PWR</v>
      </c>
      <c r="AA638" t="str">
        <f t="shared" si="1870"/>
        <v>Grid electricity</v>
      </c>
      <c r="AB638" t="str">
        <f t="shared" si="1871"/>
        <v>Levelized cost</v>
      </c>
      <c r="AC638">
        <f t="shared" ca="1" si="1872"/>
        <v>0.2135502666931865</v>
      </c>
      <c r="AD638">
        <v>579</v>
      </c>
      <c r="AE638" t="str">
        <f>IF(AND(ISNUMBER(SEARCH(O638,4)),ISNUMBER(SEARCH('(4) FCH pathway assessment'!$B$16,AB638)),ISNUMBER(SEARCH('(4) FCH pathway assessment'!$B$10,AA638))),AD638,"")</f>
        <v/>
      </c>
      <c r="AF638" t="str">
        <f t="shared" si="1873"/>
        <v/>
      </c>
      <c r="AG638" t="str">
        <f>VLOOKUP(C638,Assumptions!$B$116:$C$162,2,FALSE)</f>
        <v>BIO_GSF_MED_C</v>
      </c>
      <c r="AH638" t="str">
        <f>VLOOKUP(D638,Assumptions!$B$116:$C$162,2,FALSE)</f>
        <v>C_GAS_STRG</v>
      </c>
      <c r="AI638" t="str">
        <f>VLOOKUP(E638,Assumptions!$B$116:$C$162,2,FALSE)</f>
        <v>LQ_TRUCK</v>
      </c>
      <c r="AJ638" t="str">
        <f>VLOOKUP(F638,Assumptions!$B$116:$C$162,2,FALSE)</f>
        <v>H2_FC_DCHP_PWR</v>
      </c>
    </row>
    <row r="639" spans="2:36" x14ac:dyDescent="0.25">
      <c r="B639" t="s">
        <v>117</v>
      </c>
      <c r="C639" t="s">
        <v>53</v>
      </c>
      <c r="D639" t="s">
        <v>155</v>
      </c>
      <c r="E639" t="s">
        <v>66</v>
      </c>
      <c r="F639" t="s">
        <v>549</v>
      </c>
      <c r="G639" t="s">
        <v>114</v>
      </c>
      <c r="H639" t="s">
        <v>433</v>
      </c>
      <c r="I639" t="s">
        <v>32</v>
      </c>
      <c r="J639" t="s">
        <v>72</v>
      </c>
      <c r="K639">
        <f t="shared" si="1859"/>
        <v>0</v>
      </c>
      <c r="L639">
        <f t="shared" si="1860"/>
        <v>1</v>
      </c>
      <c r="M639">
        <f t="shared" si="1861"/>
        <v>1</v>
      </c>
      <c r="N639">
        <f t="shared" si="1862"/>
        <v>0</v>
      </c>
      <c r="O639">
        <f t="shared" si="1863"/>
        <v>2</v>
      </c>
      <c r="P639" t="str">
        <f t="shared" si="1864"/>
        <v>Medium centralized biomass gasification-Levelized cost</v>
      </c>
      <c r="Q639" t="str">
        <f t="shared" si="1865"/>
        <v>Central gas storage-Levelized cost</v>
      </c>
      <c r="R639" t="str">
        <f t="shared" si="1866"/>
        <v>Onsite-Levelized cost</v>
      </c>
      <c r="S639" t="str">
        <f t="shared" si="1867"/>
        <v>District-CHP with H2 fuel cell (power)-Levelized cost</v>
      </c>
      <c r="T639">
        <f ca="1">IF(timePeriod="2020-30",(VLOOKUP($P639,'TA database'!$I$8:$J$79,2,FALSE)/VLOOKUP($D639,'Merit calculation'!$B$48:$I$52,5,FALSE)/VLOOKUP($E639,'Merit calculation'!$B$67:$I$73,5,FALSE)/VLOOKUP($F639,'Merit calculation'!$B$90:$I$103,5,FALSE)/energyContentH2),(VLOOKUP($P639,'TA database'!$I$8:$J$79,2,FALSE)/VLOOKUP($D639,'Merit calculation'!$B$48:$I$52,7,FALSE)/VLOOKUP($E639,'Merit calculation'!$B$67:$I$73,7,FALSE)/VLOOKUP($F639,'Merit calculation'!$B$90:$I$103,7,FALSE)/energyContentH2))</f>
        <v>1.3896771390076423E-2</v>
      </c>
      <c r="U639">
        <f ca="1">IF(timePeriod="2020-30",(VLOOKUP($Q639,'TA database'!$I$86:$J$105,2,FALSE)/VLOOKUP($E639,'Merit calculation'!$B$67:$I$73,5,FALSE)/VLOOKUP($F639,'Merit calculation'!$B$90:$I$104,5,FALSE)/energyContentH2),VLOOKUP($Q639,'TA database'!$I$86:$J$105,2,FALSE)/VLOOKUP($E639,'Merit calculation'!$B$67:$I$73,7,FALSE)/VLOOKUP($F639,'Merit calculation'!$B$90:$I$104,7,FALSE)/energyContentH2)</f>
        <v>6.874568360556284E-4</v>
      </c>
      <c r="V639">
        <f ca="1">IF(timePeriod="2020-30",(VLOOKUP($R639,'TA database'!$I$112:$J$139,2,FALSE)/VLOOKUP($F639,'Merit calculation'!$B$90:$I$104,5,FALSE)/energyContentH2),(VLOOKUP($R639,'TA database'!$I$112:$J$139,2,FALSE)/VLOOKUP($F639,'Merit calculation'!$B$90:$I$104,7,FALSE)/energyContentH2))</f>
        <v>0</v>
      </c>
      <c r="W639">
        <f>IFERROR(VLOOKUP($S639,'TA database'!$I$146:$J$193,2,FALSE),0)</f>
        <v>0</v>
      </c>
      <c r="X639">
        <f ca="1">IFERROR(VLOOKUP($S639,'TA database'!$I$200:$J$271,2,FALSE),0)</f>
        <v>6.4083910818335019E-2</v>
      </c>
      <c r="Y639">
        <f t="shared" ca="1" si="1868"/>
        <v>0.1165871324324104</v>
      </c>
      <c r="Z639" t="str">
        <f t="shared" si="1869"/>
        <v>BIO_GSF_MED_C   →   C_GAS_STRG   →   ONSITE_USE   →   H2_FC_DCHP_PWR</v>
      </c>
      <c r="AA639" t="str">
        <f t="shared" si="1870"/>
        <v>Grid electricity</v>
      </c>
      <c r="AB639" t="str">
        <f t="shared" si="1871"/>
        <v>Levelized cost</v>
      </c>
      <c r="AC639">
        <f t="shared" ca="1" si="1872"/>
        <v>0.1165871324324104</v>
      </c>
      <c r="AD639">
        <v>580</v>
      </c>
      <c r="AE639" t="str">
        <f>IF(AND(ISNUMBER(SEARCH(O639,4)),ISNUMBER(SEARCH('(4) FCH pathway assessment'!$B$16,AB639)),ISNUMBER(SEARCH('(4) FCH pathway assessment'!$B$10,AA639))),AD639,"")</f>
        <v/>
      </c>
      <c r="AF639" t="str">
        <f t="shared" si="1873"/>
        <v/>
      </c>
      <c r="AG639" t="str">
        <f>VLOOKUP(C639,Assumptions!$B$116:$C$162,2,FALSE)</f>
        <v>BIO_GSF_MED_C</v>
      </c>
      <c r="AH639" t="str">
        <f>VLOOKUP(D639,Assumptions!$B$116:$C$162,2,FALSE)</f>
        <v>C_GAS_STRG</v>
      </c>
      <c r="AI639" t="str">
        <f>VLOOKUP(E639,Assumptions!$B$116:$C$162,2,FALSE)</f>
        <v>ONSITE_USE</v>
      </c>
      <c r="AJ639" t="str">
        <f>VLOOKUP(F639,Assumptions!$B$116:$C$162,2,FALSE)</f>
        <v>H2_FC_DCHP_PWR</v>
      </c>
    </row>
    <row r="640" spans="2:36" x14ac:dyDescent="0.25">
      <c r="B640" t="s">
        <v>117</v>
      </c>
      <c r="C640" t="s">
        <v>54</v>
      </c>
      <c r="D640" t="s">
        <v>155</v>
      </c>
      <c r="E640" t="s">
        <v>157</v>
      </c>
      <c r="F640" t="s">
        <v>549</v>
      </c>
      <c r="G640" t="s">
        <v>114</v>
      </c>
      <c r="H640" t="s">
        <v>433</v>
      </c>
      <c r="I640" t="s">
        <v>32</v>
      </c>
      <c r="J640" t="s">
        <v>72</v>
      </c>
      <c r="K640">
        <f t="shared" si="1859"/>
        <v>0</v>
      </c>
      <c r="L640">
        <f t="shared" si="1860"/>
        <v>1</v>
      </c>
      <c r="M640">
        <f t="shared" si="1861"/>
        <v>0</v>
      </c>
      <c r="N640">
        <f t="shared" si="1862"/>
        <v>0</v>
      </c>
      <c r="O640">
        <f t="shared" si="1863"/>
        <v>1</v>
      </c>
      <c r="P640" t="str">
        <f t="shared" si="1864"/>
        <v>Medium centralized biomass gasification w/ CCS-Levelized cost</v>
      </c>
      <c r="Q640" t="str">
        <f t="shared" si="1865"/>
        <v>Central gas storage-Levelized cost</v>
      </c>
      <c r="R640" t="str">
        <f t="shared" si="1866"/>
        <v>Blending in natural gas pipeline-Levelized cost</v>
      </c>
      <c r="S640" t="str">
        <f t="shared" si="1867"/>
        <v>District-CHP with H2 fuel cell (power)-Levelized cost</v>
      </c>
      <c r="T640">
        <f ca="1">IF(timePeriod="2020-30",(VLOOKUP($P640,'TA database'!$I$8:$J$79,2,FALSE)/VLOOKUP($D640,'Merit calculation'!$B$48:$I$52,5,FALSE)/VLOOKUP($E640,'Merit calculation'!$B$67:$I$73,5,FALSE)/VLOOKUP($F640,'Merit calculation'!$B$90:$I$103,5,FALSE)/energyContentH2),(VLOOKUP($P640,'TA database'!$I$8:$J$79,2,FALSE)/VLOOKUP($D640,'Merit calculation'!$B$48:$I$52,7,FALSE)/VLOOKUP($E640,'Merit calculation'!$B$67:$I$73,7,FALSE)/VLOOKUP($F640,'Merit calculation'!$B$90:$I$103,7,FALSE)/energyContentH2))</f>
        <v>8.7671440478947794E-3</v>
      </c>
      <c r="U640">
        <f ca="1">IF(timePeriod="2020-30",(VLOOKUP($Q640,'TA database'!$I$86:$J$105,2,FALSE)/VLOOKUP($E640,'Merit calculation'!$B$67:$I$73,5,FALSE)/VLOOKUP($F640,'Merit calculation'!$B$90:$I$104,5,FALSE)/energyContentH2),VLOOKUP($Q640,'TA database'!$I$86:$J$105,2,FALSE)/VLOOKUP($E640,'Merit calculation'!$B$67:$I$73,7,FALSE)/VLOOKUP($F640,'Merit calculation'!$B$90:$I$104,7,FALSE)/energyContentH2)</f>
        <v>6.9440084450063454E-4</v>
      </c>
      <c r="V640">
        <f ca="1">IF(timePeriod="2020-30",(VLOOKUP($R640,'TA database'!$I$112:$J$139,2,FALSE)/VLOOKUP($F640,'Merit calculation'!$B$90:$I$104,5,FALSE)/energyContentH2),(VLOOKUP($R640,'TA database'!$I$112:$J$139,2,FALSE)/VLOOKUP($F640,'Merit calculation'!$B$90:$I$104,7,FALSE)/energyContentH2))</f>
        <v>1.9900144905361811E-3</v>
      </c>
      <c r="W640">
        <f>IFERROR(VLOOKUP($S640,'TA database'!$I$146:$J$193,2,FALSE),0)</f>
        <v>0</v>
      </c>
      <c r="X640">
        <f ca="1">IFERROR(VLOOKUP($S640,'TA database'!$I$200:$J$271,2,FALSE),0)</f>
        <v>6.4083910818335019E-2</v>
      </c>
      <c r="Y640">
        <f t="shared" ref="Y640:Y644" ca="1" si="1874">IF($W640=0,T640*3.6+U640*3.6+V640*3.6+X640,T640+U640+V640+W640)</f>
        <v>0.10530952459688878</v>
      </c>
      <c r="Z640" t="str">
        <f t="shared" si="1869"/>
        <v>BIO_GSF_CCS_MED_C   →   C_GAS_STRG   →   H2_BLND_NG_P   →   H2_FC_DCHP_PWR</v>
      </c>
      <c r="AA640" t="str">
        <f t="shared" si="1870"/>
        <v>Grid electricity</v>
      </c>
      <c r="AB640" t="str">
        <f t="shared" si="1871"/>
        <v>Levelized cost</v>
      </c>
      <c r="AC640">
        <f t="shared" ca="1" si="1872"/>
        <v>0.10530952459688878</v>
      </c>
      <c r="AD640">
        <v>581</v>
      </c>
      <c r="AE640" t="str">
        <f>IF(AND(ISNUMBER(SEARCH(O640,4)),ISNUMBER(SEARCH('(4) FCH pathway assessment'!$B$16,AB640)),ISNUMBER(SEARCH('(4) FCH pathway assessment'!$B$10,AA640))),AD640,"")</f>
        <v/>
      </c>
      <c r="AF640" t="str">
        <f t="shared" si="1873"/>
        <v/>
      </c>
      <c r="AG640" t="str">
        <f>VLOOKUP(C640,Assumptions!$B$116:$C$162,2,FALSE)</f>
        <v>BIO_GSF_CCS_MED_C</v>
      </c>
      <c r="AH640" t="str">
        <f>VLOOKUP(D640,Assumptions!$B$116:$C$162,2,FALSE)</f>
        <v>C_GAS_STRG</v>
      </c>
      <c r="AI640" t="str">
        <f>VLOOKUP(E640,Assumptions!$B$116:$C$162,2,FALSE)</f>
        <v>H2_BLND_NG_P</v>
      </c>
      <c r="AJ640" t="str">
        <f>VLOOKUP(F640,Assumptions!$B$116:$C$162,2,FALSE)</f>
        <v>H2_FC_DCHP_PWR</v>
      </c>
    </row>
    <row r="641" spans="2:36" x14ac:dyDescent="0.25">
      <c r="B641" t="s">
        <v>117</v>
      </c>
      <c r="C641" t="s">
        <v>54</v>
      </c>
      <c r="D641" t="s">
        <v>155</v>
      </c>
      <c r="E641" t="s">
        <v>122</v>
      </c>
      <c r="F641" t="s">
        <v>549</v>
      </c>
      <c r="G641" t="s">
        <v>114</v>
      </c>
      <c r="H641" t="s">
        <v>433</v>
      </c>
      <c r="I641" t="s">
        <v>32</v>
      </c>
      <c r="J641" t="s">
        <v>72</v>
      </c>
      <c r="K641">
        <f t="shared" si="1859"/>
        <v>0</v>
      </c>
      <c r="L641">
        <f t="shared" si="1860"/>
        <v>1</v>
      </c>
      <c r="M641">
        <f t="shared" si="1861"/>
        <v>1</v>
      </c>
      <c r="N641">
        <f t="shared" si="1862"/>
        <v>0</v>
      </c>
      <c r="O641">
        <f t="shared" si="1863"/>
        <v>2</v>
      </c>
      <c r="P641" t="str">
        <f t="shared" si="1864"/>
        <v>Medium centralized biomass gasification w/ CCS-Levelized cost</v>
      </c>
      <c r="Q641" t="str">
        <f t="shared" si="1865"/>
        <v>Central gas storage-Levelized cost</v>
      </c>
      <c r="R641" t="str">
        <f t="shared" si="1866"/>
        <v>Hydrogen transmission &amp; distribution pipeline-Levelized cost</v>
      </c>
      <c r="S641" t="str">
        <f t="shared" si="1867"/>
        <v>District-CHP with H2 fuel cell (power)-Levelized cost</v>
      </c>
      <c r="T641">
        <f ca="1">IF(timePeriod="2020-30",(VLOOKUP($P641,'TA database'!$I$8:$J$79,2,FALSE)/VLOOKUP($D641,'Merit calculation'!$B$48:$I$52,5,FALSE)/VLOOKUP($E641,'Merit calculation'!$B$67:$I$73,5,FALSE)/VLOOKUP($F641,'Merit calculation'!$B$90:$I$103,5,FALSE)/energyContentH2),(VLOOKUP($P641,'TA database'!$I$8:$J$79,2,FALSE)/VLOOKUP($D641,'Merit calculation'!$B$48:$I$52,7,FALSE)/VLOOKUP($E641,'Merit calculation'!$B$67:$I$73,7,FALSE)/VLOOKUP($F641,'Merit calculation'!$B$90:$I$103,7,FALSE)/energyContentH2))</f>
        <v>8.7671440478947794E-3</v>
      </c>
      <c r="U641">
        <f ca="1">IF(timePeriod="2020-30",(VLOOKUP($Q641,'TA database'!$I$86:$J$105,2,FALSE)/VLOOKUP($E641,'Merit calculation'!$B$67:$I$73,5,FALSE)/VLOOKUP($F641,'Merit calculation'!$B$90:$I$104,5,FALSE)/energyContentH2),VLOOKUP($Q641,'TA database'!$I$86:$J$105,2,FALSE)/VLOOKUP($E641,'Merit calculation'!$B$67:$I$73,7,FALSE)/VLOOKUP($F641,'Merit calculation'!$B$90:$I$104,7,FALSE)/energyContentH2)</f>
        <v>6.9440084450063454E-4</v>
      </c>
      <c r="V641">
        <f ca="1">IF(timePeriod="2020-30",(VLOOKUP($R641,'TA database'!$I$112:$J$139,2,FALSE)/VLOOKUP($F641,'Merit calculation'!$B$90:$I$104,5,FALSE)/energyContentH2),(VLOOKUP($R641,'TA database'!$I$112:$J$139,2,FALSE)/VLOOKUP($F641,'Merit calculation'!$B$90:$I$104,7,FALSE)/energyContentH2))</f>
        <v>3.7025224863029226E-3</v>
      </c>
      <c r="W641">
        <f>IFERROR(VLOOKUP($S641,'TA database'!$I$146:$J$193,2,FALSE),0)</f>
        <v>0</v>
      </c>
      <c r="X641">
        <f ca="1">IFERROR(VLOOKUP($S641,'TA database'!$I$200:$J$271,2,FALSE),0)</f>
        <v>6.4083910818335019E-2</v>
      </c>
      <c r="Y641">
        <f t="shared" ca="1" si="1874"/>
        <v>0.11147455338164904</v>
      </c>
      <c r="Z641" t="str">
        <f t="shared" si="1869"/>
        <v>BIO_GSF_CCS_MED_C   →   C_GAS_STRG   →   H2_T&amp;D_P   →   H2_FC_DCHP_PWR</v>
      </c>
      <c r="AA641" t="str">
        <f t="shared" si="1870"/>
        <v>Grid electricity</v>
      </c>
      <c r="AB641" t="str">
        <f t="shared" si="1871"/>
        <v>Levelized cost</v>
      </c>
      <c r="AC641">
        <f t="shared" ca="1" si="1872"/>
        <v>0.11147455338164904</v>
      </c>
      <c r="AD641">
        <v>582</v>
      </c>
      <c r="AE641" t="str">
        <f>IF(AND(ISNUMBER(SEARCH(O641,4)),ISNUMBER(SEARCH('(4) FCH pathway assessment'!$B$16,AB641)),ISNUMBER(SEARCH('(4) FCH pathway assessment'!$B$10,AA641))),AD641,"")</f>
        <v/>
      </c>
      <c r="AF641" t="str">
        <f t="shared" si="1873"/>
        <v/>
      </c>
      <c r="AG641" t="str">
        <f>VLOOKUP(C641,Assumptions!$B$116:$C$162,2,FALSE)</f>
        <v>BIO_GSF_CCS_MED_C</v>
      </c>
      <c r="AH641" t="str">
        <f>VLOOKUP(D641,Assumptions!$B$116:$C$162,2,FALSE)</f>
        <v>C_GAS_STRG</v>
      </c>
      <c r="AI641" t="str">
        <f>VLOOKUP(E641,Assumptions!$B$116:$C$162,2,FALSE)</f>
        <v>H2_T&amp;D_P</v>
      </c>
      <c r="AJ641" t="str">
        <f>VLOOKUP(F641,Assumptions!$B$116:$C$162,2,FALSE)</f>
        <v>H2_FC_DCHP_PWR</v>
      </c>
    </row>
    <row r="642" spans="2:36" x14ac:dyDescent="0.25">
      <c r="B642" t="s">
        <v>117</v>
      </c>
      <c r="C642" t="s">
        <v>54</v>
      </c>
      <c r="D642" t="s">
        <v>155</v>
      </c>
      <c r="E642" t="s">
        <v>116</v>
      </c>
      <c r="F642" t="s">
        <v>549</v>
      </c>
      <c r="G642" t="s">
        <v>114</v>
      </c>
      <c r="H642" t="s">
        <v>433</v>
      </c>
      <c r="I642" t="s">
        <v>32</v>
      </c>
      <c r="J642" t="s">
        <v>72</v>
      </c>
      <c r="K642">
        <f t="shared" si="1859"/>
        <v>0</v>
      </c>
      <c r="L642">
        <f t="shared" si="1860"/>
        <v>1</v>
      </c>
      <c r="M642">
        <f t="shared" si="1861"/>
        <v>1</v>
      </c>
      <c r="N642">
        <f t="shared" si="1862"/>
        <v>0</v>
      </c>
      <c r="O642">
        <f t="shared" si="1863"/>
        <v>2</v>
      </c>
      <c r="P642" t="str">
        <f t="shared" si="1864"/>
        <v>Medium centralized biomass gasification w/ CCS-Levelized cost</v>
      </c>
      <c r="Q642" t="str">
        <f t="shared" si="1865"/>
        <v>Central gas storage-Levelized cost</v>
      </c>
      <c r="R642" t="str">
        <f t="shared" si="1866"/>
        <v>Liquid hydrogen truck-Levelized cost</v>
      </c>
      <c r="S642" t="str">
        <f t="shared" si="1867"/>
        <v>District-CHP with H2 fuel cell (power)-Levelized cost</v>
      </c>
      <c r="T642">
        <f ca="1">IF(timePeriod="2020-30",(VLOOKUP($P642,'TA database'!$I$8:$J$79,2,FALSE)/VLOOKUP($D642,'Merit calculation'!$B$48:$I$52,5,FALSE)/VLOOKUP($E642,'Merit calculation'!$B$67:$I$73,5,FALSE)/VLOOKUP($F642,'Merit calculation'!$B$90:$I$103,5,FALSE)/energyContentH2),(VLOOKUP($P642,'TA database'!$I$8:$J$79,2,FALSE)/VLOOKUP($D642,'Merit calculation'!$B$48:$I$52,7,FALSE)/VLOOKUP($E642,'Merit calculation'!$B$67:$I$73,7,FALSE)/VLOOKUP($F642,'Merit calculation'!$B$90:$I$103,7,FALSE)/energyContentH2))</f>
        <v>1.0127739331873782E-2</v>
      </c>
      <c r="U642">
        <f ca="1">IF(timePeriod="2020-30",(VLOOKUP($Q642,'TA database'!$I$86:$J$105,2,FALSE)/VLOOKUP($E642,'Merit calculation'!$B$67:$I$73,5,FALSE)/VLOOKUP($F642,'Merit calculation'!$B$90:$I$104,5,FALSE)/energyContentH2),VLOOKUP($Q642,'TA database'!$I$86:$J$105,2,FALSE)/VLOOKUP($E642,'Merit calculation'!$B$67:$I$73,7,FALSE)/VLOOKUP($F642,'Merit calculation'!$B$90:$I$104,7,FALSE)/energyContentH2)</f>
        <v>8.0216666984320693E-4</v>
      </c>
      <c r="V642">
        <f ca="1">IF(timePeriod="2020-30",(VLOOKUP($R642,'TA database'!$I$112:$J$139,2,FALSE)/VLOOKUP($F642,'Merit calculation'!$B$90:$I$104,5,FALSE)/energyContentH2),(VLOOKUP($R642,'TA database'!$I$112:$J$139,2,FALSE)/VLOOKUP($F642,'Merit calculation'!$B$90:$I$104,7,FALSE)/energyContentH2))</f>
        <v>2.4500662962100454E-2</v>
      </c>
      <c r="W642">
        <f>IFERROR(VLOOKUP($S642,'TA database'!$I$146:$J$193,2,FALSE),0)</f>
        <v>0</v>
      </c>
      <c r="X642">
        <f ca="1">IFERROR(VLOOKUP($S642,'TA database'!$I$200:$J$271,2,FALSE),0)</f>
        <v>6.4083910818335019E-2</v>
      </c>
      <c r="Y642">
        <f t="shared" ca="1" si="1874"/>
        <v>0.19163395908807784</v>
      </c>
      <c r="Z642" t="str">
        <f t="shared" si="1869"/>
        <v>BIO_GSF_CCS_MED_C   →   C_GAS_STRG   →   LQ_TRUCK   →   H2_FC_DCHP_PWR</v>
      </c>
      <c r="AA642" t="str">
        <f t="shared" si="1870"/>
        <v>Grid electricity</v>
      </c>
      <c r="AB642" t="str">
        <f t="shared" si="1871"/>
        <v>Levelized cost</v>
      </c>
      <c r="AC642">
        <f t="shared" ca="1" si="1872"/>
        <v>0.19163395908807784</v>
      </c>
      <c r="AD642">
        <v>583</v>
      </c>
      <c r="AE642" t="str">
        <f>IF(AND(ISNUMBER(SEARCH(O642,4)),ISNUMBER(SEARCH('(4) FCH pathway assessment'!$B$16,AB642)),ISNUMBER(SEARCH('(4) FCH pathway assessment'!$B$10,AA642))),AD642,"")</f>
        <v/>
      </c>
      <c r="AF642" t="str">
        <f t="shared" si="1873"/>
        <v/>
      </c>
      <c r="AG642" t="str">
        <f>VLOOKUP(C642,Assumptions!$B$116:$C$162,2,FALSE)</f>
        <v>BIO_GSF_CCS_MED_C</v>
      </c>
      <c r="AH642" t="str">
        <f>VLOOKUP(D642,Assumptions!$B$116:$C$162,2,FALSE)</f>
        <v>C_GAS_STRG</v>
      </c>
      <c r="AI642" t="str">
        <f>VLOOKUP(E642,Assumptions!$B$116:$C$162,2,FALSE)</f>
        <v>LQ_TRUCK</v>
      </c>
      <c r="AJ642" t="str">
        <f>VLOOKUP(F642,Assumptions!$B$116:$C$162,2,FALSE)</f>
        <v>H2_FC_DCHP_PWR</v>
      </c>
    </row>
    <row r="643" spans="2:36" x14ac:dyDescent="0.25">
      <c r="B643" t="s">
        <v>117</v>
      </c>
      <c r="C643" t="s">
        <v>54</v>
      </c>
      <c r="D643" t="s">
        <v>155</v>
      </c>
      <c r="E643" t="s">
        <v>66</v>
      </c>
      <c r="F643" t="s">
        <v>549</v>
      </c>
      <c r="G643" t="s">
        <v>114</v>
      </c>
      <c r="H643" t="s">
        <v>433</v>
      </c>
      <c r="I643" t="s">
        <v>32</v>
      </c>
      <c r="J643" t="s">
        <v>72</v>
      </c>
      <c r="K643">
        <f t="shared" si="1859"/>
        <v>0</v>
      </c>
      <c r="L643">
        <f t="shared" si="1860"/>
        <v>1</v>
      </c>
      <c r="M643">
        <f t="shared" si="1861"/>
        <v>1</v>
      </c>
      <c r="N643">
        <f t="shared" si="1862"/>
        <v>0</v>
      </c>
      <c r="O643">
        <f t="shared" si="1863"/>
        <v>2</v>
      </c>
      <c r="P643" t="str">
        <f t="shared" si="1864"/>
        <v>Medium centralized biomass gasification w/ CCS-Levelized cost</v>
      </c>
      <c r="Q643" t="str">
        <f t="shared" si="1865"/>
        <v>Central gas storage-Levelized cost</v>
      </c>
      <c r="R643" t="str">
        <f t="shared" si="1866"/>
        <v>Onsite-Levelized cost</v>
      </c>
      <c r="S643" t="str">
        <f t="shared" si="1867"/>
        <v>District-CHP with H2 fuel cell (power)-Levelized cost</v>
      </c>
      <c r="T643">
        <f ca="1">IF(timePeriod="2020-30",(VLOOKUP($P643,'TA database'!$I$8:$J$79,2,FALSE)/VLOOKUP($D643,'Merit calculation'!$B$48:$I$52,5,FALSE)/VLOOKUP($E643,'Merit calculation'!$B$67:$I$73,5,FALSE)/VLOOKUP($F643,'Merit calculation'!$B$90:$I$103,5,FALSE)/energyContentH2),(VLOOKUP($P643,'TA database'!$I$8:$J$79,2,FALSE)/VLOOKUP($D643,'Merit calculation'!$B$48:$I$52,7,FALSE)/VLOOKUP($E643,'Merit calculation'!$B$67:$I$73,7,FALSE)/VLOOKUP($F643,'Merit calculation'!$B$90:$I$103,7,FALSE)/energyContentH2))</f>
        <v>8.6794726074158318E-3</v>
      </c>
      <c r="U643">
        <f ca="1">IF(timePeriod="2020-30",(VLOOKUP($Q643,'TA database'!$I$86:$J$105,2,FALSE)/VLOOKUP($E643,'Merit calculation'!$B$67:$I$73,5,FALSE)/VLOOKUP($F643,'Merit calculation'!$B$90:$I$104,5,FALSE)/energyContentH2),VLOOKUP($Q643,'TA database'!$I$86:$J$105,2,FALSE)/VLOOKUP($E643,'Merit calculation'!$B$67:$I$73,7,FALSE)/VLOOKUP($F643,'Merit calculation'!$B$90:$I$104,7,FALSE)/energyContentH2)</f>
        <v>6.874568360556284E-4</v>
      </c>
      <c r="V643">
        <f ca="1">IF(timePeriod="2020-30",(VLOOKUP($R643,'TA database'!$I$112:$J$139,2,FALSE)/VLOOKUP($F643,'Merit calculation'!$B$90:$I$104,5,FALSE)/energyContentH2),(VLOOKUP($R643,'TA database'!$I$112:$J$139,2,FALSE)/VLOOKUP($F643,'Merit calculation'!$B$90:$I$104,7,FALSE)/energyContentH2))</f>
        <v>0</v>
      </c>
      <c r="W643">
        <f>IFERROR(VLOOKUP($S643,'TA database'!$I$146:$J$193,2,FALSE),0)</f>
        <v>0</v>
      </c>
      <c r="X643">
        <f ca="1">IFERROR(VLOOKUP($S643,'TA database'!$I$200:$J$271,2,FALSE),0)</f>
        <v>6.4083910818335019E-2</v>
      </c>
      <c r="Y643">
        <f t="shared" ca="1" si="1874"/>
        <v>9.7804856814832281E-2</v>
      </c>
      <c r="Z643" t="str">
        <f t="shared" si="1869"/>
        <v>BIO_GSF_CCS_MED_C   →   C_GAS_STRG   →   ONSITE_USE   →   H2_FC_DCHP_PWR</v>
      </c>
      <c r="AA643" t="str">
        <f t="shared" si="1870"/>
        <v>Grid electricity</v>
      </c>
      <c r="AB643" t="str">
        <f t="shared" si="1871"/>
        <v>Levelized cost</v>
      </c>
      <c r="AC643">
        <f t="shared" ca="1" si="1872"/>
        <v>9.7804856814832281E-2</v>
      </c>
      <c r="AD643">
        <v>584</v>
      </c>
      <c r="AE643" t="str">
        <f>IF(AND(ISNUMBER(SEARCH(O643,4)),ISNUMBER(SEARCH('(4) FCH pathway assessment'!$B$16,AB643)),ISNUMBER(SEARCH('(4) FCH pathway assessment'!$B$10,AA643))),AD643,"")</f>
        <v/>
      </c>
      <c r="AF643" t="str">
        <f t="shared" si="1873"/>
        <v/>
      </c>
      <c r="AG643" t="str">
        <f>VLOOKUP(C643,Assumptions!$B$116:$C$162,2,FALSE)</f>
        <v>BIO_GSF_CCS_MED_C</v>
      </c>
      <c r="AH643" t="str">
        <f>VLOOKUP(D643,Assumptions!$B$116:$C$162,2,FALSE)</f>
        <v>C_GAS_STRG</v>
      </c>
      <c r="AI643" t="str">
        <f>VLOOKUP(E643,Assumptions!$B$116:$C$162,2,FALSE)</f>
        <v>ONSITE_USE</v>
      </c>
      <c r="AJ643" t="str">
        <f>VLOOKUP(F643,Assumptions!$B$116:$C$162,2,FALSE)</f>
        <v>H2_FC_DCHP_PWR</v>
      </c>
    </row>
    <row r="644" spans="2:36" x14ac:dyDescent="0.25">
      <c r="B644" t="s">
        <v>117</v>
      </c>
      <c r="C644" t="s">
        <v>55</v>
      </c>
      <c r="D644" s="60" t="s">
        <v>130</v>
      </c>
      <c r="E644" t="s">
        <v>66</v>
      </c>
      <c r="F644" t="s">
        <v>549</v>
      </c>
      <c r="G644" t="s">
        <v>114</v>
      </c>
      <c r="H644" t="s">
        <v>433</v>
      </c>
      <c r="I644" t="s">
        <v>32</v>
      </c>
      <c r="J644" t="s">
        <v>72</v>
      </c>
      <c r="K644">
        <f t="shared" ref="K644:K648" si="1875">SUMPRODUCT(($C$7:$C$18=$C644)*($D$6:$H$6=$D644)*($D$7:$H$18))</f>
        <v>0</v>
      </c>
      <c r="L644">
        <f t="shared" ref="L644:L648" si="1876">SUMPRODUCT(($C$19:$C$23=$D644)*($I$6:$O$6=$E644)*($I$19:$O$23))</f>
        <v>1</v>
      </c>
      <c r="M644">
        <f t="shared" ref="M644:M648" si="1877">SUMPRODUCT(($C$24:$C$30=$E644)*($P$6:$AI$6=$F644)*($P$24:$AI$30))</f>
        <v>1</v>
      </c>
      <c r="N644">
        <f t="shared" ref="N644:N648" si="1878">SUMPRODUCT(($C$31:$C$50=$F644)*($AJ$6:$AM$6=$G644)*($AJ$31:$AM$50))</f>
        <v>0</v>
      </c>
      <c r="O644">
        <f t="shared" ref="O644:O648" si="1879">K644+L644+M644+N644</f>
        <v>2</v>
      </c>
      <c r="P644" t="str">
        <f t="shared" ref="P644:P648" si="1880">CONCATENATE(C644,"-",J644)</f>
        <v>Small decentralized biomass gasification-Levelized cost</v>
      </c>
      <c r="Q644" t="str">
        <f t="shared" ref="Q644:Q648" si="1881">CONCATENATE(D644,"-",J644)</f>
        <v>Distributed gas storage-Levelized cost</v>
      </c>
      <c r="R644" t="str">
        <f t="shared" ref="R644:R648" si="1882">CONCATENATE(E644,"-",J644)</f>
        <v>Onsite-Levelized cost</v>
      </c>
      <c r="S644" t="str">
        <f t="shared" ref="S644:S648" si="1883">CONCATENATE(F644,"-",J644)</f>
        <v>District-CHP with H2 fuel cell (power)-Levelized cost</v>
      </c>
      <c r="T644">
        <f ca="1">IF(timePeriod="2020-30",(VLOOKUP($P644,'TA database'!$I$8:$J$79,2,FALSE)/VLOOKUP($D644,'Merit calculation'!$B$48:$I$52,5,FALSE)/VLOOKUP($E644,'Merit calculation'!$B$67:$I$73,5,FALSE)/VLOOKUP($F644,'Merit calculation'!$B$90:$I$103,5,FALSE)/energyContentH2),(VLOOKUP($P644,'TA database'!$I$8:$J$79,2,FALSE)/VLOOKUP($D644,'Merit calculation'!$B$48:$I$52,7,FALSE)/VLOOKUP($E644,'Merit calculation'!$B$67:$I$73,7,FALSE)/VLOOKUP($F644,'Merit calculation'!$B$90:$I$103,7,FALSE)/energyContentH2))</f>
        <v>2.2393041150492374E-2</v>
      </c>
      <c r="U644">
        <f ca="1">IF(timePeriod="2020-30",(VLOOKUP($Q644,'TA database'!$I$86:$J$105,2,FALSE)/VLOOKUP($E644,'Merit calculation'!$B$67:$I$73,5,FALSE)/VLOOKUP($F644,'Merit calculation'!$B$90:$I$104,5,FALSE)/energyContentH2),VLOOKUP($Q644,'TA database'!$I$86:$J$105,2,FALSE)/VLOOKUP($E644,'Merit calculation'!$B$67:$I$73,7,FALSE)/VLOOKUP($F644,'Merit calculation'!$B$90:$I$104,7,FALSE)/energyContentH2)</f>
        <v>1.2221454863211171E-3</v>
      </c>
      <c r="V644">
        <f ca="1">IF(timePeriod="2020-30",(VLOOKUP($R644,'TA database'!$I$112:$J$139,2,FALSE)/VLOOKUP($F644,'Merit calculation'!$B$90:$I$104,5,FALSE)/energyContentH2),(VLOOKUP($R644,'TA database'!$I$112:$J$139,2,FALSE)/VLOOKUP($F644,'Merit calculation'!$B$90:$I$104,7,FALSE)/energyContentH2))</f>
        <v>0</v>
      </c>
      <c r="W644">
        <f>IFERROR(VLOOKUP($S644,'TA database'!$I$146:$J$193,2,FALSE),0)</f>
        <v>0</v>
      </c>
      <c r="X644">
        <f ca="1">IFERROR(VLOOKUP($S644,'TA database'!$I$200:$J$271,2,FALSE),0)</f>
        <v>6.4083910818335019E-2</v>
      </c>
      <c r="Y644">
        <f t="shared" ca="1" si="1874"/>
        <v>0.14909858271086357</v>
      </c>
      <c r="Z644" t="str">
        <f t="shared" ref="Z644:Z648" si="1884">CONCATENATE(AG644,"   →   ",AH644,"   →   ",AI644,"   →   ",AJ644)</f>
        <v>BIO_GSF_SML_D   →   D_GAS_STRG   →   ONSITE_USE   →   H2_FC_DCHP_PWR</v>
      </c>
      <c r="AA644" t="str">
        <f t="shared" ref="AA644:AA648" si="1885">G644</f>
        <v>Grid electricity</v>
      </c>
      <c r="AB644" t="str">
        <f t="shared" ref="AB644:AB648" si="1886">J644</f>
        <v>Levelized cost</v>
      </c>
      <c r="AC644">
        <f t="shared" ref="AC644:AC648" ca="1" si="1887">Y644</f>
        <v>0.14909858271086357</v>
      </c>
      <c r="AD644">
        <v>585</v>
      </c>
      <c r="AE644" t="str">
        <f>IF(AND(ISNUMBER(SEARCH(O644,4)),ISNUMBER(SEARCH('(4) FCH pathway assessment'!$B$16,AB644)),ISNUMBER(SEARCH('(4) FCH pathway assessment'!$B$10,AA644))),AD644,"")</f>
        <v/>
      </c>
      <c r="AF644" t="str">
        <f t="shared" si="1873"/>
        <v/>
      </c>
      <c r="AG644" t="str">
        <f>VLOOKUP(C644,Assumptions!$B$116:$C$162,2,FALSE)</f>
        <v>BIO_GSF_SML_D</v>
      </c>
      <c r="AH644" t="str">
        <f>VLOOKUP(D644,Assumptions!$B$116:$C$162,2,FALSE)</f>
        <v>D_GAS_STRG</v>
      </c>
      <c r="AI644" t="str">
        <f>VLOOKUP(E644,Assumptions!$B$116:$C$162,2,FALSE)</f>
        <v>ONSITE_USE</v>
      </c>
      <c r="AJ644" t="str">
        <f>VLOOKUP(F644,Assumptions!$B$116:$C$162,2,FALSE)</f>
        <v>H2_FC_DCHP_PWR</v>
      </c>
    </row>
    <row r="645" spans="2:36" x14ac:dyDescent="0.25">
      <c r="B645" t="s">
        <v>117</v>
      </c>
      <c r="C645" t="s">
        <v>56</v>
      </c>
      <c r="D645" t="s">
        <v>62</v>
      </c>
      <c r="E645" t="s">
        <v>157</v>
      </c>
      <c r="F645" t="s">
        <v>549</v>
      </c>
      <c r="G645" t="s">
        <v>114</v>
      </c>
      <c r="H645" t="s">
        <v>433</v>
      </c>
      <c r="I645" t="s">
        <v>32</v>
      </c>
      <c r="J645" t="s">
        <v>72</v>
      </c>
      <c r="K645">
        <f t="shared" si="1875"/>
        <v>0</v>
      </c>
      <c r="L645">
        <f t="shared" si="1876"/>
        <v>0</v>
      </c>
      <c r="M645">
        <f t="shared" si="1877"/>
        <v>0</v>
      </c>
      <c r="N645">
        <f t="shared" si="1878"/>
        <v>0</v>
      </c>
      <c r="O645">
        <f t="shared" si="1879"/>
        <v>0</v>
      </c>
      <c r="P645" t="str">
        <f t="shared" si="1880"/>
        <v>Large centralized biomass steam reforming -Levelized cost</v>
      </c>
      <c r="Q645" t="str">
        <f t="shared" si="1881"/>
        <v>Underground storage-Levelized cost</v>
      </c>
      <c r="R645" t="str">
        <f t="shared" si="1882"/>
        <v>Blending in natural gas pipeline-Levelized cost</v>
      </c>
      <c r="S645" t="str">
        <f t="shared" si="1883"/>
        <v>District-CHP with H2 fuel cell (power)-Levelized cost</v>
      </c>
      <c r="T645">
        <f ca="1">IF(timePeriod="2020-30",(VLOOKUP($P645,'TA database'!$I$8:$J$79,2,FALSE)/VLOOKUP($D645,'Merit calculation'!$B$48:$I$52,5,FALSE)/VLOOKUP($E645,'Merit calculation'!$B$67:$I$73,5,FALSE)/VLOOKUP($F645,'Merit calculation'!$B$90:$I$103,5,FALSE)/energyContentH2),(VLOOKUP($P645,'TA database'!$I$8:$J$79,2,FALSE)/VLOOKUP($D645,'Merit calculation'!$B$48:$I$52,7,FALSE)/VLOOKUP($E645,'Merit calculation'!$B$67:$I$73,7,FALSE)/VLOOKUP($F645,'Merit calculation'!$B$90:$I$103,7,FALSE)/energyContentH2))</f>
        <v>9.8156989405035651E-3</v>
      </c>
      <c r="U645">
        <f ca="1">IF(timePeriod="2020-30",(VLOOKUP($Q645,'TA database'!$I$86:$J$105,2,FALSE)/VLOOKUP($E645,'Merit calculation'!$B$67:$I$73,5,FALSE)/VLOOKUP($F645,'Merit calculation'!$B$90:$I$104,5,FALSE)/energyContentH2),VLOOKUP($Q645,'TA database'!$I$86:$J$105,2,FALSE)/VLOOKUP($E645,'Merit calculation'!$B$67:$I$73,7,FALSE)/VLOOKUP($F645,'Merit calculation'!$B$90:$I$104,7,FALSE)/energyContentH2)</f>
        <v>1.3830864557131986E-4</v>
      </c>
      <c r="V645">
        <f ca="1">IF(timePeriod="2020-30",(VLOOKUP($R645,'TA database'!$I$112:$J$139,2,FALSE)/VLOOKUP($F645,'Merit calculation'!$B$90:$I$104,5,FALSE)/energyContentH2),(VLOOKUP($R645,'TA database'!$I$112:$J$139,2,FALSE)/VLOOKUP($F645,'Merit calculation'!$B$90:$I$104,7,FALSE)/energyContentH2))</f>
        <v>1.9900144905361811E-3</v>
      </c>
      <c r="W645">
        <f>IFERROR(VLOOKUP($S645,'TA database'!$I$146:$J$193,2,FALSE),0)</f>
        <v>0</v>
      </c>
      <c r="X645">
        <f ca="1">IFERROR(VLOOKUP($S645,'TA database'!$I$200:$J$271,2,FALSE),0)</f>
        <v>6.4083910818335019E-2</v>
      </c>
      <c r="Y645">
        <f t="shared" ref="Y645:Y657" ca="1" si="1888">IF($W645=0,T645*3.6+U645*3.6+V645*3.6+X645,T645+U645+V645+W645)</f>
        <v>0.10708239029413485</v>
      </c>
      <c r="Z645" t="str">
        <f t="shared" si="1884"/>
        <v>BIO_SR_LRG_C   →   C_UNDRGRND_STRG   →   H2_BLND_NG_P   →   H2_FC_DCHP_PWR</v>
      </c>
      <c r="AA645" t="str">
        <f t="shared" si="1885"/>
        <v>Grid electricity</v>
      </c>
      <c r="AB645" t="str">
        <f t="shared" si="1886"/>
        <v>Levelized cost</v>
      </c>
      <c r="AC645">
        <f t="shared" ca="1" si="1887"/>
        <v>0.10708239029413485</v>
      </c>
      <c r="AD645">
        <v>586</v>
      </c>
      <c r="AE645" t="str">
        <f>IF(AND(ISNUMBER(SEARCH(O645,4)),ISNUMBER(SEARCH('(4) FCH pathway assessment'!$B$16,AB645)),ISNUMBER(SEARCH('(4) FCH pathway assessment'!$B$10,AA645))),AD645,"")</f>
        <v/>
      </c>
      <c r="AF645" t="str">
        <f t="shared" si="1873"/>
        <v/>
      </c>
      <c r="AG645" t="str">
        <f>VLOOKUP(C645,Assumptions!$B$116:$C$162,2,FALSE)</f>
        <v>BIO_SR_LRG_C</v>
      </c>
      <c r="AH645" t="str">
        <f>VLOOKUP(D645,Assumptions!$B$116:$C$162,2,FALSE)</f>
        <v>C_UNDRGRND_STRG</v>
      </c>
      <c r="AI645" t="str">
        <f>VLOOKUP(E645,Assumptions!$B$116:$C$162,2,FALSE)</f>
        <v>H2_BLND_NG_P</v>
      </c>
      <c r="AJ645" t="str">
        <f>VLOOKUP(F645,Assumptions!$B$116:$C$162,2,FALSE)</f>
        <v>H2_FC_DCHP_PWR</v>
      </c>
    </row>
    <row r="646" spans="2:36" x14ac:dyDescent="0.25">
      <c r="B646" t="s">
        <v>117</v>
      </c>
      <c r="C646" t="s">
        <v>56</v>
      </c>
      <c r="D646" t="s">
        <v>62</v>
      </c>
      <c r="E646" t="s">
        <v>122</v>
      </c>
      <c r="F646" t="s">
        <v>549</v>
      </c>
      <c r="G646" t="s">
        <v>114</v>
      </c>
      <c r="H646" t="s">
        <v>433</v>
      </c>
      <c r="I646" t="s">
        <v>32</v>
      </c>
      <c r="J646" t="s">
        <v>72</v>
      </c>
      <c r="K646">
        <f t="shared" si="1875"/>
        <v>0</v>
      </c>
      <c r="L646">
        <f t="shared" si="1876"/>
        <v>0</v>
      </c>
      <c r="M646">
        <f t="shared" si="1877"/>
        <v>1</v>
      </c>
      <c r="N646">
        <f t="shared" si="1878"/>
        <v>0</v>
      </c>
      <c r="O646">
        <f t="shared" si="1879"/>
        <v>1</v>
      </c>
      <c r="P646" t="str">
        <f t="shared" si="1880"/>
        <v>Large centralized biomass steam reforming -Levelized cost</v>
      </c>
      <c r="Q646" t="str">
        <f t="shared" si="1881"/>
        <v>Underground storage-Levelized cost</v>
      </c>
      <c r="R646" t="str">
        <f t="shared" si="1882"/>
        <v>Hydrogen transmission &amp; distribution pipeline-Levelized cost</v>
      </c>
      <c r="S646" t="str">
        <f t="shared" si="1883"/>
        <v>District-CHP with H2 fuel cell (power)-Levelized cost</v>
      </c>
      <c r="T646">
        <f ca="1">IF(timePeriod="2020-30",(VLOOKUP($P646,'TA database'!$I$8:$J$79,2,FALSE)/VLOOKUP($D646,'Merit calculation'!$B$48:$I$52,5,FALSE)/VLOOKUP($E646,'Merit calculation'!$B$67:$I$73,5,FALSE)/VLOOKUP($F646,'Merit calculation'!$B$90:$I$103,5,FALSE)/energyContentH2),(VLOOKUP($P646,'TA database'!$I$8:$J$79,2,FALSE)/VLOOKUP($D646,'Merit calculation'!$B$48:$I$52,7,FALSE)/VLOOKUP($E646,'Merit calculation'!$B$67:$I$73,7,FALSE)/VLOOKUP($F646,'Merit calculation'!$B$90:$I$103,7,FALSE)/energyContentH2))</f>
        <v>9.8156989405035651E-3</v>
      </c>
      <c r="U646">
        <f ca="1">IF(timePeriod="2020-30",(VLOOKUP($Q646,'TA database'!$I$86:$J$105,2,FALSE)/VLOOKUP($E646,'Merit calculation'!$B$67:$I$73,5,FALSE)/VLOOKUP($F646,'Merit calculation'!$B$90:$I$104,5,FALSE)/energyContentH2),VLOOKUP($Q646,'TA database'!$I$86:$J$105,2,FALSE)/VLOOKUP($E646,'Merit calculation'!$B$67:$I$73,7,FALSE)/VLOOKUP($F646,'Merit calculation'!$B$90:$I$104,7,FALSE)/energyContentH2)</f>
        <v>1.3830864557131986E-4</v>
      </c>
      <c r="V646">
        <f ca="1">IF(timePeriod="2020-30",(VLOOKUP($R646,'TA database'!$I$112:$J$139,2,FALSE)/VLOOKUP($F646,'Merit calculation'!$B$90:$I$104,5,FALSE)/energyContentH2),(VLOOKUP($R646,'TA database'!$I$112:$J$139,2,FALSE)/VLOOKUP($F646,'Merit calculation'!$B$90:$I$104,7,FALSE)/energyContentH2))</f>
        <v>3.7025224863029226E-3</v>
      </c>
      <c r="W646">
        <f>IFERROR(VLOOKUP($S646,'TA database'!$I$146:$J$193,2,FALSE),0)</f>
        <v>0</v>
      </c>
      <c r="X646">
        <f ca="1">IFERROR(VLOOKUP($S646,'TA database'!$I$200:$J$271,2,FALSE),0)</f>
        <v>6.4083910818335019E-2</v>
      </c>
      <c r="Y646">
        <f t="shared" ca="1" si="1888"/>
        <v>0.11324741907889513</v>
      </c>
      <c r="Z646" t="str">
        <f t="shared" si="1884"/>
        <v>BIO_SR_LRG_C   →   C_UNDRGRND_STRG   →   H2_T&amp;D_P   →   H2_FC_DCHP_PWR</v>
      </c>
      <c r="AA646" t="str">
        <f t="shared" si="1885"/>
        <v>Grid electricity</v>
      </c>
      <c r="AB646" t="str">
        <f t="shared" si="1886"/>
        <v>Levelized cost</v>
      </c>
      <c r="AC646">
        <f t="shared" ca="1" si="1887"/>
        <v>0.11324741907889513</v>
      </c>
      <c r="AD646">
        <v>587</v>
      </c>
      <c r="AE646" t="str">
        <f>IF(AND(ISNUMBER(SEARCH(O646,4)),ISNUMBER(SEARCH('(4) FCH pathway assessment'!$B$16,AB646)),ISNUMBER(SEARCH('(4) FCH pathway assessment'!$B$10,AA646))),AD646,"")</f>
        <v/>
      </c>
      <c r="AF646" t="str">
        <f t="shared" si="1873"/>
        <v/>
      </c>
      <c r="AG646" t="str">
        <f>VLOOKUP(C646,Assumptions!$B$116:$C$162,2,FALSE)</f>
        <v>BIO_SR_LRG_C</v>
      </c>
      <c r="AH646" t="str">
        <f>VLOOKUP(D646,Assumptions!$B$116:$C$162,2,FALSE)</f>
        <v>C_UNDRGRND_STRG</v>
      </c>
      <c r="AI646" t="str">
        <f>VLOOKUP(E646,Assumptions!$B$116:$C$162,2,FALSE)</f>
        <v>H2_T&amp;D_P</v>
      </c>
      <c r="AJ646" t="str">
        <f>VLOOKUP(F646,Assumptions!$B$116:$C$162,2,FALSE)</f>
        <v>H2_FC_DCHP_PWR</v>
      </c>
    </row>
    <row r="647" spans="2:36" x14ac:dyDescent="0.25">
      <c r="B647" t="s">
        <v>117</v>
      </c>
      <c r="C647" t="s">
        <v>56</v>
      </c>
      <c r="D647" t="s">
        <v>62</v>
      </c>
      <c r="E647" t="s">
        <v>116</v>
      </c>
      <c r="F647" t="s">
        <v>549</v>
      </c>
      <c r="G647" t="s">
        <v>114</v>
      </c>
      <c r="H647" t="s">
        <v>433</v>
      </c>
      <c r="I647" t="s">
        <v>32</v>
      </c>
      <c r="J647" t="s">
        <v>72</v>
      </c>
      <c r="K647">
        <f t="shared" si="1875"/>
        <v>0</v>
      </c>
      <c r="L647">
        <f t="shared" si="1876"/>
        <v>0</v>
      </c>
      <c r="M647">
        <f t="shared" si="1877"/>
        <v>1</v>
      </c>
      <c r="N647">
        <f t="shared" si="1878"/>
        <v>0</v>
      </c>
      <c r="O647">
        <f t="shared" si="1879"/>
        <v>1</v>
      </c>
      <c r="P647" t="str">
        <f t="shared" si="1880"/>
        <v>Large centralized biomass steam reforming -Levelized cost</v>
      </c>
      <c r="Q647" t="str">
        <f t="shared" si="1881"/>
        <v>Underground storage-Levelized cost</v>
      </c>
      <c r="R647" t="str">
        <f t="shared" si="1882"/>
        <v>Liquid hydrogen truck-Levelized cost</v>
      </c>
      <c r="S647" t="str">
        <f t="shared" si="1883"/>
        <v>District-CHP with H2 fuel cell (power)-Levelized cost</v>
      </c>
      <c r="T647">
        <f ca="1">IF(timePeriod="2020-30",(VLOOKUP($P647,'TA database'!$I$8:$J$79,2,FALSE)/VLOOKUP($D647,'Merit calculation'!$B$48:$I$52,5,FALSE)/VLOOKUP($E647,'Merit calculation'!$B$67:$I$73,5,FALSE)/VLOOKUP($F647,'Merit calculation'!$B$90:$I$103,5,FALSE)/energyContentH2),(VLOOKUP($P647,'TA database'!$I$8:$J$79,2,FALSE)/VLOOKUP($D647,'Merit calculation'!$B$48:$I$52,7,FALSE)/VLOOKUP($E647,'Merit calculation'!$B$67:$I$73,7,FALSE)/VLOOKUP($F647,'Merit calculation'!$B$90:$I$103,7,FALSE)/energyContentH2))</f>
        <v>1.13390221133005E-2</v>
      </c>
      <c r="U647">
        <f ca="1">IF(timePeriod="2020-30",(VLOOKUP($Q647,'TA database'!$I$86:$J$105,2,FALSE)/VLOOKUP($E647,'Merit calculation'!$B$67:$I$73,5,FALSE)/VLOOKUP($F647,'Merit calculation'!$B$90:$I$104,5,FALSE)/energyContentH2),VLOOKUP($Q647,'TA database'!$I$86:$J$105,2,FALSE)/VLOOKUP($E647,'Merit calculation'!$B$67:$I$73,7,FALSE)/VLOOKUP($F647,'Merit calculation'!$B$90:$I$104,7,FALSE)/energyContentH2)</f>
        <v>1.5977311448728902E-4</v>
      </c>
      <c r="V647">
        <f ca="1">IF(timePeriod="2020-30",(VLOOKUP($R647,'TA database'!$I$112:$J$139,2,FALSE)/VLOOKUP($F647,'Merit calculation'!$B$90:$I$104,5,FALSE)/energyContentH2),(VLOOKUP($R647,'TA database'!$I$112:$J$139,2,FALSE)/VLOOKUP($F647,'Merit calculation'!$B$90:$I$104,7,FALSE)/energyContentH2))</f>
        <v>2.4500662962100454E-2</v>
      </c>
      <c r="W647">
        <f>IFERROR(VLOOKUP($S647,'TA database'!$I$146:$J$193,2,FALSE),0)</f>
        <v>0</v>
      </c>
      <c r="X647">
        <f ca="1">IFERROR(VLOOKUP($S647,'TA database'!$I$200:$J$271,2,FALSE),0)</f>
        <v>6.4083910818335019E-2</v>
      </c>
      <c r="Y647">
        <f t="shared" ca="1" si="1888"/>
        <v>0.19368196030193269</v>
      </c>
      <c r="Z647" t="str">
        <f t="shared" si="1884"/>
        <v>BIO_SR_LRG_C   →   C_UNDRGRND_STRG   →   LQ_TRUCK   →   H2_FC_DCHP_PWR</v>
      </c>
      <c r="AA647" t="str">
        <f t="shared" si="1885"/>
        <v>Grid electricity</v>
      </c>
      <c r="AB647" t="str">
        <f t="shared" si="1886"/>
        <v>Levelized cost</v>
      </c>
      <c r="AC647">
        <f t="shared" ca="1" si="1887"/>
        <v>0.19368196030193269</v>
      </c>
      <c r="AD647">
        <v>588</v>
      </c>
      <c r="AE647" t="str">
        <f>IF(AND(ISNUMBER(SEARCH(O647,4)),ISNUMBER(SEARCH('(4) FCH pathway assessment'!$B$16,AB647)),ISNUMBER(SEARCH('(4) FCH pathway assessment'!$B$10,AA647))),AD647,"")</f>
        <v/>
      </c>
      <c r="AF647" t="str">
        <f t="shared" si="1873"/>
        <v/>
      </c>
      <c r="AG647" t="str">
        <f>VLOOKUP(C647,Assumptions!$B$116:$C$162,2,FALSE)</f>
        <v>BIO_SR_LRG_C</v>
      </c>
      <c r="AH647" t="str">
        <f>VLOOKUP(D647,Assumptions!$B$116:$C$162,2,FALSE)</f>
        <v>C_UNDRGRND_STRG</v>
      </c>
      <c r="AI647" t="str">
        <f>VLOOKUP(E647,Assumptions!$B$116:$C$162,2,FALSE)</f>
        <v>LQ_TRUCK</v>
      </c>
      <c r="AJ647" t="str">
        <f>VLOOKUP(F647,Assumptions!$B$116:$C$162,2,FALSE)</f>
        <v>H2_FC_DCHP_PWR</v>
      </c>
    </row>
    <row r="648" spans="2:36" x14ac:dyDescent="0.25">
      <c r="B648" t="s">
        <v>117</v>
      </c>
      <c r="C648" t="s">
        <v>56</v>
      </c>
      <c r="D648" t="s">
        <v>62</v>
      </c>
      <c r="E648" t="s">
        <v>66</v>
      </c>
      <c r="F648" t="s">
        <v>549</v>
      </c>
      <c r="G648" t="s">
        <v>114</v>
      </c>
      <c r="H648" t="s">
        <v>433</v>
      </c>
      <c r="I648" t="s">
        <v>32</v>
      </c>
      <c r="J648" t="s">
        <v>72</v>
      </c>
      <c r="K648">
        <f t="shared" si="1875"/>
        <v>0</v>
      </c>
      <c r="L648">
        <f t="shared" si="1876"/>
        <v>0</v>
      </c>
      <c r="M648">
        <f t="shared" si="1877"/>
        <v>1</v>
      </c>
      <c r="N648">
        <f t="shared" si="1878"/>
        <v>0</v>
      </c>
      <c r="O648">
        <f t="shared" si="1879"/>
        <v>1</v>
      </c>
      <c r="P648" t="str">
        <f t="shared" si="1880"/>
        <v>Large centralized biomass steam reforming -Levelized cost</v>
      </c>
      <c r="Q648" t="str">
        <f t="shared" si="1881"/>
        <v>Underground storage-Levelized cost</v>
      </c>
      <c r="R648" t="str">
        <f t="shared" si="1882"/>
        <v>Onsite-Levelized cost</v>
      </c>
      <c r="S648" t="str">
        <f t="shared" si="1883"/>
        <v>District-CHP with H2 fuel cell (power)-Levelized cost</v>
      </c>
      <c r="T648">
        <f ca="1">IF(timePeriod="2020-30",(VLOOKUP($P648,'TA database'!$I$8:$J$79,2,FALSE)/VLOOKUP($D648,'Merit calculation'!$B$48:$I$52,5,FALSE)/VLOOKUP($E648,'Merit calculation'!$B$67:$I$73,5,FALSE)/VLOOKUP($F648,'Merit calculation'!$B$90:$I$103,5,FALSE)/energyContentH2),(VLOOKUP($P648,'TA database'!$I$8:$J$79,2,FALSE)/VLOOKUP($D648,'Merit calculation'!$B$48:$I$52,7,FALSE)/VLOOKUP($E648,'Merit calculation'!$B$67:$I$73,7,FALSE)/VLOOKUP($F648,'Merit calculation'!$B$90:$I$103,7,FALSE)/energyContentH2))</f>
        <v>9.7175419510985277E-3</v>
      </c>
      <c r="U648">
        <f ca="1">IF(timePeriod="2020-30",(VLOOKUP($Q648,'TA database'!$I$86:$J$105,2,FALSE)/VLOOKUP($E648,'Merit calculation'!$B$67:$I$73,5,FALSE)/VLOOKUP($F648,'Merit calculation'!$B$90:$I$104,5,FALSE)/energyContentH2),VLOOKUP($Q648,'TA database'!$I$86:$J$105,2,FALSE)/VLOOKUP($E648,'Merit calculation'!$B$67:$I$73,7,FALSE)/VLOOKUP($F648,'Merit calculation'!$B$90:$I$104,7,FALSE)/energyContentH2)</f>
        <v>1.3692555911560666E-4</v>
      </c>
      <c r="V648">
        <f ca="1">IF(timePeriod="2020-30",(VLOOKUP($R648,'TA database'!$I$112:$J$139,2,FALSE)/VLOOKUP($F648,'Merit calculation'!$B$90:$I$104,5,FALSE)/energyContentH2),(VLOOKUP($R648,'TA database'!$I$112:$J$139,2,FALSE)/VLOOKUP($F648,'Merit calculation'!$B$90:$I$104,7,FALSE)/energyContentH2))</f>
        <v>0</v>
      </c>
      <c r="W648">
        <f>IFERROR(VLOOKUP($S648,'TA database'!$I$146:$J$193,2,FALSE),0)</f>
        <v>0</v>
      </c>
      <c r="X648">
        <f ca="1">IFERROR(VLOOKUP($S648,'TA database'!$I$200:$J$271,2,FALSE),0)</f>
        <v>6.4083910818335019E-2</v>
      </c>
      <c r="Y648">
        <f t="shared" ca="1" si="1888"/>
        <v>9.9559993855105916E-2</v>
      </c>
      <c r="Z648" t="str">
        <f t="shared" si="1884"/>
        <v>BIO_SR_LRG_C   →   C_UNDRGRND_STRG   →   ONSITE_USE   →   H2_FC_DCHP_PWR</v>
      </c>
      <c r="AA648" t="str">
        <f t="shared" si="1885"/>
        <v>Grid electricity</v>
      </c>
      <c r="AB648" t="str">
        <f t="shared" si="1886"/>
        <v>Levelized cost</v>
      </c>
      <c r="AC648">
        <f t="shared" ca="1" si="1887"/>
        <v>9.9559993855105916E-2</v>
      </c>
      <c r="AD648">
        <v>589</v>
      </c>
      <c r="AE648" t="str">
        <f>IF(AND(ISNUMBER(SEARCH(O648,4)),ISNUMBER(SEARCH('(4) FCH pathway assessment'!$B$16,AB648)),ISNUMBER(SEARCH('(4) FCH pathway assessment'!$B$10,AA648))),AD648,"")</f>
        <v/>
      </c>
      <c r="AF648" t="str">
        <f t="shared" si="1873"/>
        <v/>
      </c>
      <c r="AG648" t="str">
        <f>VLOOKUP(C648,Assumptions!$B$116:$C$162,2,FALSE)</f>
        <v>BIO_SR_LRG_C</v>
      </c>
      <c r="AH648" t="str">
        <f>VLOOKUP(D648,Assumptions!$B$116:$C$162,2,FALSE)</f>
        <v>C_UNDRGRND_STRG</v>
      </c>
      <c r="AI648" t="str">
        <f>VLOOKUP(E648,Assumptions!$B$116:$C$162,2,FALSE)</f>
        <v>ONSITE_USE</v>
      </c>
      <c r="AJ648" t="str">
        <f>VLOOKUP(F648,Assumptions!$B$116:$C$162,2,FALSE)</f>
        <v>H2_FC_DCHP_PWR</v>
      </c>
    </row>
    <row r="649" spans="2:36" x14ac:dyDescent="0.25">
      <c r="B649" t="s">
        <v>117</v>
      </c>
      <c r="C649" t="s">
        <v>56</v>
      </c>
      <c r="D649" s="61" t="s">
        <v>63</v>
      </c>
      <c r="E649" t="s">
        <v>122</v>
      </c>
      <c r="F649" t="s">
        <v>549</v>
      </c>
      <c r="G649" t="s">
        <v>114</v>
      </c>
      <c r="H649" t="s">
        <v>433</v>
      </c>
      <c r="I649" t="s">
        <v>32</v>
      </c>
      <c r="J649" t="s">
        <v>72</v>
      </c>
      <c r="K649">
        <f t="shared" ref="K649:K657" si="1889">SUMPRODUCT(($C$7:$C$18=$C649)*($D$6:$H$6=$D649)*($D$7:$H$18))</f>
        <v>0</v>
      </c>
      <c r="L649">
        <f t="shared" ref="L649:L657" si="1890">SUMPRODUCT(($C$19:$C$23=$D649)*($I$6:$O$6=$E649)*($I$19:$O$23))</f>
        <v>1</v>
      </c>
      <c r="M649">
        <f t="shared" ref="M649:M657" si="1891">SUMPRODUCT(($C$24:$C$30=$E649)*($P$6:$AI$6=$F649)*($P$24:$AI$30))</f>
        <v>1</v>
      </c>
      <c r="N649">
        <f t="shared" ref="N649:N657" si="1892">SUMPRODUCT(($C$31:$C$50=$F649)*($AJ$6:$AM$6=$G649)*($AJ$31:$AM$50))</f>
        <v>0</v>
      </c>
      <c r="O649">
        <f t="shared" ref="O649:O657" si="1893">K649+L649+M649+N649</f>
        <v>2</v>
      </c>
      <c r="P649" t="str">
        <f t="shared" ref="P649:P657" si="1894">CONCATENATE(C649,"-",J649)</f>
        <v>Large centralized biomass steam reforming -Levelized cost</v>
      </c>
      <c r="Q649" t="str">
        <f t="shared" ref="Q649:Q657" si="1895">CONCATENATE(D649,"-",J649)</f>
        <v>No storage-Levelized cost</v>
      </c>
      <c r="R649" t="str">
        <f t="shared" ref="R649:R657" si="1896">CONCATENATE(E649,"-",J649)</f>
        <v>Hydrogen transmission &amp; distribution pipeline-Levelized cost</v>
      </c>
      <c r="S649" t="str">
        <f t="shared" ref="S649:S657" si="1897">CONCATENATE(F649,"-",J649)</f>
        <v>District-CHP with H2 fuel cell (power)-Levelized cost</v>
      </c>
      <c r="T649">
        <f ca="1">IF(timePeriod="2020-30",(VLOOKUP($P649,'TA database'!$I$8:$J$79,2,FALSE)/VLOOKUP($D649,'Merit calculation'!$B$48:$I$52,5,FALSE)/VLOOKUP($E649,'Merit calculation'!$B$67:$I$73,5,FALSE)/VLOOKUP($F649,'Merit calculation'!$B$90:$I$103,5,FALSE)/energyContentH2),(VLOOKUP($P649,'TA database'!$I$8:$J$79,2,FALSE)/VLOOKUP($D649,'Merit calculation'!$B$48:$I$52,7,FALSE)/VLOOKUP($E649,'Merit calculation'!$B$67:$I$73,7,FALSE)/VLOOKUP($F649,'Merit calculation'!$B$90:$I$103,7,FALSE)/energyContentH2))</f>
        <v>9.7175419510985277E-3</v>
      </c>
      <c r="U649">
        <f ca="1">IF(timePeriod="2020-30",(VLOOKUP($Q649,'TA database'!$I$86:$J$105,2,FALSE)/VLOOKUP($E649,'Merit calculation'!$B$67:$I$73,5,FALSE)/VLOOKUP($F649,'Merit calculation'!$B$90:$I$104,5,FALSE)/energyContentH2),VLOOKUP($Q649,'TA database'!$I$86:$J$105,2,FALSE)/VLOOKUP($E649,'Merit calculation'!$B$67:$I$73,7,FALSE)/VLOOKUP($F649,'Merit calculation'!$B$90:$I$104,7,FALSE)/energyContentH2)</f>
        <v>0</v>
      </c>
      <c r="V649">
        <f ca="1">IF(timePeriod="2020-30",(VLOOKUP($R649,'TA database'!$I$112:$J$139,2,FALSE)/VLOOKUP($F649,'Merit calculation'!$B$90:$I$104,5,FALSE)/energyContentH2),(VLOOKUP($R649,'TA database'!$I$112:$J$139,2,FALSE)/VLOOKUP($F649,'Merit calculation'!$B$90:$I$104,7,FALSE)/energyContentH2))</f>
        <v>3.7025224863029226E-3</v>
      </c>
      <c r="W649">
        <f>IFERROR(VLOOKUP($S649,'TA database'!$I$146:$J$193,2,FALSE),0)</f>
        <v>0</v>
      </c>
      <c r="X649">
        <f ca="1">IFERROR(VLOOKUP($S649,'TA database'!$I$200:$J$271,2,FALSE),0)</f>
        <v>6.4083910818335019E-2</v>
      </c>
      <c r="Y649">
        <f t="shared" ca="1" si="1888"/>
        <v>0.11239614279298024</v>
      </c>
      <c r="Z649" t="str">
        <f t="shared" ref="Z649:Z657" si="1898">CONCATENATE(AG649,"   →   ",AH649,"   →   ",AI649,"   →   ",AJ649)</f>
        <v>BIO_SR_LRG_C   →   NO_STRG   →   H2_T&amp;D_P   →   H2_FC_DCHP_PWR</v>
      </c>
      <c r="AA649" t="str">
        <f t="shared" ref="AA649:AA657" si="1899">G649</f>
        <v>Grid electricity</v>
      </c>
      <c r="AB649" t="str">
        <f t="shared" ref="AB649:AB657" si="1900">J649</f>
        <v>Levelized cost</v>
      </c>
      <c r="AC649">
        <f t="shared" ref="AC649:AC657" ca="1" si="1901">Y649</f>
        <v>0.11239614279298024</v>
      </c>
      <c r="AD649">
        <v>590</v>
      </c>
      <c r="AE649" t="str">
        <f>IF(AND(ISNUMBER(SEARCH(O649,4)),ISNUMBER(SEARCH('(4) FCH pathway assessment'!$B$16,AB649)),ISNUMBER(SEARCH('(4) FCH pathway assessment'!$B$10,AA649))),AD649,"")</f>
        <v/>
      </c>
      <c r="AF649" t="str">
        <f t="shared" si="1873"/>
        <v/>
      </c>
      <c r="AG649" t="str">
        <f>VLOOKUP(C649,Assumptions!$B$116:$C$162,2,FALSE)</f>
        <v>BIO_SR_LRG_C</v>
      </c>
      <c r="AH649" t="str">
        <f>VLOOKUP(D649,Assumptions!$B$116:$C$162,2,FALSE)</f>
        <v>NO_STRG</v>
      </c>
      <c r="AI649" t="str">
        <f>VLOOKUP(E649,Assumptions!$B$116:$C$162,2,FALSE)</f>
        <v>H2_T&amp;D_P</v>
      </c>
      <c r="AJ649" t="str">
        <f>VLOOKUP(F649,Assumptions!$B$116:$C$162,2,FALSE)</f>
        <v>H2_FC_DCHP_PWR</v>
      </c>
    </row>
    <row r="650" spans="2:36" x14ac:dyDescent="0.25">
      <c r="B650" t="s">
        <v>112</v>
      </c>
      <c r="C650" t="s">
        <v>49</v>
      </c>
      <c r="D650" t="s">
        <v>62</v>
      </c>
      <c r="E650" t="s">
        <v>157</v>
      </c>
      <c r="F650" t="s">
        <v>549</v>
      </c>
      <c r="G650" t="s">
        <v>114</v>
      </c>
      <c r="H650" t="s">
        <v>433</v>
      </c>
      <c r="I650" t="s">
        <v>32</v>
      </c>
      <c r="J650" t="s">
        <v>72</v>
      </c>
      <c r="K650">
        <f t="shared" si="1889"/>
        <v>1</v>
      </c>
      <c r="L650">
        <f t="shared" si="1890"/>
        <v>0</v>
      </c>
      <c r="M650">
        <f t="shared" si="1891"/>
        <v>0</v>
      </c>
      <c r="N650">
        <f t="shared" si="1892"/>
        <v>0</v>
      </c>
      <c r="O650">
        <f t="shared" si="1893"/>
        <v>1</v>
      </c>
      <c r="P650" t="str">
        <f t="shared" si="1894"/>
        <v>Large centralized electrolysis-Levelized cost</v>
      </c>
      <c r="Q650" t="str">
        <f t="shared" si="1895"/>
        <v>Underground storage-Levelized cost</v>
      </c>
      <c r="R650" t="str">
        <f t="shared" si="1896"/>
        <v>Blending in natural gas pipeline-Levelized cost</v>
      </c>
      <c r="S650" t="str">
        <f t="shared" si="1897"/>
        <v>District-CHP with H2 fuel cell (power)-Levelized cost</v>
      </c>
      <c r="T650">
        <f ca="1">IF(timePeriod="2020-30",(VLOOKUP($P650,'TA database'!$I$8:$J$79,2,FALSE)/VLOOKUP($D650,'Merit calculation'!$B$48:$I$52,5,FALSE)/VLOOKUP($E650,'Merit calculation'!$B$67:$I$73,5,FALSE)/VLOOKUP($F650,'Merit calculation'!$B$90:$I$103,5,FALSE)/energyContentH2),(VLOOKUP($P650,'TA database'!$I$8:$J$79,2,FALSE)/VLOOKUP($D650,'Merit calculation'!$B$48:$I$52,7,FALSE)/VLOOKUP($E650,'Merit calculation'!$B$67:$I$73,7,FALSE)/VLOOKUP($F650,'Merit calculation'!$B$90:$I$103,7,FALSE)/energyContentH2))</f>
        <v>2.0929999003248788E-2</v>
      </c>
      <c r="U650">
        <f ca="1">IF(timePeriod="2020-30",(VLOOKUP($Q650,'TA database'!$I$86:$J$105,2,FALSE)/VLOOKUP($E650,'Merit calculation'!$B$67:$I$73,5,FALSE)/VLOOKUP($F650,'Merit calculation'!$B$90:$I$104,5,FALSE)/energyContentH2),VLOOKUP($Q650,'TA database'!$I$86:$J$105,2,FALSE)/VLOOKUP($E650,'Merit calculation'!$B$67:$I$73,7,FALSE)/VLOOKUP($F650,'Merit calculation'!$B$90:$I$104,7,FALSE)/energyContentH2)</f>
        <v>1.3830864557131986E-4</v>
      </c>
      <c r="V650">
        <f ca="1">IF(timePeriod="2020-30",(VLOOKUP($R650,'TA database'!$I$112:$J$139,2,FALSE)/VLOOKUP($F650,'Merit calculation'!$B$90:$I$104,5,FALSE)/energyContentH2),(VLOOKUP($R650,'TA database'!$I$112:$J$139,2,FALSE)/VLOOKUP($F650,'Merit calculation'!$B$90:$I$104,7,FALSE)/energyContentH2))</f>
        <v>1.9900144905361811E-3</v>
      </c>
      <c r="W650">
        <f>IFERROR(VLOOKUP($S650,'TA database'!$I$146:$J$193,2,FALSE),0)</f>
        <v>0</v>
      </c>
      <c r="X650">
        <f ca="1">IFERROR(VLOOKUP($S650,'TA database'!$I$200:$J$271,2,FALSE),0)</f>
        <v>6.4083910818335019E-2</v>
      </c>
      <c r="Y650">
        <f t="shared" ca="1" si="1888"/>
        <v>0.14709387052001766</v>
      </c>
      <c r="Z650" t="str">
        <f t="shared" si="1898"/>
        <v>ELCTRLYZ_LRG_C   →   C_UNDRGRND_STRG   →   H2_BLND_NG_P   →   H2_FC_DCHP_PWR</v>
      </c>
      <c r="AA650" t="str">
        <f t="shared" si="1899"/>
        <v>Grid electricity</v>
      </c>
      <c r="AB650" t="str">
        <f t="shared" si="1900"/>
        <v>Levelized cost</v>
      </c>
      <c r="AC650">
        <f t="shared" ca="1" si="1901"/>
        <v>0.14709387052001766</v>
      </c>
      <c r="AD650">
        <v>591</v>
      </c>
      <c r="AE650" t="str">
        <f>IF(AND(ISNUMBER(SEARCH(O650,4)),ISNUMBER(SEARCH('(4) FCH pathway assessment'!$B$16,AB650)),ISNUMBER(SEARCH('(4) FCH pathway assessment'!$B$10,AA650))),AD650,"")</f>
        <v/>
      </c>
      <c r="AF650" t="str">
        <f t="shared" si="1873"/>
        <v/>
      </c>
      <c r="AG650" t="str">
        <f>VLOOKUP(C650,Assumptions!$B$116:$C$162,2,FALSE)</f>
        <v>ELCTRLYZ_LRG_C</v>
      </c>
      <c r="AH650" t="str">
        <f>VLOOKUP(D650,Assumptions!$B$116:$C$162,2,FALSE)</f>
        <v>C_UNDRGRND_STRG</v>
      </c>
      <c r="AI650" t="str">
        <f>VLOOKUP(E650,Assumptions!$B$116:$C$162,2,FALSE)</f>
        <v>H2_BLND_NG_P</v>
      </c>
      <c r="AJ650" t="str">
        <f>VLOOKUP(F650,Assumptions!$B$116:$C$162,2,FALSE)</f>
        <v>H2_FC_DCHP_PWR</v>
      </c>
    </row>
    <row r="651" spans="2:36" x14ac:dyDescent="0.25">
      <c r="B651" t="s">
        <v>112</v>
      </c>
      <c r="C651" t="s">
        <v>49</v>
      </c>
      <c r="D651" t="s">
        <v>62</v>
      </c>
      <c r="E651" t="s">
        <v>122</v>
      </c>
      <c r="F651" t="s">
        <v>549</v>
      </c>
      <c r="G651" t="s">
        <v>114</v>
      </c>
      <c r="H651" t="s">
        <v>433</v>
      </c>
      <c r="I651" t="s">
        <v>32</v>
      </c>
      <c r="J651" t="s">
        <v>72</v>
      </c>
      <c r="K651">
        <f t="shared" si="1889"/>
        <v>1</v>
      </c>
      <c r="L651">
        <f t="shared" si="1890"/>
        <v>0</v>
      </c>
      <c r="M651">
        <f t="shared" si="1891"/>
        <v>1</v>
      </c>
      <c r="N651">
        <f t="shared" si="1892"/>
        <v>0</v>
      </c>
      <c r="O651">
        <f t="shared" si="1893"/>
        <v>2</v>
      </c>
      <c r="P651" t="str">
        <f t="shared" si="1894"/>
        <v>Large centralized electrolysis-Levelized cost</v>
      </c>
      <c r="Q651" t="str">
        <f t="shared" si="1895"/>
        <v>Underground storage-Levelized cost</v>
      </c>
      <c r="R651" t="str">
        <f t="shared" si="1896"/>
        <v>Hydrogen transmission &amp; distribution pipeline-Levelized cost</v>
      </c>
      <c r="S651" t="str">
        <f t="shared" si="1897"/>
        <v>District-CHP with H2 fuel cell (power)-Levelized cost</v>
      </c>
      <c r="T651">
        <f ca="1">IF(timePeriod="2020-30",(VLOOKUP($P651,'TA database'!$I$8:$J$79,2,FALSE)/VLOOKUP($D651,'Merit calculation'!$B$48:$I$52,5,FALSE)/VLOOKUP($E651,'Merit calculation'!$B$67:$I$73,5,FALSE)/VLOOKUP($F651,'Merit calculation'!$B$90:$I$103,5,FALSE)/energyContentH2),(VLOOKUP($P651,'TA database'!$I$8:$J$79,2,FALSE)/VLOOKUP($D651,'Merit calculation'!$B$48:$I$52,7,FALSE)/VLOOKUP($E651,'Merit calculation'!$B$67:$I$73,7,FALSE)/VLOOKUP($F651,'Merit calculation'!$B$90:$I$103,7,FALSE)/energyContentH2))</f>
        <v>2.0929999003248788E-2</v>
      </c>
      <c r="U651">
        <f ca="1">IF(timePeriod="2020-30",(VLOOKUP($Q651,'TA database'!$I$86:$J$105,2,FALSE)/VLOOKUP($E651,'Merit calculation'!$B$67:$I$73,5,FALSE)/VLOOKUP($F651,'Merit calculation'!$B$90:$I$104,5,FALSE)/energyContentH2),VLOOKUP($Q651,'TA database'!$I$86:$J$105,2,FALSE)/VLOOKUP($E651,'Merit calculation'!$B$67:$I$73,7,FALSE)/VLOOKUP($F651,'Merit calculation'!$B$90:$I$104,7,FALSE)/energyContentH2)</f>
        <v>1.3830864557131986E-4</v>
      </c>
      <c r="V651">
        <f ca="1">IF(timePeriod="2020-30",(VLOOKUP($R651,'TA database'!$I$112:$J$139,2,FALSE)/VLOOKUP($F651,'Merit calculation'!$B$90:$I$104,5,FALSE)/energyContentH2),(VLOOKUP($R651,'TA database'!$I$112:$J$139,2,FALSE)/VLOOKUP($F651,'Merit calculation'!$B$90:$I$104,7,FALSE)/energyContentH2))</f>
        <v>3.7025224863029226E-3</v>
      </c>
      <c r="W651">
        <f>IFERROR(VLOOKUP($S651,'TA database'!$I$146:$J$193,2,FALSE),0)</f>
        <v>0</v>
      </c>
      <c r="X651">
        <f ca="1">IFERROR(VLOOKUP($S651,'TA database'!$I$200:$J$271,2,FALSE),0)</f>
        <v>6.4083910818335019E-2</v>
      </c>
      <c r="Y651">
        <f t="shared" ca="1" si="1888"/>
        <v>0.15325889930477793</v>
      </c>
      <c r="Z651" t="str">
        <f t="shared" si="1898"/>
        <v>ELCTRLYZ_LRG_C   →   C_UNDRGRND_STRG   →   H2_T&amp;D_P   →   H2_FC_DCHP_PWR</v>
      </c>
      <c r="AA651" t="str">
        <f t="shared" si="1899"/>
        <v>Grid electricity</v>
      </c>
      <c r="AB651" t="str">
        <f t="shared" si="1900"/>
        <v>Levelized cost</v>
      </c>
      <c r="AC651">
        <f t="shared" ca="1" si="1901"/>
        <v>0.15325889930477793</v>
      </c>
      <c r="AD651">
        <v>592</v>
      </c>
      <c r="AE651" t="str">
        <f>IF(AND(ISNUMBER(SEARCH(O651,4)),ISNUMBER(SEARCH('(4) FCH pathway assessment'!$B$16,AB651)),ISNUMBER(SEARCH('(4) FCH pathway assessment'!$B$10,AA651))),AD651,"")</f>
        <v/>
      </c>
      <c r="AF651" t="str">
        <f t="shared" si="1873"/>
        <v/>
      </c>
      <c r="AG651" t="str">
        <f>VLOOKUP(C651,Assumptions!$B$116:$C$162,2,FALSE)</f>
        <v>ELCTRLYZ_LRG_C</v>
      </c>
      <c r="AH651" t="str">
        <f>VLOOKUP(D651,Assumptions!$B$116:$C$162,2,FALSE)</f>
        <v>C_UNDRGRND_STRG</v>
      </c>
      <c r="AI651" t="str">
        <f>VLOOKUP(E651,Assumptions!$B$116:$C$162,2,FALSE)</f>
        <v>H2_T&amp;D_P</v>
      </c>
      <c r="AJ651" t="str">
        <f>VLOOKUP(F651,Assumptions!$B$116:$C$162,2,FALSE)</f>
        <v>H2_FC_DCHP_PWR</v>
      </c>
    </row>
    <row r="652" spans="2:36" x14ac:dyDescent="0.25">
      <c r="B652" t="s">
        <v>112</v>
      </c>
      <c r="C652" t="s">
        <v>49</v>
      </c>
      <c r="D652" t="s">
        <v>62</v>
      </c>
      <c r="E652" t="s">
        <v>116</v>
      </c>
      <c r="F652" t="s">
        <v>549</v>
      </c>
      <c r="G652" t="s">
        <v>114</v>
      </c>
      <c r="H652" t="s">
        <v>433</v>
      </c>
      <c r="I652" t="s">
        <v>32</v>
      </c>
      <c r="J652" t="s">
        <v>72</v>
      </c>
      <c r="K652">
        <f t="shared" si="1889"/>
        <v>1</v>
      </c>
      <c r="L652">
        <f t="shared" si="1890"/>
        <v>0</v>
      </c>
      <c r="M652">
        <f t="shared" si="1891"/>
        <v>1</v>
      </c>
      <c r="N652">
        <f t="shared" si="1892"/>
        <v>0</v>
      </c>
      <c r="O652">
        <f t="shared" si="1893"/>
        <v>2</v>
      </c>
      <c r="P652" t="str">
        <f t="shared" si="1894"/>
        <v>Large centralized electrolysis-Levelized cost</v>
      </c>
      <c r="Q652" t="str">
        <f t="shared" si="1895"/>
        <v>Underground storage-Levelized cost</v>
      </c>
      <c r="R652" t="str">
        <f t="shared" si="1896"/>
        <v>Liquid hydrogen truck-Levelized cost</v>
      </c>
      <c r="S652" t="str">
        <f t="shared" si="1897"/>
        <v>District-CHP with H2 fuel cell (power)-Levelized cost</v>
      </c>
      <c r="T652">
        <f ca="1">IF(timePeriod="2020-30",(VLOOKUP($P652,'TA database'!$I$8:$J$79,2,FALSE)/VLOOKUP($D652,'Merit calculation'!$B$48:$I$52,5,FALSE)/VLOOKUP($E652,'Merit calculation'!$B$67:$I$73,5,FALSE)/VLOOKUP($F652,'Merit calculation'!$B$90:$I$103,5,FALSE)/energyContentH2),(VLOOKUP($P652,'TA database'!$I$8:$J$79,2,FALSE)/VLOOKUP($D652,'Merit calculation'!$B$48:$I$52,7,FALSE)/VLOOKUP($E652,'Merit calculation'!$B$67:$I$73,7,FALSE)/VLOOKUP($F652,'Merit calculation'!$B$90:$I$103,7,FALSE)/energyContentH2))</f>
        <v>2.4178178545176551E-2</v>
      </c>
      <c r="U652">
        <f ca="1">IF(timePeriod="2020-30",(VLOOKUP($Q652,'TA database'!$I$86:$J$105,2,FALSE)/VLOOKUP($E652,'Merit calculation'!$B$67:$I$73,5,FALSE)/VLOOKUP($F652,'Merit calculation'!$B$90:$I$104,5,FALSE)/energyContentH2),VLOOKUP($Q652,'TA database'!$I$86:$J$105,2,FALSE)/VLOOKUP($E652,'Merit calculation'!$B$67:$I$73,7,FALSE)/VLOOKUP($F652,'Merit calculation'!$B$90:$I$104,7,FALSE)/energyContentH2)</f>
        <v>1.5977311448728902E-4</v>
      </c>
      <c r="V652">
        <f ca="1">IF(timePeriod="2020-30",(VLOOKUP($R652,'TA database'!$I$112:$J$139,2,FALSE)/VLOOKUP($F652,'Merit calculation'!$B$90:$I$104,5,FALSE)/energyContentH2),(VLOOKUP($R652,'TA database'!$I$112:$J$139,2,FALSE)/VLOOKUP($F652,'Merit calculation'!$B$90:$I$104,7,FALSE)/energyContentH2))</f>
        <v>2.4500662962100454E-2</v>
      </c>
      <c r="W652">
        <f>IFERROR(VLOOKUP($S652,'TA database'!$I$146:$J$193,2,FALSE),0)</f>
        <v>0</v>
      </c>
      <c r="X652">
        <f ca="1">IFERROR(VLOOKUP($S652,'TA database'!$I$200:$J$271,2,FALSE),0)</f>
        <v>6.4083910818335019E-2</v>
      </c>
      <c r="Y652">
        <f t="shared" ca="1" si="1888"/>
        <v>0.23990292345668651</v>
      </c>
      <c r="Z652" t="str">
        <f t="shared" si="1898"/>
        <v>ELCTRLYZ_LRG_C   →   C_UNDRGRND_STRG   →   LQ_TRUCK   →   H2_FC_DCHP_PWR</v>
      </c>
      <c r="AA652" t="str">
        <f t="shared" si="1899"/>
        <v>Grid electricity</v>
      </c>
      <c r="AB652" t="str">
        <f t="shared" si="1900"/>
        <v>Levelized cost</v>
      </c>
      <c r="AC652">
        <f t="shared" ca="1" si="1901"/>
        <v>0.23990292345668651</v>
      </c>
      <c r="AD652">
        <v>593</v>
      </c>
      <c r="AE652" t="str">
        <f>IF(AND(ISNUMBER(SEARCH(O652,4)),ISNUMBER(SEARCH('(4) FCH pathway assessment'!$B$16,AB652)),ISNUMBER(SEARCH('(4) FCH pathway assessment'!$B$10,AA652))),AD652,"")</f>
        <v/>
      </c>
      <c r="AF652" t="str">
        <f t="shared" si="1873"/>
        <v/>
      </c>
      <c r="AG652" t="str">
        <f>VLOOKUP(C652,Assumptions!$B$116:$C$162,2,FALSE)</f>
        <v>ELCTRLYZ_LRG_C</v>
      </c>
      <c r="AH652" t="str">
        <f>VLOOKUP(D652,Assumptions!$B$116:$C$162,2,FALSE)</f>
        <v>C_UNDRGRND_STRG</v>
      </c>
      <c r="AI652" t="str">
        <f>VLOOKUP(E652,Assumptions!$B$116:$C$162,2,FALSE)</f>
        <v>LQ_TRUCK</v>
      </c>
      <c r="AJ652" t="str">
        <f>VLOOKUP(F652,Assumptions!$B$116:$C$162,2,FALSE)</f>
        <v>H2_FC_DCHP_PWR</v>
      </c>
    </row>
    <row r="653" spans="2:36" x14ac:dyDescent="0.25">
      <c r="B653" t="s">
        <v>112</v>
      </c>
      <c r="C653" t="s">
        <v>49</v>
      </c>
      <c r="D653" t="s">
        <v>62</v>
      </c>
      <c r="E653" t="s">
        <v>66</v>
      </c>
      <c r="F653" t="s">
        <v>549</v>
      </c>
      <c r="G653" t="s">
        <v>114</v>
      </c>
      <c r="H653" t="s">
        <v>433</v>
      </c>
      <c r="I653" t="s">
        <v>32</v>
      </c>
      <c r="J653" t="s">
        <v>72</v>
      </c>
      <c r="K653">
        <f t="shared" si="1889"/>
        <v>1</v>
      </c>
      <c r="L653">
        <f t="shared" si="1890"/>
        <v>0</v>
      </c>
      <c r="M653">
        <f t="shared" si="1891"/>
        <v>1</v>
      </c>
      <c r="N653">
        <f t="shared" si="1892"/>
        <v>0</v>
      </c>
      <c r="O653">
        <f t="shared" si="1893"/>
        <v>2</v>
      </c>
      <c r="P653" t="str">
        <f t="shared" si="1894"/>
        <v>Large centralized electrolysis-Levelized cost</v>
      </c>
      <c r="Q653" t="str">
        <f t="shared" si="1895"/>
        <v>Underground storage-Levelized cost</v>
      </c>
      <c r="R653" t="str">
        <f t="shared" si="1896"/>
        <v>Onsite-Levelized cost</v>
      </c>
      <c r="S653" t="str">
        <f t="shared" si="1897"/>
        <v>District-CHP with H2 fuel cell (power)-Levelized cost</v>
      </c>
      <c r="T653">
        <f ca="1">IF(timePeriod="2020-30",(VLOOKUP($P653,'TA database'!$I$8:$J$79,2,FALSE)/VLOOKUP($D653,'Merit calculation'!$B$48:$I$52,5,FALSE)/VLOOKUP($E653,'Merit calculation'!$B$67:$I$73,5,FALSE)/VLOOKUP($F653,'Merit calculation'!$B$90:$I$103,5,FALSE)/energyContentH2),(VLOOKUP($P653,'TA database'!$I$8:$J$79,2,FALSE)/VLOOKUP($D653,'Merit calculation'!$B$48:$I$52,7,FALSE)/VLOOKUP($E653,'Merit calculation'!$B$67:$I$73,7,FALSE)/VLOOKUP($F653,'Merit calculation'!$B$90:$I$103,7,FALSE)/energyContentH2))</f>
        <v>2.0720699013216302E-2</v>
      </c>
      <c r="U653">
        <f ca="1">IF(timePeriod="2020-30",(VLOOKUP($Q653,'TA database'!$I$86:$J$105,2,FALSE)/VLOOKUP($E653,'Merit calculation'!$B$67:$I$73,5,FALSE)/VLOOKUP($F653,'Merit calculation'!$B$90:$I$104,5,FALSE)/energyContentH2),VLOOKUP($Q653,'TA database'!$I$86:$J$105,2,FALSE)/VLOOKUP($E653,'Merit calculation'!$B$67:$I$73,7,FALSE)/VLOOKUP($F653,'Merit calculation'!$B$90:$I$104,7,FALSE)/energyContentH2)</f>
        <v>1.3692555911560666E-4</v>
      </c>
      <c r="V653">
        <f ca="1">IF(timePeriod="2020-30",(VLOOKUP($R653,'TA database'!$I$112:$J$139,2,FALSE)/VLOOKUP($F653,'Merit calculation'!$B$90:$I$104,5,FALSE)/energyContentH2),(VLOOKUP($R653,'TA database'!$I$112:$J$139,2,FALSE)/VLOOKUP($F653,'Merit calculation'!$B$90:$I$104,7,FALSE)/energyContentH2))</f>
        <v>0</v>
      </c>
      <c r="W653">
        <f>IFERROR(VLOOKUP($S653,'TA database'!$I$146:$J$193,2,FALSE),0)</f>
        <v>0</v>
      </c>
      <c r="X653">
        <f ca="1">IFERROR(VLOOKUP($S653,'TA database'!$I$200:$J$271,2,FALSE),0)</f>
        <v>6.4083910818335019E-2</v>
      </c>
      <c r="Y653">
        <f t="shared" ca="1" si="1888"/>
        <v>0.13917135927872987</v>
      </c>
      <c r="Z653" t="str">
        <f t="shared" si="1898"/>
        <v>ELCTRLYZ_LRG_C   →   C_UNDRGRND_STRG   →   ONSITE_USE   →   H2_FC_DCHP_PWR</v>
      </c>
      <c r="AA653" t="str">
        <f t="shared" si="1899"/>
        <v>Grid electricity</v>
      </c>
      <c r="AB653" t="str">
        <f t="shared" si="1900"/>
        <v>Levelized cost</v>
      </c>
      <c r="AC653">
        <f t="shared" ca="1" si="1901"/>
        <v>0.13917135927872987</v>
      </c>
      <c r="AD653">
        <v>594</v>
      </c>
      <c r="AE653" t="str">
        <f>IF(AND(ISNUMBER(SEARCH(O653,4)),ISNUMBER(SEARCH('(4) FCH pathway assessment'!$B$16,AB653)),ISNUMBER(SEARCH('(4) FCH pathway assessment'!$B$10,AA653))),AD653,"")</f>
        <v/>
      </c>
      <c r="AF653" t="str">
        <f t="shared" si="1873"/>
        <v/>
      </c>
      <c r="AG653" t="str">
        <f>VLOOKUP(C653,Assumptions!$B$116:$C$162,2,FALSE)</f>
        <v>ELCTRLYZ_LRG_C</v>
      </c>
      <c r="AH653" t="str">
        <f>VLOOKUP(D653,Assumptions!$B$116:$C$162,2,FALSE)</f>
        <v>C_UNDRGRND_STRG</v>
      </c>
      <c r="AI653" t="str">
        <f>VLOOKUP(E653,Assumptions!$B$116:$C$162,2,FALSE)</f>
        <v>ONSITE_USE</v>
      </c>
      <c r="AJ653" t="str">
        <f>VLOOKUP(F653,Assumptions!$B$116:$C$162,2,FALSE)</f>
        <v>H2_FC_DCHP_PWR</v>
      </c>
    </row>
    <row r="654" spans="2:36" x14ac:dyDescent="0.25">
      <c r="B654" t="s">
        <v>112</v>
      </c>
      <c r="C654" t="s">
        <v>49</v>
      </c>
      <c r="D654" t="s">
        <v>155</v>
      </c>
      <c r="E654" t="s">
        <v>157</v>
      </c>
      <c r="F654" t="s">
        <v>549</v>
      </c>
      <c r="G654" t="s">
        <v>114</v>
      </c>
      <c r="H654" t="s">
        <v>433</v>
      </c>
      <c r="I654" t="s">
        <v>32</v>
      </c>
      <c r="J654" t="s">
        <v>72</v>
      </c>
      <c r="K654">
        <f t="shared" si="1889"/>
        <v>1</v>
      </c>
      <c r="L654">
        <f t="shared" si="1890"/>
        <v>1</v>
      </c>
      <c r="M654">
        <f t="shared" si="1891"/>
        <v>0</v>
      </c>
      <c r="N654">
        <f t="shared" si="1892"/>
        <v>0</v>
      </c>
      <c r="O654">
        <f t="shared" si="1893"/>
        <v>2</v>
      </c>
      <c r="P654" t="str">
        <f t="shared" si="1894"/>
        <v>Large centralized electrolysis-Levelized cost</v>
      </c>
      <c r="Q654" t="str">
        <f t="shared" si="1895"/>
        <v>Central gas storage-Levelized cost</v>
      </c>
      <c r="R654" t="str">
        <f t="shared" si="1896"/>
        <v>Blending in natural gas pipeline-Levelized cost</v>
      </c>
      <c r="S654" t="str">
        <f t="shared" si="1897"/>
        <v>District-CHP with H2 fuel cell (power)-Levelized cost</v>
      </c>
      <c r="T654">
        <f ca="1">IF(timePeriod="2020-30",(VLOOKUP($P654,'TA database'!$I$8:$J$79,2,FALSE)/VLOOKUP($D654,'Merit calculation'!$B$48:$I$52,5,FALSE)/VLOOKUP($E654,'Merit calculation'!$B$67:$I$73,5,FALSE)/VLOOKUP($F654,'Merit calculation'!$B$90:$I$103,5,FALSE)/energyContentH2),(VLOOKUP($P654,'TA database'!$I$8:$J$79,2,FALSE)/VLOOKUP($D654,'Merit calculation'!$B$48:$I$52,7,FALSE)/VLOOKUP($E654,'Merit calculation'!$B$67:$I$73,7,FALSE)/VLOOKUP($F654,'Merit calculation'!$B$90:$I$103,7,FALSE)/energyContentH2))</f>
        <v>2.1143570421649285E-2</v>
      </c>
      <c r="U654">
        <f ca="1">IF(timePeriod="2020-30",(VLOOKUP($Q654,'TA database'!$I$86:$J$105,2,FALSE)/VLOOKUP($E654,'Merit calculation'!$B$67:$I$73,5,FALSE)/VLOOKUP($F654,'Merit calculation'!$B$90:$I$104,5,FALSE)/energyContentH2),VLOOKUP($Q654,'TA database'!$I$86:$J$105,2,FALSE)/VLOOKUP($E654,'Merit calculation'!$B$67:$I$73,7,FALSE)/VLOOKUP($F654,'Merit calculation'!$B$90:$I$104,7,FALSE)/energyContentH2)</f>
        <v>6.9440084450063454E-4</v>
      </c>
      <c r="V654">
        <f ca="1">IF(timePeriod="2020-30",(VLOOKUP($R654,'TA database'!$I$112:$J$139,2,FALSE)/VLOOKUP($F654,'Merit calculation'!$B$90:$I$104,5,FALSE)/energyContentH2),(VLOOKUP($R654,'TA database'!$I$112:$J$139,2,FALSE)/VLOOKUP($F654,'Merit calculation'!$B$90:$I$104,7,FALSE)/energyContentH2))</f>
        <v>1.9900144905361811E-3</v>
      </c>
      <c r="W654">
        <f>IFERROR(VLOOKUP($S654,'TA database'!$I$146:$J$193,2,FALSE),0)</f>
        <v>0</v>
      </c>
      <c r="X654">
        <f ca="1">IFERROR(VLOOKUP($S654,'TA database'!$I$200:$J$271,2,FALSE),0)</f>
        <v>6.4083910818335019E-2</v>
      </c>
      <c r="Y654">
        <f t="shared" ca="1" si="1888"/>
        <v>0.14986465954240497</v>
      </c>
      <c r="Z654" t="str">
        <f t="shared" si="1898"/>
        <v>ELCTRLYZ_LRG_C   →   C_GAS_STRG   →   H2_BLND_NG_P   →   H2_FC_DCHP_PWR</v>
      </c>
      <c r="AA654" t="str">
        <f t="shared" si="1899"/>
        <v>Grid electricity</v>
      </c>
      <c r="AB654" t="str">
        <f t="shared" si="1900"/>
        <v>Levelized cost</v>
      </c>
      <c r="AC654">
        <f t="shared" ca="1" si="1901"/>
        <v>0.14986465954240497</v>
      </c>
      <c r="AD654">
        <v>595</v>
      </c>
      <c r="AE654" t="str">
        <f>IF(AND(ISNUMBER(SEARCH(O654,4)),ISNUMBER(SEARCH('(4) FCH pathway assessment'!$B$16,AB654)),ISNUMBER(SEARCH('(4) FCH pathway assessment'!$B$10,AA654))),AD654,"")</f>
        <v/>
      </c>
      <c r="AF654" t="str">
        <f t="shared" si="1873"/>
        <v/>
      </c>
      <c r="AG654" t="str">
        <f>VLOOKUP(C654,Assumptions!$B$116:$C$162,2,FALSE)</f>
        <v>ELCTRLYZ_LRG_C</v>
      </c>
      <c r="AH654" t="str">
        <f>VLOOKUP(D654,Assumptions!$B$116:$C$162,2,FALSE)</f>
        <v>C_GAS_STRG</v>
      </c>
      <c r="AI654" t="str">
        <f>VLOOKUP(E654,Assumptions!$B$116:$C$162,2,FALSE)</f>
        <v>H2_BLND_NG_P</v>
      </c>
      <c r="AJ654" t="str">
        <f>VLOOKUP(F654,Assumptions!$B$116:$C$162,2,FALSE)</f>
        <v>H2_FC_DCHP_PWR</v>
      </c>
    </row>
    <row r="655" spans="2:36" x14ac:dyDescent="0.25">
      <c r="B655" t="s">
        <v>112</v>
      </c>
      <c r="C655" t="s">
        <v>49</v>
      </c>
      <c r="D655" t="s">
        <v>155</v>
      </c>
      <c r="E655" t="s">
        <v>122</v>
      </c>
      <c r="F655" t="s">
        <v>549</v>
      </c>
      <c r="G655" t="s">
        <v>114</v>
      </c>
      <c r="H655" t="s">
        <v>433</v>
      </c>
      <c r="I655" t="s">
        <v>32</v>
      </c>
      <c r="J655" t="s">
        <v>72</v>
      </c>
      <c r="K655">
        <f t="shared" si="1889"/>
        <v>1</v>
      </c>
      <c r="L655">
        <f t="shared" si="1890"/>
        <v>1</v>
      </c>
      <c r="M655">
        <f t="shared" si="1891"/>
        <v>1</v>
      </c>
      <c r="N655">
        <f t="shared" si="1892"/>
        <v>0</v>
      </c>
      <c r="O655">
        <f t="shared" si="1893"/>
        <v>3</v>
      </c>
      <c r="P655" t="str">
        <f t="shared" si="1894"/>
        <v>Large centralized electrolysis-Levelized cost</v>
      </c>
      <c r="Q655" t="str">
        <f t="shared" si="1895"/>
        <v>Central gas storage-Levelized cost</v>
      </c>
      <c r="R655" t="str">
        <f t="shared" si="1896"/>
        <v>Hydrogen transmission &amp; distribution pipeline-Levelized cost</v>
      </c>
      <c r="S655" t="str">
        <f t="shared" si="1897"/>
        <v>District-CHP with H2 fuel cell (power)-Levelized cost</v>
      </c>
      <c r="T655">
        <f ca="1">IF(timePeriod="2020-30",(VLOOKUP($P655,'TA database'!$I$8:$J$79,2,FALSE)/VLOOKUP($D655,'Merit calculation'!$B$48:$I$52,5,FALSE)/VLOOKUP($E655,'Merit calculation'!$B$67:$I$73,5,FALSE)/VLOOKUP($F655,'Merit calculation'!$B$90:$I$103,5,FALSE)/energyContentH2),(VLOOKUP($P655,'TA database'!$I$8:$J$79,2,FALSE)/VLOOKUP($D655,'Merit calculation'!$B$48:$I$52,7,FALSE)/VLOOKUP($E655,'Merit calculation'!$B$67:$I$73,7,FALSE)/VLOOKUP($F655,'Merit calculation'!$B$90:$I$103,7,FALSE)/energyContentH2))</f>
        <v>2.1143570421649285E-2</v>
      </c>
      <c r="U655">
        <f ca="1">IF(timePeriod="2020-30",(VLOOKUP($Q655,'TA database'!$I$86:$J$105,2,FALSE)/VLOOKUP($E655,'Merit calculation'!$B$67:$I$73,5,FALSE)/VLOOKUP($F655,'Merit calculation'!$B$90:$I$104,5,FALSE)/energyContentH2),VLOOKUP($Q655,'TA database'!$I$86:$J$105,2,FALSE)/VLOOKUP($E655,'Merit calculation'!$B$67:$I$73,7,FALSE)/VLOOKUP($F655,'Merit calculation'!$B$90:$I$104,7,FALSE)/energyContentH2)</f>
        <v>6.9440084450063454E-4</v>
      </c>
      <c r="V655">
        <f ca="1">IF(timePeriod="2020-30",(VLOOKUP($R655,'TA database'!$I$112:$J$139,2,FALSE)/VLOOKUP($F655,'Merit calculation'!$B$90:$I$104,5,FALSE)/energyContentH2),(VLOOKUP($R655,'TA database'!$I$112:$J$139,2,FALSE)/VLOOKUP($F655,'Merit calculation'!$B$90:$I$104,7,FALSE)/energyContentH2))</f>
        <v>3.7025224863029226E-3</v>
      </c>
      <c r="W655">
        <f>IFERROR(VLOOKUP($S655,'TA database'!$I$146:$J$193,2,FALSE),0)</f>
        <v>0</v>
      </c>
      <c r="X655">
        <f ca="1">IFERROR(VLOOKUP($S655,'TA database'!$I$200:$J$271,2,FALSE),0)</f>
        <v>6.4083910818335019E-2</v>
      </c>
      <c r="Y655">
        <f t="shared" ca="1" si="1888"/>
        <v>0.15602968832716524</v>
      </c>
      <c r="Z655" t="str">
        <f t="shared" si="1898"/>
        <v>ELCTRLYZ_LRG_C   →   C_GAS_STRG   →   H2_T&amp;D_P   →   H2_FC_DCHP_PWR</v>
      </c>
      <c r="AA655" t="str">
        <f t="shared" si="1899"/>
        <v>Grid electricity</v>
      </c>
      <c r="AB655" t="str">
        <f t="shared" si="1900"/>
        <v>Levelized cost</v>
      </c>
      <c r="AC655">
        <f t="shared" ca="1" si="1901"/>
        <v>0.15602968832716524</v>
      </c>
      <c r="AD655">
        <v>596</v>
      </c>
      <c r="AE655" t="str">
        <f>IF(AND(ISNUMBER(SEARCH(O655,4)),ISNUMBER(SEARCH('(4) FCH pathway assessment'!$B$16,AB655)),ISNUMBER(SEARCH('(4) FCH pathway assessment'!$B$10,AA655))),AD655,"")</f>
        <v/>
      </c>
      <c r="AF655" t="str">
        <f t="shared" si="1873"/>
        <v/>
      </c>
      <c r="AG655" t="str">
        <f>VLOOKUP(C655,Assumptions!$B$116:$C$162,2,FALSE)</f>
        <v>ELCTRLYZ_LRG_C</v>
      </c>
      <c r="AH655" t="str">
        <f>VLOOKUP(D655,Assumptions!$B$116:$C$162,2,FALSE)</f>
        <v>C_GAS_STRG</v>
      </c>
      <c r="AI655" t="str">
        <f>VLOOKUP(E655,Assumptions!$B$116:$C$162,2,FALSE)</f>
        <v>H2_T&amp;D_P</v>
      </c>
      <c r="AJ655" t="str">
        <f>VLOOKUP(F655,Assumptions!$B$116:$C$162,2,FALSE)</f>
        <v>H2_FC_DCHP_PWR</v>
      </c>
    </row>
    <row r="656" spans="2:36" x14ac:dyDescent="0.25">
      <c r="B656" t="s">
        <v>112</v>
      </c>
      <c r="C656" t="s">
        <v>49</v>
      </c>
      <c r="D656" t="s">
        <v>155</v>
      </c>
      <c r="E656" t="s">
        <v>116</v>
      </c>
      <c r="F656" t="s">
        <v>549</v>
      </c>
      <c r="G656" t="s">
        <v>114</v>
      </c>
      <c r="H656" t="s">
        <v>433</v>
      </c>
      <c r="I656" t="s">
        <v>32</v>
      </c>
      <c r="J656" t="s">
        <v>72</v>
      </c>
      <c r="K656">
        <f t="shared" si="1889"/>
        <v>1</v>
      </c>
      <c r="L656">
        <f t="shared" si="1890"/>
        <v>1</v>
      </c>
      <c r="M656">
        <f t="shared" si="1891"/>
        <v>1</v>
      </c>
      <c r="N656">
        <f t="shared" si="1892"/>
        <v>0</v>
      </c>
      <c r="O656">
        <f t="shared" si="1893"/>
        <v>3</v>
      </c>
      <c r="P656" t="str">
        <f t="shared" si="1894"/>
        <v>Large centralized electrolysis-Levelized cost</v>
      </c>
      <c r="Q656" t="str">
        <f t="shared" si="1895"/>
        <v>Central gas storage-Levelized cost</v>
      </c>
      <c r="R656" t="str">
        <f t="shared" si="1896"/>
        <v>Liquid hydrogen truck-Levelized cost</v>
      </c>
      <c r="S656" t="str">
        <f t="shared" si="1897"/>
        <v>District-CHP with H2 fuel cell (power)-Levelized cost</v>
      </c>
      <c r="T656">
        <f ca="1">IF(timePeriod="2020-30",(VLOOKUP($P656,'TA database'!$I$8:$J$79,2,FALSE)/VLOOKUP($D656,'Merit calculation'!$B$48:$I$52,5,FALSE)/VLOOKUP($E656,'Merit calculation'!$B$67:$I$73,5,FALSE)/VLOOKUP($F656,'Merit calculation'!$B$90:$I$103,5,FALSE)/energyContentH2),(VLOOKUP($P656,'TA database'!$I$8:$J$79,2,FALSE)/VLOOKUP($D656,'Merit calculation'!$B$48:$I$52,7,FALSE)/VLOOKUP($E656,'Merit calculation'!$B$67:$I$73,7,FALSE)/VLOOKUP($F656,'Merit calculation'!$B$90:$I$103,7,FALSE)/energyContentH2))</f>
        <v>2.4424894652780395E-2</v>
      </c>
      <c r="U656">
        <f ca="1">IF(timePeriod="2020-30",(VLOOKUP($Q656,'TA database'!$I$86:$J$105,2,FALSE)/VLOOKUP($E656,'Merit calculation'!$B$67:$I$73,5,FALSE)/VLOOKUP($F656,'Merit calculation'!$B$90:$I$104,5,FALSE)/energyContentH2),VLOOKUP($Q656,'TA database'!$I$86:$J$105,2,FALSE)/VLOOKUP($E656,'Merit calculation'!$B$67:$I$73,7,FALSE)/VLOOKUP($F656,'Merit calculation'!$B$90:$I$104,7,FALSE)/energyContentH2)</f>
        <v>8.0216666984320693E-4</v>
      </c>
      <c r="V656">
        <f ca="1">IF(timePeriod="2020-30",(VLOOKUP($R656,'TA database'!$I$112:$J$139,2,FALSE)/VLOOKUP($F656,'Merit calculation'!$B$90:$I$104,5,FALSE)/energyContentH2),(VLOOKUP($R656,'TA database'!$I$112:$J$139,2,FALSE)/VLOOKUP($F656,'Merit calculation'!$B$90:$I$104,7,FALSE)/energyContentH2))</f>
        <v>2.4500662962100454E-2</v>
      </c>
      <c r="W656">
        <f>IFERROR(VLOOKUP($S656,'TA database'!$I$146:$J$193,2,FALSE),0)</f>
        <v>0</v>
      </c>
      <c r="X656">
        <f ca="1">IFERROR(VLOOKUP($S656,'TA database'!$I$200:$J$271,2,FALSE),0)</f>
        <v>6.4083910818335019E-2</v>
      </c>
      <c r="Y656">
        <f t="shared" ca="1" si="1888"/>
        <v>0.24310371824334165</v>
      </c>
      <c r="Z656" t="str">
        <f t="shared" si="1898"/>
        <v>ELCTRLYZ_LRG_C   →   C_GAS_STRG   →   LQ_TRUCK   →   H2_FC_DCHP_PWR</v>
      </c>
      <c r="AA656" t="str">
        <f t="shared" si="1899"/>
        <v>Grid electricity</v>
      </c>
      <c r="AB656" t="str">
        <f t="shared" si="1900"/>
        <v>Levelized cost</v>
      </c>
      <c r="AC656">
        <f t="shared" ca="1" si="1901"/>
        <v>0.24310371824334165</v>
      </c>
      <c r="AD656">
        <v>597</v>
      </c>
      <c r="AE656" t="str">
        <f>IF(AND(ISNUMBER(SEARCH(O656,4)),ISNUMBER(SEARCH('(4) FCH pathway assessment'!$B$16,AB656)),ISNUMBER(SEARCH('(4) FCH pathway assessment'!$B$10,AA656))),AD656,"")</f>
        <v/>
      </c>
      <c r="AF656" t="str">
        <f t="shared" si="1873"/>
        <v/>
      </c>
      <c r="AG656" t="str">
        <f>VLOOKUP(C656,Assumptions!$B$116:$C$162,2,FALSE)</f>
        <v>ELCTRLYZ_LRG_C</v>
      </c>
      <c r="AH656" t="str">
        <f>VLOOKUP(D656,Assumptions!$B$116:$C$162,2,FALSE)</f>
        <v>C_GAS_STRG</v>
      </c>
      <c r="AI656" t="str">
        <f>VLOOKUP(E656,Assumptions!$B$116:$C$162,2,FALSE)</f>
        <v>LQ_TRUCK</v>
      </c>
      <c r="AJ656" t="str">
        <f>VLOOKUP(F656,Assumptions!$B$116:$C$162,2,FALSE)</f>
        <v>H2_FC_DCHP_PWR</v>
      </c>
    </row>
    <row r="657" spans="2:36" x14ac:dyDescent="0.25">
      <c r="B657" t="s">
        <v>112</v>
      </c>
      <c r="C657" t="s">
        <v>49</v>
      </c>
      <c r="D657" t="s">
        <v>155</v>
      </c>
      <c r="E657" t="s">
        <v>66</v>
      </c>
      <c r="F657" t="s">
        <v>549</v>
      </c>
      <c r="G657" t="s">
        <v>114</v>
      </c>
      <c r="H657" t="s">
        <v>433</v>
      </c>
      <c r="I657" t="s">
        <v>32</v>
      </c>
      <c r="J657" t="s">
        <v>72</v>
      </c>
      <c r="K657">
        <f t="shared" si="1889"/>
        <v>1</v>
      </c>
      <c r="L657">
        <f t="shared" si="1890"/>
        <v>1</v>
      </c>
      <c r="M657">
        <f t="shared" si="1891"/>
        <v>1</v>
      </c>
      <c r="N657">
        <f t="shared" si="1892"/>
        <v>0</v>
      </c>
      <c r="O657">
        <f t="shared" si="1893"/>
        <v>3</v>
      </c>
      <c r="P657" t="str">
        <f t="shared" si="1894"/>
        <v>Large centralized electrolysis-Levelized cost</v>
      </c>
      <c r="Q657" t="str">
        <f t="shared" si="1895"/>
        <v>Central gas storage-Levelized cost</v>
      </c>
      <c r="R657" t="str">
        <f t="shared" si="1896"/>
        <v>Onsite-Levelized cost</v>
      </c>
      <c r="S657" t="str">
        <f t="shared" si="1897"/>
        <v>District-CHP with H2 fuel cell (power)-Levelized cost</v>
      </c>
      <c r="T657">
        <f ca="1">IF(timePeriod="2020-30",(VLOOKUP($P657,'TA database'!$I$8:$J$79,2,FALSE)/VLOOKUP($D657,'Merit calculation'!$B$48:$I$52,5,FALSE)/VLOOKUP($E657,'Merit calculation'!$B$67:$I$73,5,FALSE)/VLOOKUP($F657,'Merit calculation'!$B$90:$I$103,5,FALSE)/energyContentH2),(VLOOKUP($P657,'TA database'!$I$8:$J$79,2,FALSE)/VLOOKUP($D657,'Merit calculation'!$B$48:$I$52,7,FALSE)/VLOOKUP($E657,'Merit calculation'!$B$67:$I$73,7,FALSE)/VLOOKUP($F657,'Merit calculation'!$B$90:$I$103,7,FALSE)/energyContentH2))</f>
        <v>2.0932134717432792E-2</v>
      </c>
      <c r="U657">
        <f ca="1">IF(timePeriod="2020-30",(VLOOKUP($Q657,'TA database'!$I$86:$J$105,2,FALSE)/VLOOKUP($E657,'Merit calculation'!$B$67:$I$73,5,FALSE)/VLOOKUP($F657,'Merit calculation'!$B$90:$I$104,5,FALSE)/energyContentH2),VLOOKUP($Q657,'TA database'!$I$86:$J$105,2,FALSE)/VLOOKUP($E657,'Merit calculation'!$B$67:$I$73,7,FALSE)/VLOOKUP($F657,'Merit calculation'!$B$90:$I$104,7,FALSE)/energyContentH2)</f>
        <v>6.874568360556284E-4</v>
      </c>
      <c r="V657">
        <f ca="1">IF(timePeriod="2020-30",(VLOOKUP($R657,'TA database'!$I$112:$J$139,2,FALSE)/VLOOKUP($F657,'Merit calculation'!$B$90:$I$104,5,FALSE)/energyContentH2),(VLOOKUP($R657,'TA database'!$I$112:$J$139,2,FALSE)/VLOOKUP($F657,'Merit calculation'!$B$90:$I$104,7,FALSE)/energyContentH2))</f>
        <v>0</v>
      </c>
      <c r="W657">
        <f>IFERROR(VLOOKUP($S657,'TA database'!$I$146:$J$193,2,FALSE),0)</f>
        <v>0</v>
      </c>
      <c r="X657">
        <f ca="1">IFERROR(VLOOKUP($S657,'TA database'!$I$200:$J$271,2,FALSE),0)</f>
        <v>6.4083910818335019E-2</v>
      </c>
      <c r="Y657">
        <f t="shared" ca="1" si="1888"/>
        <v>0.14191444041089332</v>
      </c>
      <c r="Z657" t="str">
        <f t="shared" si="1898"/>
        <v>ELCTRLYZ_LRG_C   →   C_GAS_STRG   →   ONSITE_USE   →   H2_FC_DCHP_PWR</v>
      </c>
      <c r="AA657" t="str">
        <f t="shared" si="1899"/>
        <v>Grid electricity</v>
      </c>
      <c r="AB657" t="str">
        <f t="shared" si="1900"/>
        <v>Levelized cost</v>
      </c>
      <c r="AC657">
        <f t="shared" ca="1" si="1901"/>
        <v>0.14191444041089332</v>
      </c>
      <c r="AD657">
        <v>598</v>
      </c>
      <c r="AE657" t="str">
        <f>IF(AND(ISNUMBER(SEARCH(O657,4)),ISNUMBER(SEARCH('(4) FCH pathway assessment'!$B$16,AB657)),ISNUMBER(SEARCH('(4) FCH pathway assessment'!$B$10,AA657))),AD657,"")</f>
        <v/>
      </c>
      <c r="AF657" t="str">
        <f t="shared" si="1873"/>
        <v/>
      </c>
      <c r="AG657" t="str">
        <f>VLOOKUP(C657,Assumptions!$B$116:$C$162,2,FALSE)</f>
        <v>ELCTRLYZ_LRG_C</v>
      </c>
      <c r="AH657" t="str">
        <f>VLOOKUP(D657,Assumptions!$B$116:$C$162,2,FALSE)</f>
        <v>C_GAS_STRG</v>
      </c>
      <c r="AI657" t="str">
        <f>VLOOKUP(E657,Assumptions!$B$116:$C$162,2,FALSE)</f>
        <v>ONSITE_USE</v>
      </c>
      <c r="AJ657" t="str">
        <f>VLOOKUP(F657,Assumptions!$B$116:$C$162,2,FALSE)</f>
        <v>H2_FC_DCHP_PWR</v>
      </c>
    </row>
    <row r="658" spans="2:36" x14ac:dyDescent="0.25">
      <c r="B658" t="s">
        <v>112</v>
      </c>
      <c r="C658" t="s">
        <v>51</v>
      </c>
      <c r="D658" t="s">
        <v>155</v>
      </c>
      <c r="E658" t="s">
        <v>157</v>
      </c>
      <c r="F658" t="s">
        <v>549</v>
      </c>
      <c r="G658" t="s">
        <v>114</v>
      </c>
      <c r="H658" t="s">
        <v>433</v>
      </c>
      <c r="I658" t="s">
        <v>32</v>
      </c>
      <c r="J658" t="s">
        <v>72</v>
      </c>
      <c r="K658">
        <f t="shared" ref="K658:K662" si="1902">SUMPRODUCT(($C$7:$C$18=$C658)*($D$6:$H$6=$D658)*($D$7:$H$18))</f>
        <v>1</v>
      </c>
      <c r="L658">
        <f t="shared" ref="L658:L662" si="1903">SUMPRODUCT(($C$19:$C$23=$D658)*($I$6:$O$6=$E658)*($I$19:$O$23))</f>
        <v>1</v>
      </c>
      <c r="M658">
        <f t="shared" ref="M658:M662" si="1904">SUMPRODUCT(($C$24:$C$30=$E658)*($P$6:$AI$6=$F658)*($P$24:$AI$30))</f>
        <v>0</v>
      </c>
      <c r="N658">
        <f t="shared" ref="N658:N662" si="1905">SUMPRODUCT(($C$31:$C$50=$F658)*($AJ$6:$AM$6=$G658)*($AJ$31:$AM$50))</f>
        <v>0</v>
      </c>
      <c r="O658">
        <f t="shared" ref="O658:O662" si="1906">K658+L658+M658+N658</f>
        <v>2</v>
      </c>
      <c r="P658" t="str">
        <f t="shared" ref="P658:P662" si="1907">CONCATENATE(C658,"-",J658)</f>
        <v>Medium centralized electrolysis-Levelized cost</v>
      </c>
      <c r="Q658" t="str">
        <f t="shared" ref="Q658:Q662" si="1908">CONCATENATE(D658,"-",J658)</f>
        <v>Central gas storage-Levelized cost</v>
      </c>
      <c r="R658" t="str">
        <f t="shared" ref="R658:R662" si="1909">CONCATENATE(E658,"-",J658)</f>
        <v>Blending in natural gas pipeline-Levelized cost</v>
      </c>
      <c r="S658" t="str">
        <f t="shared" ref="S658:S662" si="1910">CONCATENATE(F658,"-",J658)</f>
        <v>District-CHP with H2 fuel cell (power)-Levelized cost</v>
      </c>
      <c r="T658">
        <f ca="1">IF(timePeriod="2020-30",(VLOOKUP($P658,'TA database'!$I$8:$J$79,2,FALSE)/VLOOKUP($D658,'Merit calculation'!$B$48:$I$52,5,FALSE)/VLOOKUP($E658,'Merit calculation'!$B$67:$I$73,5,FALSE)/VLOOKUP($F658,'Merit calculation'!$B$90:$I$103,5,FALSE)/energyContentH2),(VLOOKUP($P658,'TA database'!$I$8:$J$79,2,FALSE)/VLOOKUP($D658,'Merit calculation'!$B$48:$I$52,7,FALSE)/VLOOKUP($E658,'Merit calculation'!$B$67:$I$73,7,FALSE)/VLOOKUP($F658,'Merit calculation'!$B$90:$I$103,7,FALSE)/energyContentH2))</f>
        <v>2.2025813402951695E-2</v>
      </c>
      <c r="U658">
        <f ca="1">IF(timePeriod="2020-30",(VLOOKUP($Q658,'TA database'!$I$86:$J$105,2,FALSE)/VLOOKUP($E658,'Merit calculation'!$B$67:$I$73,5,FALSE)/VLOOKUP($F658,'Merit calculation'!$B$90:$I$104,5,FALSE)/energyContentH2),VLOOKUP($Q658,'TA database'!$I$86:$J$105,2,FALSE)/VLOOKUP($E658,'Merit calculation'!$B$67:$I$73,7,FALSE)/VLOOKUP($F658,'Merit calculation'!$B$90:$I$104,7,FALSE)/energyContentH2)</f>
        <v>6.9440084450063454E-4</v>
      </c>
      <c r="V658">
        <f ca="1">IF(timePeriod="2020-30",(VLOOKUP($R658,'TA database'!$I$112:$J$139,2,FALSE)/VLOOKUP($F658,'Merit calculation'!$B$90:$I$104,5,FALSE)/energyContentH2),(VLOOKUP($R658,'TA database'!$I$112:$J$139,2,FALSE)/VLOOKUP($F658,'Merit calculation'!$B$90:$I$104,7,FALSE)/energyContentH2))</f>
        <v>1.9900144905361811E-3</v>
      </c>
      <c r="W658">
        <f>IFERROR(VLOOKUP($S658,'TA database'!$I$146:$J$193,2,FALSE),0)</f>
        <v>0</v>
      </c>
      <c r="X658">
        <f ca="1">IFERROR(VLOOKUP($S658,'TA database'!$I$200:$J$271,2,FALSE),0)</f>
        <v>6.4083910818335019E-2</v>
      </c>
      <c r="Y658">
        <f t="shared" ref="Y658:Y661" ca="1" si="1911">IF($W658=0,T658*3.6+U658*3.6+V658*3.6+X658,T658+U658+V658+W658)</f>
        <v>0.15304073427509365</v>
      </c>
      <c r="Z658" t="str">
        <f t="shared" ref="Z658:Z662" si="1912">CONCATENATE(AG658,"   →   ",AH658,"   →   ",AI658,"   →   ",AJ658)</f>
        <v>ELCTRLYZ_MED_C   →   C_GAS_STRG   →   H2_BLND_NG_P   →   H2_FC_DCHP_PWR</v>
      </c>
      <c r="AA658" t="str">
        <f t="shared" ref="AA658:AA662" si="1913">G658</f>
        <v>Grid electricity</v>
      </c>
      <c r="AB658" t="str">
        <f t="shared" ref="AB658:AB662" si="1914">J658</f>
        <v>Levelized cost</v>
      </c>
      <c r="AC658">
        <f t="shared" ref="AC658:AC662" ca="1" si="1915">Y658</f>
        <v>0.15304073427509365</v>
      </c>
      <c r="AD658">
        <v>599</v>
      </c>
      <c r="AE658" t="str">
        <f>IF(AND(ISNUMBER(SEARCH(O658,4)),ISNUMBER(SEARCH('(4) FCH pathway assessment'!$B$16,AB658)),ISNUMBER(SEARCH('(4) FCH pathway assessment'!$B$10,AA658))),AD658,"")</f>
        <v/>
      </c>
      <c r="AF658" t="str">
        <f t="shared" si="1873"/>
        <v/>
      </c>
      <c r="AG658" t="str">
        <f>VLOOKUP(C658,Assumptions!$B$116:$C$162,2,FALSE)</f>
        <v>ELCTRLYZ_MED_C</v>
      </c>
      <c r="AH658" t="str">
        <f>VLOOKUP(D658,Assumptions!$B$116:$C$162,2,FALSE)</f>
        <v>C_GAS_STRG</v>
      </c>
      <c r="AI658" t="str">
        <f>VLOOKUP(E658,Assumptions!$B$116:$C$162,2,FALSE)</f>
        <v>H2_BLND_NG_P</v>
      </c>
      <c r="AJ658" t="str">
        <f>VLOOKUP(F658,Assumptions!$B$116:$C$162,2,FALSE)</f>
        <v>H2_FC_DCHP_PWR</v>
      </c>
    </row>
    <row r="659" spans="2:36" x14ac:dyDescent="0.25">
      <c r="B659" t="s">
        <v>112</v>
      </c>
      <c r="C659" t="s">
        <v>51</v>
      </c>
      <c r="D659" t="s">
        <v>155</v>
      </c>
      <c r="E659" t="s">
        <v>122</v>
      </c>
      <c r="F659" t="s">
        <v>549</v>
      </c>
      <c r="G659" t="s">
        <v>114</v>
      </c>
      <c r="H659" t="s">
        <v>433</v>
      </c>
      <c r="I659" t="s">
        <v>32</v>
      </c>
      <c r="J659" t="s">
        <v>72</v>
      </c>
      <c r="K659">
        <f t="shared" si="1902"/>
        <v>1</v>
      </c>
      <c r="L659">
        <f t="shared" si="1903"/>
        <v>1</v>
      </c>
      <c r="M659">
        <f t="shared" si="1904"/>
        <v>1</v>
      </c>
      <c r="N659">
        <f t="shared" si="1905"/>
        <v>0</v>
      </c>
      <c r="O659">
        <f t="shared" si="1906"/>
        <v>3</v>
      </c>
      <c r="P659" t="str">
        <f t="shared" si="1907"/>
        <v>Medium centralized electrolysis-Levelized cost</v>
      </c>
      <c r="Q659" t="str">
        <f t="shared" si="1908"/>
        <v>Central gas storage-Levelized cost</v>
      </c>
      <c r="R659" t="str">
        <f t="shared" si="1909"/>
        <v>Hydrogen transmission &amp; distribution pipeline-Levelized cost</v>
      </c>
      <c r="S659" t="str">
        <f t="shared" si="1910"/>
        <v>District-CHP with H2 fuel cell (power)-Levelized cost</v>
      </c>
      <c r="T659">
        <f ca="1">IF(timePeriod="2020-30",(VLOOKUP($P659,'TA database'!$I$8:$J$79,2,FALSE)/VLOOKUP($D659,'Merit calculation'!$B$48:$I$52,5,FALSE)/VLOOKUP($E659,'Merit calculation'!$B$67:$I$73,5,FALSE)/VLOOKUP($F659,'Merit calculation'!$B$90:$I$103,5,FALSE)/energyContentH2),(VLOOKUP($P659,'TA database'!$I$8:$J$79,2,FALSE)/VLOOKUP($D659,'Merit calculation'!$B$48:$I$52,7,FALSE)/VLOOKUP($E659,'Merit calculation'!$B$67:$I$73,7,FALSE)/VLOOKUP($F659,'Merit calculation'!$B$90:$I$103,7,FALSE)/energyContentH2))</f>
        <v>2.2025813402951695E-2</v>
      </c>
      <c r="U659">
        <f ca="1">IF(timePeriod="2020-30",(VLOOKUP($Q659,'TA database'!$I$86:$J$105,2,FALSE)/VLOOKUP($E659,'Merit calculation'!$B$67:$I$73,5,FALSE)/VLOOKUP($F659,'Merit calculation'!$B$90:$I$104,5,FALSE)/energyContentH2),VLOOKUP($Q659,'TA database'!$I$86:$J$105,2,FALSE)/VLOOKUP($E659,'Merit calculation'!$B$67:$I$73,7,FALSE)/VLOOKUP($F659,'Merit calculation'!$B$90:$I$104,7,FALSE)/energyContentH2)</f>
        <v>6.9440084450063454E-4</v>
      </c>
      <c r="V659">
        <f ca="1">IF(timePeriod="2020-30",(VLOOKUP($R659,'TA database'!$I$112:$J$139,2,FALSE)/VLOOKUP($F659,'Merit calculation'!$B$90:$I$104,5,FALSE)/energyContentH2),(VLOOKUP($R659,'TA database'!$I$112:$J$139,2,FALSE)/VLOOKUP($F659,'Merit calculation'!$B$90:$I$104,7,FALSE)/energyContentH2))</f>
        <v>3.7025224863029226E-3</v>
      </c>
      <c r="W659">
        <f>IFERROR(VLOOKUP($S659,'TA database'!$I$146:$J$193,2,FALSE),0)</f>
        <v>0</v>
      </c>
      <c r="X659">
        <f ca="1">IFERROR(VLOOKUP($S659,'TA database'!$I$200:$J$271,2,FALSE),0)</f>
        <v>6.4083910818335019E-2</v>
      </c>
      <c r="Y659">
        <f t="shared" ca="1" si="1911"/>
        <v>0.15920576305985393</v>
      </c>
      <c r="Z659" t="str">
        <f t="shared" si="1912"/>
        <v>ELCTRLYZ_MED_C   →   C_GAS_STRG   →   H2_T&amp;D_P   →   H2_FC_DCHP_PWR</v>
      </c>
      <c r="AA659" t="str">
        <f t="shared" si="1913"/>
        <v>Grid electricity</v>
      </c>
      <c r="AB659" t="str">
        <f t="shared" si="1914"/>
        <v>Levelized cost</v>
      </c>
      <c r="AC659">
        <f t="shared" ca="1" si="1915"/>
        <v>0.15920576305985393</v>
      </c>
      <c r="AD659">
        <v>600</v>
      </c>
      <c r="AE659" t="str">
        <f>IF(AND(ISNUMBER(SEARCH(O659,4)),ISNUMBER(SEARCH('(4) FCH pathway assessment'!$B$16,AB659)),ISNUMBER(SEARCH('(4) FCH pathway assessment'!$B$10,AA659))),AD659,"")</f>
        <v/>
      </c>
      <c r="AF659" t="str">
        <f t="shared" si="1873"/>
        <v/>
      </c>
      <c r="AG659" t="str">
        <f>VLOOKUP(C659,Assumptions!$B$116:$C$162,2,FALSE)</f>
        <v>ELCTRLYZ_MED_C</v>
      </c>
      <c r="AH659" t="str">
        <f>VLOOKUP(D659,Assumptions!$B$116:$C$162,2,FALSE)</f>
        <v>C_GAS_STRG</v>
      </c>
      <c r="AI659" t="str">
        <f>VLOOKUP(E659,Assumptions!$B$116:$C$162,2,FALSE)</f>
        <v>H2_T&amp;D_P</v>
      </c>
      <c r="AJ659" t="str">
        <f>VLOOKUP(F659,Assumptions!$B$116:$C$162,2,FALSE)</f>
        <v>H2_FC_DCHP_PWR</v>
      </c>
    </row>
    <row r="660" spans="2:36" x14ac:dyDescent="0.25">
      <c r="B660" t="s">
        <v>112</v>
      </c>
      <c r="C660" t="s">
        <v>51</v>
      </c>
      <c r="D660" t="s">
        <v>155</v>
      </c>
      <c r="E660" t="s">
        <v>116</v>
      </c>
      <c r="F660" t="s">
        <v>549</v>
      </c>
      <c r="G660" t="s">
        <v>114</v>
      </c>
      <c r="H660" t="s">
        <v>433</v>
      </c>
      <c r="I660" t="s">
        <v>32</v>
      </c>
      <c r="J660" t="s">
        <v>72</v>
      </c>
      <c r="K660">
        <f t="shared" si="1902"/>
        <v>1</v>
      </c>
      <c r="L660">
        <f t="shared" si="1903"/>
        <v>1</v>
      </c>
      <c r="M660">
        <f t="shared" si="1904"/>
        <v>1</v>
      </c>
      <c r="N660">
        <f t="shared" si="1905"/>
        <v>0</v>
      </c>
      <c r="O660">
        <f t="shared" si="1906"/>
        <v>3</v>
      </c>
      <c r="P660" t="str">
        <f t="shared" si="1907"/>
        <v>Medium centralized electrolysis-Levelized cost</v>
      </c>
      <c r="Q660" t="str">
        <f t="shared" si="1908"/>
        <v>Central gas storage-Levelized cost</v>
      </c>
      <c r="R660" t="str">
        <f t="shared" si="1909"/>
        <v>Liquid hydrogen truck-Levelized cost</v>
      </c>
      <c r="S660" t="str">
        <f t="shared" si="1910"/>
        <v>District-CHP with H2 fuel cell (power)-Levelized cost</v>
      </c>
      <c r="T660">
        <f ca="1">IF(timePeriod="2020-30",(VLOOKUP($P660,'TA database'!$I$8:$J$79,2,FALSE)/VLOOKUP($D660,'Merit calculation'!$B$48:$I$52,5,FALSE)/VLOOKUP($E660,'Merit calculation'!$B$67:$I$73,5,FALSE)/VLOOKUP($F660,'Merit calculation'!$B$90:$I$103,5,FALSE)/energyContentH2),(VLOOKUP($P660,'TA database'!$I$8:$J$79,2,FALSE)/VLOOKUP($D660,'Merit calculation'!$B$48:$I$52,7,FALSE)/VLOOKUP($E660,'Merit calculation'!$B$67:$I$73,7,FALSE)/VLOOKUP($F660,'Merit calculation'!$B$90:$I$103,7,FALSE)/energyContentH2))</f>
        <v>2.5444055156268585E-2</v>
      </c>
      <c r="U660">
        <f ca="1">IF(timePeriod="2020-30",(VLOOKUP($Q660,'TA database'!$I$86:$J$105,2,FALSE)/VLOOKUP($E660,'Merit calculation'!$B$67:$I$73,5,FALSE)/VLOOKUP($F660,'Merit calculation'!$B$90:$I$104,5,FALSE)/energyContentH2),VLOOKUP($Q660,'TA database'!$I$86:$J$105,2,FALSE)/VLOOKUP($E660,'Merit calculation'!$B$67:$I$73,7,FALSE)/VLOOKUP($F660,'Merit calculation'!$B$90:$I$104,7,FALSE)/energyContentH2)</f>
        <v>8.0216666984320693E-4</v>
      </c>
      <c r="V660">
        <f ca="1">IF(timePeriod="2020-30",(VLOOKUP($R660,'TA database'!$I$112:$J$139,2,FALSE)/VLOOKUP($F660,'Merit calculation'!$B$90:$I$104,5,FALSE)/energyContentH2),(VLOOKUP($R660,'TA database'!$I$112:$J$139,2,FALSE)/VLOOKUP($F660,'Merit calculation'!$B$90:$I$104,7,FALSE)/energyContentH2))</f>
        <v>2.4500662962100454E-2</v>
      </c>
      <c r="W660">
        <f>IFERROR(VLOOKUP($S660,'TA database'!$I$146:$J$193,2,FALSE),0)</f>
        <v>0</v>
      </c>
      <c r="X660">
        <f ca="1">IFERROR(VLOOKUP($S660,'TA database'!$I$200:$J$271,2,FALSE),0)</f>
        <v>6.4083910818335019E-2</v>
      </c>
      <c r="Y660">
        <f t="shared" ca="1" si="1911"/>
        <v>0.24677269605589913</v>
      </c>
      <c r="Z660" t="str">
        <f t="shared" si="1912"/>
        <v>ELCTRLYZ_MED_C   →   C_GAS_STRG   →   LQ_TRUCK   →   H2_FC_DCHP_PWR</v>
      </c>
      <c r="AA660" t="str">
        <f t="shared" si="1913"/>
        <v>Grid electricity</v>
      </c>
      <c r="AB660" t="str">
        <f t="shared" si="1914"/>
        <v>Levelized cost</v>
      </c>
      <c r="AC660">
        <f t="shared" ca="1" si="1915"/>
        <v>0.24677269605589913</v>
      </c>
      <c r="AD660">
        <v>601</v>
      </c>
      <c r="AE660" t="str">
        <f>IF(AND(ISNUMBER(SEARCH(O660,4)),ISNUMBER(SEARCH('(4) FCH pathway assessment'!$B$16,AB660)),ISNUMBER(SEARCH('(4) FCH pathway assessment'!$B$10,AA660))),AD660,"")</f>
        <v/>
      </c>
      <c r="AF660" t="str">
        <f t="shared" si="1873"/>
        <v/>
      </c>
      <c r="AG660" t="str">
        <f>VLOOKUP(C660,Assumptions!$B$116:$C$162,2,FALSE)</f>
        <v>ELCTRLYZ_MED_C</v>
      </c>
      <c r="AH660" t="str">
        <f>VLOOKUP(D660,Assumptions!$B$116:$C$162,2,FALSE)</f>
        <v>C_GAS_STRG</v>
      </c>
      <c r="AI660" t="str">
        <f>VLOOKUP(E660,Assumptions!$B$116:$C$162,2,FALSE)</f>
        <v>LQ_TRUCK</v>
      </c>
      <c r="AJ660" t="str">
        <f>VLOOKUP(F660,Assumptions!$B$116:$C$162,2,FALSE)</f>
        <v>H2_FC_DCHP_PWR</v>
      </c>
    </row>
    <row r="661" spans="2:36" x14ac:dyDescent="0.25">
      <c r="B661" t="s">
        <v>112</v>
      </c>
      <c r="C661" t="s">
        <v>51</v>
      </c>
      <c r="D661" t="s">
        <v>155</v>
      </c>
      <c r="E661" t="s">
        <v>66</v>
      </c>
      <c r="F661" t="s">
        <v>549</v>
      </c>
      <c r="G661" t="s">
        <v>114</v>
      </c>
      <c r="H661" t="s">
        <v>433</v>
      </c>
      <c r="I661" t="s">
        <v>32</v>
      </c>
      <c r="J661" t="s">
        <v>72</v>
      </c>
      <c r="K661">
        <f t="shared" si="1902"/>
        <v>1</v>
      </c>
      <c r="L661">
        <f t="shared" si="1903"/>
        <v>1</v>
      </c>
      <c r="M661">
        <f t="shared" si="1904"/>
        <v>1</v>
      </c>
      <c r="N661">
        <f t="shared" si="1905"/>
        <v>0</v>
      </c>
      <c r="O661">
        <f t="shared" si="1906"/>
        <v>3</v>
      </c>
      <c r="P661" t="str">
        <f t="shared" si="1907"/>
        <v>Medium centralized electrolysis-Levelized cost</v>
      </c>
      <c r="Q661" t="str">
        <f t="shared" si="1908"/>
        <v>Central gas storage-Levelized cost</v>
      </c>
      <c r="R661" t="str">
        <f t="shared" si="1909"/>
        <v>Onsite-Levelized cost</v>
      </c>
      <c r="S661" t="str">
        <f t="shared" si="1910"/>
        <v>District-CHP with H2 fuel cell (power)-Levelized cost</v>
      </c>
      <c r="T661">
        <f ca="1">IF(timePeriod="2020-30",(VLOOKUP($P661,'TA database'!$I$8:$J$79,2,FALSE)/VLOOKUP($D661,'Merit calculation'!$B$48:$I$52,5,FALSE)/VLOOKUP($E661,'Merit calculation'!$B$67:$I$73,5,FALSE)/VLOOKUP($F661,'Merit calculation'!$B$90:$I$103,5,FALSE)/energyContentH2),(VLOOKUP($P661,'TA database'!$I$8:$J$79,2,FALSE)/VLOOKUP($D661,'Merit calculation'!$B$48:$I$52,7,FALSE)/VLOOKUP($E661,'Merit calculation'!$B$67:$I$73,7,FALSE)/VLOOKUP($F661,'Merit calculation'!$B$90:$I$103,7,FALSE)/energyContentH2))</f>
        <v>2.180555526892218E-2</v>
      </c>
      <c r="U661">
        <f ca="1">IF(timePeriod="2020-30",(VLOOKUP($Q661,'TA database'!$I$86:$J$105,2,FALSE)/VLOOKUP($E661,'Merit calculation'!$B$67:$I$73,5,FALSE)/VLOOKUP($F661,'Merit calculation'!$B$90:$I$104,5,FALSE)/energyContentH2),VLOOKUP($Q661,'TA database'!$I$86:$J$105,2,FALSE)/VLOOKUP($E661,'Merit calculation'!$B$67:$I$73,7,FALSE)/VLOOKUP($F661,'Merit calculation'!$B$90:$I$104,7,FALSE)/energyContentH2)</f>
        <v>6.874568360556284E-4</v>
      </c>
      <c r="V661">
        <f ca="1">IF(timePeriod="2020-30",(VLOOKUP($R661,'TA database'!$I$112:$J$139,2,FALSE)/VLOOKUP($F661,'Merit calculation'!$B$90:$I$104,5,FALSE)/energyContentH2),(VLOOKUP($R661,'TA database'!$I$112:$J$139,2,FALSE)/VLOOKUP($F661,'Merit calculation'!$B$90:$I$104,7,FALSE)/energyContentH2))</f>
        <v>0</v>
      </c>
      <c r="W661">
        <f>IFERROR(VLOOKUP($S661,'TA database'!$I$146:$J$193,2,FALSE),0)</f>
        <v>0</v>
      </c>
      <c r="X661">
        <f ca="1">IFERROR(VLOOKUP($S661,'TA database'!$I$200:$J$271,2,FALSE),0)</f>
        <v>6.4083910818335019E-2</v>
      </c>
      <c r="Y661">
        <f t="shared" ca="1" si="1911"/>
        <v>0.14505875439625512</v>
      </c>
      <c r="Z661" t="str">
        <f t="shared" si="1912"/>
        <v>ELCTRLYZ_MED_C   →   C_GAS_STRG   →   ONSITE_USE   →   H2_FC_DCHP_PWR</v>
      </c>
      <c r="AA661" t="str">
        <f t="shared" si="1913"/>
        <v>Grid electricity</v>
      </c>
      <c r="AB661" t="str">
        <f t="shared" si="1914"/>
        <v>Levelized cost</v>
      </c>
      <c r="AC661">
        <f t="shared" ca="1" si="1915"/>
        <v>0.14505875439625512</v>
      </c>
      <c r="AD661">
        <v>602</v>
      </c>
      <c r="AE661" t="str">
        <f>IF(AND(ISNUMBER(SEARCH(O661,4)),ISNUMBER(SEARCH('(4) FCH pathway assessment'!$B$16,AB661)),ISNUMBER(SEARCH('(4) FCH pathway assessment'!$B$10,AA661))),AD661,"")</f>
        <v/>
      </c>
      <c r="AF661" t="str">
        <f t="shared" si="1873"/>
        <v/>
      </c>
      <c r="AG661" t="str">
        <f>VLOOKUP(C661,Assumptions!$B$116:$C$162,2,FALSE)</f>
        <v>ELCTRLYZ_MED_C</v>
      </c>
      <c r="AH661" t="str">
        <f>VLOOKUP(D661,Assumptions!$B$116:$C$162,2,FALSE)</f>
        <v>C_GAS_STRG</v>
      </c>
      <c r="AI661" t="str">
        <f>VLOOKUP(E661,Assumptions!$B$116:$C$162,2,FALSE)</f>
        <v>ONSITE_USE</v>
      </c>
      <c r="AJ661" t="str">
        <f>VLOOKUP(F661,Assumptions!$B$116:$C$162,2,FALSE)</f>
        <v>H2_FC_DCHP_PWR</v>
      </c>
    </row>
    <row r="662" spans="2:36" x14ac:dyDescent="0.25">
      <c r="B662" t="s">
        <v>112</v>
      </c>
      <c r="C662" t="s">
        <v>52</v>
      </c>
      <c r="D662" s="60" t="s">
        <v>130</v>
      </c>
      <c r="E662" t="s">
        <v>66</v>
      </c>
      <c r="F662" t="s">
        <v>549</v>
      </c>
      <c r="G662" t="s">
        <v>114</v>
      </c>
      <c r="H662" t="s">
        <v>433</v>
      </c>
      <c r="I662" t="s">
        <v>32</v>
      </c>
      <c r="J662" t="s">
        <v>72</v>
      </c>
      <c r="K662">
        <f t="shared" si="1902"/>
        <v>1</v>
      </c>
      <c r="L662">
        <f t="shared" si="1903"/>
        <v>1</v>
      </c>
      <c r="M662">
        <f t="shared" si="1904"/>
        <v>1</v>
      </c>
      <c r="N662">
        <f t="shared" si="1905"/>
        <v>0</v>
      </c>
      <c r="O662">
        <f t="shared" si="1906"/>
        <v>3</v>
      </c>
      <c r="P662" t="str">
        <f t="shared" si="1907"/>
        <v>Small decentralized electrolysis-Levelized cost</v>
      </c>
      <c r="Q662" t="str">
        <f t="shared" si="1908"/>
        <v>Distributed gas storage-Levelized cost</v>
      </c>
      <c r="R662" t="str">
        <f t="shared" si="1909"/>
        <v>Onsite-Levelized cost</v>
      </c>
      <c r="S662" t="str">
        <f t="shared" si="1910"/>
        <v>District-CHP with H2 fuel cell (power)-Levelized cost</v>
      </c>
      <c r="T662">
        <f ca="1">IF(timePeriod="2020-30",(VLOOKUP($P662,'TA database'!$I$8:$J$79,2,FALSE)/VLOOKUP($D662,'Merit calculation'!$B$48:$I$52,5,FALSE)/VLOOKUP($E662,'Merit calculation'!$B$67:$I$73,5,FALSE)/VLOOKUP($F662,'Merit calculation'!$B$90:$I$103,5,FALSE)/energyContentH2),(VLOOKUP($P662,'TA database'!$I$8:$J$79,2,FALSE)/VLOOKUP($D662,'Merit calculation'!$B$48:$I$52,7,FALSE)/VLOOKUP($E662,'Merit calculation'!$B$67:$I$73,7,FALSE)/VLOOKUP($F662,'Merit calculation'!$B$90:$I$103,7,FALSE)/energyContentH2))</f>
        <v>2.4361602174479965E-2</v>
      </c>
      <c r="U662">
        <f ca="1">IF(timePeriod="2020-30",(VLOOKUP($Q662,'TA database'!$I$86:$J$105,2,FALSE)/VLOOKUP($E662,'Merit calculation'!$B$67:$I$73,5,FALSE)/VLOOKUP($F662,'Merit calculation'!$B$90:$I$104,5,FALSE)/energyContentH2),VLOOKUP($Q662,'TA database'!$I$86:$J$105,2,FALSE)/VLOOKUP($E662,'Merit calculation'!$B$67:$I$73,7,FALSE)/VLOOKUP($F662,'Merit calculation'!$B$90:$I$104,7,FALSE)/energyContentH2)</f>
        <v>1.2221454863211171E-3</v>
      </c>
      <c r="V662">
        <f ca="1">IF(timePeriod="2020-30",(VLOOKUP($R662,'TA database'!$I$112:$J$139,2,FALSE)/VLOOKUP($F662,'Merit calculation'!$B$90:$I$104,5,FALSE)/energyContentH2),(VLOOKUP($R662,'TA database'!$I$112:$J$139,2,FALSE)/VLOOKUP($F662,'Merit calculation'!$B$90:$I$104,7,FALSE)/energyContentH2))</f>
        <v>0</v>
      </c>
      <c r="W662">
        <f>IFERROR(VLOOKUP($S662,'TA database'!$I$146:$J$193,2,FALSE),0)</f>
        <v>0</v>
      </c>
      <c r="X662">
        <f ca="1">IFERROR(VLOOKUP($S662,'TA database'!$I$200:$J$271,2,FALSE),0)</f>
        <v>6.4083910818335019E-2</v>
      </c>
      <c r="Y662">
        <f t="shared" ref="Y662:Y667" ca="1" si="1916">IF($W662=0,T662*3.6+U662*3.6+V662*3.6+X662,T662+U662+V662+W662)</f>
        <v>0.1561854023972189</v>
      </c>
      <c r="Z662" t="str">
        <f t="shared" si="1912"/>
        <v>ELCTRLYZ_SML_D   →   D_GAS_STRG   →   ONSITE_USE   →   H2_FC_DCHP_PWR</v>
      </c>
      <c r="AA662" t="str">
        <f t="shared" si="1913"/>
        <v>Grid electricity</v>
      </c>
      <c r="AB662" t="str">
        <f t="shared" si="1914"/>
        <v>Levelized cost</v>
      </c>
      <c r="AC662">
        <f t="shared" ca="1" si="1915"/>
        <v>0.1561854023972189</v>
      </c>
      <c r="AD662">
        <v>603</v>
      </c>
      <c r="AE662" t="str">
        <f>IF(AND(ISNUMBER(SEARCH(O662,4)),ISNUMBER(SEARCH('(4) FCH pathway assessment'!$B$16,AB662)),ISNUMBER(SEARCH('(4) FCH pathway assessment'!$B$10,AA662))),AD662,"")</f>
        <v/>
      </c>
      <c r="AF662" t="str">
        <f t="shared" si="1873"/>
        <v/>
      </c>
      <c r="AG662" t="str">
        <f>VLOOKUP(C662,Assumptions!$B$116:$C$162,2,FALSE)</f>
        <v>ELCTRLYZ_SML_D</v>
      </c>
      <c r="AH662" t="str">
        <f>VLOOKUP(D662,Assumptions!$B$116:$C$162,2,FALSE)</f>
        <v>D_GAS_STRG</v>
      </c>
      <c r="AI662" t="str">
        <f>VLOOKUP(E662,Assumptions!$B$116:$C$162,2,FALSE)</f>
        <v>ONSITE_USE</v>
      </c>
      <c r="AJ662" t="str">
        <f>VLOOKUP(F662,Assumptions!$B$116:$C$162,2,FALSE)</f>
        <v>H2_FC_DCHP_PWR</v>
      </c>
    </row>
    <row r="663" spans="2:36" x14ac:dyDescent="0.25">
      <c r="B663" t="s">
        <v>127</v>
      </c>
      <c r="C663" t="s">
        <v>57</v>
      </c>
      <c r="D663" t="s">
        <v>62</v>
      </c>
      <c r="E663" t="s">
        <v>157</v>
      </c>
      <c r="F663" t="s">
        <v>549</v>
      </c>
      <c r="G663" t="s">
        <v>114</v>
      </c>
      <c r="H663" t="s">
        <v>433</v>
      </c>
      <c r="I663" t="s">
        <v>32</v>
      </c>
      <c r="J663" t="s">
        <v>72</v>
      </c>
      <c r="K663">
        <f t="shared" ref="K663:K671" si="1917">SUMPRODUCT(($C$7:$C$18=$C663)*($D$6:$H$6=$D663)*($D$7:$H$18))</f>
        <v>1</v>
      </c>
      <c r="L663">
        <f t="shared" ref="L663:L671" si="1918">SUMPRODUCT(($C$19:$C$23=$D663)*($I$6:$O$6=$E663)*($I$19:$O$23))</f>
        <v>0</v>
      </c>
      <c r="M663">
        <f t="shared" ref="M663:M671" si="1919">SUMPRODUCT(($C$24:$C$30=$E663)*($P$6:$AI$6=$F663)*($P$24:$AI$30))</f>
        <v>0</v>
      </c>
      <c r="N663">
        <f t="shared" ref="N663:N671" si="1920">SUMPRODUCT(($C$31:$C$50=$F663)*($AJ$6:$AM$6=$G663)*($AJ$31:$AM$50))</f>
        <v>0</v>
      </c>
      <c r="O663">
        <f t="shared" ref="O663:O671" si="1921">K663+L663+M663+N663</f>
        <v>1</v>
      </c>
      <c r="P663" t="str">
        <f t="shared" ref="P663:P671" si="1922">CONCATENATE(C663,"-",J663)</f>
        <v>Large centralized natural gas steam reforming-Levelized cost</v>
      </c>
      <c r="Q663" t="str">
        <f t="shared" ref="Q663:Q671" si="1923">CONCATENATE(D663,"-",J663)</f>
        <v>Underground storage-Levelized cost</v>
      </c>
      <c r="R663" t="str">
        <f t="shared" ref="R663:R671" si="1924">CONCATENATE(E663,"-",J663)</f>
        <v>Blending in natural gas pipeline-Levelized cost</v>
      </c>
      <c r="S663" t="str">
        <f t="shared" ref="S663:S671" si="1925">CONCATENATE(F663,"-",J663)</f>
        <v>District-CHP with H2 fuel cell (power)-Levelized cost</v>
      </c>
      <c r="T663">
        <f ca="1">IF(timePeriod="2020-30",(VLOOKUP($P663,'TA database'!$I$8:$J$79,2,FALSE)/VLOOKUP($D663,'Merit calculation'!$B$48:$I$52,5,FALSE)/VLOOKUP($E663,'Merit calculation'!$B$67:$I$73,5,FALSE)/VLOOKUP($F663,'Merit calculation'!$B$90:$I$103,5,FALSE)/energyContentH2),(VLOOKUP($P663,'TA database'!$I$8:$J$79,2,FALSE)/VLOOKUP($D663,'Merit calculation'!$B$48:$I$52,7,FALSE)/VLOOKUP($E663,'Merit calculation'!$B$67:$I$73,7,FALSE)/VLOOKUP($F663,'Merit calculation'!$B$90:$I$103,7,FALSE)/energyContentH2))</f>
        <v>4.8311842369050929E-2</v>
      </c>
      <c r="U663">
        <f ca="1">IF(timePeriod="2020-30",(VLOOKUP($Q663,'TA database'!$I$86:$J$105,2,FALSE)/VLOOKUP($E663,'Merit calculation'!$B$67:$I$73,5,FALSE)/VLOOKUP($F663,'Merit calculation'!$B$90:$I$104,5,FALSE)/energyContentH2),VLOOKUP($Q663,'TA database'!$I$86:$J$105,2,FALSE)/VLOOKUP($E663,'Merit calculation'!$B$67:$I$73,7,FALSE)/VLOOKUP($F663,'Merit calculation'!$B$90:$I$104,7,FALSE)/energyContentH2)</f>
        <v>1.3830864557131986E-4</v>
      </c>
      <c r="V663">
        <f ca="1">IF(timePeriod="2020-30",(VLOOKUP($R663,'TA database'!$I$112:$J$139,2,FALSE)/VLOOKUP($F663,'Merit calculation'!$B$90:$I$104,5,FALSE)/energyContentH2),(VLOOKUP($R663,'TA database'!$I$112:$J$139,2,FALSE)/VLOOKUP($F663,'Merit calculation'!$B$90:$I$104,7,FALSE)/energyContentH2))</f>
        <v>1.9900144905361811E-3</v>
      </c>
      <c r="W663">
        <f>IFERROR(VLOOKUP($S663,'TA database'!$I$146:$J$193,2,FALSE),0)</f>
        <v>0</v>
      </c>
      <c r="X663">
        <f ca="1">IFERROR(VLOOKUP($S663,'TA database'!$I$200:$J$271,2,FALSE),0)</f>
        <v>6.4083910818335019E-2</v>
      </c>
      <c r="Y663">
        <f t="shared" ca="1" si="1916"/>
        <v>0.24566850663690537</v>
      </c>
      <c r="Z663" t="str">
        <f t="shared" ref="Z663:Z671" si="1926">CONCATENATE(AG663,"   →   ",AH663,"   →   ",AI663,"   →   ",AJ663)</f>
        <v>NG_SR_LRG_C   →   C_UNDRGRND_STRG   →   H2_BLND_NG_P   →   H2_FC_DCHP_PWR</v>
      </c>
      <c r="AA663" t="str">
        <f t="shared" ref="AA663:AA671" si="1927">G663</f>
        <v>Grid electricity</v>
      </c>
      <c r="AB663" t="str">
        <f t="shared" ref="AB663:AB671" si="1928">J663</f>
        <v>Levelized cost</v>
      </c>
      <c r="AC663">
        <f t="shared" ref="AC663:AC671" ca="1" si="1929">Y663</f>
        <v>0.24566850663690537</v>
      </c>
      <c r="AD663">
        <v>604</v>
      </c>
      <c r="AE663" t="str">
        <f>IF(AND(ISNUMBER(SEARCH(O663,4)),ISNUMBER(SEARCH('(4) FCH pathway assessment'!$B$16,AB663)),ISNUMBER(SEARCH('(4) FCH pathway assessment'!$B$10,AA663))),AD663,"")</f>
        <v/>
      </c>
      <c r="AF663" t="str">
        <f t="shared" si="1873"/>
        <v/>
      </c>
      <c r="AG663" t="str">
        <f>VLOOKUP(C663,Assumptions!$B$116:$C$162,2,FALSE)</f>
        <v>NG_SR_LRG_C</v>
      </c>
      <c r="AH663" t="str">
        <f>VLOOKUP(D663,Assumptions!$B$116:$C$162,2,FALSE)</f>
        <v>C_UNDRGRND_STRG</v>
      </c>
      <c r="AI663" t="str">
        <f>VLOOKUP(E663,Assumptions!$B$116:$C$162,2,FALSE)</f>
        <v>H2_BLND_NG_P</v>
      </c>
      <c r="AJ663" t="str">
        <f>VLOOKUP(F663,Assumptions!$B$116:$C$162,2,FALSE)</f>
        <v>H2_FC_DCHP_PWR</v>
      </c>
    </row>
    <row r="664" spans="2:36" x14ac:dyDescent="0.25">
      <c r="B664" t="s">
        <v>127</v>
      </c>
      <c r="C664" t="s">
        <v>57</v>
      </c>
      <c r="D664" t="s">
        <v>62</v>
      </c>
      <c r="E664" t="s">
        <v>122</v>
      </c>
      <c r="F664" t="s">
        <v>549</v>
      </c>
      <c r="G664" t="s">
        <v>114</v>
      </c>
      <c r="H664" t="s">
        <v>433</v>
      </c>
      <c r="I664" t="s">
        <v>32</v>
      </c>
      <c r="J664" t="s">
        <v>72</v>
      </c>
      <c r="K664">
        <f t="shared" si="1917"/>
        <v>1</v>
      </c>
      <c r="L664">
        <f t="shared" si="1918"/>
        <v>0</v>
      </c>
      <c r="M664">
        <f t="shared" si="1919"/>
        <v>1</v>
      </c>
      <c r="N664">
        <f t="shared" si="1920"/>
        <v>0</v>
      </c>
      <c r="O664">
        <f t="shared" si="1921"/>
        <v>2</v>
      </c>
      <c r="P664" t="str">
        <f t="shared" si="1922"/>
        <v>Large centralized natural gas steam reforming-Levelized cost</v>
      </c>
      <c r="Q664" t="str">
        <f t="shared" si="1923"/>
        <v>Underground storage-Levelized cost</v>
      </c>
      <c r="R664" t="str">
        <f t="shared" si="1924"/>
        <v>Hydrogen transmission &amp; distribution pipeline-Levelized cost</v>
      </c>
      <c r="S664" t="str">
        <f t="shared" si="1925"/>
        <v>District-CHP with H2 fuel cell (power)-Levelized cost</v>
      </c>
      <c r="T664">
        <f ca="1">IF(timePeriod="2020-30",(VLOOKUP($P664,'TA database'!$I$8:$J$79,2,FALSE)/VLOOKUP($D664,'Merit calculation'!$B$48:$I$52,5,FALSE)/VLOOKUP($E664,'Merit calculation'!$B$67:$I$73,5,FALSE)/VLOOKUP($F664,'Merit calculation'!$B$90:$I$103,5,FALSE)/energyContentH2),(VLOOKUP($P664,'TA database'!$I$8:$J$79,2,FALSE)/VLOOKUP($D664,'Merit calculation'!$B$48:$I$52,7,FALSE)/VLOOKUP($E664,'Merit calculation'!$B$67:$I$73,7,FALSE)/VLOOKUP($F664,'Merit calculation'!$B$90:$I$103,7,FALSE)/energyContentH2))</f>
        <v>4.8311842369050929E-2</v>
      </c>
      <c r="U664">
        <f ca="1">IF(timePeriod="2020-30",(VLOOKUP($Q664,'TA database'!$I$86:$J$105,2,FALSE)/VLOOKUP($E664,'Merit calculation'!$B$67:$I$73,5,FALSE)/VLOOKUP($F664,'Merit calculation'!$B$90:$I$104,5,FALSE)/energyContentH2),VLOOKUP($Q664,'TA database'!$I$86:$J$105,2,FALSE)/VLOOKUP($E664,'Merit calculation'!$B$67:$I$73,7,FALSE)/VLOOKUP($F664,'Merit calculation'!$B$90:$I$104,7,FALSE)/energyContentH2)</f>
        <v>1.3830864557131986E-4</v>
      </c>
      <c r="V664">
        <f ca="1">IF(timePeriod="2020-30",(VLOOKUP($R664,'TA database'!$I$112:$J$139,2,FALSE)/VLOOKUP($F664,'Merit calculation'!$B$90:$I$104,5,FALSE)/energyContentH2),(VLOOKUP($R664,'TA database'!$I$112:$J$139,2,FALSE)/VLOOKUP($F664,'Merit calculation'!$B$90:$I$104,7,FALSE)/energyContentH2))</f>
        <v>3.7025224863029226E-3</v>
      </c>
      <c r="W664">
        <f>IFERROR(VLOOKUP($S664,'TA database'!$I$146:$J$193,2,FALSE),0)</f>
        <v>0</v>
      </c>
      <c r="X664">
        <f ca="1">IFERROR(VLOOKUP($S664,'TA database'!$I$200:$J$271,2,FALSE),0)</f>
        <v>6.4083910818335019E-2</v>
      </c>
      <c r="Y664">
        <f t="shared" ca="1" si="1916"/>
        <v>0.25183353542166564</v>
      </c>
      <c r="Z664" t="str">
        <f t="shared" si="1926"/>
        <v>NG_SR_LRG_C   →   C_UNDRGRND_STRG   →   H2_T&amp;D_P   →   H2_FC_DCHP_PWR</v>
      </c>
      <c r="AA664" t="str">
        <f t="shared" si="1927"/>
        <v>Grid electricity</v>
      </c>
      <c r="AB664" t="str">
        <f t="shared" si="1928"/>
        <v>Levelized cost</v>
      </c>
      <c r="AC664">
        <f t="shared" ca="1" si="1929"/>
        <v>0.25183353542166564</v>
      </c>
      <c r="AD664">
        <v>605</v>
      </c>
      <c r="AE664" t="str">
        <f>IF(AND(ISNUMBER(SEARCH(O664,4)),ISNUMBER(SEARCH('(4) FCH pathway assessment'!$B$16,AB664)),ISNUMBER(SEARCH('(4) FCH pathway assessment'!$B$10,AA664))),AD664,"")</f>
        <v/>
      </c>
      <c r="AF664" t="str">
        <f t="shared" si="1873"/>
        <v/>
      </c>
      <c r="AG664" t="str">
        <f>VLOOKUP(C664,Assumptions!$B$116:$C$162,2,FALSE)</f>
        <v>NG_SR_LRG_C</v>
      </c>
      <c r="AH664" t="str">
        <f>VLOOKUP(D664,Assumptions!$B$116:$C$162,2,FALSE)</f>
        <v>C_UNDRGRND_STRG</v>
      </c>
      <c r="AI664" t="str">
        <f>VLOOKUP(E664,Assumptions!$B$116:$C$162,2,FALSE)</f>
        <v>H2_T&amp;D_P</v>
      </c>
      <c r="AJ664" t="str">
        <f>VLOOKUP(F664,Assumptions!$B$116:$C$162,2,FALSE)</f>
        <v>H2_FC_DCHP_PWR</v>
      </c>
    </row>
    <row r="665" spans="2:36" x14ac:dyDescent="0.25">
      <c r="B665" t="s">
        <v>127</v>
      </c>
      <c r="C665" t="s">
        <v>57</v>
      </c>
      <c r="D665" t="s">
        <v>62</v>
      </c>
      <c r="E665" t="s">
        <v>116</v>
      </c>
      <c r="F665" t="s">
        <v>549</v>
      </c>
      <c r="G665" t="s">
        <v>114</v>
      </c>
      <c r="H665" t="s">
        <v>433</v>
      </c>
      <c r="I665" t="s">
        <v>32</v>
      </c>
      <c r="J665" t="s">
        <v>72</v>
      </c>
      <c r="K665">
        <f t="shared" si="1917"/>
        <v>1</v>
      </c>
      <c r="L665">
        <f t="shared" si="1918"/>
        <v>0</v>
      </c>
      <c r="M665">
        <f t="shared" si="1919"/>
        <v>1</v>
      </c>
      <c r="N665">
        <f t="shared" si="1920"/>
        <v>0</v>
      </c>
      <c r="O665">
        <f t="shared" si="1921"/>
        <v>2</v>
      </c>
      <c r="P665" t="str">
        <f t="shared" si="1922"/>
        <v>Large centralized natural gas steam reforming-Levelized cost</v>
      </c>
      <c r="Q665" t="str">
        <f t="shared" si="1923"/>
        <v>Underground storage-Levelized cost</v>
      </c>
      <c r="R665" t="str">
        <f t="shared" si="1924"/>
        <v>Liquid hydrogen truck-Levelized cost</v>
      </c>
      <c r="S665" t="str">
        <f t="shared" si="1925"/>
        <v>District-CHP with H2 fuel cell (power)-Levelized cost</v>
      </c>
      <c r="T665">
        <f ca="1">IF(timePeriod="2020-30",(VLOOKUP($P665,'TA database'!$I$8:$J$79,2,FALSE)/VLOOKUP($D665,'Merit calculation'!$B$48:$I$52,5,FALSE)/VLOOKUP($E665,'Merit calculation'!$B$67:$I$73,5,FALSE)/VLOOKUP($F665,'Merit calculation'!$B$90:$I$103,5,FALSE)/energyContentH2),(VLOOKUP($P665,'TA database'!$I$8:$J$79,2,FALSE)/VLOOKUP($D665,'Merit calculation'!$B$48:$I$52,7,FALSE)/VLOOKUP($E665,'Merit calculation'!$B$67:$I$73,7,FALSE)/VLOOKUP($F665,'Merit calculation'!$B$90:$I$103,7,FALSE)/energyContentH2))</f>
        <v>5.5809479516173183E-2</v>
      </c>
      <c r="U665">
        <f ca="1">IF(timePeriod="2020-30",(VLOOKUP($Q665,'TA database'!$I$86:$J$105,2,FALSE)/VLOOKUP($E665,'Merit calculation'!$B$67:$I$73,5,FALSE)/VLOOKUP($F665,'Merit calculation'!$B$90:$I$104,5,FALSE)/energyContentH2),VLOOKUP($Q665,'TA database'!$I$86:$J$105,2,FALSE)/VLOOKUP($E665,'Merit calculation'!$B$67:$I$73,7,FALSE)/VLOOKUP($F665,'Merit calculation'!$B$90:$I$104,7,FALSE)/energyContentH2)</f>
        <v>1.5977311448728902E-4</v>
      </c>
      <c r="V665">
        <f ca="1">IF(timePeriod="2020-30",(VLOOKUP($R665,'TA database'!$I$112:$J$139,2,FALSE)/VLOOKUP($F665,'Merit calculation'!$B$90:$I$104,5,FALSE)/energyContentH2),(VLOOKUP($R665,'TA database'!$I$112:$J$139,2,FALSE)/VLOOKUP($F665,'Merit calculation'!$B$90:$I$104,7,FALSE)/energyContentH2))</f>
        <v>2.4500662962100454E-2</v>
      </c>
      <c r="W665">
        <f>IFERROR(VLOOKUP($S665,'TA database'!$I$146:$J$193,2,FALSE),0)</f>
        <v>0</v>
      </c>
      <c r="X665">
        <f ca="1">IFERROR(VLOOKUP($S665,'TA database'!$I$200:$J$271,2,FALSE),0)</f>
        <v>6.4083910818335019E-2</v>
      </c>
      <c r="Y665">
        <f t="shared" ca="1" si="1916"/>
        <v>0.35377560695227439</v>
      </c>
      <c r="Z665" t="str">
        <f t="shared" si="1926"/>
        <v>NG_SR_LRG_C   →   C_UNDRGRND_STRG   →   LQ_TRUCK   →   H2_FC_DCHP_PWR</v>
      </c>
      <c r="AA665" t="str">
        <f t="shared" si="1927"/>
        <v>Grid electricity</v>
      </c>
      <c r="AB665" t="str">
        <f t="shared" si="1928"/>
        <v>Levelized cost</v>
      </c>
      <c r="AC665">
        <f t="shared" ca="1" si="1929"/>
        <v>0.35377560695227439</v>
      </c>
      <c r="AD665">
        <v>606</v>
      </c>
      <c r="AE665" t="str">
        <f>IF(AND(ISNUMBER(SEARCH(O665,4)),ISNUMBER(SEARCH('(4) FCH pathway assessment'!$B$16,AB665)),ISNUMBER(SEARCH('(4) FCH pathway assessment'!$B$10,AA665))),AD665,"")</f>
        <v/>
      </c>
      <c r="AF665" t="str">
        <f t="shared" si="1873"/>
        <v/>
      </c>
      <c r="AG665" t="str">
        <f>VLOOKUP(C665,Assumptions!$B$116:$C$162,2,FALSE)</f>
        <v>NG_SR_LRG_C</v>
      </c>
      <c r="AH665" t="str">
        <f>VLOOKUP(D665,Assumptions!$B$116:$C$162,2,FALSE)</f>
        <v>C_UNDRGRND_STRG</v>
      </c>
      <c r="AI665" t="str">
        <f>VLOOKUP(E665,Assumptions!$B$116:$C$162,2,FALSE)</f>
        <v>LQ_TRUCK</v>
      </c>
      <c r="AJ665" t="str">
        <f>VLOOKUP(F665,Assumptions!$B$116:$C$162,2,FALSE)</f>
        <v>H2_FC_DCHP_PWR</v>
      </c>
    </row>
    <row r="666" spans="2:36" x14ac:dyDescent="0.25">
      <c r="B666" t="s">
        <v>127</v>
      </c>
      <c r="C666" t="s">
        <v>57</v>
      </c>
      <c r="D666" t="s">
        <v>62</v>
      </c>
      <c r="E666" t="s">
        <v>66</v>
      </c>
      <c r="F666" t="s">
        <v>549</v>
      </c>
      <c r="G666" t="s">
        <v>114</v>
      </c>
      <c r="H666" t="s">
        <v>433</v>
      </c>
      <c r="I666" t="s">
        <v>32</v>
      </c>
      <c r="J666" t="s">
        <v>72</v>
      </c>
      <c r="K666">
        <f t="shared" si="1917"/>
        <v>1</v>
      </c>
      <c r="L666">
        <f t="shared" si="1918"/>
        <v>0</v>
      </c>
      <c r="M666">
        <f t="shared" si="1919"/>
        <v>1</v>
      </c>
      <c r="N666">
        <f t="shared" si="1920"/>
        <v>0</v>
      </c>
      <c r="O666">
        <f t="shared" si="1921"/>
        <v>2</v>
      </c>
      <c r="P666" t="str">
        <f t="shared" si="1922"/>
        <v>Large centralized natural gas steam reforming-Levelized cost</v>
      </c>
      <c r="Q666" t="str">
        <f t="shared" si="1923"/>
        <v>Underground storage-Levelized cost</v>
      </c>
      <c r="R666" t="str">
        <f t="shared" si="1924"/>
        <v>Onsite-Levelized cost</v>
      </c>
      <c r="S666" t="str">
        <f t="shared" si="1925"/>
        <v>District-CHP with H2 fuel cell (power)-Levelized cost</v>
      </c>
      <c r="T666">
        <f ca="1">IF(timePeriod="2020-30",(VLOOKUP($P666,'TA database'!$I$8:$J$79,2,FALSE)/VLOOKUP($D666,'Merit calculation'!$B$48:$I$52,5,FALSE)/VLOOKUP($E666,'Merit calculation'!$B$67:$I$73,5,FALSE)/VLOOKUP($F666,'Merit calculation'!$B$90:$I$103,5,FALSE)/energyContentH2),(VLOOKUP($P666,'TA database'!$I$8:$J$79,2,FALSE)/VLOOKUP($D666,'Merit calculation'!$B$48:$I$52,7,FALSE)/VLOOKUP($E666,'Merit calculation'!$B$67:$I$73,7,FALSE)/VLOOKUP($F666,'Merit calculation'!$B$90:$I$103,7,FALSE)/energyContentH2))</f>
        <v>4.7828723945360418E-2</v>
      </c>
      <c r="U666">
        <f ca="1">IF(timePeriod="2020-30",(VLOOKUP($Q666,'TA database'!$I$86:$J$105,2,FALSE)/VLOOKUP($E666,'Merit calculation'!$B$67:$I$73,5,FALSE)/VLOOKUP($F666,'Merit calculation'!$B$90:$I$104,5,FALSE)/energyContentH2),VLOOKUP($Q666,'TA database'!$I$86:$J$105,2,FALSE)/VLOOKUP($E666,'Merit calculation'!$B$67:$I$73,7,FALSE)/VLOOKUP($F666,'Merit calculation'!$B$90:$I$104,7,FALSE)/energyContentH2)</f>
        <v>1.3692555911560666E-4</v>
      </c>
      <c r="V666">
        <f ca="1">IF(timePeriod="2020-30",(VLOOKUP($R666,'TA database'!$I$112:$J$139,2,FALSE)/VLOOKUP($F666,'Merit calculation'!$B$90:$I$104,5,FALSE)/energyContentH2),(VLOOKUP($R666,'TA database'!$I$112:$J$139,2,FALSE)/VLOOKUP($F666,'Merit calculation'!$B$90:$I$104,7,FALSE)/energyContentH2))</f>
        <v>0</v>
      </c>
      <c r="W666">
        <f>IFERROR(VLOOKUP($S666,'TA database'!$I$146:$J$193,2,FALSE),0)</f>
        <v>0</v>
      </c>
      <c r="X666">
        <f ca="1">IFERROR(VLOOKUP($S666,'TA database'!$I$200:$J$271,2,FALSE),0)</f>
        <v>6.4083910818335019E-2</v>
      </c>
      <c r="Y666">
        <f t="shared" ca="1" si="1916"/>
        <v>0.2367602490344487</v>
      </c>
      <c r="Z666" t="str">
        <f t="shared" si="1926"/>
        <v>NG_SR_LRG_C   →   C_UNDRGRND_STRG   →   ONSITE_USE   →   H2_FC_DCHP_PWR</v>
      </c>
      <c r="AA666" t="str">
        <f t="shared" si="1927"/>
        <v>Grid electricity</v>
      </c>
      <c r="AB666" t="str">
        <f t="shared" si="1928"/>
        <v>Levelized cost</v>
      </c>
      <c r="AC666">
        <f t="shared" ca="1" si="1929"/>
        <v>0.2367602490344487</v>
      </c>
      <c r="AD666">
        <v>607</v>
      </c>
      <c r="AE666" t="str">
        <f>IF(AND(ISNUMBER(SEARCH(O666,4)),ISNUMBER(SEARCH('(4) FCH pathway assessment'!$B$16,AB666)),ISNUMBER(SEARCH('(4) FCH pathway assessment'!$B$10,AA666))),AD666,"")</f>
        <v/>
      </c>
      <c r="AF666" t="str">
        <f t="shared" si="1873"/>
        <v/>
      </c>
      <c r="AG666" t="str">
        <f>VLOOKUP(C666,Assumptions!$B$116:$C$162,2,FALSE)</f>
        <v>NG_SR_LRG_C</v>
      </c>
      <c r="AH666" t="str">
        <f>VLOOKUP(D666,Assumptions!$B$116:$C$162,2,FALSE)</f>
        <v>C_UNDRGRND_STRG</v>
      </c>
      <c r="AI666" t="str">
        <f>VLOOKUP(E666,Assumptions!$B$116:$C$162,2,FALSE)</f>
        <v>ONSITE_USE</v>
      </c>
      <c r="AJ666" t="str">
        <f>VLOOKUP(F666,Assumptions!$B$116:$C$162,2,FALSE)</f>
        <v>H2_FC_DCHP_PWR</v>
      </c>
    </row>
    <row r="667" spans="2:36" x14ac:dyDescent="0.25">
      <c r="B667" t="s">
        <v>127</v>
      </c>
      <c r="C667" t="s">
        <v>57</v>
      </c>
      <c r="D667" s="61" t="s">
        <v>63</v>
      </c>
      <c r="E667" t="s">
        <v>122</v>
      </c>
      <c r="F667" t="s">
        <v>549</v>
      </c>
      <c r="G667" t="s">
        <v>114</v>
      </c>
      <c r="H667" t="s">
        <v>433</v>
      </c>
      <c r="I667" t="s">
        <v>32</v>
      </c>
      <c r="J667" t="s">
        <v>72</v>
      </c>
      <c r="K667">
        <f t="shared" si="1917"/>
        <v>1</v>
      </c>
      <c r="L667">
        <f t="shared" si="1918"/>
        <v>1</v>
      </c>
      <c r="M667">
        <f t="shared" si="1919"/>
        <v>1</v>
      </c>
      <c r="N667">
        <f t="shared" si="1920"/>
        <v>0</v>
      </c>
      <c r="O667">
        <f t="shared" si="1921"/>
        <v>3</v>
      </c>
      <c r="P667" t="str">
        <f t="shared" si="1922"/>
        <v>Large centralized natural gas steam reforming-Levelized cost</v>
      </c>
      <c r="Q667" t="str">
        <f t="shared" si="1923"/>
        <v>No storage-Levelized cost</v>
      </c>
      <c r="R667" t="str">
        <f t="shared" si="1924"/>
        <v>Hydrogen transmission &amp; distribution pipeline-Levelized cost</v>
      </c>
      <c r="S667" t="str">
        <f t="shared" si="1925"/>
        <v>District-CHP with H2 fuel cell (power)-Levelized cost</v>
      </c>
      <c r="T667">
        <f ca="1">IF(timePeriod="2020-30",(VLOOKUP($P667,'TA database'!$I$8:$J$79,2,FALSE)/VLOOKUP($D667,'Merit calculation'!$B$48:$I$52,5,FALSE)/VLOOKUP($E667,'Merit calculation'!$B$67:$I$73,5,FALSE)/VLOOKUP($F667,'Merit calculation'!$B$90:$I$103,5,FALSE)/energyContentH2),(VLOOKUP($P667,'TA database'!$I$8:$J$79,2,FALSE)/VLOOKUP($D667,'Merit calculation'!$B$48:$I$52,7,FALSE)/VLOOKUP($E667,'Merit calculation'!$B$67:$I$73,7,FALSE)/VLOOKUP($F667,'Merit calculation'!$B$90:$I$103,7,FALSE)/energyContentH2))</f>
        <v>4.7828723945360418E-2</v>
      </c>
      <c r="U667">
        <f ca="1">IF(timePeriod="2020-30",(VLOOKUP($Q667,'TA database'!$I$86:$J$105,2,FALSE)/VLOOKUP($E667,'Merit calculation'!$B$67:$I$73,5,FALSE)/VLOOKUP($F667,'Merit calculation'!$B$90:$I$104,5,FALSE)/energyContentH2),VLOOKUP($Q667,'TA database'!$I$86:$J$105,2,FALSE)/VLOOKUP($E667,'Merit calculation'!$B$67:$I$73,7,FALSE)/VLOOKUP($F667,'Merit calculation'!$B$90:$I$104,7,FALSE)/energyContentH2)</f>
        <v>0</v>
      </c>
      <c r="V667">
        <f ca="1">IF(timePeriod="2020-30",(VLOOKUP($R667,'TA database'!$I$112:$J$139,2,FALSE)/VLOOKUP($F667,'Merit calculation'!$B$90:$I$104,5,FALSE)/energyContentH2),(VLOOKUP($R667,'TA database'!$I$112:$J$139,2,FALSE)/VLOOKUP($F667,'Merit calculation'!$B$90:$I$104,7,FALSE)/energyContentH2))</f>
        <v>3.7025224863029226E-3</v>
      </c>
      <c r="W667">
        <f>IFERROR(VLOOKUP($S667,'TA database'!$I$146:$J$193,2,FALSE),0)</f>
        <v>0</v>
      </c>
      <c r="X667">
        <f ca="1">IFERROR(VLOOKUP($S667,'TA database'!$I$200:$J$271,2,FALSE),0)</f>
        <v>6.4083910818335019E-2</v>
      </c>
      <c r="Y667">
        <f t="shared" ca="1" si="1916"/>
        <v>0.24959639797232303</v>
      </c>
      <c r="Z667" t="str">
        <f t="shared" si="1926"/>
        <v>NG_SR_LRG_C   →   NO_STRG   →   H2_T&amp;D_P   →   H2_FC_DCHP_PWR</v>
      </c>
      <c r="AA667" t="str">
        <f t="shared" si="1927"/>
        <v>Grid electricity</v>
      </c>
      <c r="AB667" t="str">
        <f t="shared" si="1928"/>
        <v>Levelized cost</v>
      </c>
      <c r="AC667">
        <f t="shared" ca="1" si="1929"/>
        <v>0.24959639797232303</v>
      </c>
      <c r="AD667">
        <v>608</v>
      </c>
      <c r="AE667" t="str">
        <f>IF(AND(ISNUMBER(SEARCH(O667,4)),ISNUMBER(SEARCH('(4) FCH pathway assessment'!$B$16,AB667)),ISNUMBER(SEARCH('(4) FCH pathway assessment'!$B$10,AA667))),AD667,"")</f>
        <v/>
      </c>
      <c r="AF667" t="str">
        <f t="shared" si="1873"/>
        <v/>
      </c>
      <c r="AG667" t="str">
        <f>VLOOKUP(C667,Assumptions!$B$116:$C$162,2,FALSE)</f>
        <v>NG_SR_LRG_C</v>
      </c>
      <c r="AH667" t="str">
        <f>VLOOKUP(D667,Assumptions!$B$116:$C$162,2,FALSE)</f>
        <v>NO_STRG</v>
      </c>
      <c r="AI667" t="str">
        <f>VLOOKUP(E667,Assumptions!$B$116:$C$162,2,FALSE)</f>
        <v>H2_T&amp;D_P</v>
      </c>
      <c r="AJ667" t="str">
        <f>VLOOKUP(F667,Assumptions!$B$116:$C$162,2,FALSE)</f>
        <v>H2_FC_DCHP_PWR</v>
      </c>
    </row>
    <row r="668" spans="2:36" x14ac:dyDescent="0.25">
      <c r="B668" t="s">
        <v>127</v>
      </c>
      <c r="C668" t="s">
        <v>58</v>
      </c>
      <c r="D668" t="s">
        <v>155</v>
      </c>
      <c r="E668" t="s">
        <v>157</v>
      </c>
      <c r="F668" t="s">
        <v>549</v>
      </c>
      <c r="G668" t="s">
        <v>114</v>
      </c>
      <c r="H668" t="s">
        <v>433</v>
      </c>
      <c r="I668" t="s">
        <v>32</v>
      </c>
      <c r="J668" t="s">
        <v>72</v>
      </c>
      <c r="K668">
        <f t="shared" si="1917"/>
        <v>1</v>
      </c>
      <c r="L668">
        <f t="shared" si="1918"/>
        <v>1</v>
      </c>
      <c r="M668">
        <f t="shared" si="1919"/>
        <v>0</v>
      </c>
      <c r="N668">
        <f t="shared" si="1920"/>
        <v>0</v>
      </c>
      <c r="O668">
        <f t="shared" si="1921"/>
        <v>2</v>
      </c>
      <c r="P668" t="str">
        <f t="shared" si="1922"/>
        <v>Small centralized natural gas steam reforming-Levelized cost</v>
      </c>
      <c r="Q668" t="str">
        <f t="shared" si="1923"/>
        <v>Central gas storage-Levelized cost</v>
      </c>
      <c r="R668" t="str">
        <f t="shared" si="1924"/>
        <v>Blending in natural gas pipeline-Levelized cost</v>
      </c>
      <c r="S668" t="str">
        <f t="shared" si="1925"/>
        <v>District-CHP with H2 fuel cell (power)-Levelized cost</v>
      </c>
      <c r="T668">
        <f ca="1">IF(timePeriod="2020-30",(VLOOKUP($P668,'TA database'!$I$8:$J$79,2,FALSE)/VLOOKUP($D668,'Merit calculation'!$B$48:$I$52,5,FALSE)/VLOOKUP($E668,'Merit calculation'!$B$67:$I$73,5,FALSE)/VLOOKUP($F668,'Merit calculation'!$B$90:$I$103,5,FALSE)/energyContentH2),(VLOOKUP($P668,'TA database'!$I$8:$J$79,2,FALSE)/VLOOKUP($D668,'Merit calculation'!$B$48:$I$52,7,FALSE)/VLOOKUP($E668,'Merit calculation'!$B$67:$I$73,7,FALSE)/VLOOKUP($F668,'Merit calculation'!$B$90:$I$103,7,FALSE)/energyContentH2))</f>
        <v>4.9578394004210685E-2</v>
      </c>
      <c r="U668">
        <f ca="1">IF(timePeriod="2020-30",(VLOOKUP($Q668,'TA database'!$I$86:$J$105,2,FALSE)/VLOOKUP($E668,'Merit calculation'!$B$67:$I$73,5,FALSE)/VLOOKUP($F668,'Merit calculation'!$B$90:$I$104,5,FALSE)/energyContentH2),VLOOKUP($Q668,'TA database'!$I$86:$J$105,2,FALSE)/VLOOKUP($E668,'Merit calculation'!$B$67:$I$73,7,FALSE)/VLOOKUP($F668,'Merit calculation'!$B$90:$I$104,7,FALSE)/energyContentH2)</f>
        <v>6.9440084450063454E-4</v>
      </c>
      <c r="V668">
        <f ca="1">IF(timePeriod="2020-30",(VLOOKUP($R668,'TA database'!$I$112:$J$139,2,FALSE)/VLOOKUP($F668,'Merit calculation'!$B$90:$I$104,5,FALSE)/energyContentH2),(VLOOKUP($R668,'TA database'!$I$112:$J$139,2,FALSE)/VLOOKUP($F668,'Merit calculation'!$B$90:$I$104,7,FALSE)/energyContentH2))</f>
        <v>1.9900144905361811E-3</v>
      </c>
      <c r="W668">
        <f>IFERROR(VLOOKUP($S668,'TA database'!$I$146:$J$193,2,FALSE),0)</f>
        <v>0</v>
      </c>
      <c r="X668">
        <f ca="1">IFERROR(VLOOKUP($S668,'TA database'!$I$200:$J$271,2,FALSE),0)</f>
        <v>6.4083910818335019E-2</v>
      </c>
      <c r="Y668">
        <f t="shared" ref="Y668:Y672" ca="1" si="1930">IF($W668=0,T668*3.6+U668*3.6+V668*3.6+X668,T668+U668+V668+W668)</f>
        <v>0.252230024439626</v>
      </c>
      <c r="Z668" t="str">
        <f t="shared" si="1926"/>
        <v>NG_SR_SML_C   →   C_GAS_STRG   →   H2_BLND_NG_P   →   H2_FC_DCHP_PWR</v>
      </c>
      <c r="AA668" t="str">
        <f t="shared" si="1927"/>
        <v>Grid electricity</v>
      </c>
      <c r="AB668" t="str">
        <f t="shared" si="1928"/>
        <v>Levelized cost</v>
      </c>
      <c r="AC668">
        <f t="shared" ca="1" si="1929"/>
        <v>0.252230024439626</v>
      </c>
      <c r="AD668">
        <v>609</v>
      </c>
      <c r="AE668" t="str">
        <f>IF(AND(ISNUMBER(SEARCH(O668,4)),ISNUMBER(SEARCH('(4) FCH pathway assessment'!$B$16,AB668)),ISNUMBER(SEARCH('(4) FCH pathway assessment'!$B$10,AA668))),AD668,"")</f>
        <v/>
      </c>
      <c r="AF668" t="str">
        <f t="shared" si="1873"/>
        <v/>
      </c>
      <c r="AG668" t="str">
        <f>VLOOKUP(C668,Assumptions!$B$116:$C$162,2,FALSE)</f>
        <v>NG_SR_SML_C</v>
      </c>
      <c r="AH668" t="str">
        <f>VLOOKUP(D668,Assumptions!$B$116:$C$162,2,FALSE)</f>
        <v>C_GAS_STRG</v>
      </c>
      <c r="AI668" t="str">
        <f>VLOOKUP(E668,Assumptions!$B$116:$C$162,2,FALSE)</f>
        <v>H2_BLND_NG_P</v>
      </c>
      <c r="AJ668" t="str">
        <f>VLOOKUP(F668,Assumptions!$B$116:$C$162,2,FALSE)</f>
        <v>H2_FC_DCHP_PWR</v>
      </c>
    </row>
    <row r="669" spans="2:36" x14ac:dyDescent="0.25">
      <c r="B669" t="s">
        <v>127</v>
      </c>
      <c r="C669" t="s">
        <v>58</v>
      </c>
      <c r="D669" t="s">
        <v>155</v>
      </c>
      <c r="E669" t="s">
        <v>122</v>
      </c>
      <c r="F669" t="s">
        <v>549</v>
      </c>
      <c r="G669" t="s">
        <v>114</v>
      </c>
      <c r="H669" t="s">
        <v>433</v>
      </c>
      <c r="I669" t="s">
        <v>32</v>
      </c>
      <c r="J669" t="s">
        <v>72</v>
      </c>
      <c r="K669">
        <f t="shared" si="1917"/>
        <v>1</v>
      </c>
      <c r="L669">
        <f t="shared" si="1918"/>
        <v>1</v>
      </c>
      <c r="M669">
        <f t="shared" si="1919"/>
        <v>1</v>
      </c>
      <c r="N669">
        <f t="shared" si="1920"/>
        <v>0</v>
      </c>
      <c r="O669">
        <f t="shared" si="1921"/>
        <v>3</v>
      </c>
      <c r="P669" t="str">
        <f t="shared" si="1922"/>
        <v>Small centralized natural gas steam reforming-Levelized cost</v>
      </c>
      <c r="Q669" t="str">
        <f t="shared" si="1923"/>
        <v>Central gas storage-Levelized cost</v>
      </c>
      <c r="R669" t="str">
        <f t="shared" si="1924"/>
        <v>Hydrogen transmission &amp; distribution pipeline-Levelized cost</v>
      </c>
      <c r="S669" t="str">
        <f t="shared" si="1925"/>
        <v>District-CHP with H2 fuel cell (power)-Levelized cost</v>
      </c>
      <c r="T669">
        <f ca="1">IF(timePeriod="2020-30",(VLOOKUP($P669,'TA database'!$I$8:$J$79,2,FALSE)/VLOOKUP($D669,'Merit calculation'!$B$48:$I$52,5,FALSE)/VLOOKUP($E669,'Merit calculation'!$B$67:$I$73,5,FALSE)/VLOOKUP($F669,'Merit calculation'!$B$90:$I$103,5,FALSE)/energyContentH2),(VLOOKUP($P669,'TA database'!$I$8:$J$79,2,FALSE)/VLOOKUP($D669,'Merit calculation'!$B$48:$I$52,7,FALSE)/VLOOKUP($E669,'Merit calculation'!$B$67:$I$73,7,FALSE)/VLOOKUP($F669,'Merit calculation'!$B$90:$I$103,7,FALSE)/energyContentH2))</f>
        <v>4.9578394004210685E-2</v>
      </c>
      <c r="U669">
        <f ca="1">IF(timePeriod="2020-30",(VLOOKUP($Q669,'TA database'!$I$86:$J$105,2,FALSE)/VLOOKUP($E669,'Merit calculation'!$B$67:$I$73,5,FALSE)/VLOOKUP($F669,'Merit calculation'!$B$90:$I$104,5,FALSE)/energyContentH2),VLOOKUP($Q669,'TA database'!$I$86:$J$105,2,FALSE)/VLOOKUP($E669,'Merit calculation'!$B$67:$I$73,7,FALSE)/VLOOKUP($F669,'Merit calculation'!$B$90:$I$104,7,FALSE)/energyContentH2)</f>
        <v>6.9440084450063454E-4</v>
      </c>
      <c r="V669">
        <f ca="1">IF(timePeriod="2020-30",(VLOOKUP($R669,'TA database'!$I$112:$J$139,2,FALSE)/VLOOKUP($F669,'Merit calculation'!$B$90:$I$104,5,FALSE)/energyContentH2),(VLOOKUP($R669,'TA database'!$I$112:$J$139,2,FALSE)/VLOOKUP($F669,'Merit calculation'!$B$90:$I$104,7,FALSE)/energyContentH2))</f>
        <v>3.7025224863029226E-3</v>
      </c>
      <c r="W669">
        <f>IFERROR(VLOOKUP($S669,'TA database'!$I$146:$J$193,2,FALSE),0)</f>
        <v>0</v>
      </c>
      <c r="X669">
        <f ca="1">IFERROR(VLOOKUP($S669,'TA database'!$I$200:$J$271,2,FALSE),0)</f>
        <v>6.4083910818335019E-2</v>
      </c>
      <c r="Y669">
        <f t="shared" ca="1" si="1930"/>
        <v>0.25839505322438627</v>
      </c>
      <c r="Z669" t="str">
        <f t="shared" si="1926"/>
        <v>NG_SR_SML_C   →   C_GAS_STRG   →   H2_T&amp;D_P   →   H2_FC_DCHP_PWR</v>
      </c>
      <c r="AA669" t="str">
        <f t="shared" si="1927"/>
        <v>Grid electricity</v>
      </c>
      <c r="AB669" t="str">
        <f t="shared" si="1928"/>
        <v>Levelized cost</v>
      </c>
      <c r="AC669">
        <f t="shared" ca="1" si="1929"/>
        <v>0.25839505322438627</v>
      </c>
      <c r="AD669">
        <v>610</v>
      </c>
      <c r="AE669" t="str">
        <f>IF(AND(ISNUMBER(SEARCH(O669,4)),ISNUMBER(SEARCH('(4) FCH pathway assessment'!$B$16,AB669)),ISNUMBER(SEARCH('(4) FCH pathway assessment'!$B$10,AA669))),AD669,"")</f>
        <v/>
      </c>
      <c r="AF669" t="str">
        <f t="shared" si="1873"/>
        <v/>
      </c>
      <c r="AG669" t="str">
        <f>VLOOKUP(C669,Assumptions!$B$116:$C$162,2,FALSE)</f>
        <v>NG_SR_SML_C</v>
      </c>
      <c r="AH669" t="str">
        <f>VLOOKUP(D669,Assumptions!$B$116:$C$162,2,FALSE)</f>
        <v>C_GAS_STRG</v>
      </c>
      <c r="AI669" t="str">
        <f>VLOOKUP(E669,Assumptions!$B$116:$C$162,2,FALSE)</f>
        <v>H2_T&amp;D_P</v>
      </c>
      <c r="AJ669" t="str">
        <f>VLOOKUP(F669,Assumptions!$B$116:$C$162,2,FALSE)</f>
        <v>H2_FC_DCHP_PWR</v>
      </c>
    </row>
    <row r="670" spans="2:36" x14ac:dyDescent="0.25">
      <c r="B670" t="s">
        <v>127</v>
      </c>
      <c r="C670" t="s">
        <v>58</v>
      </c>
      <c r="D670" t="s">
        <v>155</v>
      </c>
      <c r="E670" t="s">
        <v>116</v>
      </c>
      <c r="F670" t="s">
        <v>549</v>
      </c>
      <c r="G670" t="s">
        <v>114</v>
      </c>
      <c r="H670" t="s">
        <v>433</v>
      </c>
      <c r="I670" t="s">
        <v>32</v>
      </c>
      <c r="J670" t="s">
        <v>72</v>
      </c>
      <c r="K670">
        <f t="shared" si="1917"/>
        <v>1</v>
      </c>
      <c r="L670">
        <f t="shared" si="1918"/>
        <v>1</v>
      </c>
      <c r="M670">
        <f t="shared" si="1919"/>
        <v>1</v>
      </c>
      <c r="N670">
        <f t="shared" si="1920"/>
        <v>0</v>
      </c>
      <c r="O670">
        <f t="shared" si="1921"/>
        <v>3</v>
      </c>
      <c r="P670" t="str">
        <f t="shared" si="1922"/>
        <v>Small centralized natural gas steam reforming-Levelized cost</v>
      </c>
      <c r="Q670" t="str">
        <f t="shared" si="1923"/>
        <v>Central gas storage-Levelized cost</v>
      </c>
      <c r="R670" t="str">
        <f t="shared" si="1924"/>
        <v>Liquid hydrogen truck-Levelized cost</v>
      </c>
      <c r="S670" t="str">
        <f t="shared" si="1925"/>
        <v>District-CHP with H2 fuel cell (power)-Levelized cost</v>
      </c>
      <c r="T670">
        <f ca="1">IF(timePeriod="2020-30",(VLOOKUP($P670,'TA database'!$I$8:$J$79,2,FALSE)/VLOOKUP($D670,'Merit calculation'!$B$48:$I$52,5,FALSE)/VLOOKUP($E670,'Merit calculation'!$B$67:$I$73,5,FALSE)/VLOOKUP($F670,'Merit calculation'!$B$90:$I$103,5,FALSE)/energyContentH2),(VLOOKUP($P670,'TA database'!$I$8:$J$79,2,FALSE)/VLOOKUP($D670,'Merit calculation'!$B$48:$I$52,7,FALSE)/VLOOKUP($E670,'Merit calculation'!$B$67:$I$73,7,FALSE)/VLOOKUP($F670,'Merit calculation'!$B$90:$I$103,7,FALSE)/energyContentH2))</f>
        <v>5.7272590506614443E-2</v>
      </c>
      <c r="U670">
        <f ca="1">IF(timePeriod="2020-30",(VLOOKUP($Q670,'TA database'!$I$86:$J$105,2,FALSE)/VLOOKUP($E670,'Merit calculation'!$B$67:$I$73,5,FALSE)/VLOOKUP($F670,'Merit calculation'!$B$90:$I$104,5,FALSE)/energyContentH2),VLOOKUP($Q670,'TA database'!$I$86:$J$105,2,FALSE)/VLOOKUP($E670,'Merit calculation'!$B$67:$I$73,7,FALSE)/VLOOKUP($F670,'Merit calculation'!$B$90:$I$104,7,FALSE)/energyContentH2)</f>
        <v>8.0216666984320693E-4</v>
      </c>
      <c r="V670">
        <f ca="1">IF(timePeriod="2020-30",(VLOOKUP($R670,'TA database'!$I$112:$J$139,2,FALSE)/VLOOKUP($F670,'Merit calculation'!$B$90:$I$104,5,FALSE)/energyContentH2),(VLOOKUP($R670,'TA database'!$I$112:$J$139,2,FALSE)/VLOOKUP($F670,'Merit calculation'!$B$90:$I$104,7,FALSE)/energyContentH2))</f>
        <v>2.4500662962100454E-2</v>
      </c>
      <c r="W670">
        <f>IFERROR(VLOOKUP($S670,'TA database'!$I$146:$J$193,2,FALSE),0)</f>
        <v>0</v>
      </c>
      <c r="X670">
        <f ca="1">IFERROR(VLOOKUP($S670,'TA database'!$I$200:$J$271,2,FALSE),0)</f>
        <v>6.4083910818335019E-2</v>
      </c>
      <c r="Y670">
        <f t="shared" ca="1" si="1930"/>
        <v>0.36135542331714421</v>
      </c>
      <c r="Z670" t="str">
        <f t="shared" si="1926"/>
        <v>NG_SR_SML_C   →   C_GAS_STRG   →   LQ_TRUCK   →   H2_FC_DCHP_PWR</v>
      </c>
      <c r="AA670" t="str">
        <f t="shared" si="1927"/>
        <v>Grid electricity</v>
      </c>
      <c r="AB670" t="str">
        <f t="shared" si="1928"/>
        <v>Levelized cost</v>
      </c>
      <c r="AC670">
        <f t="shared" ca="1" si="1929"/>
        <v>0.36135542331714421</v>
      </c>
      <c r="AD670">
        <v>611</v>
      </c>
      <c r="AE670" t="str">
        <f>IF(AND(ISNUMBER(SEARCH(O670,4)),ISNUMBER(SEARCH('(4) FCH pathway assessment'!$B$16,AB670)),ISNUMBER(SEARCH('(4) FCH pathway assessment'!$B$10,AA670))),AD670,"")</f>
        <v/>
      </c>
      <c r="AF670" t="str">
        <f t="shared" si="1873"/>
        <v/>
      </c>
      <c r="AG670" t="str">
        <f>VLOOKUP(C670,Assumptions!$B$116:$C$162,2,FALSE)</f>
        <v>NG_SR_SML_C</v>
      </c>
      <c r="AH670" t="str">
        <f>VLOOKUP(D670,Assumptions!$B$116:$C$162,2,FALSE)</f>
        <v>C_GAS_STRG</v>
      </c>
      <c r="AI670" t="str">
        <f>VLOOKUP(E670,Assumptions!$B$116:$C$162,2,FALSE)</f>
        <v>LQ_TRUCK</v>
      </c>
      <c r="AJ670" t="str">
        <f>VLOOKUP(F670,Assumptions!$B$116:$C$162,2,FALSE)</f>
        <v>H2_FC_DCHP_PWR</v>
      </c>
    </row>
    <row r="671" spans="2:36" x14ac:dyDescent="0.25">
      <c r="B671" t="s">
        <v>127</v>
      </c>
      <c r="C671" t="s">
        <v>58</v>
      </c>
      <c r="D671" t="s">
        <v>155</v>
      </c>
      <c r="E671" t="s">
        <v>66</v>
      </c>
      <c r="F671" t="s">
        <v>549</v>
      </c>
      <c r="G671" t="s">
        <v>114</v>
      </c>
      <c r="H671" t="s">
        <v>433</v>
      </c>
      <c r="I671" t="s">
        <v>32</v>
      </c>
      <c r="J671" t="s">
        <v>72</v>
      </c>
      <c r="K671">
        <f t="shared" si="1917"/>
        <v>1</v>
      </c>
      <c r="L671">
        <f t="shared" si="1918"/>
        <v>1</v>
      </c>
      <c r="M671">
        <f t="shared" si="1919"/>
        <v>1</v>
      </c>
      <c r="N671">
        <f t="shared" si="1920"/>
        <v>0</v>
      </c>
      <c r="O671">
        <f t="shared" si="1921"/>
        <v>3</v>
      </c>
      <c r="P671" t="str">
        <f t="shared" si="1922"/>
        <v>Small centralized natural gas steam reforming-Levelized cost</v>
      </c>
      <c r="Q671" t="str">
        <f t="shared" si="1923"/>
        <v>Central gas storage-Levelized cost</v>
      </c>
      <c r="R671" t="str">
        <f t="shared" si="1924"/>
        <v>Onsite-Levelized cost</v>
      </c>
      <c r="S671" t="str">
        <f t="shared" si="1925"/>
        <v>District-CHP with H2 fuel cell (power)-Levelized cost</v>
      </c>
      <c r="T671">
        <f ca="1">IF(timePeriod="2020-30",(VLOOKUP($P671,'TA database'!$I$8:$J$79,2,FALSE)/VLOOKUP($D671,'Merit calculation'!$B$48:$I$52,5,FALSE)/VLOOKUP($E671,'Merit calculation'!$B$67:$I$73,5,FALSE)/VLOOKUP($F671,'Merit calculation'!$B$90:$I$103,5,FALSE)/energyContentH2),(VLOOKUP($P671,'TA database'!$I$8:$J$79,2,FALSE)/VLOOKUP($D671,'Merit calculation'!$B$48:$I$52,7,FALSE)/VLOOKUP($E671,'Merit calculation'!$B$67:$I$73,7,FALSE)/VLOOKUP($F671,'Merit calculation'!$B$90:$I$103,7,FALSE)/energyContentH2))</f>
        <v>4.9082610064168579E-2</v>
      </c>
      <c r="U671">
        <f ca="1">IF(timePeriod="2020-30",(VLOOKUP($Q671,'TA database'!$I$86:$J$105,2,FALSE)/VLOOKUP($E671,'Merit calculation'!$B$67:$I$73,5,FALSE)/VLOOKUP($F671,'Merit calculation'!$B$90:$I$104,5,FALSE)/energyContentH2),VLOOKUP($Q671,'TA database'!$I$86:$J$105,2,FALSE)/VLOOKUP($E671,'Merit calculation'!$B$67:$I$73,7,FALSE)/VLOOKUP($F671,'Merit calculation'!$B$90:$I$104,7,FALSE)/energyContentH2)</f>
        <v>6.874568360556284E-4</v>
      </c>
      <c r="V671">
        <f ca="1">IF(timePeriod="2020-30",(VLOOKUP($R671,'TA database'!$I$112:$J$139,2,FALSE)/VLOOKUP($F671,'Merit calculation'!$B$90:$I$104,5,FALSE)/energyContentH2),(VLOOKUP($R671,'TA database'!$I$112:$J$139,2,FALSE)/VLOOKUP($F671,'Merit calculation'!$B$90:$I$104,7,FALSE)/energyContentH2))</f>
        <v>0</v>
      </c>
      <c r="W671">
        <f>IFERROR(VLOOKUP($S671,'TA database'!$I$146:$J$193,2,FALSE),0)</f>
        <v>0</v>
      </c>
      <c r="X671">
        <f ca="1">IFERROR(VLOOKUP($S671,'TA database'!$I$200:$J$271,2,FALSE),0)</f>
        <v>6.4083910818335019E-2</v>
      </c>
      <c r="Y671">
        <f t="shared" ca="1" si="1930"/>
        <v>0.24325615165914216</v>
      </c>
      <c r="Z671" t="str">
        <f t="shared" si="1926"/>
        <v>NG_SR_SML_C   →   C_GAS_STRG   →   ONSITE_USE   →   H2_FC_DCHP_PWR</v>
      </c>
      <c r="AA671" t="str">
        <f t="shared" si="1927"/>
        <v>Grid electricity</v>
      </c>
      <c r="AB671" t="str">
        <f t="shared" si="1928"/>
        <v>Levelized cost</v>
      </c>
      <c r="AC671">
        <f t="shared" ca="1" si="1929"/>
        <v>0.24325615165914216</v>
      </c>
      <c r="AD671">
        <v>612</v>
      </c>
      <c r="AE671" t="str">
        <f>IF(AND(ISNUMBER(SEARCH(O671,4)),ISNUMBER(SEARCH('(4) FCH pathway assessment'!$B$16,AB671)),ISNUMBER(SEARCH('(4) FCH pathway assessment'!$B$10,AA671))),AD671,"")</f>
        <v/>
      </c>
      <c r="AF671" t="str">
        <f t="shared" si="1873"/>
        <v/>
      </c>
      <c r="AG671" t="str">
        <f>VLOOKUP(C671,Assumptions!$B$116:$C$162,2,FALSE)</f>
        <v>NG_SR_SML_C</v>
      </c>
      <c r="AH671" t="str">
        <f>VLOOKUP(D671,Assumptions!$B$116:$C$162,2,FALSE)</f>
        <v>C_GAS_STRG</v>
      </c>
      <c r="AI671" t="str">
        <f>VLOOKUP(E671,Assumptions!$B$116:$C$162,2,FALSE)</f>
        <v>ONSITE_USE</v>
      </c>
      <c r="AJ671" t="str">
        <f>VLOOKUP(F671,Assumptions!$B$116:$C$162,2,FALSE)</f>
        <v>H2_FC_DCHP_PWR</v>
      </c>
    </row>
    <row r="672" spans="2:36" x14ac:dyDescent="0.25">
      <c r="B672" t="s">
        <v>127</v>
      </c>
      <c r="C672" t="s">
        <v>59</v>
      </c>
      <c r="D672" s="60" t="s">
        <v>130</v>
      </c>
      <c r="E672" t="s">
        <v>66</v>
      </c>
      <c r="F672" t="s">
        <v>549</v>
      </c>
      <c r="G672" t="s">
        <v>114</v>
      </c>
      <c r="H672" t="s">
        <v>433</v>
      </c>
      <c r="I672" t="s">
        <v>32</v>
      </c>
      <c r="J672" t="s">
        <v>72</v>
      </c>
      <c r="K672">
        <f t="shared" ref="K672:K673" si="1931">SUMPRODUCT(($C$7:$C$18=$C672)*($D$6:$H$6=$D672)*($D$7:$H$18))</f>
        <v>1</v>
      </c>
      <c r="L672">
        <f t="shared" ref="L672:L673" si="1932">SUMPRODUCT(($C$19:$C$23=$D672)*($I$6:$O$6=$E672)*($I$19:$O$23))</f>
        <v>1</v>
      </c>
      <c r="M672">
        <f t="shared" ref="M672:M673" si="1933">SUMPRODUCT(($C$24:$C$30=$E672)*($P$6:$AI$6=$F672)*($P$24:$AI$30))</f>
        <v>1</v>
      </c>
      <c r="N672">
        <f t="shared" ref="N672:N673" si="1934">SUMPRODUCT(($C$31:$C$50=$F672)*($AJ$6:$AM$6=$G672)*($AJ$31:$AM$50))</f>
        <v>0</v>
      </c>
      <c r="O672">
        <f t="shared" ref="O672:O673" si="1935">K672+L672+M672+N672</f>
        <v>3</v>
      </c>
      <c r="P672" t="str">
        <f t="shared" ref="P672:P673" si="1936">CONCATENATE(C672,"-",J672)</f>
        <v>Medium decentralized natural gas steam reforming-Levelized cost</v>
      </c>
      <c r="Q672" t="str">
        <f t="shared" ref="Q672:Q673" si="1937">CONCATENATE(D672,"-",J672)</f>
        <v>Distributed gas storage-Levelized cost</v>
      </c>
      <c r="R672" t="str">
        <f t="shared" ref="R672:R673" si="1938">CONCATENATE(E672,"-",J672)</f>
        <v>Onsite-Levelized cost</v>
      </c>
      <c r="S672" t="str">
        <f t="shared" ref="S672:S673" si="1939">CONCATENATE(F672,"-",J672)</f>
        <v>District-CHP with H2 fuel cell (power)-Levelized cost</v>
      </c>
      <c r="T672">
        <f ca="1">IF(timePeriod="2020-30",(VLOOKUP($P672,'TA database'!$I$8:$J$79,2,FALSE)/VLOOKUP($D672,'Merit calculation'!$B$48:$I$52,5,FALSE)/VLOOKUP($E672,'Merit calculation'!$B$67:$I$73,5,FALSE)/VLOOKUP($F672,'Merit calculation'!$B$90:$I$103,5,FALSE)/energyContentH2),(VLOOKUP($P672,'TA database'!$I$8:$J$79,2,FALSE)/VLOOKUP($D672,'Merit calculation'!$B$48:$I$52,7,FALSE)/VLOOKUP($E672,'Merit calculation'!$B$67:$I$73,7,FALSE)/VLOOKUP($F672,'Merit calculation'!$B$90:$I$103,7,FALSE)/energyContentH2))</f>
        <v>5.224991824935072E-2</v>
      </c>
      <c r="U672">
        <f ca="1">IF(timePeriod="2020-30",(VLOOKUP($Q672,'TA database'!$I$86:$J$105,2,FALSE)/VLOOKUP($E672,'Merit calculation'!$B$67:$I$73,5,FALSE)/VLOOKUP($F672,'Merit calculation'!$B$90:$I$104,5,FALSE)/energyContentH2),VLOOKUP($Q672,'TA database'!$I$86:$J$105,2,FALSE)/VLOOKUP($E672,'Merit calculation'!$B$67:$I$73,7,FALSE)/VLOOKUP($F672,'Merit calculation'!$B$90:$I$104,7,FALSE)/energyContentH2)</f>
        <v>1.2221454863211171E-3</v>
      </c>
      <c r="V672">
        <f ca="1">IF(timePeriod="2020-30",(VLOOKUP($R672,'TA database'!$I$112:$J$139,2,FALSE)/VLOOKUP($F672,'Merit calculation'!$B$90:$I$104,5,FALSE)/energyContentH2),(VLOOKUP($R672,'TA database'!$I$112:$J$139,2,FALSE)/VLOOKUP($F672,'Merit calculation'!$B$90:$I$104,7,FALSE)/energyContentH2))</f>
        <v>0</v>
      </c>
      <c r="W672">
        <f>IFERROR(VLOOKUP($S672,'TA database'!$I$146:$J$193,2,FALSE),0)</f>
        <v>0</v>
      </c>
      <c r="X672">
        <f ca="1">IFERROR(VLOOKUP($S672,'TA database'!$I$200:$J$271,2,FALSE),0)</f>
        <v>6.4083910818335019E-2</v>
      </c>
      <c r="Y672">
        <f t="shared" ca="1" si="1930"/>
        <v>0.25658334026675367</v>
      </c>
      <c r="Z672" t="str">
        <f t="shared" ref="Z672:Z673" si="1940">CONCATENATE(AG672,"   →   ",AH672,"   →   ",AI672,"   →   ",AJ672)</f>
        <v>NG_SR_MED_D   →   D_GAS_STRG   →   ONSITE_USE   →   H2_FC_DCHP_PWR</v>
      </c>
      <c r="AA672" t="str">
        <f t="shared" ref="AA672:AA673" si="1941">G672</f>
        <v>Grid electricity</v>
      </c>
      <c r="AB672" t="str">
        <f t="shared" ref="AB672:AB673" si="1942">J672</f>
        <v>Levelized cost</v>
      </c>
      <c r="AC672">
        <f t="shared" ref="AC672:AC673" ca="1" si="1943">Y672</f>
        <v>0.25658334026675367</v>
      </c>
      <c r="AD672">
        <v>613</v>
      </c>
      <c r="AE672" t="str">
        <f>IF(AND(ISNUMBER(SEARCH(O672,4)),ISNUMBER(SEARCH('(4) FCH pathway assessment'!$B$16,AB672)),ISNUMBER(SEARCH('(4) FCH pathway assessment'!$B$10,AA672))),AD672,"")</f>
        <v/>
      </c>
      <c r="AF672" t="str">
        <f t="shared" si="1873"/>
        <v/>
      </c>
      <c r="AG672" t="str">
        <f>VLOOKUP(C672,Assumptions!$B$116:$C$162,2,FALSE)</f>
        <v>NG_SR_MED_D</v>
      </c>
      <c r="AH672" t="str">
        <f>VLOOKUP(D672,Assumptions!$B$116:$C$162,2,FALSE)</f>
        <v>D_GAS_STRG</v>
      </c>
      <c r="AI672" t="str">
        <f>VLOOKUP(E672,Assumptions!$B$116:$C$162,2,FALSE)</f>
        <v>ONSITE_USE</v>
      </c>
      <c r="AJ672" t="str">
        <f>VLOOKUP(F672,Assumptions!$B$116:$C$162,2,FALSE)</f>
        <v>H2_FC_DCHP_PWR</v>
      </c>
    </row>
    <row r="673" spans="2:36" x14ac:dyDescent="0.25">
      <c r="B673" t="s">
        <v>127</v>
      </c>
      <c r="C673" t="s">
        <v>60</v>
      </c>
      <c r="D673" s="60" t="s">
        <v>130</v>
      </c>
      <c r="E673" t="s">
        <v>66</v>
      </c>
      <c r="F673" t="s">
        <v>549</v>
      </c>
      <c r="G673" t="s">
        <v>114</v>
      </c>
      <c r="H673" t="s">
        <v>433</v>
      </c>
      <c r="I673" t="s">
        <v>32</v>
      </c>
      <c r="J673" t="s">
        <v>72</v>
      </c>
      <c r="K673">
        <f t="shared" si="1931"/>
        <v>1</v>
      </c>
      <c r="L673">
        <f t="shared" si="1932"/>
        <v>1</v>
      </c>
      <c r="M673">
        <f t="shared" si="1933"/>
        <v>1</v>
      </c>
      <c r="N673">
        <f t="shared" si="1934"/>
        <v>0</v>
      </c>
      <c r="O673">
        <f t="shared" si="1935"/>
        <v>3</v>
      </c>
      <c r="P673" t="str">
        <f t="shared" si="1936"/>
        <v>Small decentralized natural gas steam reforming-Levelized cost</v>
      </c>
      <c r="Q673" t="str">
        <f t="shared" si="1937"/>
        <v>Distributed gas storage-Levelized cost</v>
      </c>
      <c r="R673" t="str">
        <f t="shared" si="1938"/>
        <v>Onsite-Levelized cost</v>
      </c>
      <c r="S673" t="str">
        <f t="shared" si="1939"/>
        <v>District-CHP with H2 fuel cell (power)-Levelized cost</v>
      </c>
      <c r="T673">
        <f ca="1">IF(timePeriod="2020-30",(VLOOKUP($P673,'TA database'!$I$8:$J$79,2,FALSE)/VLOOKUP($D673,'Merit calculation'!$B$48:$I$52,5,FALSE)/VLOOKUP($E673,'Merit calculation'!$B$67:$I$73,5,FALSE)/VLOOKUP($F673,'Merit calculation'!$B$90:$I$103,5,FALSE)/energyContentH2),(VLOOKUP($P673,'TA database'!$I$8:$J$79,2,FALSE)/VLOOKUP($D673,'Merit calculation'!$B$48:$I$52,7,FALSE)/VLOOKUP($E673,'Merit calculation'!$B$67:$I$73,7,FALSE)/VLOOKUP($F673,'Merit calculation'!$B$90:$I$103,7,FALSE)/energyContentH2))</f>
        <v>5.540848525409299E-2</v>
      </c>
      <c r="U673">
        <f ca="1">IF(timePeriod="2020-30",(VLOOKUP($Q673,'TA database'!$I$86:$J$105,2,FALSE)/VLOOKUP($E673,'Merit calculation'!$B$67:$I$73,5,FALSE)/VLOOKUP($F673,'Merit calculation'!$B$90:$I$104,5,FALSE)/energyContentH2),VLOOKUP($Q673,'TA database'!$I$86:$J$105,2,FALSE)/VLOOKUP($E673,'Merit calculation'!$B$67:$I$73,7,FALSE)/VLOOKUP($F673,'Merit calculation'!$B$90:$I$104,7,FALSE)/energyContentH2)</f>
        <v>1.2221454863211171E-3</v>
      </c>
      <c r="V673">
        <f ca="1">IF(timePeriod="2020-30",(VLOOKUP($R673,'TA database'!$I$112:$J$139,2,FALSE)/VLOOKUP($F673,'Merit calculation'!$B$90:$I$104,5,FALSE)/energyContentH2),(VLOOKUP($R673,'TA database'!$I$112:$J$139,2,FALSE)/VLOOKUP($F673,'Merit calculation'!$B$90:$I$104,7,FALSE)/energyContentH2))</f>
        <v>0</v>
      </c>
      <c r="W673">
        <f>IFERROR(VLOOKUP($S673,'TA database'!$I$146:$J$193,2,FALSE),0)</f>
        <v>0</v>
      </c>
      <c r="X673">
        <f ca="1">IFERROR(VLOOKUP($S673,'TA database'!$I$200:$J$271,2,FALSE),0)</f>
        <v>6.4083910818335019E-2</v>
      </c>
      <c r="Y673">
        <f t="shared" ref="Y673" ca="1" si="1944">IF($W673=0,T673*3.6+U673*3.6+V673*3.6+X673,T673+U673+V673+W673)</f>
        <v>0.26795418148382583</v>
      </c>
      <c r="Z673" t="str">
        <f t="shared" si="1940"/>
        <v>NG_SR_SML_D   →   D_GAS_STRG   →   ONSITE_USE   →   H2_FC_DCHP_PWR</v>
      </c>
      <c r="AA673" t="str">
        <f t="shared" si="1941"/>
        <v>Grid electricity</v>
      </c>
      <c r="AB673" t="str">
        <f t="shared" si="1942"/>
        <v>Levelized cost</v>
      </c>
      <c r="AC673">
        <f t="shared" ca="1" si="1943"/>
        <v>0.26795418148382583</v>
      </c>
      <c r="AD673">
        <v>614</v>
      </c>
      <c r="AE673" t="str">
        <f>IF(AND(ISNUMBER(SEARCH(O673,4)),ISNUMBER(SEARCH('(4) FCH pathway assessment'!$B$16,AB673)),ISNUMBER(SEARCH('(4) FCH pathway assessment'!$B$10,AA673))),AD673,"")</f>
        <v/>
      </c>
      <c r="AF673" t="str">
        <f t="shared" si="1873"/>
        <v/>
      </c>
      <c r="AG673" t="str">
        <f>VLOOKUP(C673,Assumptions!$B$116:$C$162,2,FALSE)</f>
        <v>NG_SR_SML_D</v>
      </c>
      <c r="AH673" t="str">
        <f>VLOOKUP(D673,Assumptions!$B$116:$C$162,2,FALSE)</f>
        <v>D_GAS_STRG</v>
      </c>
      <c r="AI673" t="str">
        <f>VLOOKUP(E673,Assumptions!$B$116:$C$162,2,FALSE)</f>
        <v>ONSITE_USE</v>
      </c>
      <c r="AJ673" t="str">
        <f>VLOOKUP(F673,Assumptions!$B$116:$C$162,2,FALSE)</f>
        <v>H2_FC_DCHP_PWR</v>
      </c>
    </row>
    <row r="674" spans="2:36" x14ac:dyDescent="0.25">
      <c r="B674" t="s">
        <v>117</v>
      </c>
      <c r="C674" t="s">
        <v>53</v>
      </c>
      <c r="D674" t="s">
        <v>155</v>
      </c>
      <c r="E674" t="s">
        <v>65</v>
      </c>
      <c r="F674" t="s">
        <v>550</v>
      </c>
      <c r="G674" t="s">
        <v>114</v>
      </c>
      <c r="H674" t="s">
        <v>433</v>
      </c>
      <c r="I674" t="s">
        <v>32</v>
      </c>
      <c r="J674" t="s">
        <v>72</v>
      </c>
      <c r="K674">
        <f t="shared" ref="K674" si="1945">SUMPRODUCT(($C$7:$C$18=$C674)*($D$6:$H$6=$D674)*($D$7:$H$18))</f>
        <v>0</v>
      </c>
      <c r="L674">
        <f t="shared" ref="L674" si="1946">SUMPRODUCT(($C$19:$C$23=$D674)*($I$6:$O$6=$E674)*($I$19:$O$23))</f>
        <v>1</v>
      </c>
      <c r="M674">
        <f t="shared" ref="M674" si="1947">SUMPRODUCT(($C$24:$C$30=$E674)*($P$6:$AI$6=$F674)*($P$24:$AI$30))</f>
        <v>0</v>
      </c>
      <c r="N674">
        <f t="shared" ref="N674" si="1948">SUMPRODUCT(($C$31:$C$50=$F674)*($AJ$6:$AM$6=$G674)*($AJ$31:$AM$50))</f>
        <v>1</v>
      </c>
      <c r="O674">
        <f t="shared" ref="O674" si="1949">K674+L674+M674+N674</f>
        <v>2</v>
      </c>
      <c r="P674" t="str">
        <f t="shared" ref="P674" si="1950">CONCATENATE(C674,"-",J674)</f>
        <v>Medium centralized biomass gasification-Levelized cost</v>
      </c>
      <c r="Q674" t="str">
        <f t="shared" ref="Q674" si="1951">CONCATENATE(D674,"-",J674)</f>
        <v>Central gas storage-Levelized cost</v>
      </c>
      <c r="R674" t="str">
        <f t="shared" ref="R674" si="1952">CONCATENATE(E674,"-",J674)</f>
        <v>Methanation-Levelized cost</v>
      </c>
      <c r="S674" t="str">
        <f t="shared" ref="S674" si="1953">CONCATENATE(F674,"-",J674)</f>
        <v>District-CHP with natural gas fuel cell (power)-Levelized cost</v>
      </c>
      <c r="T674">
        <f ca="1">IF(timePeriod="2020-30",(VLOOKUP($P674,'TA database'!$I$8:$J$79,2,FALSE)/VLOOKUP($D674,'Merit calculation'!$B$48:$I$52,5,FALSE)/VLOOKUP($E674,'Merit calculation'!$B$67:$I$73,5,FALSE)/VLOOKUP($F674,'Merit calculation'!$B$90:$I$103,5,FALSE)/energyContentH2),(VLOOKUP($P674,'TA database'!$I$8:$J$79,2,FALSE)/VLOOKUP($D674,'Merit calculation'!$B$48:$I$52,7,FALSE)/VLOOKUP($E674,'Merit calculation'!$B$67:$I$73,7,FALSE)/VLOOKUP($F674,'Merit calculation'!$B$90:$I$103,7,FALSE)/energyContentH2))</f>
        <v>1.7370964237595529E-2</v>
      </c>
      <c r="U674">
        <f ca="1">IF(timePeriod="2020-30",(VLOOKUP($Q674,'TA database'!$I$86:$J$105,2,FALSE)/VLOOKUP($E674,'Merit calculation'!$B$67:$I$73,5,FALSE)/VLOOKUP($F674,'Merit calculation'!$B$90:$I$104,5,FALSE)/energyContentH2),VLOOKUP($Q674,'TA database'!$I$86:$J$105,2,FALSE)/VLOOKUP($E674,'Merit calculation'!$B$67:$I$73,7,FALSE)/VLOOKUP($F674,'Merit calculation'!$B$90:$I$104,7,FALSE)/energyContentH2)</f>
        <v>8.5932104506953526E-4</v>
      </c>
      <c r="V674">
        <f ca="1">IF(timePeriod="2020-30",(VLOOKUP($R674,'TA database'!$I$112:$J$139,2,FALSE)/VLOOKUP($F674,'Merit calculation'!$B$90:$I$104,5,FALSE)/energyContentH2),(VLOOKUP($R674,'TA database'!$I$112:$J$139,2,FALSE)/VLOOKUP($F674,'Merit calculation'!$B$90:$I$104,7,FALSE)/energyContentH2))</f>
        <v>1.4915969791789559E-2</v>
      </c>
      <c r="W674">
        <f>IFERROR(VLOOKUP($S674,'TA database'!$I$146:$J$193,2,FALSE),0)</f>
        <v>0</v>
      </c>
      <c r="X674">
        <f ca="1">IFERROR(VLOOKUP($S674,'TA database'!$I$200:$J$271,2,FALSE),0)</f>
        <v>6.4083910818335019E-2</v>
      </c>
      <c r="Y674">
        <f t="shared" ref="Y674:Y675" ca="1" si="1954">IF($W674=0,T674*3.6+U674*3.6+V674*3.6+X674,T674+U674+V674+W674)</f>
        <v>0.18341042908637167</v>
      </c>
      <c r="Z674" t="str">
        <f t="shared" ref="Z674" si="1955">CONCATENATE(AG674,"   →   ",AH674,"   →   ",AI674,"   →   ",AJ674)</f>
        <v>BIO_GSF_MED_C   →   C_GAS_STRG   →   METHANATION   →   NG_FC_DCHP_PWR</v>
      </c>
      <c r="AA674" t="str">
        <f t="shared" ref="AA674" si="1956">G674</f>
        <v>Grid electricity</v>
      </c>
      <c r="AB674" t="str">
        <f t="shared" ref="AB674" si="1957">J674</f>
        <v>Levelized cost</v>
      </c>
      <c r="AC674">
        <f t="shared" ref="AC674" ca="1" si="1958">Y674</f>
        <v>0.18341042908637167</v>
      </c>
      <c r="AD674">
        <v>615</v>
      </c>
      <c r="AE674" t="str">
        <f>IF(AND(ISNUMBER(SEARCH(O674,4)),ISNUMBER(SEARCH('(4) FCH pathway assessment'!$B$16,AB674)),ISNUMBER(SEARCH('(4) FCH pathway assessment'!$B$10,AA674))),AD674,"")</f>
        <v/>
      </c>
      <c r="AF674" t="str">
        <f t="shared" si="1873"/>
        <v/>
      </c>
      <c r="AG674" t="str">
        <f>VLOOKUP(C674,Assumptions!$B$116:$C$162,2,FALSE)</f>
        <v>BIO_GSF_MED_C</v>
      </c>
      <c r="AH674" t="str">
        <f>VLOOKUP(D674,Assumptions!$B$116:$C$162,2,FALSE)</f>
        <v>C_GAS_STRG</v>
      </c>
      <c r="AI674" t="str">
        <f>VLOOKUP(E674,Assumptions!$B$116:$C$162,2,FALSE)</f>
        <v>METHANATION</v>
      </c>
      <c r="AJ674" t="str">
        <f>VLOOKUP(F674,Assumptions!$B$116:$C$162,2,FALSE)</f>
        <v>NG_FC_DCHP_PWR</v>
      </c>
    </row>
    <row r="675" spans="2:36" x14ac:dyDescent="0.25">
      <c r="B675" t="s">
        <v>117</v>
      </c>
      <c r="C675" t="s">
        <v>54</v>
      </c>
      <c r="D675" t="s">
        <v>155</v>
      </c>
      <c r="E675" t="s">
        <v>65</v>
      </c>
      <c r="F675" t="s">
        <v>550</v>
      </c>
      <c r="G675" t="s">
        <v>114</v>
      </c>
      <c r="H675" t="s">
        <v>433</v>
      </c>
      <c r="I675" t="s">
        <v>32</v>
      </c>
      <c r="J675" t="s">
        <v>72</v>
      </c>
      <c r="K675">
        <f t="shared" ref="K675" si="1959">SUMPRODUCT(($C$7:$C$18=$C675)*($D$6:$H$6=$D675)*($D$7:$H$18))</f>
        <v>0</v>
      </c>
      <c r="L675">
        <f t="shared" ref="L675" si="1960">SUMPRODUCT(($C$19:$C$23=$D675)*($I$6:$O$6=$E675)*($I$19:$O$23))</f>
        <v>1</v>
      </c>
      <c r="M675">
        <f t="shared" ref="M675" si="1961">SUMPRODUCT(($C$24:$C$30=$E675)*($P$6:$AI$6=$F675)*($P$24:$AI$30))</f>
        <v>0</v>
      </c>
      <c r="N675">
        <f t="shared" ref="N675" si="1962">SUMPRODUCT(($C$31:$C$50=$F675)*($AJ$6:$AM$6=$G675)*($AJ$31:$AM$50))</f>
        <v>1</v>
      </c>
      <c r="O675">
        <f t="shared" ref="O675" si="1963">K675+L675+M675+N675</f>
        <v>2</v>
      </c>
      <c r="P675" t="str">
        <f t="shared" ref="P675" si="1964">CONCATENATE(C675,"-",J675)</f>
        <v>Medium centralized biomass gasification w/ CCS-Levelized cost</v>
      </c>
      <c r="Q675" t="str">
        <f t="shared" ref="Q675" si="1965">CONCATENATE(D675,"-",J675)</f>
        <v>Central gas storage-Levelized cost</v>
      </c>
      <c r="R675" t="str">
        <f t="shared" ref="R675" si="1966">CONCATENATE(E675,"-",J675)</f>
        <v>Methanation-Levelized cost</v>
      </c>
      <c r="S675" t="str">
        <f t="shared" ref="S675" si="1967">CONCATENATE(F675,"-",J675)</f>
        <v>District-CHP with natural gas fuel cell (power)-Levelized cost</v>
      </c>
      <c r="T675">
        <f ca="1">IF(timePeriod="2020-30",(VLOOKUP($P675,'TA database'!$I$8:$J$79,2,FALSE)/VLOOKUP($D675,'Merit calculation'!$B$48:$I$52,5,FALSE)/VLOOKUP($E675,'Merit calculation'!$B$67:$I$73,5,FALSE)/VLOOKUP($F675,'Merit calculation'!$B$90:$I$103,5,FALSE)/energyContentH2),(VLOOKUP($P675,'TA database'!$I$8:$J$79,2,FALSE)/VLOOKUP($D675,'Merit calculation'!$B$48:$I$52,7,FALSE)/VLOOKUP($E675,'Merit calculation'!$B$67:$I$73,7,FALSE)/VLOOKUP($F675,'Merit calculation'!$B$90:$I$103,7,FALSE)/energyContentH2))</f>
        <v>1.084934075926979E-2</v>
      </c>
      <c r="U675">
        <f ca="1">IF(timePeriod="2020-30",(VLOOKUP($Q675,'TA database'!$I$86:$J$105,2,FALSE)/VLOOKUP($E675,'Merit calculation'!$B$67:$I$73,5,FALSE)/VLOOKUP($F675,'Merit calculation'!$B$90:$I$104,5,FALSE)/energyContentH2),VLOOKUP($Q675,'TA database'!$I$86:$J$105,2,FALSE)/VLOOKUP($E675,'Merit calculation'!$B$67:$I$73,7,FALSE)/VLOOKUP($F675,'Merit calculation'!$B$90:$I$104,7,FALSE)/energyContentH2)</f>
        <v>8.5932104506953526E-4</v>
      </c>
      <c r="V675">
        <f ca="1">IF(timePeriod="2020-30",(VLOOKUP($R675,'TA database'!$I$112:$J$139,2,FALSE)/VLOOKUP($F675,'Merit calculation'!$B$90:$I$104,5,FALSE)/energyContentH2),(VLOOKUP($R675,'TA database'!$I$112:$J$139,2,FALSE)/VLOOKUP($F675,'Merit calculation'!$B$90:$I$104,7,FALSE)/energyContentH2))</f>
        <v>1.4915969791789559E-2</v>
      </c>
      <c r="W675">
        <f>IFERROR(VLOOKUP($S675,'TA database'!$I$146:$J$193,2,FALSE),0)</f>
        <v>0</v>
      </c>
      <c r="X675">
        <f ca="1">IFERROR(VLOOKUP($S675,'TA database'!$I$200:$J$271,2,FALSE),0)</f>
        <v>6.4083910818335019E-2</v>
      </c>
      <c r="Y675">
        <f t="shared" ca="1" si="1954"/>
        <v>0.15993258456439902</v>
      </c>
      <c r="Z675" t="str">
        <f t="shared" ref="Z675" si="1968">CONCATENATE(AG675,"   →   ",AH675,"   →   ",AI675,"   →   ",AJ675)</f>
        <v>BIO_GSF_CCS_MED_C   →   C_GAS_STRG   →   METHANATION   →   NG_FC_DCHP_PWR</v>
      </c>
      <c r="AA675" t="str">
        <f t="shared" ref="AA675" si="1969">G675</f>
        <v>Grid electricity</v>
      </c>
      <c r="AB675" t="str">
        <f t="shared" ref="AB675" si="1970">J675</f>
        <v>Levelized cost</v>
      </c>
      <c r="AC675">
        <f t="shared" ref="AC675" ca="1" si="1971">Y675</f>
        <v>0.15993258456439902</v>
      </c>
      <c r="AD675">
        <v>616</v>
      </c>
      <c r="AE675" t="str">
        <f>IF(AND(ISNUMBER(SEARCH(O675,4)),ISNUMBER(SEARCH('(4) FCH pathway assessment'!$B$16,AB675)),ISNUMBER(SEARCH('(4) FCH pathway assessment'!$B$10,AA675))),AD675,"")</f>
        <v/>
      </c>
      <c r="AF675" t="str">
        <f t="shared" si="1873"/>
        <v/>
      </c>
      <c r="AG675" t="str">
        <f>VLOOKUP(C675,Assumptions!$B$116:$C$162,2,FALSE)</f>
        <v>BIO_GSF_CCS_MED_C</v>
      </c>
      <c r="AH675" t="str">
        <f>VLOOKUP(D675,Assumptions!$B$116:$C$162,2,FALSE)</f>
        <v>C_GAS_STRG</v>
      </c>
      <c r="AI675" t="str">
        <f>VLOOKUP(E675,Assumptions!$B$116:$C$162,2,FALSE)</f>
        <v>METHANATION</v>
      </c>
      <c r="AJ675" t="str">
        <f>VLOOKUP(F675,Assumptions!$B$116:$C$162,2,FALSE)</f>
        <v>NG_FC_DCHP_PWR</v>
      </c>
    </row>
    <row r="676" spans="2:36" x14ac:dyDescent="0.25">
      <c r="B676" t="s">
        <v>117</v>
      </c>
      <c r="C676" t="s">
        <v>56</v>
      </c>
      <c r="D676" t="s">
        <v>62</v>
      </c>
      <c r="E676" t="s">
        <v>65</v>
      </c>
      <c r="F676" t="s">
        <v>550</v>
      </c>
      <c r="G676" t="s">
        <v>114</v>
      </c>
      <c r="H676" t="s">
        <v>433</v>
      </c>
      <c r="I676" t="s">
        <v>32</v>
      </c>
      <c r="J676" t="s">
        <v>72</v>
      </c>
      <c r="K676">
        <f t="shared" ref="K676:K677" si="1972">SUMPRODUCT(($C$7:$C$18=$C676)*($D$6:$H$6=$D676)*($D$7:$H$18))</f>
        <v>0</v>
      </c>
      <c r="L676">
        <f t="shared" ref="L676:L677" si="1973">SUMPRODUCT(($C$19:$C$23=$D676)*($I$6:$O$6=$E676)*($I$19:$O$23))</f>
        <v>0</v>
      </c>
      <c r="M676">
        <f t="shared" ref="M676:M677" si="1974">SUMPRODUCT(($C$24:$C$30=$E676)*($P$6:$AI$6=$F676)*($P$24:$AI$30))</f>
        <v>0</v>
      </c>
      <c r="N676">
        <f t="shared" ref="N676:N677" si="1975">SUMPRODUCT(($C$31:$C$50=$F676)*($AJ$6:$AM$6=$G676)*($AJ$31:$AM$50))</f>
        <v>1</v>
      </c>
      <c r="O676">
        <f t="shared" ref="O676" si="1976">K676+L676+M676+N676</f>
        <v>1</v>
      </c>
      <c r="P676" t="str">
        <f t="shared" ref="P676:P677" si="1977">CONCATENATE(C676,"-",J676)</f>
        <v>Large centralized biomass steam reforming -Levelized cost</v>
      </c>
      <c r="Q676" t="str">
        <f t="shared" ref="Q676:Q677" si="1978">CONCATENATE(D676,"-",J676)</f>
        <v>Underground storage-Levelized cost</v>
      </c>
      <c r="R676" t="str">
        <f t="shared" ref="R676:R677" si="1979">CONCATENATE(E676,"-",J676)</f>
        <v>Methanation-Levelized cost</v>
      </c>
      <c r="S676" t="str">
        <f t="shared" ref="S676:S677" si="1980">CONCATENATE(F676,"-",J676)</f>
        <v>District-CHP with natural gas fuel cell (power)-Levelized cost</v>
      </c>
      <c r="T676">
        <f ca="1">IF(timePeriod="2020-30",(VLOOKUP($P676,'TA database'!$I$8:$J$79,2,FALSE)/VLOOKUP($D676,'Merit calculation'!$B$48:$I$52,5,FALSE)/VLOOKUP($E676,'Merit calculation'!$B$67:$I$73,5,FALSE)/VLOOKUP($F676,'Merit calculation'!$B$90:$I$103,5,FALSE)/energyContentH2),(VLOOKUP($P676,'TA database'!$I$8:$J$79,2,FALSE)/VLOOKUP($D676,'Merit calculation'!$B$48:$I$52,7,FALSE)/VLOOKUP($E676,'Merit calculation'!$B$67:$I$73,7,FALSE)/VLOOKUP($F676,'Merit calculation'!$B$90:$I$103,7,FALSE)/energyContentH2))</f>
        <v>1.214692743887316E-2</v>
      </c>
      <c r="U676">
        <f ca="1">IF(timePeriod="2020-30",(VLOOKUP($Q676,'TA database'!$I$86:$J$105,2,FALSE)/VLOOKUP($E676,'Merit calculation'!$B$67:$I$73,5,FALSE)/VLOOKUP($F676,'Merit calculation'!$B$90:$I$104,5,FALSE)/energyContentH2),VLOOKUP($Q676,'TA database'!$I$86:$J$105,2,FALSE)/VLOOKUP($E676,'Merit calculation'!$B$67:$I$73,7,FALSE)/VLOOKUP($F676,'Merit calculation'!$B$90:$I$104,7,FALSE)/energyContentH2)</f>
        <v>1.711569488945083E-4</v>
      </c>
      <c r="V676">
        <f ca="1">IF(timePeriod="2020-30",(VLOOKUP($R676,'TA database'!$I$112:$J$139,2,FALSE)/VLOOKUP($F676,'Merit calculation'!$B$90:$I$104,5,FALSE)/energyContentH2),(VLOOKUP($R676,'TA database'!$I$112:$J$139,2,FALSE)/VLOOKUP($F676,'Merit calculation'!$B$90:$I$104,7,FALSE)/energyContentH2))</f>
        <v>1.4915969791789559E-2</v>
      </c>
      <c r="W676">
        <f>IFERROR(VLOOKUP($S676,'TA database'!$I$146:$J$193,2,FALSE),0)</f>
        <v>0</v>
      </c>
      <c r="X676">
        <f ca="1">IFERROR(VLOOKUP($S676,'TA database'!$I$200:$J$271,2,FALSE),0)</f>
        <v>6.4083910818335019E-2</v>
      </c>
      <c r="Y676">
        <f t="shared" ref="Y676" ca="1" si="1981">IF($W676=0,T676*3.6+U676*3.6+V676*3.6+X676,T676+U676+V676+W676)</f>
        <v>0.16212650586474103</v>
      </c>
      <c r="Z676" t="str">
        <f t="shared" ref="Z676" si="1982">CONCATENATE(AG676,"   →   ",AH676,"   →   ",AI676,"   →   ",AJ676)</f>
        <v>BIO_SR_LRG_C   →   C_UNDRGRND_STRG   →   METHANATION   →   NG_FC_DCHP_PWR</v>
      </c>
      <c r="AA676" t="str">
        <f t="shared" ref="AA676" si="1983">G676</f>
        <v>Grid electricity</v>
      </c>
      <c r="AB676" t="str">
        <f t="shared" ref="AB676" si="1984">J676</f>
        <v>Levelized cost</v>
      </c>
      <c r="AC676">
        <f t="shared" ref="AC676" ca="1" si="1985">Y676</f>
        <v>0.16212650586474103</v>
      </c>
      <c r="AD676">
        <v>617</v>
      </c>
      <c r="AE676" t="str">
        <f>IF(AND(ISNUMBER(SEARCH(O676,4)),ISNUMBER(SEARCH('(4) FCH pathway assessment'!$B$16,AB676)),ISNUMBER(SEARCH('(4) FCH pathway assessment'!$B$10,AA676))),AD676,"")</f>
        <v/>
      </c>
      <c r="AF676" t="str">
        <f t="shared" si="1873"/>
        <v/>
      </c>
      <c r="AG676" t="str">
        <f>VLOOKUP(C676,Assumptions!$B$116:$C$162,2,FALSE)</f>
        <v>BIO_SR_LRG_C</v>
      </c>
      <c r="AH676" t="str">
        <f>VLOOKUP(D676,Assumptions!$B$116:$C$162,2,FALSE)</f>
        <v>C_UNDRGRND_STRG</v>
      </c>
      <c r="AI676" t="str">
        <f>VLOOKUP(E676,Assumptions!$B$116:$C$162,2,FALSE)</f>
        <v>METHANATION</v>
      </c>
      <c r="AJ676" t="str">
        <f>VLOOKUP(F676,Assumptions!$B$116:$C$162,2,FALSE)</f>
        <v>NG_FC_DCHP_PWR</v>
      </c>
    </row>
    <row r="677" spans="2:36" x14ac:dyDescent="0.25">
      <c r="B677" t="s">
        <v>112</v>
      </c>
      <c r="C677" t="s">
        <v>49</v>
      </c>
      <c r="D677" t="s">
        <v>62</v>
      </c>
      <c r="E677" t="s">
        <v>65</v>
      </c>
      <c r="F677" t="s">
        <v>550</v>
      </c>
      <c r="G677" t="s">
        <v>114</v>
      </c>
      <c r="H677" t="s">
        <v>433</v>
      </c>
      <c r="I677" t="s">
        <v>32</v>
      </c>
      <c r="J677" t="s">
        <v>72</v>
      </c>
      <c r="K677">
        <f t="shared" si="1972"/>
        <v>1</v>
      </c>
      <c r="L677">
        <f t="shared" si="1973"/>
        <v>0</v>
      </c>
      <c r="M677">
        <f t="shared" si="1974"/>
        <v>0</v>
      </c>
      <c r="N677">
        <f t="shared" si="1975"/>
        <v>1</v>
      </c>
      <c r="O677">
        <f t="shared" ref="O677:O679" si="1986">K677+L677+M677+N677</f>
        <v>2</v>
      </c>
      <c r="P677" t="str">
        <f t="shared" si="1977"/>
        <v>Large centralized electrolysis-Levelized cost</v>
      </c>
      <c r="Q677" t="str">
        <f t="shared" si="1978"/>
        <v>Underground storage-Levelized cost</v>
      </c>
      <c r="R677" t="str">
        <f t="shared" si="1979"/>
        <v>Methanation-Levelized cost</v>
      </c>
      <c r="S677" t="str">
        <f t="shared" si="1980"/>
        <v>District-CHP with natural gas fuel cell (power)-Levelized cost</v>
      </c>
      <c r="T677">
        <f ca="1">IF(timePeriod="2020-30",(VLOOKUP($P677,'TA database'!$I$8:$J$79,2,FALSE)/VLOOKUP($D677,'Merit calculation'!$B$48:$I$52,5,FALSE)/VLOOKUP($E677,'Merit calculation'!$B$67:$I$73,5,FALSE)/VLOOKUP($F677,'Merit calculation'!$B$90:$I$103,5,FALSE)/energyContentH2),(VLOOKUP($P677,'TA database'!$I$8:$J$79,2,FALSE)/VLOOKUP($D677,'Merit calculation'!$B$48:$I$52,7,FALSE)/VLOOKUP($E677,'Merit calculation'!$B$67:$I$73,7,FALSE)/VLOOKUP($F677,'Merit calculation'!$B$90:$I$103,7,FALSE)/energyContentH2))</f>
        <v>2.5900873766520376E-2</v>
      </c>
      <c r="U677">
        <f ca="1">IF(timePeriod="2020-30",(VLOOKUP($Q677,'TA database'!$I$86:$J$105,2,FALSE)/VLOOKUP($E677,'Merit calculation'!$B$67:$I$73,5,FALSE)/VLOOKUP($F677,'Merit calculation'!$B$90:$I$104,5,FALSE)/energyContentH2),VLOOKUP($Q677,'TA database'!$I$86:$J$105,2,FALSE)/VLOOKUP($E677,'Merit calculation'!$B$67:$I$73,7,FALSE)/VLOOKUP($F677,'Merit calculation'!$B$90:$I$104,7,FALSE)/energyContentH2)</f>
        <v>1.711569488945083E-4</v>
      </c>
      <c r="V677">
        <f ca="1">IF(timePeriod="2020-30",(VLOOKUP($R677,'TA database'!$I$112:$J$139,2,FALSE)/VLOOKUP($F677,'Merit calculation'!$B$90:$I$104,5,FALSE)/energyContentH2),(VLOOKUP($R677,'TA database'!$I$112:$J$139,2,FALSE)/VLOOKUP($F677,'Merit calculation'!$B$90:$I$104,7,FALSE)/energyContentH2))</f>
        <v>1.4915969791789559E-2</v>
      </c>
      <c r="W677">
        <f>IFERROR(VLOOKUP($S677,'TA database'!$I$146:$J$193,2,FALSE),0)</f>
        <v>0</v>
      </c>
      <c r="X677">
        <f ca="1">IFERROR(VLOOKUP($S677,'TA database'!$I$200:$J$271,2,FALSE),0)</f>
        <v>6.4083910818335019E-2</v>
      </c>
      <c r="Y677">
        <f t="shared" ref="Y677:Y678" ca="1" si="1987">IF($W677=0,T677*3.6+U677*3.6+V677*3.6+X677,T677+U677+V677+W677)</f>
        <v>0.21164071264427103</v>
      </c>
      <c r="Z677" t="str">
        <f t="shared" ref="Z677:Z679" si="1988">CONCATENATE(AG677,"   →   ",AH677,"   →   ",AI677,"   →   ",AJ677)</f>
        <v>ELCTRLYZ_LRG_C   →   C_UNDRGRND_STRG   →   METHANATION   →   NG_FC_DCHP_PWR</v>
      </c>
      <c r="AA677" t="str">
        <f t="shared" ref="AA677:AA679" si="1989">G677</f>
        <v>Grid electricity</v>
      </c>
      <c r="AB677" t="str">
        <f t="shared" ref="AB677:AB679" si="1990">J677</f>
        <v>Levelized cost</v>
      </c>
      <c r="AC677">
        <f t="shared" ref="AC677:AC679" ca="1" si="1991">Y677</f>
        <v>0.21164071264427103</v>
      </c>
      <c r="AD677">
        <v>618</v>
      </c>
      <c r="AE677" t="str">
        <f>IF(AND(ISNUMBER(SEARCH(O677,4)),ISNUMBER(SEARCH('(4) FCH pathway assessment'!$B$16,AB677)),ISNUMBER(SEARCH('(4) FCH pathway assessment'!$B$10,AA677))),AD677,"")</f>
        <v/>
      </c>
      <c r="AF677" t="str">
        <f t="shared" si="1873"/>
        <v/>
      </c>
      <c r="AG677" t="str">
        <f>VLOOKUP(C677,Assumptions!$B$116:$C$162,2,FALSE)</f>
        <v>ELCTRLYZ_LRG_C</v>
      </c>
      <c r="AH677" t="str">
        <f>VLOOKUP(D677,Assumptions!$B$116:$C$162,2,FALSE)</f>
        <v>C_UNDRGRND_STRG</v>
      </c>
      <c r="AI677" t="str">
        <f>VLOOKUP(E677,Assumptions!$B$116:$C$162,2,FALSE)</f>
        <v>METHANATION</v>
      </c>
      <c r="AJ677" t="str">
        <f>VLOOKUP(F677,Assumptions!$B$116:$C$162,2,FALSE)</f>
        <v>NG_FC_DCHP_PWR</v>
      </c>
    </row>
    <row r="678" spans="2:36" x14ac:dyDescent="0.25">
      <c r="B678" t="s">
        <v>112</v>
      </c>
      <c r="C678" t="s">
        <v>49</v>
      </c>
      <c r="D678" t="s">
        <v>155</v>
      </c>
      <c r="E678" t="s">
        <v>65</v>
      </c>
      <c r="F678" t="s">
        <v>550</v>
      </c>
      <c r="G678" t="s">
        <v>114</v>
      </c>
      <c r="H678" t="s">
        <v>433</v>
      </c>
      <c r="I678" t="s">
        <v>32</v>
      </c>
      <c r="J678" t="s">
        <v>72</v>
      </c>
      <c r="K678">
        <f t="shared" ref="K678:K679" si="1992">SUMPRODUCT(($C$7:$C$18=$C678)*($D$6:$H$6=$D678)*($D$7:$H$18))</f>
        <v>1</v>
      </c>
      <c r="L678">
        <f t="shared" ref="L678:L679" si="1993">SUMPRODUCT(($C$19:$C$23=$D678)*($I$6:$O$6=$E678)*($I$19:$O$23))</f>
        <v>1</v>
      </c>
      <c r="M678">
        <f t="shared" ref="M678:M679" si="1994">SUMPRODUCT(($C$24:$C$30=$E678)*($P$6:$AI$6=$F678)*($P$24:$AI$30))</f>
        <v>0</v>
      </c>
      <c r="N678">
        <f t="shared" ref="N678:N679" si="1995">SUMPRODUCT(($C$31:$C$50=$F678)*($AJ$6:$AM$6=$G678)*($AJ$31:$AM$50))</f>
        <v>1</v>
      </c>
      <c r="O678">
        <f t="shared" si="1986"/>
        <v>3</v>
      </c>
      <c r="P678" t="str">
        <f t="shared" ref="P678:P679" si="1996">CONCATENATE(C678,"-",J678)</f>
        <v>Large centralized electrolysis-Levelized cost</v>
      </c>
      <c r="Q678" t="str">
        <f t="shared" ref="Q678:Q679" si="1997">CONCATENATE(D678,"-",J678)</f>
        <v>Central gas storage-Levelized cost</v>
      </c>
      <c r="R678" t="str">
        <f t="shared" ref="R678:R679" si="1998">CONCATENATE(E678,"-",J678)</f>
        <v>Methanation-Levelized cost</v>
      </c>
      <c r="S678" t="str">
        <f t="shared" ref="S678:S679" si="1999">CONCATENATE(F678,"-",J678)</f>
        <v>District-CHP with natural gas fuel cell (power)-Levelized cost</v>
      </c>
      <c r="T678">
        <f ca="1">IF(timePeriod="2020-30",(VLOOKUP($P678,'TA database'!$I$8:$J$79,2,FALSE)/VLOOKUP($D678,'Merit calculation'!$B$48:$I$52,5,FALSE)/VLOOKUP($E678,'Merit calculation'!$B$67:$I$73,5,FALSE)/VLOOKUP($F678,'Merit calculation'!$B$90:$I$103,5,FALSE)/energyContentH2),(VLOOKUP($P678,'TA database'!$I$8:$J$79,2,FALSE)/VLOOKUP($D678,'Merit calculation'!$B$48:$I$52,7,FALSE)/VLOOKUP($E678,'Merit calculation'!$B$67:$I$73,7,FALSE)/VLOOKUP($F678,'Merit calculation'!$B$90:$I$103,7,FALSE)/energyContentH2))</f>
        <v>2.6165168396790991E-2</v>
      </c>
      <c r="U678">
        <f ca="1">IF(timePeriod="2020-30",(VLOOKUP($Q678,'TA database'!$I$86:$J$105,2,FALSE)/VLOOKUP($E678,'Merit calculation'!$B$67:$I$73,5,FALSE)/VLOOKUP($F678,'Merit calculation'!$B$90:$I$104,5,FALSE)/energyContentH2),VLOOKUP($Q678,'TA database'!$I$86:$J$105,2,FALSE)/VLOOKUP($E678,'Merit calculation'!$B$67:$I$73,7,FALSE)/VLOOKUP($F678,'Merit calculation'!$B$90:$I$104,7,FALSE)/energyContentH2)</f>
        <v>8.5932104506953526E-4</v>
      </c>
      <c r="V678">
        <f ca="1">IF(timePeriod="2020-30",(VLOOKUP($R678,'TA database'!$I$112:$J$139,2,FALSE)/VLOOKUP($F678,'Merit calculation'!$B$90:$I$104,5,FALSE)/energyContentH2),(VLOOKUP($R678,'TA database'!$I$112:$J$139,2,FALSE)/VLOOKUP($F678,'Merit calculation'!$B$90:$I$104,7,FALSE)/energyContentH2))</f>
        <v>1.4915969791789559E-2</v>
      </c>
      <c r="W678">
        <f>IFERROR(VLOOKUP($S678,'TA database'!$I$146:$J$193,2,FALSE),0)</f>
        <v>0</v>
      </c>
      <c r="X678">
        <f ca="1">IFERROR(VLOOKUP($S678,'TA database'!$I$200:$J$271,2,FALSE),0)</f>
        <v>6.4083910818335019E-2</v>
      </c>
      <c r="Y678">
        <f t="shared" ca="1" si="1987"/>
        <v>0.2150695640594753</v>
      </c>
      <c r="Z678" t="str">
        <f t="shared" si="1988"/>
        <v>ELCTRLYZ_LRG_C   →   C_GAS_STRG   →   METHANATION   →   NG_FC_DCHP_PWR</v>
      </c>
      <c r="AA678" t="str">
        <f t="shared" si="1989"/>
        <v>Grid electricity</v>
      </c>
      <c r="AB678" t="str">
        <f t="shared" si="1990"/>
        <v>Levelized cost</v>
      </c>
      <c r="AC678">
        <f t="shared" ca="1" si="1991"/>
        <v>0.2150695640594753</v>
      </c>
      <c r="AD678">
        <v>619</v>
      </c>
      <c r="AE678" t="str">
        <f>IF(AND(ISNUMBER(SEARCH(O678,4)),ISNUMBER(SEARCH('(4) FCH pathway assessment'!$B$16,AB678)),ISNUMBER(SEARCH('(4) FCH pathway assessment'!$B$10,AA678))),AD678,"")</f>
        <v/>
      </c>
      <c r="AF678" t="str">
        <f t="shared" si="1873"/>
        <v/>
      </c>
      <c r="AG678" t="str">
        <f>VLOOKUP(C678,Assumptions!$B$116:$C$162,2,FALSE)</f>
        <v>ELCTRLYZ_LRG_C</v>
      </c>
      <c r="AH678" t="str">
        <f>VLOOKUP(D678,Assumptions!$B$116:$C$162,2,FALSE)</f>
        <v>C_GAS_STRG</v>
      </c>
      <c r="AI678" t="str">
        <f>VLOOKUP(E678,Assumptions!$B$116:$C$162,2,FALSE)</f>
        <v>METHANATION</v>
      </c>
      <c r="AJ678" t="str">
        <f>VLOOKUP(F678,Assumptions!$B$116:$C$162,2,FALSE)</f>
        <v>NG_FC_DCHP_PWR</v>
      </c>
    </row>
    <row r="679" spans="2:36" x14ac:dyDescent="0.25">
      <c r="B679" t="s">
        <v>112</v>
      </c>
      <c r="C679" t="s">
        <v>51</v>
      </c>
      <c r="D679" t="s">
        <v>155</v>
      </c>
      <c r="E679" t="s">
        <v>65</v>
      </c>
      <c r="F679" t="s">
        <v>550</v>
      </c>
      <c r="G679" t="s">
        <v>114</v>
      </c>
      <c r="H679" t="s">
        <v>433</v>
      </c>
      <c r="I679" t="s">
        <v>32</v>
      </c>
      <c r="J679" t="s">
        <v>72</v>
      </c>
      <c r="K679">
        <f t="shared" si="1992"/>
        <v>1</v>
      </c>
      <c r="L679">
        <f t="shared" si="1993"/>
        <v>1</v>
      </c>
      <c r="M679">
        <f t="shared" si="1994"/>
        <v>0</v>
      </c>
      <c r="N679">
        <f t="shared" si="1995"/>
        <v>1</v>
      </c>
      <c r="O679">
        <f t="shared" si="1986"/>
        <v>3</v>
      </c>
      <c r="P679" t="str">
        <f t="shared" si="1996"/>
        <v>Medium centralized electrolysis-Levelized cost</v>
      </c>
      <c r="Q679" t="str">
        <f t="shared" si="1997"/>
        <v>Central gas storage-Levelized cost</v>
      </c>
      <c r="R679" t="str">
        <f t="shared" si="1998"/>
        <v>Methanation-Levelized cost</v>
      </c>
      <c r="S679" t="str">
        <f t="shared" si="1999"/>
        <v>District-CHP with natural gas fuel cell (power)-Levelized cost</v>
      </c>
      <c r="T679">
        <f ca="1">IF(timePeriod="2020-30",(VLOOKUP($P679,'TA database'!$I$8:$J$79,2,FALSE)/VLOOKUP($D679,'Merit calculation'!$B$48:$I$52,5,FALSE)/VLOOKUP($E679,'Merit calculation'!$B$67:$I$73,5,FALSE)/VLOOKUP($F679,'Merit calculation'!$B$90:$I$103,5,FALSE)/energyContentH2),(VLOOKUP($P679,'TA database'!$I$8:$J$79,2,FALSE)/VLOOKUP($D679,'Merit calculation'!$B$48:$I$52,7,FALSE)/VLOOKUP($E679,'Merit calculation'!$B$67:$I$73,7,FALSE)/VLOOKUP($F679,'Merit calculation'!$B$90:$I$103,7,FALSE)/energyContentH2))</f>
        <v>2.7256944086152722E-2</v>
      </c>
      <c r="U679">
        <f ca="1">IF(timePeriod="2020-30",(VLOOKUP($Q679,'TA database'!$I$86:$J$105,2,FALSE)/VLOOKUP($E679,'Merit calculation'!$B$67:$I$73,5,FALSE)/VLOOKUP($F679,'Merit calculation'!$B$90:$I$104,5,FALSE)/energyContentH2),VLOOKUP($Q679,'TA database'!$I$86:$J$105,2,FALSE)/VLOOKUP($E679,'Merit calculation'!$B$67:$I$73,7,FALSE)/VLOOKUP($F679,'Merit calculation'!$B$90:$I$104,7,FALSE)/energyContentH2)</f>
        <v>8.5932104506953526E-4</v>
      </c>
      <c r="V679">
        <f ca="1">IF(timePeriod="2020-30",(VLOOKUP($R679,'TA database'!$I$112:$J$139,2,FALSE)/VLOOKUP($F679,'Merit calculation'!$B$90:$I$104,5,FALSE)/energyContentH2),(VLOOKUP($R679,'TA database'!$I$112:$J$139,2,FALSE)/VLOOKUP($F679,'Merit calculation'!$B$90:$I$104,7,FALSE)/energyContentH2))</f>
        <v>1.4915969791789559E-2</v>
      </c>
      <c r="W679">
        <f>IFERROR(VLOOKUP($S679,'TA database'!$I$146:$J$193,2,FALSE),0)</f>
        <v>0</v>
      </c>
      <c r="X679">
        <f ca="1">IFERROR(VLOOKUP($S679,'TA database'!$I$200:$J$271,2,FALSE),0)</f>
        <v>6.4083910818335019E-2</v>
      </c>
      <c r="Y679">
        <f t="shared" ref="Y679" ca="1" si="2000">IF($W679=0,T679*3.6+U679*3.6+V679*3.6+X679,T679+U679+V679+W679)</f>
        <v>0.21899995654117754</v>
      </c>
      <c r="Z679" t="str">
        <f t="shared" si="1988"/>
        <v>ELCTRLYZ_MED_C   →   C_GAS_STRG   →   METHANATION   →   NG_FC_DCHP_PWR</v>
      </c>
      <c r="AA679" t="str">
        <f t="shared" si="1989"/>
        <v>Grid electricity</v>
      </c>
      <c r="AB679" t="str">
        <f t="shared" si="1990"/>
        <v>Levelized cost</v>
      </c>
      <c r="AC679">
        <f t="shared" ca="1" si="1991"/>
        <v>0.21899995654117754</v>
      </c>
      <c r="AD679">
        <v>620</v>
      </c>
      <c r="AE679" t="str">
        <f>IF(AND(ISNUMBER(SEARCH(O679,4)),ISNUMBER(SEARCH('(4) FCH pathway assessment'!$B$16,AB679)),ISNUMBER(SEARCH('(4) FCH pathway assessment'!$B$10,AA679))),AD679,"")</f>
        <v/>
      </c>
      <c r="AF679" t="str">
        <f t="shared" si="1873"/>
        <v/>
      </c>
      <c r="AG679" t="str">
        <f>VLOOKUP(C679,Assumptions!$B$116:$C$162,2,FALSE)</f>
        <v>ELCTRLYZ_MED_C</v>
      </c>
      <c r="AH679" t="str">
        <f>VLOOKUP(D679,Assumptions!$B$116:$C$162,2,FALSE)</f>
        <v>C_GAS_STRG</v>
      </c>
      <c r="AI679" t="str">
        <f>VLOOKUP(E679,Assumptions!$B$116:$C$162,2,FALSE)</f>
        <v>METHANATION</v>
      </c>
      <c r="AJ679" t="str">
        <f>VLOOKUP(F679,Assumptions!$B$116:$C$162,2,FALSE)</f>
        <v>NG_FC_DCHP_PWR</v>
      </c>
    </row>
    <row r="680" spans="2:36" x14ac:dyDescent="0.25">
      <c r="B680" t="s">
        <v>127</v>
      </c>
      <c r="C680" t="s">
        <v>57</v>
      </c>
      <c r="D680" t="s">
        <v>62</v>
      </c>
      <c r="E680" t="s">
        <v>65</v>
      </c>
      <c r="F680" t="s">
        <v>550</v>
      </c>
      <c r="G680" t="s">
        <v>114</v>
      </c>
      <c r="H680" t="s">
        <v>433</v>
      </c>
      <c r="I680" t="s">
        <v>32</v>
      </c>
      <c r="J680" t="s">
        <v>72</v>
      </c>
      <c r="K680">
        <f t="shared" ref="K680" si="2001">SUMPRODUCT(($C$7:$C$18=$C680)*($D$6:$H$6=$D680)*($D$7:$H$18))</f>
        <v>1</v>
      </c>
      <c r="L680">
        <f t="shared" ref="L680" si="2002">SUMPRODUCT(($C$19:$C$23=$D680)*($I$6:$O$6=$E680)*($I$19:$O$23))</f>
        <v>0</v>
      </c>
      <c r="M680">
        <f t="shared" ref="M680" si="2003">SUMPRODUCT(($C$24:$C$30=$E680)*($P$6:$AI$6=$F680)*($P$24:$AI$30))</f>
        <v>0</v>
      </c>
      <c r="N680">
        <f t="shared" ref="N680" si="2004">SUMPRODUCT(($C$31:$C$50=$F680)*($AJ$6:$AM$6=$G680)*($AJ$31:$AM$50))</f>
        <v>1</v>
      </c>
      <c r="O680">
        <f t="shared" ref="O680" si="2005">K680+L680+M680+N680</f>
        <v>2</v>
      </c>
      <c r="P680" t="str">
        <f t="shared" ref="P680" si="2006">CONCATENATE(C680,"-",J680)</f>
        <v>Large centralized natural gas steam reforming-Levelized cost</v>
      </c>
      <c r="Q680" t="str">
        <f t="shared" ref="Q680" si="2007">CONCATENATE(D680,"-",J680)</f>
        <v>Underground storage-Levelized cost</v>
      </c>
      <c r="R680" t="str">
        <f t="shared" ref="R680" si="2008">CONCATENATE(E680,"-",J680)</f>
        <v>Methanation-Levelized cost</v>
      </c>
      <c r="S680" t="str">
        <f t="shared" ref="S680" si="2009">CONCATENATE(F680,"-",J680)</f>
        <v>District-CHP with natural gas fuel cell (power)-Levelized cost</v>
      </c>
      <c r="T680">
        <f ca="1">IF(timePeriod="2020-30",(VLOOKUP($P680,'TA database'!$I$8:$J$79,2,FALSE)/VLOOKUP($D680,'Merit calculation'!$B$48:$I$52,5,FALSE)/VLOOKUP($E680,'Merit calculation'!$B$67:$I$73,5,FALSE)/VLOOKUP($F680,'Merit calculation'!$B$90:$I$103,5,FALSE)/energyContentH2),(VLOOKUP($P680,'TA database'!$I$8:$J$79,2,FALSE)/VLOOKUP($D680,'Merit calculation'!$B$48:$I$52,7,FALSE)/VLOOKUP($E680,'Merit calculation'!$B$67:$I$73,7,FALSE)/VLOOKUP($F680,'Merit calculation'!$B$90:$I$103,7,FALSE)/energyContentH2))</f>
        <v>5.9785904931700516E-2</v>
      </c>
      <c r="U680">
        <f ca="1">IF(timePeriod="2020-30",(VLOOKUP($Q680,'TA database'!$I$86:$J$105,2,FALSE)/VLOOKUP($E680,'Merit calculation'!$B$67:$I$73,5,FALSE)/VLOOKUP($F680,'Merit calculation'!$B$90:$I$104,5,FALSE)/energyContentH2),VLOOKUP($Q680,'TA database'!$I$86:$J$105,2,FALSE)/VLOOKUP($E680,'Merit calculation'!$B$67:$I$73,7,FALSE)/VLOOKUP($F680,'Merit calculation'!$B$90:$I$104,7,FALSE)/energyContentH2)</f>
        <v>1.711569488945083E-4</v>
      </c>
      <c r="V680">
        <f ca="1">IF(timePeriod="2020-30",(VLOOKUP($R680,'TA database'!$I$112:$J$139,2,FALSE)/VLOOKUP($F680,'Merit calculation'!$B$90:$I$104,5,FALSE)/energyContentH2),(VLOOKUP($R680,'TA database'!$I$112:$J$139,2,FALSE)/VLOOKUP($F680,'Merit calculation'!$B$90:$I$104,7,FALSE)/energyContentH2))</f>
        <v>1.4915969791789559E-2</v>
      </c>
      <c r="W680">
        <f>IFERROR(VLOOKUP($S680,'TA database'!$I$146:$J$193,2,FALSE),0)</f>
        <v>0</v>
      </c>
      <c r="X680">
        <f ca="1">IFERROR(VLOOKUP($S680,'TA database'!$I$200:$J$271,2,FALSE),0)</f>
        <v>6.4083910818335019E-2</v>
      </c>
      <c r="Y680">
        <f t="shared" ref="Y680:Y681" ca="1" si="2010">IF($W680=0,T680*3.6+U680*3.6+V680*3.6+X680,T680+U680+V680+W680)</f>
        <v>0.33362682483891953</v>
      </c>
      <c r="Z680" t="str">
        <f t="shared" ref="Z680" si="2011">CONCATENATE(AG680,"   →   ",AH680,"   →   ",AI680,"   →   ",AJ680)</f>
        <v>NG_SR_LRG_C   →   C_UNDRGRND_STRG   →   METHANATION   →   NG_FC_DCHP_PWR</v>
      </c>
      <c r="AA680" t="str">
        <f t="shared" ref="AA680" si="2012">G680</f>
        <v>Grid electricity</v>
      </c>
      <c r="AB680" t="str">
        <f t="shared" ref="AB680" si="2013">J680</f>
        <v>Levelized cost</v>
      </c>
      <c r="AC680">
        <f t="shared" ref="AC680" ca="1" si="2014">Y680</f>
        <v>0.33362682483891953</v>
      </c>
      <c r="AD680">
        <v>621</v>
      </c>
      <c r="AE680" t="str">
        <f>IF(AND(ISNUMBER(SEARCH(O680,4)),ISNUMBER(SEARCH('(4) FCH pathway assessment'!$B$16,AB680)),ISNUMBER(SEARCH('(4) FCH pathway assessment'!$B$10,AA680))),AD680,"")</f>
        <v/>
      </c>
      <c r="AF680" t="str">
        <f t="shared" si="1873"/>
        <v/>
      </c>
      <c r="AG680" t="str">
        <f>VLOOKUP(C680,Assumptions!$B$116:$C$162,2,FALSE)</f>
        <v>NG_SR_LRG_C</v>
      </c>
      <c r="AH680" t="str">
        <f>VLOOKUP(D680,Assumptions!$B$116:$C$162,2,FALSE)</f>
        <v>C_UNDRGRND_STRG</v>
      </c>
      <c r="AI680" t="str">
        <f>VLOOKUP(E680,Assumptions!$B$116:$C$162,2,FALSE)</f>
        <v>METHANATION</v>
      </c>
      <c r="AJ680" t="str">
        <f>VLOOKUP(F680,Assumptions!$B$116:$C$162,2,FALSE)</f>
        <v>NG_FC_DCHP_PWR</v>
      </c>
    </row>
    <row r="681" spans="2:36" x14ac:dyDescent="0.25">
      <c r="B681" t="s">
        <v>127</v>
      </c>
      <c r="C681" t="s">
        <v>58</v>
      </c>
      <c r="D681" t="s">
        <v>155</v>
      </c>
      <c r="E681" t="s">
        <v>65</v>
      </c>
      <c r="F681" t="s">
        <v>550</v>
      </c>
      <c r="G681" t="s">
        <v>114</v>
      </c>
      <c r="H681" t="s">
        <v>433</v>
      </c>
      <c r="I681" t="s">
        <v>32</v>
      </c>
      <c r="J681" t="s">
        <v>72</v>
      </c>
      <c r="K681">
        <f t="shared" ref="K681" si="2015">SUMPRODUCT(($C$7:$C$18=$C681)*($D$6:$H$6=$D681)*($D$7:$H$18))</f>
        <v>1</v>
      </c>
      <c r="L681">
        <f t="shared" ref="L681" si="2016">SUMPRODUCT(($C$19:$C$23=$D681)*($I$6:$O$6=$E681)*($I$19:$O$23))</f>
        <v>1</v>
      </c>
      <c r="M681">
        <f t="shared" ref="M681" si="2017">SUMPRODUCT(($C$24:$C$30=$E681)*($P$6:$AI$6=$F681)*($P$24:$AI$30))</f>
        <v>0</v>
      </c>
      <c r="N681">
        <f t="shared" ref="N681" si="2018">SUMPRODUCT(($C$31:$C$50=$F681)*($AJ$6:$AM$6=$G681)*($AJ$31:$AM$50))</f>
        <v>1</v>
      </c>
      <c r="O681">
        <f t="shared" ref="O681" si="2019">K681+L681+M681+N681</f>
        <v>3</v>
      </c>
      <c r="P681" t="str">
        <f t="shared" ref="P681" si="2020">CONCATENATE(C681,"-",J681)</f>
        <v>Small centralized natural gas steam reforming-Levelized cost</v>
      </c>
      <c r="Q681" t="str">
        <f t="shared" ref="Q681" si="2021">CONCATENATE(D681,"-",J681)</f>
        <v>Central gas storage-Levelized cost</v>
      </c>
      <c r="R681" t="str">
        <f t="shared" ref="R681" si="2022">CONCATENATE(E681,"-",J681)</f>
        <v>Methanation-Levelized cost</v>
      </c>
      <c r="S681" t="str">
        <f t="shared" ref="S681" si="2023">CONCATENATE(F681,"-",J681)</f>
        <v>District-CHP with natural gas fuel cell (power)-Levelized cost</v>
      </c>
      <c r="T681">
        <f ca="1">IF(timePeriod="2020-30",(VLOOKUP($P681,'TA database'!$I$8:$J$79,2,FALSE)/VLOOKUP($D681,'Merit calculation'!$B$48:$I$52,5,FALSE)/VLOOKUP($E681,'Merit calculation'!$B$67:$I$73,5,FALSE)/VLOOKUP($F681,'Merit calculation'!$B$90:$I$103,5,FALSE)/energyContentH2),(VLOOKUP($P681,'TA database'!$I$8:$J$79,2,FALSE)/VLOOKUP($D681,'Merit calculation'!$B$48:$I$52,7,FALSE)/VLOOKUP($E681,'Merit calculation'!$B$67:$I$73,7,FALSE)/VLOOKUP($F681,'Merit calculation'!$B$90:$I$103,7,FALSE)/energyContentH2))</f>
        <v>6.1353262580210711E-2</v>
      </c>
      <c r="U681">
        <f ca="1">IF(timePeriod="2020-30",(VLOOKUP($Q681,'TA database'!$I$86:$J$105,2,FALSE)/VLOOKUP($E681,'Merit calculation'!$B$67:$I$73,5,FALSE)/VLOOKUP($F681,'Merit calculation'!$B$90:$I$104,5,FALSE)/energyContentH2),VLOOKUP($Q681,'TA database'!$I$86:$J$105,2,FALSE)/VLOOKUP($E681,'Merit calculation'!$B$67:$I$73,7,FALSE)/VLOOKUP($F681,'Merit calculation'!$B$90:$I$104,7,FALSE)/energyContentH2)</f>
        <v>8.5932104506953526E-4</v>
      </c>
      <c r="V681">
        <f ca="1">IF(timePeriod="2020-30",(VLOOKUP($R681,'TA database'!$I$112:$J$139,2,FALSE)/VLOOKUP($F681,'Merit calculation'!$B$90:$I$104,5,FALSE)/energyContentH2),(VLOOKUP($R681,'TA database'!$I$112:$J$139,2,FALSE)/VLOOKUP($F681,'Merit calculation'!$B$90:$I$104,7,FALSE)/energyContentH2))</f>
        <v>1.4915969791789559E-2</v>
      </c>
      <c r="W681">
        <f>IFERROR(VLOOKUP($S681,'TA database'!$I$146:$J$193,2,FALSE),0)</f>
        <v>0</v>
      </c>
      <c r="X681">
        <f ca="1">IFERROR(VLOOKUP($S681,'TA database'!$I$200:$J$271,2,FALSE),0)</f>
        <v>6.4083910818335019E-2</v>
      </c>
      <c r="Y681">
        <f t="shared" ca="1" si="2010"/>
        <v>0.34174670311978633</v>
      </c>
      <c r="Z681" t="str">
        <f t="shared" ref="Z681" si="2024">CONCATENATE(AG681,"   →   ",AH681,"   →   ",AI681,"   →   ",AJ681)</f>
        <v>NG_SR_SML_C   →   C_GAS_STRG   →   METHANATION   →   NG_FC_DCHP_PWR</v>
      </c>
      <c r="AA681" t="str">
        <f t="shared" ref="AA681" si="2025">G681</f>
        <v>Grid electricity</v>
      </c>
      <c r="AB681" t="str">
        <f t="shared" ref="AB681" si="2026">J681</f>
        <v>Levelized cost</v>
      </c>
      <c r="AC681">
        <f t="shared" ref="AC681" ca="1" si="2027">Y681</f>
        <v>0.34174670311978633</v>
      </c>
      <c r="AD681">
        <v>622</v>
      </c>
      <c r="AE681" t="str">
        <f>IF(AND(ISNUMBER(SEARCH(O681,4)),ISNUMBER(SEARCH('(4) FCH pathway assessment'!$B$16,AB681)),ISNUMBER(SEARCH('(4) FCH pathway assessment'!$B$10,AA681))),AD681,"")</f>
        <v/>
      </c>
      <c r="AF681" t="str">
        <f t="shared" si="1873"/>
        <v/>
      </c>
      <c r="AG681" t="str">
        <f>VLOOKUP(C681,Assumptions!$B$116:$C$162,2,FALSE)</f>
        <v>NG_SR_SML_C</v>
      </c>
      <c r="AH681" t="str">
        <f>VLOOKUP(D681,Assumptions!$B$116:$C$162,2,FALSE)</f>
        <v>C_GAS_STRG</v>
      </c>
      <c r="AI681" t="str">
        <f>VLOOKUP(E681,Assumptions!$B$116:$C$162,2,FALSE)</f>
        <v>METHANATION</v>
      </c>
      <c r="AJ681" t="str">
        <f>VLOOKUP(F681,Assumptions!$B$116:$C$162,2,FALSE)</f>
        <v>NG_FC_DCHP_PWR</v>
      </c>
    </row>
    <row r="682" spans="2:36" x14ac:dyDescent="0.25">
      <c r="B682" t="s">
        <v>127</v>
      </c>
      <c r="C682" t="s">
        <v>174</v>
      </c>
      <c r="D682" s="61" t="s">
        <v>177</v>
      </c>
      <c r="E682" t="s">
        <v>180</v>
      </c>
      <c r="F682" t="s">
        <v>550</v>
      </c>
      <c r="G682" t="s">
        <v>114</v>
      </c>
      <c r="H682" t="s">
        <v>433</v>
      </c>
      <c r="I682" t="s">
        <v>32</v>
      </c>
      <c r="J682" t="s">
        <v>72</v>
      </c>
      <c r="K682">
        <f t="shared" ref="K682:K688" si="2028">SUMPRODUCT(($C$7:$C$18=$C682)*($D$6:$H$6=$D682)*($D$7:$H$18))</f>
        <v>1</v>
      </c>
      <c r="L682">
        <f t="shared" ref="L682:L688" si="2029">SUMPRODUCT(($C$19:$C$23=$D682)*($I$6:$O$6=$E682)*($I$19:$O$23))</f>
        <v>1</v>
      </c>
      <c r="M682">
        <f t="shared" ref="M682:M688" si="2030">SUMPRODUCT(($C$24:$C$30=$E682)*($P$6:$AI$6=$F682)*($P$24:$AI$30))</f>
        <v>1</v>
      </c>
      <c r="N682">
        <f t="shared" ref="N682:N688" si="2031">SUMPRODUCT(($C$31:$C$50=$F682)*($AJ$6:$AM$6=$G682)*($AJ$31:$AM$50))</f>
        <v>1</v>
      </c>
      <c r="O682">
        <f t="shared" ref="O682:O687" si="2032">K682+L682+M682+N682</f>
        <v>4</v>
      </c>
      <c r="P682" t="str">
        <f t="shared" ref="P682:P688" si="2033">CONCATENATE(C682,"-",J682)</f>
        <v>Natural gas production-Levelized cost</v>
      </c>
      <c r="Q682" t="str">
        <f t="shared" ref="Q682:Q688" si="2034">CONCATENATE(D682,"-",J682)</f>
        <v>Natural gas storage-Levelized cost</v>
      </c>
      <c r="R682" t="str">
        <f t="shared" ref="R682:R688" si="2035">CONCATENATE(E682,"-",J682)</f>
        <v>Natural gas transport-Levelized cost</v>
      </c>
      <c r="S682" t="str">
        <f t="shared" ref="S682:S688" si="2036">CONCATENATE(F682,"-",J682)</f>
        <v>District-CHP with natural gas fuel cell (power)-Levelized cost</v>
      </c>
      <c r="T682">
        <f ca="1">IF(timePeriod="2020-30",(VLOOKUP($P682,'TA database'!$I$8:$J$79,2,FALSE)/VLOOKUP($D682,'Merit calculation'!$B$48:$I$52,5,FALSE)/VLOOKUP($E682,'Merit calculation'!$B$67:$I$73,5,FALSE)/VLOOKUP($F682,'Merit calculation'!$B$90:$I$103,5,FALSE)/energyContentH2),(VLOOKUP($P682,'TA database'!$I$8:$J$79,2,FALSE)/VLOOKUP($D682,'Merit calculation'!$B$48:$I$52,7,FALSE)/VLOOKUP($E682,'Merit calculation'!$B$67:$I$73,7,FALSE)/VLOOKUP($F682,'Merit calculation'!$B$90:$I$103,7,FALSE)/energyContentH2))</f>
        <v>0</v>
      </c>
      <c r="U682">
        <f ca="1">IF(timePeriod="2020-30",(VLOOKUP($Q682,'TA database'!$I$86:$J$105,2,FALSE)/VLOOKUP($E682,'Merit calculation'!$B$67:$I$73,5,FALSE)/VLOOKUP($F682,'Merit calculation'!$B$90:$I$104,5,FALSE)/energyContentH2),VLOOKUP($Q682,'TA database'!$I$86:$J$105,2,FALSE)/VLOOKUP($E682,'Merit calculation'!$B$67:$I$73,7,FALSE)/VLOOKUP($F682,'Merit calculation'!$B$90:$I$104,7,FALSE)/energyContentH2)</f>
        <v>0</v>
      </c>
      <c r="V682">
        <f ca="1">IF(timePeriod="2020-30",(VLOOKUP($R682,'TA database'!$I$112:$J$139,2,FALSE)/VLOOKUP($F682,'Merit calculation'!$B$90:$I$104,5,FALSE)/energyContentH2),(VLOOKUP($R682,'TA database'!$I$112:$J$139,2,FALSE)/VLOOKUP($F682,'Merit calculation'!$B$90:$I$104,7,FALSE)/energyContentH2))</f>
        <v>3.9473684210526314E-2</v>
      </c>
      <c r="W682">
        <f>IFERROR(VLOOKUP($S682,'TA database'!$I$146:$J$193,2,FALSE),0)</f>
        <v>0</v>
      </c>
      <c r="X682">
        <f ca="1">IFERROR(VLOOKUP($S682,'TA database'!$I$200:$J$271,2,FALSE),0)</f>
        <v>6.4083910818335019E-2</v>
      </c>
      <c r="Y682">
        <f t="shared" ref="Y682:Y686" ca="1" si="2037">IF($W682=0,T682*3.6+U682*3.6+V682*3.6+X682,T682+U682+V682+W682)</f>
        <v>0.20618917397622977</v>
      </c>
      <c r="Z682" t="str">
        <f t="shared" ref="Z682:Z687" si="2038">CONCATENATE(AG682,"   →   ",AH682,"   →   ",AI682,"   →   ",AJ682)</f>
        <v>[NG_PROD]   →   [NG_STRG]   →   [NG_TRNSP]   →   NG_FC_DCHP_PWR</v>
      </c>
      <c r="AA682" t="str">
        <f t="shared" ref="AA682:AA687" si="2039">G682</f>
        <v>Grid electricity</v>
      </c>
      <c r="AB682" t="str">
        <f t="shared" ref="AB682:AB687" si="2040">J682</f>
        <v>Levelized cost</v>
      </c>
      <c r="AC682">
        <f t="shared" ref="AC682:AC687" ca="1" si="2041">Y682</f>
        <v>0.20618917397622977</v>
      </c>
      <c r="AD682">
        <v>623</v>
      </c>
      <c r="AE682">
        <f>IF(AND(ISNUMBER(SEARCH(O682,4)),ISNUMBER(SEARCH('(4) FCH pathway assessment'!$B$16,AB682)),ISNUMBER(SEARCH('(4) FCH pathway assessment'!$B$10,AA682))),AD682,"")</f>
        <v>623</v>
      </c>
      <c r="AF682" t="str">
        <f t="shared" si="1873"/>
        <v/>
      </c>
      <c r="AG682" t="str">
        <f>VLOOKUP(C682,Assumptions!$B$116:$C$162,2,FALSE)</f>
        <v>[NG_PROD]</v>
      </c>
      <c r="AH682" t="str">
        <f>VLOOKUP(D682,Assumptions!$B$116:$C$162,2,FALSE)</f>
        <v>[NG_STRG]</v>
      </c>
      <c r="AI682" t="str">
        <f>VLOOKUP(E682,Assumptions!$B$116:$C$162,2,FALSE)</f>
        <v>[NG_TRNSP]</v>
      </c>
      <c r="AJ682" t="str">
        <f>VLOOKUP(F682,Assumptions!$B$116:$C$162,2,FALSE)</f>
        <v>NG_FC_DCHP_PWR</v>
      </c>
    </row>
    <row r="683" spans="2:36" x14ac:dyDescent="0.25">
      <c r="B683" t="s">
        <v>117</v>
      </c>
      <c r="C683" t="s">
        <v>53</v>
      </c>
      <c r="D683" t="s">
        <v>155</v>
      </c>
      <c r="E683" t="s">
        <v>157</v>
      </c>
      <c r="F683" t="s">
        <v>163</v>
      </c>
      <c r="G683" t="s">
        <v>114</v>
      </c>
      <c r="H683" t="s">
        <v>433</v>
      </c>
      <c r="I683" t="s">
        <v>32</v>
      </c>
      <c r="J683" t="s">
        <v>72</v>
      </c>
      <c r="K683">
        <f t="shared" si="2028"/>
        <v>0</v>
      </c>
      <c r="L683">
        <f t="shared" si="2029"/>
        <v>1</v>
      </c>
      <c r="M683">
        <f t="shared" si="2030"/>
        <v>0</v>
      </c>
      <c r="N683">
        <f t="shared" si="2031"/>
        <v>0</v>
      </c>
      <c r="O683">
        <f t="shared" si="2032"/>
        <v>1</v>
      </c>
      <c r="P683" t="str">
        <f t="shared" si="2033"/>
        <v>Medium centralized biomass gasification-Levelized cost</v>
      </c>
      <c r="Q683" t="str">
        <f t="shared" si="2034"/>
        <v>Central gas storage-Levelized cost</v>
      </c>
      <c r="R683" t="str">
        <f t="shared" si="2035"/>
        <v>Blending in natural gas pipeline-Levelized cost</v>
      </c>
      <c r="S683" t="str">
        <f t="shared" si="2036"/>
        <v>Hydrogen turbine (CC)-Levelized cost</v>
      </c>
      <c r="T683">
        <f ca="1">IF(timePeriod="2020-30",(VLOOKUP($P683,'TA database'!$I$8:$J$79,2,FALSE)/VLOOKUP($D683,'Merit calculation'!$B$48:$I$52,5,FALSE)/VLOOKUP($E683,'Merit calculation'!$B$67:$I$73,5,FALSE)/VLOOKUP($F683,'Merit calculation'!$B$90:$I$103,5,FALSE)/energyContentH2),(VLOOKUP($P683,'TA database'!$I$8:$J$79,2,FALSE)/VLOOKUP($D683,'Merit calculation'!$B$48:$I$52,7,FALSE)/VLOOKUP($E683,'Merit calculation'!$B$67:$I$73,7,FALSE)/VLOOKUP($F683,'Merit calculation'!$B$90:$I$103,7,FALSE)/energyContentH2))</f>
        <v>3.3338214193365155E-2</v>
      </c>
      <c r="U683">
        <f ca="1">IF(timePeriod="2020-30",(VLOOKUP($Q683,'TA database'!$I$86:$J$105,2,FALSE)/VLOOKUP($E683,'Merit calculation'!$B$67:$I$73,5,FALSE)/VLOOKUP($F683,'Merit calculation'!$B$90:$I$104,5,FALSE)/energyContentH2),VLOOKUP($Q683,'TA database'!$I$86:$J$105,2,FALSE)/VLOOKUP($E683,'Merit calculation'!$B$67:$I$73,7,FALSE)/VLOOKUP($F683,'Merit calculation'!$B$90:$I$104,7,FALSE)/energyContentH2)</f>
        <v>1.6492020056890072E-3</v>
      </c>
      <c r="V683">
        <f ca="1">IF(timePeriod="2020-30",(VLOOKUP($R683,'TA database'!$I$112:$J$139,2,FALSE)/VLOOKUP($F683,'Merit calculation'!$B$90:$I$104,5,FALSE)/energyContentH2),(VLOOKUP($R683,'TA database'!$I$112:$J$139,2,FALSE)/VLOOKUP($F683,'Merit calculation'!$B$90:$I$104,7,FALSE)/energyContentH2))</f>
        <v>4.7262844150234304E-3</v>
      </c>
      <c r="W683">
        <f>IFERROR(VLOOKUP($S683,'TA database'!$I$146:$J$193,2,FALSE),0)</f>
        <v>0</v>
      </c>
      <c r="X683">
        <f ca="1">IFERROR(VLOOKUP($S683,'TA database'!$I$200:$J$271,2,FALSE),0)</f>
        <v>4.7965352483301787E-3</v>
      </c>
      <c r="Y683">
        <f t="shared" ca="1" si="2037"/>
        <v>0.14776585745900953</v>
      </c>
      <c r="Z683" t="str">
        <f t="shared" si="2038"/>
        <v>BIO_GSF_MED_C   →   C_GAS_STRG   →   H2_BLND_NG_P   →   H2_CCGT_PWR</v>
      </c>
      <c r="AA683" t="str">
        <f t="shared" si="2039"/>
        <v>Grid electricity</v>
      </c>
      <c r="AB683" t="str">
        <f t="shared" si="2040"/>
        <v>Levelized cost</v>
      </c>
      <c r="AC683">
        <f t="shared" ca="1" si="2041"/>
        <v>0.14776585745900953</v>
      </c>
      <c r="AD683">
        <v>624</v>
      </c>
      <c r="AE683" t="str">
        <f>IF(AND(ISNUMBER(SEARCH(O683,4)),ISNUMBER(SEARCH('(4) FCH pathway assessment'!$B$16,AB683)),ISNUMBER(SEARCH('(4) FCH pathway assessment'!$B$10,AA683))),AD683,"")</f>
        <v/>
      </c>
      <c r="AF683" t="str">
        <f t="shared" si="1873"/>
        <v/>
      </c>
      <c r="AG683" t="str">
        <f>VLOOKUP(C683,Assumptions!$B$116:$C$162,2,FALSE)</f>
        <v>BIO_GSF_MED_C</v>
      </c>
      <c r="AH683" t="str">
        <f>VLOOKUP(D683,Assumptions!$B$116:$C$162,2,FALSE)</f>
        <v>C_GAS_STRG</v>
      </c>
      <c r="AI683" t="str">
        <f>VLOOKUP(E683,Assumptions!$B$116:$C$162,2,FALSE)</f>
        <v>H2_BLND_NG_P</v>
      </c>
      <c r="AJ683" t="str">
        <f>VLOOKUP(F683,Assumptions!$B$116:$C$162,2,FALSE)</f>
        <v>H2_CCGT_PWR</v>
      </c>
    </row>
    <row r="684" spans="2:36" x14ac:dyDescent="0.25">
      <c r="B684" t="s">
        <v>117</v>
      </c>
      <c r="C684" t="s">
        <v>53</v>
      </c>
      <c r="D684" t="s">
        <v>155</v>
      </c>
      <c r="E684" t="s">
        <v>122</v>
      </c>
      <c r="F684" t="s">
        <v>163</v>
      </c>
      <c r="G684" t="s">
        <v>114</v>
      </c>
      <c r="H684" t="s">
        <v>433</v>
      </c>
      <c r="I684" t="s">
        <v>32</v>
      </c>
      <c r="J684" t="s">
        <v>72</v>
      </c>
      <c r="K684">
        <f t="shared" si="2028"/>
        <v>0</v>
      </c>
      <c r="L684">
        <f t="shared" si="2029"/>
        <v>1</v>
      </c>
      <c r="M684">
        <f t="shared" si="2030"/>
        <v>1</v>
      </c>
      <c r="N684">
        <f t="shared" si="2031"/>
        <v>0</v>
      </c>
      <c r="O684">
        <f t="shared" si="2032"/>
        <v>2</v>
      </c>
      <c r="P684" t="str">
        <f t="shared" si="2033"/>
        <v>Medium centralized biomass gasification-Levelized cost</v>
      </c>
      <c r="Q684" t="str">
        <f t="shared" si="2034"/>
        <v>Central gas storage-Levelized cost</v>
      </c>
      <c r="R684" t="str">
        <f t="shared" si="2035"/>
        <v>Hydrogen transmission &amp; distribution pipeline-Levelized cost</v>
      </c>
      <c r="S684" t="str">
        <f t="shared" si="2036"/>
        <v>Hydrogen turbine (CC)-Levelized cost</v>
      </c>
      <c r="T684">
        <f ca="1">IF(timePeriod="2020-30",(VLOOKUP($P684,'TA database'!$I$8:$J$79,2,FALSE)/VLOOKUP($D684,'Merit calculation'!$B$48:$I$52,5,FALSE)/VLOOKUP($E684,'Merit calculation'!$B$67:$I$73,5,FALSE)/VLOOKUP($F684,'Merit calculation'!$B$90:$I$103,5,FALSE)/energyContentH2),(VLOOKUP($P684,'TA database'!$I$8:$J$79,2,FALSE)/VLOOKUP($D684,'Merit calculation'!$B$48:$I$52,7,FALSE)/VLOOKUP($E684,'Merit calculation'!$B$67:$I$73,7,FALSE)/VLOOKUP($F684,'Merit calculation'!$B$90:$I$103,7,FALSE)/energyContentH2))</f>
        <v>3.3338214193365155E-2</v>
      </c>
      <c r="U684">
        <f ca="1">IF(timePeriod="2020-30",(VLOOKUP($Q684,'TA database'!$I$86:$J$105,2,FALSE)/VLOOKUP($E684,'Merit calculation'!$B$67:$I$73,5,FALSE)/VLOOKUP($F684,'Merit calculation'!$B$90:$I$104,5,FALSE)/energyContentH2),VLOOKUP($Q684,'TA database'!$I$86:$J$105,2,FALSE)/VLOOKUP($E684,'Merit calculation'!$B$67:$I$73,7,FALSE)/VLOOKUP($F684,'Merit calculation'!$B$90:$I$104,7,FALSE)/energyContentH2)</f>
        <v>1.6492020056890072E-3</v>
      </c>
      <c r="V684">
        <f ca="1">IF(timePeriod="2020-30",(VLOOKUP($R684,'TA database'!$I$112:$J$139,2,FALSE)/VLOOKUP($F684,'Merit calculation'!$B$90:$I$104,5,FALSE)/energyContentH2),(VLOOKUP($R684,'TA database'!$I$112:$J$139,2,FALSE)/VLOOKUP($F684,'Merit calculation'!$B$90:$I$104,7,FALSE)/energyContentH2))</f>
        <v>8.7934909049694424E-3</v>
      </c>
      <c r="W684">
        <f>IFERROR(VLOOKUP($S684,'TA database'!$I$146:$J$193,2,FALSE),0)</f>
        <v>0</v>
      </c>
      <c r="X684">
        <f ca="1">IFERROR(VLOOKUP($S684,'TA database'!$I$200:$J$271,2,FALSE),0)</f>
        <v>4.7965352483301787E-3</v>
      </c>
      <c r="Y684">
        <f t="shared" ca="1" si="2037"/>
        <v>0.16240780082281517</v>
      </c>
      <c r="Z684" t="str">
        <f t="shared" si="2038"/>
        <v>BIO_GSF_MED_C   →   C_GAS_STRG   →   H2_T&amp;D_P   →   H2_CCGT_PWR</v>
      </c>
      <c r="AA684" t="str">
        <f t="shared" si="2039"/>
        <v>Grid electricity</v>
      </c>
      <c r="AB684" t="str">
        <f t="shared" si="2040"/>
        <v>Levelized cost</v>
      </c>
      <c r="AC684">
        <f t="shared" ca="1" si="2041"/>
        <v>0.16240780082281517</v>
      </c>
      <c r="AD684">
        <v>625</v>
      </c>
      <c r="AE684" t="str">
        <f>IF(AND(ISNUMBER(SEARCH(O684,4)),ISNUMBER(SEARCH('(4) FCH pathway assessment'!$B$16,AB684)),ISNUMBER(SEARCH('(4) FCH pathway assessment'!$B$10,AA684))),AD684,"")</f>
        <v/>
      </c>
      <c r="AF684" t="str">
        <f t="shared" si="1873"/>
        <v/>
      </c>
      <c r="AG684" t="str">
        <f>VLOOKUP(C684,Assumptions!$B$116:$C$162,2,FALSE)</f>
        <v>BIO_GSF_MED_C</v>
      </c>
      <c r="AH684" t="str">
        <f>VLOOKUP(D684,Assumptions!$B$116:$C$162,2,FALSE)</f>
        <v>C_GAS_STRG</v>
      </c>
      <c r="AI684" t="str">
        <f>VLOOKUP(E684,Assumptions!$B$116:$C$162,2,FALSE)</f>
        <v>H2_T&amp;D_P</v>
      </c>
      <c r="AJ684" t="str">
        <f>VLOOKUP(F684,Assumptions!$B$116:$C$162,2,FALSE)</f>
        <v>H2_CCGT_PWR</v>
      </c>
    </row>
    <row r="685" spans="2:36" x14ac:dyDescent="0.25">
      <c r="B685" t="s">
        <v>117</v>
      </c>
      <c r="C685" t="s">
        <v>53</v>
      </c>
      <c r="D685" t="s">
        <v>155</v>
      </c>
      <c r="E685" t="s">
        <v>116</v>
      </c>
      <c r="F685" t="s">
        <v>163</v>
      </c>
      <c r="G685" t="s">
        <v>114</v>
      </c>
      <c r="H685" t="s">
        <v>433</v>
      </c>
      <c r="I685" t="s">
        <v>32</v>
      </c>
      <c r="J685" t="s">
        <v>72</v>
      </c>
      <c r="K685">
        <f t="shared" si="2028"/>
        <v>0</v>
      </c>
      <c r="L685">
        <f t="shared" si="2029"/>
        <v>1</v>
      </c>
      <c r="M685">
        <f t="shared" si="2030"/>
        <v>1</v>
      </c>
      <c r="N685">
        <f t="shared" si="2031"/>
        <v>0</v>
      </c>
      <c r="O685">
        <f t="shared" si="2032"/>
        <v>2</v>
      </c>
      <c r="P685" t="str">
        <f t="shared" si="2033"/>
        <v>Medium centralized biomass gasification-Levelized cost</v>
      </c>
      <c r="Q685" t="str">
        <f t="shared" si="2034"/>
        <v>Central gas storage-Levelized cost</v>
      </c>
      <c r="R685" t="str">
        <f t="shared" si="2035"/>
        <v>Liquid hydrogen truck-Levelized cost</v>
      </c>
      <c r="S685" t="str">
        <f t="shared" si="2036"/>
        <v>Hydrogen turbine (CC)-Levelized cost</v>
      </c>
      <c r="T685">
        <f ca="1">IF(timePeriod="2020-30",(VLOOKUP($P685,'TA database'!$I$8:$J$79,2,FALSE)/VLOOKUP($D685,'Merit calculation'!$B$48:$I$52,5,FALSE)/VLOOKUP($E685,'Merit calculation'!$B$67:$I$73,5,FALSE)/VLOOKUP($F685,'Merit calculation'!$B$90:$I$103,5,FALSE)/energyContentH2),(VLOOKUP($P685,'TA database'!$I$8:$J$79,2,FALSE)/VLOOKUP($D685,'Merit calculation'!$B$48:$I$52,7,FALSE)/VLOOKUP($E685,'Merit calculation'!$B$67:$I$73,7,FALSE)/VLOOKUP($F685,'Merit calculation'!$B$90:$I$103,7,FALSE)/energyContentH2))</f>
        <v>3.8512056069348315E-2</v>
      </c>
      <c r="U685">
        <f ca="1">IF(timePeriod="2020-30",(VLOOKUP($Q685,'TA database'!$I$86:$J$105,2,FALSE)/VLOOKUP($E685,'Merit calculation'!$B$67:$I$73,5,FALSE)/VLOOKUP($F685,'Merit calculation'!$B$90:$I$104,5,FALSE)/energyContentH2),VLOOKUP($Q685,'TA database'!$I$86:$J$105,2,FALSE)/VLOOKUP($E685,'Merit calculation'!$B$67:$I$73,7,FALSE)/VLOOKUP($F685,'Merit calculation'!$B$90:$I$104,7,FALSE)/energyContentH2)</f>
        <v>1.9051458408776167E-3</v>
      </c>
      <c r="V685">
        <f ca="1">IF(timePeriod="2020-30",(VLOOKUP($R685,'TA database'!$I$112:$J$139,2,FALSE)/VLOOKUP($F685,'Merit calculation'!$B$90:$I$104,5,FALSE)/energyContentH2),(VLOOKUP($R685,'TA database'!$I$112:$J$139,2,FALSE)/VLOOKUP($F685,'Merit calculation'!$B$90:$I$104,7,FALSE)/energyContentH2))</f>
        <v>5.8189074534988582E-2</v>
      </c>
      <c r="W685">
        <f>IFERROR(VLOOKUP($S685,'TA database'!$I$146:$J$193,2,FALSE),0)</f>
        <v>0</v>
      </c>
      <c r="X685">
        <f ca="1">IFERROR(VLOOKUP($S685,'TA database'!$I$200:$J$271,2,FALSE),0)</f>
        <v>4.7965352483301787E-3</v>
      </c>
      <c r="Y685">
        <f t="shared" ca="1" si="2037"/>
        <v>0.35977913045110244</v>
      </c>
      <c r="Z685" t="str">
        <f t="shared" si="2038"/>
        <v>BIO_GSF_MED_C   →   C_GAS_STRG   →   LQ_TRUCK   →   H2_CCGT_PWR</v>
      </c>
      <c r="AA685" t="str">
        <f t="shared" si="2039"/>
        <v>Grid electricity</v>
      </c>
      <c r="AB685" t="str">
        <f t="shared" si="2040"/>
        <v>Levelized cost</v>
      </c>
      <c r="AC685">
        <f t="shared" ca="1" si="2041"/>
        <v>0.35977913045110244</v>
      </c>
      <c r="AD685">
        <v>626</v>
      </c>
      <c r="AE685" t="str">
        <f>IF(AND(ISNUMBER(SEARCH(O685,4)),ISNUMBER(SEARCH('(4) FCH pathway assessment'!$B$16,AB685)),ISNUMBER(SEARCH('(4) FCH pathway assessment'!$B$10,AA685))),AD685,"")</f>
        <v/>
      </c>
      <c r="AF685" t="str">
        <f t="shared" si="1873"/>
        <v/>
      </c>
      <c r="AG685" t="str">
        <f>VLOOKUP(C685,Assumptions!$B$116:$C$162,2,FALSE)</f>
        <v>BIO_GSF_MED_C</v>
      </c>
      <c r="AH685" t="str">
        <f>VLOOKUP(D685,Assumptions!$B$116:$C$162,2,FALSE)</f>
        <v>C_GAS_STRG</v>
      </c>
      <c r="AI685" t="str">
        <f>VLOOKUP(E685,Assumptions!$B$116:$C$162,2,FALSE)</f>
        <v>LQ_TRUCK</v>
      </c>
      <c r="AJ685" t="str">
        <f>VLOOKUP(F685,Assumptions!$B$116:$C$162,2,FALSE)</f>
        <v>H2_CCGT_PWR</v>
      </c>
    </row>
    <row r="686" spans="2:36" x14ac:dyDescent="0.25">
      <c r="B686" t="s">
        <v>117</v>
      </c>
      <c r="C686" t="s">
        <v>53</v>
      </c>
      <c r="D686" t="s">
        <v>155</v>
      </c>
      <c r="E686" t="s">
        <v>66</v>
      </c>
      <c r="F686" t="s">
        <v>163</v>
      </c>
      <c r="G686" t="s">
        <v>114</v>
      </c>
      <c r="H686" t="s">
        <v>433</v>
      </c>
      <c r="I686" t="s">
        <v>32</v>
      </c>
      <c r="J686" t="s">
        <v>72</v>
      </c>
      <c r="K686">
        <f t="shared" si="2028"/>
        <v>0</v>
      </c>
      <c r="L686">
        <f t="shared" si="2029"/>
        <v>1</v>
      </c>
      <c r="M686">
        <f t="shared" si="2030"/>
        <v>1</v>
      </c>
      <c r="N686">
        <f t="shared" si="2031"/>
        <v>0</v>
      </c>
      <c r="O686">
        <f t="shared" si="2032"/>
        <v>2</v>
      </c>
      <c r="P686" t="str">
        <f t="shared" si="2033"/>
        <v>Medium centralized biomass gasification-Levelized cost</v>
      </c>
      <c r="Q686" t="str">
        <f t="shared" si="2034"/>
        <v>Central gas storage-Levelized cost</v>
      </c>
      <c r="R686" t="str">
        <f t="shared" si="2035"/>
        <v>Onsite-Levelized cost</v>
      </c>
      <c r="S686" t="str">
        <f t="shared" si="2036"/>
        <v>Hydrogen turbine (CC)-Levelized cost</v>
      </c>
      <c r="T686">
        <f ca="1">IF(timePeriod="2020-30",(VLOOKUP($P686,'TA database'!$I$8:$J$79,2,FALSE)/VLOOKUP($D686,'Merit calculation'!$B$48:$I$52,5,FALSE)/VLOOKUP($E686,'Merit calculation'!$B$67:$I$73,5,FALSE)/VLOOKUP($F686,'Merit calculation'!$B$90:$I$103,5,FALSE)/energyContentH2),(VLOOKUP($P686,'TA database'!$I$8:$J$79,2,FALSE)/VLOOKUP($D686,'Merit calculation'!$B$48:$I$52,7,FALSE)/VLOOKUP($E686,'Merit calculation'!$B$67:$I$73,7,FALSE)/VLOOKUP($F686,'Merit calculation'!$B$90:$I$103,7,FALSE)/energyContentH2))</f>
        <v>3.3004832051431503E-2</v>
      </c>
      <c r="U686">
        <f ca="1">IF(timePeriod="2020-30",(VLOOKUP($Q686,'TA database'!$I$86:$J$105,2,FALSE)/VLOOKUP($E686,'Merit calculation'!$B$67:$I$73,5,FALSE)/VLOOKUP($F686,'Merit calculation'!$B$90:$I$104,5,FALSE)/energyContentH2),VLOOKUP($Q686,'TA database'!$I$86:$J$105,2,FALSE)/VLOOKUP($E686,'Merit calculation'!$B$67:$I$73,7,FALSE)/VLOOKUP($F686,'Merit calculation'!$B$90:$I$104,7,FALSE)/energyContentH2)</f>
        <v>1.6327099856321171E-3</v>
      </c>
      <c r="V686">
        <f ca="1">IF(timePeriod="2020-30",(VLOOKUP($R686,'TA database'!$I$112:$J$139,2,FALSE)/VLOOKUP($F686,'Merit calculation'!$B$90:$I$104,5,FALSE)/energyContentH2),(VLOOKUP($R686,'TA database'!$I$112:$J$139,2,FALSE)/VLOOKUP($F686,'Merit calculation'!$B$90:$I$104,7,FALSE)/energyContentH2))</f>
        <v>0</v>
      </c>
      <c r="W686">
        <f>IFERROR(VLOOKUP($S686,'TA database'!$I$146:$J$193,2,FALSE),0)</f>
        <v>0</v>
      </c>
      <c r="X686">
        <f ca="1">IFERROR(VLOOKUP($S686,'TA database'!$I$200:$J$271,2,FALSE),0)</f>
        <v>4.7965352483301787E-3</v>
      </c>
      <c r="Y686">
        <f t="shared" ca="1" si="2037"/>
        <v>0.12949168658175922</v>
      </c>
      <c r="Z686" t="str">
        <f t="shared" si="2038"/>
        <v>BIO_GSF_MED_C   →   C_GAS_STRG   →   ONSITE_USE   →   H2_CCGT_PWR</v>
      </c>
      <c r="AA686" t="str">
        <f t="shared" si="2039"/>
        <v>Grid electricity</v>
      </c>
      <c r="AB686" t="str">
        <f t="shared" si="2040"/>
        <v>Levelized cost</v>
      </c>
      <c r="AC686">
        <f t="shared" ca="1" si="2041"/>
        <v>0.12949168658175922</v>
      </c>
      <c r="AD686">
        <v>627</v>
      </c>
      <c r="AE686" t="str">
        <f>IF(AND(ISNUMBER(SEARCH(O686,4)),ISNUMBER(SEARCH('(4) FCH pathway assessment'!$B$16,AB686)),ISNUMBER(SEARCH('(4) FCH pathway assessment'!$B$10,AA686))),AD686,"")</f>
        <v/>
      </c>
      <c r="AF686" t="str">
        <f t="shared" si="1873"/>
        <v/>
      </c>
      <c r="AG686" t="str">
        <f>VLOOKUP(C686,Assumptions!$B$116:$C$162,2,FALSE)</f>
        <v>BIO_GSF_MED_C</v>
      </c>
      <c r="AH686" t="str">
        <f>VLOOKUP(D686,Assumptions!$B$116:$C$162,2,FALSE)</f>
        <v>C_GAS_STRG</v>
      </c>
      <c r="AI686" t="str">
        <f>VLOOKUP(E686,Assumptions!$B$116:$C$162,2,FALSE)</f>
        <v>ONSITE_USE</v>
      </c>
      <c r="AJ686" t="str">
        <f>VLOOKUP(F686,Assumptions!$B$116:$C$162,2,FALSE)</f>
        <v>H2_CCGT_PWR</v>
      </c>
    </row>
    <row r="687" spans="2:36" x14ac:dyDescent="0.25">
      <c r="B687" t="s">
        <v>117</v>
      </c>
      <c r="C687" t="s">
        <v>54</v>
      </c>
      <c r="D687" t="s">
        <v>155</v>
      </c>
      <c r="E687" t="s">
        <v>157</v>
      </c>
      <c r="F687" t="s">
        <v>163</v>
      </c>
      <c r="G687" t="s">
        <v>114</v>
      </c>
      <c r="H687" t="s">
        <v>433</v>
      </c>
      <c r="I687" t="s">
        <v>32</v>
      </c>
      <c r="J687" t="s">
        <v>72</v>
      </c>
      <c r="K687">
        <f t="shared" si="2028"/>
        <v>0</v>
      </c>
      <c r="L687">
        <f t="shared" si="2029"/>
        <v>1</v>
      </c>
      <c r="M687">
        <f t="shared" si="2030"/>
        <v>0</v>
      </c>
      <c r="N687">
        <f t="shared" si="2031"/>
        <v>0</v>
      </c>
      <c r="O687">
        <f t="shared" si="2032"/>
        <v>1</v>
      </c>
      <c r="P687" t="str">
        <f t="shared" si="2033"/>
        <v>Medium centralized biomass gasification w/ CCS-Levelized cost</v>
      </c>
      <c r="Q687" t="str">
        <f t="shared" si="2034"/>
        <v>Central gas storage-Levelized cost</v>
      </c>
      <c r="R687" t="str">
        <f t="shared" si="2035"/>
        <v>Blending in natural gas pipeline-Levelized cost</v>
      </c>
      <c r="S687" t="str">
        <f t="shared" si="2036"/>
        <v>Hydrogen turbine (CC)-Levelized cost</v>
      </c>
      <c r="T687">
        <f ca="1">IF(timePeriod="2020-30",(VLOOKUP($P687,'TA database'!$I$8:$J$79,2,FALSE)/VLOOKUP($D687,'Merit calculation'!$B$48:$I$52,5,FALSE)/VLOOKUP($E687,'Merit calculation'!$B$67:$I$73,5,FALSE)/VLOOKUP($F687,'Merit calculation'!$B$90:$I$103,5,FALSE)/energyContentH2),(VLOOKUP($P687,'TA database'!$I$8:$J$79,2,FALSE)/VLOOKUP($D687,'Merit calculation'!$B$48:$I$52,7,FALSE)/VLOOKUP($E687,'Merit calculation'!$B$67:$I$73,7,FALSE)/VLOOKUP($F687,'Merit calculation'!$B$90:$I$103,7,FALSE)/energyContentH2))</f>
        <v>2.0821967113750103E-2</v>
      </c>
      <c r="U687">
        <f ca="1">IF(timePeriod="2020-30",(VLOOKUP($Q687,'TA database'!$I$86:$J$105,2,FALSE)/VLOOKUP($E687,'Merit calculation'!$B$67:$I$73,5,FALSE)/VLOOKUP($F687,'Merit calculation'!$B$90:$I$104,5,FALSE)/energyContentH2),VLOOKUP($Q687,'TA database'!$I$86:$J$105,2,FALSE)/VLOOKUP($E687,'Merit calculation'!$B$67:$I$73,7,FALSE)/VLOOKUP($F687,'Merit calculation'!$B$90:$I$104,7,FALSE)/energyContentH2)</f>
        <v>1.6492020056890072E-3</v>
      </c>
      <c r="V687">
        <f ca="1">IF(timePeriod="2020-30",(VLOOKUP($R687,'TA database'!$I$112:$J$139,2,FALSE)/VLOOKUP($F687,'Merit calculation'!$B$90:$I$104,5,FALSE)/energyContentH2),(VLOOKUP($R687,'TA database'!$I$112:$J$139,2,FALSE)/VLOOKUP($F687,'Merit calculation'!$B$90:$I$104,7,FALSE)/energyContentH2))</f>
        <v>4.7262844150234304E-3</v>
      </c>
      <c r="W687">
        <f>IFERROR(VLOOKUP($S687,'TA database'!$I$146:$J$193,2,FALSE),0)</f>
        <v>0</v>
      </c>
      <c r="X687">
        <f ca="1">IFERROR(VLOOKUP($S687,'TA database'!$I$200:$J$271,2,FALSE),0)</f>
        <v>4.7965352483301787E-3</v>
      </c>
      <c r="Y687">
        <f t="shared" ref="Y687:Y690" ca="1" si="2042">IF($W687=0,T687*3.6+U687*3.6+V687*3.6+X687,T687+U687+V687+W687)</f>
        <v>0.10270736797239534</v>
      </c>
      <c r="Z687" t="str">
        <f t="shared" si="2038"/>
        <v>BIO_GSF_CCS_MED_C   →   C_GAS_STRG   →   H2_BLND_NG_P   →   H2_CCGT_PWR</v>
      </c>
      <c r="AA687" t="str">
        <f t="shared" si="2039"/>
        <v>Grid electricity</v>
      </c>
      <c r="AB687" t="str">
        <f t="shared" si="2040"/>
        <v>Levelized cost</v>
      </c>
      <c r="AC687">
        <f t="shared" ca="1" si="2041"/>
        <v>0.10270736797239534</v>
      </c>
      <c r="AD687">
        <v>628</v>
      </c>
      <c r="AE687" t="str">
        <f>IF(AND(ISNUMBER(SEARCH(O687,4)),ISNUMBER(SEARCH('(4) FCH pathway assessment'!$B$16,AB687)),ISNUMBER(SEARCH('(4) FCH pathway assessment'!$B$10,AA687))),AD687,"")</f>
        <v/>
      </c>
      <c r="AF687" t="str">
        <f t="shared" si="1873"/>
        <v/>
      </c>
      <c r="AG687" t="str">
        <f>VLOOKUP(C687,Assumptions!$B$116:$C$162,2,FALSE)</f>
        <v>BIO_GSF_CCS_MED_C</v>
      </c>
      <c r="AH687" t="str">
        <f>VLOOKUP(D687,Assumptions!$B$116:$C$162,2,FALSE)</f>
        <v>C_GAS_STRG</v>
      </c>
      <c r="AI687" t="str">
        <f>VLOOKUP(E687,Assumptions!$B$116:$C$162,2,FALSE)</f>
        <v>H2_BLND_NG_P</v>
      </c>
      <c r="AJ687" t="str">
        <f>VLOOKUP(F687,Assumptions!$B$116:$C$162,2,FALSE)</f>
        <v>H2_CCGT_PWR</v>
      </c>
    </row>
    <row r="688" spans="2:36" x14ac:dyDescent="0.25">
      <c r="B688" t="s">
        <v>117</v>
      </c>
      <c r="C688" t="s">
        <v>54</v>
      </c>
      <c r="D688" t="s">
        <v>155</v>
      </c>
      <c r="E688" t="s">
        <v>122</v>
      </c>
      <c r="F688" t="s">
        <v>163</v>
      </c>
      <c r="G688" t="s">
        <v>114</v>
      </c>
      <c r="H688" t="s">
        <v>433</v>
      </c>
      <c r="I688" t="s">
        <v>32</v>
      </c>
      <c r="J688" t="s">
        <v>72</v>
      </c>
      <c r="K688">
        <f t="shared" si="2028"/>
        <v>0</v>
      </c>
      <c r="L688">
        <f t="shared" si="2029"/>
        <v>1</v>
      </c>
      <c r="M688">
        <f t="shared" si="2030"/>
        <v>1</v>
      </c>
      <c r="N688">
        <f t="shared" si="2031"/>
        <v>0</v>
      </c>
      <c r="O688">
        <f t="shared" ref="O688:O693" si="2043">K688+L688+M688+N688</f>
        <v>2</v>
      </c>
      <c r="P688" t="str">
        <f t="shared" si="2033"/>
        <v>Medium centralized biomass gasification w/ CCS-Levelized cost</v>
      </c>
      <c r="Q688" t="str">
        <f t="shared" si="2034"/>
        <v>Central gas storage-Levelized cost</v>
      </c>
      <c r="R688" t="str">
        <f t="shared" si="2035"/>
        <v>Hydrogen transmission &amp; distribution pipeline-Levelized cost</v>
      </c>
      <c r="S688" t="str">
        <f t="shared" si="2036"/>
        <v>Hydrogen turbine (CC)-Levelized cost</v>
      </c>
      <c r="T688">
        <f ca="1">IF(timePeriod="2020-30",(VLOOKUP($P688,'TA database'!$I$8:$J$79,2,FALSE)/VLOOKUP($D688,'Merit calculation'!$B$48:$I$52,5,FALSE)/VLOOKUP($E688,'Merit calculation'!$B$67:$I$73,5,FALSE)/VLOOKUP($F688,'Merit calculation'!$B$90:$I$103,5,FALSE)/energyContentH2),(VLOOKUP($P688,'TA database'!$I$8:$J$79,2,FALSE)/VLOOKUP($D688,'Merit calculation'!$B$48:$I$52,7,FALSE)/VLOOKUP($E688,'Merit calculation'!$B$67:$I$73,7,FALSE)/VLOOKUP($F688,'Merit calculation'!$B$90:$I$103,7,FALSE)/energyContentH2))</f>
        <v>2.0821967113750103E-2</v>
      </c>
      <c r="U688">
        <f ca="1">IF(timePeriod="2020-30",(VLOOKUP($Q688,'TA database'!$I$86:$J$105,2,FALSE)/VLOOKUP($E688,'Merit calculation'!$B$67:$I$73,5,FALSE)/VLOOKUP($F688,'Merit calculation'!$B$90:$I$104,5,FALSE)/energyContentH2),VLOOKUP($Q688,'TA database'!$I$86:$J$105,2,FALSE)/VLOOKUP($E688,'Merit calculation'!$B$67:$I$73,7,FALSE)/VLOOKUP($F688,'Merit calculation'!$B$90:$I$104,7,FALSE)/energyContentH2)</f>
        <v>1.6492020056890072E-3</v>
      </c>
      <c r="V688">
        <f ca="1">IF(timePeriod="2020-30",(VLOOKUP($R688,'TA database'!$I$112:$J$139,2,FALSE)/VLOOKUP($F688,'Merit calculation'!$B$90:$I$104,5,FALSE)/energyContentH2),(VLOOKUP($R688,'TA database'!$I$112:$J$139,2,FALSE)/VLOOKUP($F688,'Merit calculation'!$B$90:$I$104,7,FALSE)/energyContentH2))</f>
        <v>8.7934909049694424E-3</v>
      </c>
      <c r="W688">
        <f>IFERROR(VLOOKUP($S688,'TA database'!$I$146:$J$193,2,FALSE),0)</f>
        <v>0</v>
      </c>
      <c r="X688">
        <f ca="1">IFERROR(VLOOKUP($S688,'TA database'!$I$200:$J$271,2,FALSE),0)</f>
        <v>4.7965352483301787E-3</v>
      </c>
      <c r="Y688">
        <f t="shared" ca="1" si="2042"/>
        <v>0.11734931133620097</v>
      </c>
      <c r="Z688" t="str">
        <f t="shared" ref="Z688:Z693" si="2044">CONCATENATE(AG688,"   →   ",AH688,"   →   ",AI688,"   →   ",AJ688)</f>
        <v>BIO_GSF_CCS_MED_C   →   C_GAS_STRG   →   H2_T&amp;D_P   →   H2_CCGT_PWR</v>
      </c>
      <c r="AA688" t="str">
        <f t="shared" ref="AA688:AA693" si="2045">G688</f>
        <v>Grid electricity</v>
      </c>
      <c r="AB688" t="str">
        <f t="shared" ref="AB688:AB693" si="2046">J688</f>
        <v>Levelized cost</v>
      </c>
      <c r="AC688">
        <f t="shared" ref="AC688:AC693" ca="1" si="2047">Y688</f>
        <v>0.11734931133620097</v>
      </c>
      <c r="AD688">
        <v>629</v>
      </c>
      <c r="AE688" t="str">
        <f>IF(AND(ISNUMBER(SEARCH(O688,4)),ISNUMBER(SEARCH('(4) FCH pathway assessment'!$B$16,AB688)),ISNUMBER(SEARCH('(4) FCH pathway assessment'!$B$10,AA688))),AD688,"")</f>
        <v/>
      </c>
      <c r="AF688" t="str">
        <f t="shared" si="1873"/>
        <v/>
      </c>
      <c r="AG688" t="str">
        <f>VLOOKUP(C688,Assumptions!$B$116:$C$162,2,FALSE)</f>
        <v>BIO_GSF_CCS_MED_C</v>
      </c>
      <c r="AH688" t="str">
        <f>VLOOKUP(D688,Assumptions!$B$116:$C$162,2,FALSE)</f>
        <v>C_GAS_STRG</v>
      </c>
      <c r="AI688" t="str">
        <f>VLOOKUP(E688,Assumptions!$B$116:$C$162,2,FALSE)</f>
        <v>H2_T&amp;D_P</v>
      </c>
      <c r="AJ688" t="str">
        <f>VLOOKUP(F688,Assumptions!$B$116:$C$162,2,FALSE)</f>
        <v>H2_CCGT_PWR</v>
      </c>
    </row>
    <row r="689" spans="2:36" x14ac:dyDescent="0.25">
      <c r="B689" t="s">
        <v>117</v>
      </c>
      <c r="C689" t="s">
        <v>54</v>
      </c>
      <c r="D689" t="s">
        <v>155</v>
      </c>
      <c r="E689" t="s">
        <v>116</v>
      </c>
      <c r="F689" t="s">
        <v>163</v>
      </c>
      <c r="G689" t="s">
        <v>114</v>
      </c>
      <c r="H689" t="s">
        <v>433</v>
      </c>
      <c r="I689" t="s">
        <v>32</v>
      </c>
      <c r="J689" t="s">
        <v>72</v>
      </c>
      <c r="K689">
        <f t="shared" ref="K689:K694" si="2048">SUMPRODUCT(($C$7:$C$18=$C689)*($D$6:$H$6=$D689)*($D$7:$H$18))</f>
        <v>0</v>
      </c>
      <c r="L689">
        <f t="shared" ref="L689:L694" si="2049">SUMPRODUCT(($C$19:$C$23=$D689)*($I$6:$O$6=$E689)*($I$19:$O$23))</f>
        <v>1</v>
      </c>
      <c r="M689">
        <f t="shared" ref="M689:M694" si="2050">SUMPRODUCT(($C$24:$C$30=$E689)*($P$6:$AI$6=$F689)*($P$24:$AI$30))</f>
        <v>1</v>
      </c>
      <c r="N689">
        <f t="shared" ref="N689:N694" si="2051">SUMPRODUCT(($C$31:$C$50=$F689)*($AJ$6:$AM$6=$G689)*($AJ$31:$AM$50))</f>
        <v>0</v>
      </c>
      <c r="O689">
        <f t="shared" si="2043"/>
        <v>2</v>
      </c>
      <c r="P689" t="str">
        <f t="shared" ref="P689:P694" si="2052">CONCATENATE(C689,"-",J689)</f>
        <v>Medium centralized biomass gasification w/ CCS-Levelized cost</v>
      </c>
      <c r="Q689" t="str">
        <f t="shared" ref="Q689:Q694" si="2053">CONCATENATE(D689,"-",J689)</f>
        <v>Central gas storage-Levelized cost</v>
      </c>
      <c r="R689" t="str">
        <f t="shared" ref="R689:R694" si="2054">CONCATENATE(E689,"-",J689)</f>
        <v>Liquid hydrogen truck-Levelized cost</v>
      </c>
      <c r="S689" t="str">
        <f t="shared" ref="S689:S694" si="2055">CONCATENATE(F689,"-",J689)</f>
        <v>Hydrogen turbine (CC)-Levelized cost</v>
      </c>
      <c r="T689">
        <f ca="1">IF(timePeriod="2020-30",(VLOOKUP($P689,'TA database'!$I$8:$J$79,2,FALSE)/VLOOKUP($D689,'Merit calculation'!$B$48:$I$52,5,FALSE)/VLOOKUP($E689,'Merit calculation'!$B$67:$I$73,5,FALSE)/VLOOKUP($F689,'Merit calculation'!$B$90:$I$103,5,FALSE)/energyContentH2),(VLOOKUP($P689,'TA database'!$I$8:$J$79,2,FALSE)/VLOOKUP($D689,'Merit calculation'!$B$48:$I$52,7,FALSE)/VLOOKUP($E689,'Merit calculation'!$B$67:$I$73,7,FALSE)/VLOOKUP($F689,'Merit calculation'!$B$90:$I$103,7,FALSE)/energyContentH2))</f>
        <v>2.4053380913200237E-2</v>
      </c>
      <c r="U689">
        <f ca="1">IF(timePeriod="2020-30",(VLOOKUP($Q689,'TA database'!$I$86:$J$105,2,FALSE)/VLOOKUP($E689,'Merit calculation'!$B$67:$I$73,5,FALSE)/VLOOKUP($F689,'Merit calculation'!$B$90:$I$104,5,FALSE)/energyContentH2),VLOOKUP($Q689,'TA database'!$I$86:$J$105,2,FALSE)/VLOOKUP($E689,'Merit calculation'!$B$67:$I$73,7,FALSE)/VLOOKUP($F689,'Merit calculation'!$B$90:$I$104,7,FALSE)/energyContentH2)</f>
        <v>1.9051458408776167E-3</v>
      </c>
      <c r="V689">
        <f ca="1">IF(timePeriod="2020-30",(VLOOKUP($R689,'TA database'!$I$112:$J$139,2,FALSE)/VLOOKUP($F689,'Merit calculation'!$B$90:$I$104,5,FALSE)/energyContentH2),(VLOOKUP($R689,'TA database'!$I$112:$J$139,2,FALSE)/VLOOKUP($F689,'Merit calculation'!$B$90:$I$104,7,FALSE)/energyContentH2))</f>
        <v>5.8189074534988582E-2</v>
      </c>
      <c r="W689">
        <f>IFERROR(VLOOKUP($S689,'TA database'!$I$146:$J$193,2,FALSE),0)</f>
        <v>0</v>
      </c>
      <c r="X689">
        <f ca="1">IFERROR(VLOOKUP($S689,'TA database'!$I$200:$J$271,2,FALSE),0)</f>
        <v>4.7965352483301787E-3</v>
      </c>
      <c r="Y689">
        <f t="shared" ca="1" si="2042"/>
        <v>0.30772789988896937</v>
      </c>
      <c r="Z689" t="str">
        <f t="shared" si="2044"/>
        <v>BIO_GSF_CCS_MED_C   →   C_GAS_STRG   →   LQ_TRUCK   →   H2_CCGT_PWR</v>
      </c>
      <c r="AA689" t="str">
        <f t="shared" si="2045"/>
        <v>Grid electricity</v>
      </c>
      <c r="AB689" t="str">
        <f t="shared" si="2046"/>
        <v>Levelized cost</v>
      </c>
      <c r="AC689">
        <f t="shared" ca="1" si="2047"/>
        <v>0.30772789988896937</v>
      </c>
      <c r="AD689">
        <v>630</v>
      </c>
      <c r="AE689" t="str">
        <f>IF(AND(ISNUMBER(SEARCH(O689,4)),ISNUMBER(SEARCH('(4) FCH pathway assessment'!$B$16,AB689)),ISNUMBER(SEARCH('(4) FCH pathway assessment'!$B$10,AA689))),AD689,"")</f>
        <v/>
      </c>
      <c r="AF689" t="str">
        <f t="shared" si="1873"/>
        <v/>
      </c>
      <c r="AG689" t="str">
        <f>VLOOKUP(C689,Assumptions!$B$116:$C$162,2,FALSE)</f>
        <v>BIO_GSF_CCS_MED_C</v>
      </c>
      <c r="AH689" t="str">
        <f>VLOOKUP(D689,Assumptions!$B$116:$C$162,2,FALSE)</f>
        <v>C_GAS_STRG</v>
      </c>
      <c r="AI689" t="str">
        <f>VLOOKUP(E689,Assumptions!$B$116:$C$162,2,FALSE)</f>
        <v>LQ_TRUCK</v>
      </c>
      <c r="AJ689" t="str">
        <f>VLOOKUP(F689,Assumptions!$B$116:$C$162,2,FALSE)</f>
        <v>H2_CCGT_PWR</v>
      </c>
    </row>
    <row r="690" spans="2:36" x14ac:dyDescent="0.25">
      <c r="B690" t="s">
        <v>117</v>
      </c>
      <c r="C690" t="s">
        <v>54</v>
      </c>
      <c r="D690" t="s">
        <v>155</v>
      </c>
      <c r="E690" t="s">
        <v>66</v>
      </c>
      <c r="F690" t="s">
        <v>163</v>
      </c>
      <c r="G690" t="s">
        <v>114</v>
      </c>
      <c r="H690" t="s">
        <v>433</v>
      </c>
      <c r="I690" t="s">
        <v>32</v>
      </c>
      <c r="J690" t="s">
        <v>72</v>
      </c>
      <c r="K690">
        <f t="shared" si="2048"/>
        <v>0</v>
      </c>
      <c r="L690">
        <f t="shared" si="2049"/>
        <v>1</v>
      </c>
      <c r="M690">
        <f t="shared" si="2050"/>
        <v>1</v>
      </c>
      <c r="N690">
        <f t="shared" si="2051"/>
        <v>0</v>
      </c>
      <c r="O690">
        <f t="shared" si="2043"/>
        <v>2</v>
      </c>
      <c r="P690" t="str">
        <f t="shared" si="2052"/>
        <v>Medium centralized biomass gasification w/ CCS-Levelized cost</v>
      </c>
      <c r="Q690" t="str">
        <f t="shared" si="2053"/>
        <v>Central gas storage-Levelized cost</v>
      </c>
      <c r="R690" t="str">
        <f t="shared" si="2054"/>
        <v>Onsite-Levelized cost</v>
      </c>
      <c r="S690" t="str">
        <f t="shared" si="2055"/>
        <v>Hydrogen turbine (CC)-Levelized cost</v>
      </c>
      <c r="T690">
        <f ca="1">IF(timePeriod="2020-30",(VLOOKUP($P690,'TA database'!$I$8:$J$79,2,FALSE)/VLOOKUP($D690,'Merit calculation'!$B$48:$I$52,5,FALSE)/VLOOKUP($E690,'Merit calculation'!$B$67:$I$73,5,FALSE)/VLOOKUP($F690,'Merit calculation'!$B$90:$I$103,5,FALSE)/energyContentH2),(VLOOKUP($P690,'TA database'!$I$8:$J$79,2,FALSE)/VLOOKUP($D690,'Merit calculation'!$B$48:$I$52,7,FALSE)/VLOOKUP($E690,'Merit calculation'!$B$67:$I$73,7,FALSE)/VLOOKUP($F690,'Merit calculation'!$B$90:$I$103,7,FALSE)/energyContentH2))</f>
        <v>2.0613747442612598E-2</v>
      </c>
      <c r="U690">
        <f ca="1">IF(timePeriod="2020-30",(VLOOKUP($Q690,'TA database'!$I$86:$J$105,2,FALSE)/VLOOKUP($E690,'Merit calculation'!$B$67:$I$73,5,FALSE)/VLOOKUP($F690,'Merit calculation'!$B$90:$I$104,5,FALSE)/energyContentH2),VLOOKUP($Q690,'TA database'!$I$86:$J$105,2,FALSE)/VLOOKUP($E690,'Merit calculation'!$B$67:$I$73,7,FALSE)/VLOOKUP($F690,'Merit calculation'!$B$90:$I$104,7,FALSE)/energyContentH2)</f>
        <v>1.6327099856321171E-3</v>
      </c>
      <c r="V690">
        <f ca="1">IF(timePeriod="2020-30",(VLOOKUP($R690,'TA database'!$I$112:$J$139,2,FALSE)/VLOOKUP($F690,'Merit calculation'!$B$90:$I$104,5,FALSE)/energyContentH2),(VLOOKUP($R690,'TA database'!$I$112:$J$139,2,FALSE)/VLOOKUP($F690,'Merit calculation'!$B$90:$I$104,7,FALSE)/energyContentH2))</f>
        <v>0</v>
      </c>
      <c r="W690">
        <f>IFERROR(VLOOKUP($S690,'TA database'!$I$146:$J$193,2,FALSE),0)</f>
        <v>0</v>
      </c>
      <c r="X690">
        <f ca="1">IFERROR(VLOOKUP($S690,'TA database'!$I$200:$J$271,2,FALSE),0)</f>
        <v>4.7965352483301787E-3</v>
      </c>
      <c r="Y690">
        <f t="shared" ca="1" si="2042"/>
        <v>8.4883781990011162E-2</v>
      </c>
      <c r="Z690" t="str">
        <f t="shared" si="2044"/>
        <v>BIO_GSF_CCS_MED_C   →   C_GAS_STRG   →   ONSITE_USE   →   H2_CCGT_PWR</v>
      </c>
      <c r="AA690" t="str">
        <f t="shared" si="2045"/>
        <v>Grid electricity</v>
      </c>
      <c r="AB690" t="str">
        <f t="shared" si="2046"/>
        <v>Levelized cost</v>
      </c>
      <c r="AC690">
        <f t="shared" ca="1" si="2047"/>
        <v>8.4883781990011162E-2</v>
      </c>
      <c r="AD690">
        <v>631</v>
      </c>
      <c r="AE690" t="str">
        <f>IF(AND(ISNUMBER(SEARCH(O690,4)),ISNUMBER(SEARCH('(4) FCH pathway assessment'!$B$16,AB690)),ISNUMBER(SEARCH('(4) FCH pathway assessment'!$B$10,AA690))),AD690,"")</f>
        <v/>
      </c>
      <c r="AF690" t="str">
        <f t="shared" si="1873"/>
        <v/>
      </c>
      <c r="AG690" t="str">
        <f>VLOOKUP(C690,Assumptions!$B$116:$C$162,2,FALSE)</f>
        <v>BIO_GSF_CCS_MED_C</v>
      </c>
      <c r="AH690" t="str">
        <f>VLOOKUP(D690,Assumptions!$B$116:$C$162,2,FALSE)</f>
        <v>C_GAS_STRG</v>
      </c>
      <c r="AI690" t="str">
        <f>VLOOKUP(E690,Assumptions!$B$116:$C$162,2,FALSE)</f>
        <v>ONSITE_USE</v>
      </c>
      <c r="AJ690" t="str">
        <f>VLOOKUP(F690,Assumptions!$B$116:$C$162,2,FALSE)</f>
        <v>H2_CCGT_PWR</v>
      </c>
    </row>
    <row r="691" spans="2:36" x14ac:dyDescent="0.25">
      <c r="B691" t="s">
        <v>117</v>
      </c>
      <c r="C691" t="s">
        <v>55</v>
      </c>
      <c r="D691" s="60" t="s">
        <v>130</v>
      </c>
      <c r="E691" t="s">
        <v>66</v>
      </c>
      <c r="F691" t="s">
        <v>163</v>
      </c>
      <c r="G691" t="s">
        <v>114</v>
      </c>
      <c r="H691" t="s">
        <v>433</v>
      </c>
      <c r="I691" t="s">
        <v>32</v>
      </c>
      <c r="J691" t="s">
        <v>72</v>
      </c>
      <c r="K691">
        <f t="shared" si="2048"/>
        <v>0</v>
      </c>
      <c r="L691">
        <f t="shared" si="2049"/>
        <v>1</v>
      </c>
      <c r="M691">
        <f t="shared" si="2050"/>
        <v>1</v>
      </c>
      <c r="N691">
        <f t="shared" si="2051"/>
        <v>0</v>
      </c>
      <c r="O691">
        <f t="shared" si="2043"/>
        <v>2</v>
      </c>
      <c r="P691" t="str">
        <f t="shared" si="2052"/>
        <v>Small decentralized biomass gasification-Levelized cost</v>
      </c>
      <c r="Q691" t="str">
        <f t="shared" si="2053"/>
        <v>Distributed gas storage-Levelized cost</v>
      </c>
      <c r="R691" t="str">
        <f t="shared" si="2054"/>
        <v>Onsite-Levelized cost</v>
      </c>
      <c r="S691" t="str">
        <f t="shared" si="2055"/>
        <v>Hydrogen turbine (CC)-Levelized cost</v>
      </c>
      <c r="T691">
        <f ca="1">IF(timePeriod="2020-30",(VLOOKUP($P691,'TA database'!$I$8:$J$79,2,FALSE)/VLOOKUP($D691,'Merit calculation'!$B$48:$I$52,5,FALSE)/VLOOKUP($E691,'Merit calculation'!$B$67:$I$73,5,FALSE)/VLOOKUP($F691,'Merit calculation'!$B$90:$I$103,5,FALSE)/energyContentH2),(VLOOKUP($P691,'TA database'!$I$8:$J$79,2,FALSE)/VLOOKUP($D691,'Merit calculation'!$B$48:$I$52,7,FALSE)/VLOOKUP($E691,'Merit calculation'!$B$67:$I$73,7,FALSE)/VLOOKUP($F691,'Merit calculation'!$B$90:$I$103,7,FALSE)/energyContentH2))</f>
        <v>5.3183472732419385E-2</v>
      </c>
      <c r="U691">
        <f ca="1">IF(timePeriod="2020-30",(VLOOKUP($Q691,'TA database'!$I$86:$J$105,2,FALSE)/VLOOKUP($E691,'Merit calculation'!$B$67:$I$73,5,FALSE)/VLOOKUP($F691,'Merit calculation'!$B$90:$I$104,5,FALSE)/energyContentH2),VLOOKUP($Q691,'TA database'!$I$86:$J$105,2,FALSE)/VLOOKUP($E691,'Merit calculation'!$B$67:$I$73,7,FALSE)/VLOOKUP($F691,'Merit calculation'!$B$90:$I$104,7,FALSE)/energyContentH2)</f>
        <v>2.9025955300126531E-3</v>
      </c>
      <c r="V691">
        <f ca="1">IF(timePeriod="2020-30",(VLOOKUP($R691,'TA database'!$I$112:$J$139,2,FALSE)/VLOOKUP($F691,'Merit calculation'!$B$90:$I$104,5,FALSE)/energyContentH2),(VLOOKUP($R691,'TA database'!$I$112:$J$139,2,FALSE)/VLOOKUP($F691,'Merit calculation'!$B$90:$I$104,7,FALSE)/energyContentH2))</f>
        <v>0</v>
      </c>
      <c r="W691">
        <f>IFERROR(VLOOKUP($S691,'TA database'!$I$146:$J$193,2,FALSE),0)</f>
        <v>0</v>
      </c>
      <c r="X691">
        <f ca="1">IFERROR(VLOOKUP($S691,'TA database'!$I$200:$J$271,2,FALSE),0)</f>
        <v>4.7965352483301787E-3</v>
      </c>
      <c r="Y691">
        <f t="shared" ref="Y691:Y701" ca="1" si="2056">IF($W691=0,T691*3.6+U691*3.6+V691*3.6+X691,T691+U691+V691+W691)</f>
        <v>0.20670638099308553</v>
      </c>
      <c r="Z691" t="str">
        <f t="shared" si="2044"/>
        <v>BIO_GSF_SML_D   →   D_GAS_STRG   →   ONSITE_USE   →   H2_CCGT_PWR</v>
      </c>
      <c r="AA691" t="str">
        <f t="shared" si="2045"/>
        <v>Grid electricity</v>
      </c>
      <c r="AB691" t="str">
        <f t="shared" si="2046"/>
        <v>Levelized cost</v>
      </c>
      <c r="AC691">
        <f t="shared" ca="1" si="2047"/>
        <v>0.20670638099308553</v>
      </c>
      <c r="AD691">
        <v>632</v>
      </c>
      <c r="AE691" t="str">
        <f>IF(AND(ISNUMBER(SEARCH(O691,4)),ISNUMBER(SEARCH('(4) FCH pathway assessment'!$B$16,AB691)),ISNUMBER(SEARCH('(4) FCH pathway assessment'!$B$10,AA691))),AD691,"")</f>
        <v/>
      </c>
      <c r="AF691" t="str">
        <f t="shared" si="1873"/>
        <v/>
      </c>
      <c r="AG691" t="str">
        <f>VLOOKUP(C691,Assumptions!$B$116:$C$162,2,FALSE)</f>
        <v>BIO_GSF_SML_D</v>
      </c>
      <c r="AH691" t="str">
        <f>VLOOKUP(D691,Assumptions!$B$116:$C$162,2,FALSE)</f>
        <v>D_GAS_STRG</v>
      </c>
      <c r="AI691" t="str">
        <f>VLOOKUP(E691,Assumptions!$B$116:$C$162,2,FALSE)</f>
        <v>ONSITE_USE</v>
      </c>
      <c r="AJ691" t="str">
        <f>VLOOKUP(F691,Assumptions!$B$116:$C$162,2,FALSE)</f>
        <v>H2_CCGT_PWR</v>
      </c>
    </row>
    <row r="692" spans="2:36" x14ac:dyDescent="0.25">
      <c r="B692" t="s">
        <v>117</v>
      </c>
      <c r="C692" t="s">
        <v>56</v>
      </c>
      <c r="D692" t="s">
        <v>62</v>
      </c>
      <c r="E692" t="s">
        <v>157</v>
      </c>
      <c r="F692" t="s">
        <v>163</v>
      </c>
      <c r="G692" t="s">
        <v>114</v>
      </c>
      <c r="H692" t="s">
        <v>433</v>
      </c>
      <c r="I692" t="s">
        <v>32</v>
      </c>
      <c r="J692" t="s">
        <v>72</v>
      </c>
      <c r="K692">
        <f t="shared" si="2048"/>
        <v>0</v>
      </c>
      <c r="L692">
        <f t="shared" si="2049"/>
        <v>0</v>
      </c>
      <c r="M692">
        <f t="shared" si="2050"/>
        <v>0</v>
      </c>
      <c r="N692">
        <f t="shared" si="2051"/>
        <v>0</v>
      </c>
      <c r="O692">
        <f t="shared" si="2043"/>
        <v>0</v>
      </c>
      <c r="P692" t="str">
        <f t="shared" si="2052"/>
        <v>Large centralized biomass steam reforming -Levelized cost</v>
      </c>
      <c r="Q692" t="str">
        <f t="shared" si="2053"/>
        <v>Underground storage-Levelized cost</v>
      </c>
      <c r="R692" t="str">
        <f t="shared" si="2054"/>
        <v>Blending in natural gas pipeline-Levelized cost</v>
      </c>
      <c r="S692" t="str">
        <f t="shared" si="2055"/>
        <v>Hydrogen turbine (CC)-Levelized cost</v>
      </c>
      <c r="T692">
        <f ca="1">IF(timePeriod="2020-30",(VLOOKUP($P692,'TA database'!$I$8:$J$79,2,FALSE)/VLOOKUP($D692,'Merit calculation'!$B$48:$I$52,5,FALSE)/VLOOKUP($E692,'Merit calculation'!$B$67:$I$73,5,FALSE)/VLOOKUP($F692,'Merit calculation'!$B$90:$I$103,5,FALSE)/energyContentH2),(VLOOKUP($P692,'TA database'!$I$8:$J$79,2,FALSE)/VLOOKUP($D692,'Merit calculation'!$B$48:$I$52,7,FALSE)/VLOOKUP($E692,'Merit calculation'!$B$67:$I$73,7,FALSE)/VLOOKUP($F692,'Merit calculation'!$B$90:$I$103,7,FALSE)/energyContentH2))</f>
        <v>2.3312284983695964E-2</v>
      </c>
      <c r="U692">
        <f ca="1">IF(timePeriod="2020-30",(VLOOKUP($Q692,'TA database'!$I$86:$J$105,2,FALSE)/VLOOKUP($E692,'Merit calculation'!$B$67:$I$73,5,FALSE)/VLOOKUP($F692,'Merit calculation'!$B$90:$I$104,5,FALSE)/energyContentH2),VLOOKUP($Q692,'TA database'!$I$86:$J$105,2,FALSE)/VLOOKUP($E692,'Merit calculation'!$B$67:$I$73,7,FALSE)/VLOOKUP($F692,'Merit calculation'!$B$90:$I$104,7,FALSE)/energyContentH2)</f>
        <v>3.2848303323188466E-4</v>
      </c>
      <c r="V692">
        <f ca="1">IF(timePeriod="2020-30",(VLOOKUP($R692,'TA database'!$I$112:$J$139,2,FALSE)/VLOOKUP($F692,'Merit calculation'!$B$90:$I$104,5,FALSE)/energyContentH2),(VLOOKUP($R692,'TA database'!$I$112:$J$139,2,FALSE)/VLOOKUP($F692,'Merit calculation'!$B$90:$I$104,7,FALSE)/energyContentH2))</f>
        <v>4.7262844150234304E-3</v>
      </c>
      <c r="W692">
        <f>IFERROR(VLOOKUP($S692,'TA database'!$I$146:$J$193,2,FALSE),0)</f>
        <v>0</v>
      </c>
      <c r="X692">
        <f ca="1">IFERROR(VLOOKUP($S692,'TA database'!$I$200:$J$271,2,FALSE),0)</f>
        <v>4.7965352483301787E-3</v>
      </c>
      <c r="Y692">
        <f t="shared" ca="1" si="2056"/>
        <v>0.10691792400335479</v>
      </c>
      <c r="Z692" t="str">
        <f t="shared" si="2044"/>
        <v>BIO_SR_LRG_C   →   C_UNDRGRND_STRG   →   H2_BLND_NG_P   →   H2_CCGT_PWR</v>
      </c>
      <c r="AA692" t="str">
        <f t="shared" si="2045"/>
        <v>Grid electricity</v>
      </c>
      <c r="AB692" t="str">
        <f t="shared" si="2046"/>
        <v>Levelized cost</v>
      </c>
      <c r="AC692">
        <f t="shared" ca="1" si="2047"/>
        <v>0.10691792400335479</v>
      </c>
      <c r="AD692">
        <v>633</v>
      </c>
      <c r="AE692" t="str">
        <f>IF(AND(ISNUMBER(SEARCH(O692,4)),ISNUMBER(SEARCH('(4) FCH pathway assessment'!$B$16,AB692)),ISNUMBER(SEARCH('(4) FCH pathway assessment'!$B$10,AA692))),AD692,"")</f>
        <v/>
      </c>
      <c r="AF692" t="str">
        <f t="shared" si="1873"/>
        <v/>
      </c>
      <c r="AG692" t="str">
        <f>VLOOKUP(C692,Assumptions!$B$116:$C$162,2,FALSE)</f>
        <v>BIO_SR_LRG_C</v>
      </c>
      <c r="AH692" t="str">
        <f>VLOOKUP(D692,Assumptions!$B$116:$C$162,2,FALSE)</f>
        <v>C_UNDRGRND_STRG</v>
      </c>
      <c r="AI692" t="str">
        <f>VLOOKUP(E692,Assumptions!$B$116:$C$162,2,FALSE)</f>
        <v>H2_BLND_NG_P</v>
      </c>
      <c r="AJ692" t="str">
        <f>VLOOKUP(F692,Assumptions!$B$116:$C$162,2,FALSE)</f>
        <v>H2_CCGT_PWR</v>
      </c>
    </row>
    <row r="693" spans="2:36" x14ac:dyDescent="0.25">
      <c r="B693" t="s">
        <v>117</v>
      </c>
      <c r="C693" t="s">
        <v>56</v>
      </c>
      <c r="D693" t="s">
        <v>62</v>
      </c>
      <c r="E693" t="s">
        <v>122</v>
      </c>
      <c r="F693" t="s">
        <v>163</v>
      </c>
      <c r="G693" t="s">
        <v>114</v>
      </c>
      <c r="H693" t="s">
        <v>433</v>
      </c>
      <c r="I693" t="s">
        <v>32</v>
      </c>
      <c r="J693" t="s">
        <v>72</v>
      </c>
      <c r="K693">
        <f t="shared" si="2048"/>
        <v>0</v>
      </c>
      <c r="L693">
        <f t="shared" si="2049"/>
        <v>0</v>
      </c>
      <c r="M693">
        <f t="shared" si="2050"/>
        <v>1</v>
      </c>
      <c r="N693">
        <f t="shared" si="2051"/>
        <v>0</v>
      </c>
      <c r="O693">
        <f t="shared" si="2043"/>
        <v>1</v>
      </c>
      <c r="P693" t="str">
        <f t="shared" si="2052"/>
        <v>Large centralized biomass steam reforming -Levelized cost</v>
      </c>
      <c r="Q693" t="str">
        <f t="shared" si="2053"/>
        <v>Underground storage-Levelized cost</v>
      </c>
      <c r="R693" t="str">
        <f t="shared" si="2054"/>
        <v>Hydrogen transmission &amp; distribution pipeline-Levelized cost</v>
      </c>
      <c r="S693" t="str">
        <f t="shared" si="2055"/>
        <v>Hydrogen turbine (CC)-Levelized cost</v>
      </c>
      <c r="T693">
        <f ca="1">IF(timePeriod="2020-30",(VLOOKUP($P693,'TA database'!$I$8:$J$79,2,FALSE)/VLOOKUP($D693,'Merit calculation'!$B$48:$I$52,5,FALSE)/VLOOKUP($E693,'Merit calculation'!$B$67:$I$73,5,FALSE)/VLOOKUP($F693,'Merit calculation'!$B$90:$I$103,5,FALSE)/energyContentH2),(VLOOKUP($P693,'TA database'!$I$8:$J$79,2,FALSE)/VLOOKUP($D693,'Merit calculation'!$B$48:$I$52,7,FALSE)/VLOOKUP($E693,'Merit calculation'!$B$67:$I$73,7,FALSE)/VLOOKUP($F693,'Merit calculation'!$B$90:$I$103,7,FALSE)/energyContentH2))</f>
        <v>2.3312284983695964E-2</v>
      </c>
      <c r="U693">
        <f ca="1">IF(timePeriod="2020-30",(VLOOKUP($Q693,'TA database'!$I$86:$J$105,2,FALSE)/VLOOKUP($E693,'Merit calculation'!$B$67:$I$73,5,FALSE)/VLOOKUP($F693,'Merit calculation'!$B$90:$I$104,5,FALSE)/energyContentH2),VLOOKUP($Q693,'TA database'!$I$86:$J$105,2,FALSE)/VLOOKUP($E693,'Merit calculation'!$B$67:$I$73,7,FALSE)/VLOOKUP($F693,'Merit calculation'!$B$90:$I$104,7,FALSE)/energyContentH2)</f>
        <v>3.2848303323188466E-4</v>
      </c>
      <c r="V693">
        <f ca="1">IF(timePeriod="2020-30",(VLOOKUP($R693,'TA database'!$I$112:$J$139,2,FALSE)/VLOOKUP($F693,'Merit calculation'!$B$90:$I$104,5,FALSE)/energyContentH2),(VLOOKUP($R693,'TA database'!$I$112:$J$139,2,FALSE)/VLOOKUP($F693,'Merit calculation'!$B$90:$I$104,7,FALSE)/energyContentH2))</f>
        <v>8.7934909049694424E-3</v>
      </c>
      <c r="W693">
        <f>IFERROR(VLOOKUP($S693,'TA database'!$I$146:$J$193,2,FALSE),0)</f>
        <v>0</v>
      </c>
      <c r="X693">
        <f ca="1">IFERROR(VLOOKUP($S693,'TA database'!$I$200:$J$271,2,FALSE),0)</f>
        <v>4.7965352483301787E-3</v>
      </c>
      <c r="Y693">
        <f t="shared" ca="1" si="2056"/>
        <v>0.12155986736716043</v>
      </c>
      <c r="Z693" t="str">
        <f t="shared" si="2044"/>
        <v>BIO_SR_LRG_C   →   C_UNDRGRND_STRG   →   H2_T&amp;D_P   →   H2_CCGT_PWR</v>
      </c>
      <c r="AA693" t="str">
        <f t="shared" si="2045"/>
        <v>Grid electricity</v>
      </c>
      <c r="AB693" t="str">
        <f t="shared" si="2046"/>
        <v>Levelized cost</v>
      </c>
      <c r="AC693">
        <f t="shared" ca="1" si="2047"/>
        <v>0.12155986736716043</v>
      </c>
      <c r="AD693">
        <v>634</v>
      </c>
      <c r="AE693" t="str">
        <f>IF(AND(ISNUMBER(SEARCH(O693,4)),ISNUMBER(SEARCH('(4) FCH pathway assessment'!$B$16,AB693)),ISNUMBER(SEARCH('(4) FCH pathway assessment'!$B$10,AA693))),AD693,"")</f>
        <v/>
      </c>
      <c r="AF693" t="str">
        <f t="shared" si="1873"/>
        <v/>
      </c>
      <c r="AG693" t="str">
        <f>VLOOKUP(C693,Assumptions!$B$116:$C$162,2,FALSE)</f>
        <v>BIO_SR_LRG_C</v>
      </c>
      <c r="AH693" t="str">
        <f>VLOOKUP(D693,Assumptions!$B$116:$C$162,2,FALSE)</f>
        <v>C_UNDRGRND_STRG</v>
      </c>
      <c r="AI693" t="str">
        <f>VLOOKUP(E693,Assumptions!$B$116:$C$162,2,FALSE)</f>
        <v>H2_T&amp;D_P</v>
      </c>
      <c r="AJ693" t="str">
        <f>VLOOKUP(F693,Assumptions!$B$116:$C$162,2,FALSE)</f>
        <v>H2_CCGT_PWR</v>
      </c>
    </row>
    <row r="694" spans="2:36" x14ac:dyDescent="0.25">
      <c r="B694" t="s">
        <v>117</v>
      </c>
      <c r="C694" t="s">
        <v>56</v>
      </c>
      <c r="D694" t="s">
        <v>62</v>
      </c>
      <c r="E694" t="s">
        <v>116</v>
      </c>
      <c r="F694" t="s">
        <v>163</v>
      </c>
      <c r="G694" t="s">
        <v>114</v>
      </c>
      <c r="H694" t="s">
        <v>433</v>
      </c>
      <c r="I694" t="s">
        <v>32</v>
      </c>
      <c r="J694" t="s">
        <v>72</v>
      </c>
      <c r="K694">
        <f t="shared" si="2048"/>
        <v>0</v>
      </c>
      <c r="L694">
        <f t="shared" si="2049"/>
        <v>0</v>
      </c>
      <c r="M694">
        <f t="shared" si="2050"/>
        <v>1</v>
      </c>
      <c r="N694">
        <f t="shared" si="2051"/>
        <v>0</v>
      </c>
      <c r="O694">
        <f t="shared" ref="O694:O704" si="2057">K694+L694+M694+N694</f>
        <v>1</v>
      </c>
      <c r="P694" t="str">
        <f t="shared" si="2052"/>
        <v>Large centralized biomass steam reforming -Levelized cost</v>
      </c>
      <c r="Q694" t="str">
        <f t="shared" si="2053"/>
        <v>Underground storage-Levelized cost</v>
      </c>
      <c r="R694" t="str">
        <f t="shared" si="2054"/>
        <v>Liquid hydrogen truck-Levelized cost</v>
      </c>
      <c r="S694" t="str">
        <f t="shared" si="2055"/>
        <v>Hydrogen turbine (CC)-Levelized cost</v>
      </c>
      <c r="T694">
        <f ca="1">IF(timePeriod="2020-30",(VLOOKUP($P694,'TA database'!$I$8:$J$79,2,FALSE)/VLOOKUP($D694,'Merit calculation'!$B$48:$I$52,5,FALSE)/VLOOKUP($E694,'Merit calculation'!$B$67:$I$73,5,FALSE)/VLOOKUP($F694,'Merit calculation'!$B$90:$I$103,5,FALSE)/energyContentH2),(VLOOKUP($P694,'TA database'!$I$8:$J$79,2,FALSE)/VLOOKUP($D694,'Merit calculation'!$B$48:$I$52,7,FALSE)/VLOOKUP($E694,'Merit calculation'!$B$67:$I$73,7,FALSE)/VLOOKUP($F694,'Merit calculation'!$B$90:$I$103,7,FALSE)/energyContentH2))</f>
        <v>2.6930177519088685E-2</v>
      </c>
      <c r="U694">
        <f ca="1">IF(timePeriod="2020-30",(VLOOKUP($Q694,'TA database'!$I$86:$J$105,2,FALSE)/VLOOKUP($E694,'Merit calculation'!$B$67:$I$73,5,FALSE)/VLOOKUP($F694,'Merit calculation'!$B$90:$I$104,5,FALSE)/energyContentH2),VLOOKUP($Q694,'TA database'!$I$86:$J$105,2,FALSE)/VLOOKUP($E694,'Merit calculation'!$B$67:$I$73,7,FALSE)/VLOOKUP($F694,'Merit calculation'!$B$90:$I$104,7,FALSE)/energyContentH2)</f>
        <v>3.7946114690731134E-4</v>
      </c>
      <c r="V694">
        <f ca="1">IF(timePeriod="2020-30",(VLOOKUP($R694,'TA database'!$I$112:$J$139,2,FALSE)/VLOOKUP($F694,'Merit calculation'!$B$90:$I$104,5,FALSE)/energyContentH2),(VLOOKUP($R694,'TA database'!$I$112:$J$139,2,FALSE)/VLOOKUP($F694,'Merit calculation'!$B$90:$I$104,7,FALSE)/energyContentH2))</f>
        <v>5.8189074534988582E-2</v>
      </c>
      <c r="W694">
        <f>IFERROR(VLOOKUP($S694,'TA database'!$I$146:$J$193,2,FALSE),0)</f>
        <v>0</v>
      </c>
      <c r="X694">
        <f ca="1">IFERROR(VLOOKUP($S694,'TA database'!$I$200:$J$271,2,FALSE),0)</f>
        <v>4.7965352483301787E-3</v>
      </c>
      <c r="Y694">
        <f t="shared" ca="1" si="2056"/>
        <v>0.31259190277187471</v>
      </c>
      <c r="Z694" t="str">
        <f t="shared" ref="Z694:Z704" si="2058">CONCATENATE(AG694,"   →   ",AH694,"   →   ",AI694,"   →   ",AJ694)</f>
        <v>BIO_SR_LRG_C   →   C_UNDRGRND_STRG   →   LQ_TRUCK   →   H2_CCGT_PWR</v>
      </c>
      <c r="AA694" t="str">
        <f t="shared" ref="AA694:AA704" si="2059">G694</f>
        <v>Grid electricity</v>
      </c>
      <c r="AB694" t="str">
        <f t="shared" ref="AB694:AB704" si="2060">J694</f>
        <v>Levelized cost</v>
      </c>
      <c r="AC694">
        <f t="shared" ref="AC694:AC704" ca="1" si="2061">Y694</f>
        <v>0.31259190277187471</v>
      </c>
      <c r="AD694">
        <v>635</v>
      </c>
      <c r="AE694" t="str">
        <f>IF(AND(ISNUMBER(SEARCH(O694,4)),ISNUMBER(SEARCH('(4) FCH pathway assessment'!$B$16,AB694)),ISNUMBER(SEARCH('(4) FCH pathway assessment'!$B$10,AA694))),AD694,"")</f>
        <v/>
      </c>
      <c r="AF694" t="str">
        <f t="shared" si="1873"/>
        <v/>
      </c>
      <c r="AG694" t="str">
        <f>VLOOKUP(C694,Assumptions!$B$116:$C$162,2,FALSE)</f>
        <v>BIO_SR_LRG_C</v>
      </c>
      <c r="AH694" t="str">
        <f>VLOOKUP(D694,Assumptions!$B$116:$C$162,2,FALSE)</f>
        <v>C_UNDRGRND_STRG</v>
      </c>
      <c r="AI694" t="str">
        <f>VLOOKUP(E694,Assumptions!$B$116:$C$162,2,FALSE)</f>
        <v>LQ_TRUCK</v>
      </c>
      <c r="AJ694" t="str">
        <f>VLOOKUP(F694,Assumptions!$B$116:$C$162,2,FALSE)</f>
        <v>H2_CCGT_PWR</v>
      </c>
    </row>
    <row r="695" spans="2:36" x14ac:dyDescent="0.25">
      <c r="B695" t="s">
        <v>117</v>
      </c>
      <c r="C695" t="s">
        <v>56</v>
      </c>
      <c r="D695" t="s">
        <v>62</v>
      </c>
      <c r="E695" t="s">
        <v>66</v>
      </c>
      <c r="F695" t="s">
        <v>163</v>
      </c>
      <c r="G695" t="s">
        <v>114</v>
      </c>
      <c r="H695" t="s">
        <v>433</v>
      </c>
      <c r="I695" t="s">
        <v>32</v>
      </c>
      <c r="J695" t="s">
        <v>72</v>
      </c>
      <c r="K695">
        <f t="shared" ref="K695:K704" si="2062">SUMPRODUCT(($C$7:$C$18=$C695)*($D$6:$H$6=$D695)*($D$7:$H$18))</f>
        <v>0</v>
      </c>
      <c r="L695">
        <f t="shared" ref="L695:L704" si="2063">SUMPRODUCT(($C$19:$C$23=$D695)*($I$6:$O$6=$E695)*($I$19:$O$23))</f>
        <v>0</v>
      </c>
      <c r="M695">
        <f t="shared" ref="M695:M704" si="2064">SUMPRODUCT(($C$24:$C$30=$E695)*($P$6:$AI$6=$F695)*($P$24:$AI$30))</f>
        <v>1</v>
      </c>
      <c r="N695">
        <f t="shared" ref="N695:N704" si="2065">SUMPRODUCT(($C$31:$C$50=$F695)*($AJ$6:$AM$6=$G695)*($AJ$31:$AM$50))</f>
        <v>0</v>
      </c>
      <c r="O695">
        <f t="shared" si="2057"/>
        <v>1</v>
      </c>
      <c r="P695" t="str">
        <f t="shared" ref="P695:P704" si="2066">CONCATENATE(C695,"-",J695)</f>
        <v>Large centralized biomass steam reforming -Levelized cost</v>
      </c>
      <c r="Q695" t="str">
        <f t="shared" ref="Q695:Q704" si="2067">CONCATENATE(D695,"-",J695)</f>
        <v>Underground storage-Levelized cost</v>
      </c>
      <c r="R695" t="str">
        <f t="shared" ref="R695:R704" si="2068">CONCATENATE(E695,"-",J695)</f>
        <v>Onsite-Levelized cost</v>
      </c>
      <c r="S695" t="str">
        <f t="shared" ref="S695:S704" si="2069">CONCATENATE(F695,"-",J695)</f>
        <v>Hydrogen turbine (CC)-Levelized cost</v>
      </c>
      <c r="T695">
        <f ca="1">IF(timePeriod="2020-30",(VLOOKUP($P695,'TA database'!$I$8:$J$79,2,FALSE)/VLOOKUP($D695,'Merit calculation'!$B$48:$I$52,5,FALSE)/VLOOKUP($E695,'Merit calculation'!$B$67:$I$73,5,FALSE)/VLOOKUP($F695,'Merit calculation'!$B$90:$I$103,5,FALSE)/energyContentH2),(VLOOKUP($P695,'TA database'!$I$8:$J$79,2,FALSE)/VLOOKUP($D695,'Merit calculation'!$B$48:$I$52,7,FALSE)/VLOOKUP($E695,'Merit calculation'!$B$67:$I$73,7,FALSE)/VLOOKUP($F695,'Merit calculation'!$B$90:$I$103,7,FALSE)/energyContentH2))</f>
        <v>2.3079162133859004E-2</v>
      </c>
      <c r="U695">
        <f ca="1">IF(timePeriod="2020-30",(VLOOKUP($Q695,'TA database'!$I$86:$J$105,2,FALSE)/VLOOKUP($E695,'Merit calculation'!$B$67:$I$73,5,FALSE)/VLOOKUP($F695,'Merit calculation'!$B$90:$I$104,5,FALSE)/energyContentH2),VLOOKUP($Q695,'TA database'!$I$86:$J$105,2,FALSE)/VLOOKUP($E695,'Merit calculation'!$B$67:$I$73,7,FALSE)/VLOOKUP($F695,'Merit calculation'!$B$90:$I$104,7,FALSE)/energyContentH2)</f>
        <v>3.2519820289956581E-4</v>
      </c>
      <c r="V695">
        <f ca="1">IF(timePeriod="2020-30",(VLOOKUP($R695,'TA database'!$I$112:$J$139,2,FALSE)/VLOOKUP($F695,'Merit calculation'!$B$90:$I$104,5,FALSE)/energyContentH2),(VLOOKUP($R695,'TA database'!$I$112:$J$139,2,FALSE)/VLOOKUP($F695,'Merit calculation'!$B$90:$I$104,7,FALSE)/energyContentH2))</f>
        <v>0</v>
      </c>
      <c r="W695">
        <f>IFERROR(VLOOKUP($S695,'TA database'!$I$146:$J$193,2,FALSE),0)</f>
        <v>0</v>
      </c>
      <c r="X695">
        <f ca="1">IFERROR(VLOOKUP($S695,'TA database'!$I$200:$J$271,2,FALSE),0)</f>
        <v>4.7965352483301787E-3</v>
      </c>
      <c r="Y695">
        <f t="shared" ca="1" si="2056"/>
        <v>8.9052232460661032E-2</v>
      </c>
      <c r="Z695" t="str">
        <f t="shared" si="2058"/>
        <v>BIO_SR_LRG_C   →   C_UNDRGRND_STRG   →   ONSITE_USE   →   H2_CCGT_PWR</v>
      </c>
      <c r="AA695" t="str">
        <f t="shared" si="2059"/>
        <v>Grid electricity</v>
      </c>
      <c r="AB695" t="str">
        <f t="shared" si="2060"/>
        <v>Levelized cost</v>
      </c>
      <c r="AC695">
        <f t="shared" ca="1" si="2061"/>
        <v>8.9052232460661032E-2</v>
      </c>
      <c r="AD695">
        <v>636</v>
      </c>
      <c r="AE695" t="str">
        <f>IF(AND(ISNUMBER(SEARCH(O695,4)),ISNUMBER(SEARCH('(4) FCH pathway assessment'!$B$16,AB695)),ISNUMBER(SEARCH('(4) FCH pathway assessment'!$B$10,AA695))),AD695,"")</f>
        <v/>
      </c>
      <c r="AF695" t="str">
        <f t="shared" si="1873"/>
        <v/>
      </c>
      <c r="AG695" t="str">
        <f>VLOOKUP(C695,Assumptions!$B$116:$C$162,2,FALSE)</f>
        <v>BIO_SR_LRG_C</v>
      </c>
      <c r="AH695" t="str">
        <f>VLOOKUP(D695,Assumptions!$B$116:$C$162,2,FALSE)</f>
        <v>C_UNDRGRND_STRG</v>
      </c>
      <c r="AI695" t="str">
        <f>VLOOKUP(E695,Assumptions!$B$116:$C$162,2,FALSE)</f>
        <v>ONSITE_USE</v>
      </c>
      <c r="AJ695" t="str">
        <f>VLOOKUP(F695,Assumptions!$B$116:$C$162,2,FALSE)</f>
        <v>H2_CCGT_PWR</v>
      </c>
    </row>
    <row r="696" spans="2:36" x14ac:dyDescent="0.25">
      <c r="B696" t="s">
        <v>117</v>
      </c>
      <c r="C696" t="s">
        <v>56</v>
      </c>
      <c r="D696" s="61" t="s">
        <v>63</v>
      </c>
      <c r="E696" t="s">
        <v>122</v>
      </c>
      <c r="F696" t="s">
        <v>163</v>
      </c>
      <c r="G696" t="s">
        <v>114</v>
      </c>
      <c r="H696" t="s">
        <v>433</v>
      </c>
      <c r="I696" t="s">
        <v>32</v>
      </c>
      <c r="J696" t="s">
        <v>72</v>
      </c>
      <c r="K696">
        <f t="shared" si="2062"/>
        <v>0</v>
      </c>
      <c r="L696">
        <f t="shared" si="2063"/>
        <v>1</v>
      </c>
      <c r="M696">
        <f t="shared" si="2064"/>
        <v>1</v>
      </c>
      <c r="N696">
        <f t="shared" si="2065"/>
        <v>0</v>
      </c>
      <c r="O696">
        <f t="shared" si="2057"/>
        <v>2</v>
      </c>
      <c r="P696" t="str">
        <f t="shared" si="2066"/>
        <v>Large centralized biomass steam reforming -Levelized cost</v>
      </c>
      <c r="Q696" t="str">
        <f t="shared" si="2067"/>
        <v>No storage-Levelized cost</v>
      </c>
      <c r="R696" t="str">
        <f t="shared" si="2068"/>
        <v>Hydrogen transmission &amp; distribution pipeline-Levelized cost</v>
      </c>
      <c r="S696" t="str">
        <f t="shared" si="2069"/>
        <v>Hydrogen turbine (CC)-Levelized cost</v>
      </c>
      <c r="T696">
        <f ca="1">IF(timePeriod="2020-30",(VLOOKUP($P696,'TA database'!$I$8:$J$79,2,FALSE)/VLOOKUP($D696,'Merit calculation'!$B$48:$I$52,5,FALSE)/VLOOKUP($E696,'Merit calculation'!$B$67:$I$73,5,FALSE)/VLOOKUP($F696,'Merit calculation'!$B$90:$I$103,5,FALSE)/energyContentH2),(VLOOKUP($P696,'TA database'!$I$8:$J$79,2,FALSE)/VLOOKUP($D696,'Merit calculation'!$B$48:$I$52,7,FALSE)/VLOOKUP($E696,'Merit calculation'!$B$67:$I$73,7,FALSE)/VLOOKUP($F696,'Merit calculation'!$B$90:$I$103,7,FALSE)/energyContentH2))</f>
        <v>2.3079162133859004E-2</v>
      </c>
      <c r="U696">
        <f ca="1">IF(timePeriod="2020-30",(VLOOKUP($Q696,'TA database'!$I$86:$J$105,2,FALSE)/VLOOKUP($E696,'Merit calculation'!$B$67:$I$73,5,FALSE)/VLOOKUP($F696,'Merit calculation'!$B$90:$I$104,5,FALSE)/energyContentH2),VLOOKUP($Q696,'TA database'!$I$86:$J$105,2,FALSE)/VLOOKUP($E696,'Merit calculation'!$B$67:$I$73,7,FALSE)/VLOOKUP($F696,'Merit calculation'!$B$90:$I$104,7,FALSE)/energyContentH2)</f>
        <v>0</v>
      </c>
      <c r="V696">
        <f ca="1">IF(timePeriod="2020-30",(VLOOKUP($R696,'TA database'!$I$112:$J$139,2,FALSE)/VLOOKUP($F696,'Merit calculation'!$B$90:$I$104,5,FALSE)/energyContentH2),(VLOOKUP($R696,'TA database'!$I$112:$J$139,2,FALSE)/VLOOKUP($F696,'Merit calculation'!$B$90:$I$104,7,FALSE)/energyContentH2))</f>
        <v>8.7934909049694424E-3</v>
      </c>
      <c r="W696">
        <f>IFERROR(VLOOKUP($S696,'TA database'!$I$146:$J$193,2,FALSE),0)</f>
        <v>0</v>
      </c>
      <c r="X696">
        <f ca="1">IFERROR(VLOOKUP($S696,'TA database'!$I$200:$J$271,2,FALSE),0)</f>
        <v>4.7965352483301787E-3</v>
      </c>
      <c r="Y696">
        <f t="shared" ca="1" si="2056"/>
        <v>0.1195380861881126</v>
      </c>
      <c r="Z696" t="str">
        <f t="shared" si="2058"/>
        <v>BIO_SR_LRG_C   →   NO_STRG   →   H2_T&amp;D_P   →   H2_CCGT_PWR</v>
      </c>
      <c r="AA696" t="str">
        <f t="shared" si="2059"/>
        <v>Grid electricity</v>
      </c>
      <c r="AB696" t="str">
        <f t="shared" si="2060"/>
        <v>Levelized cost</v>
      </c>
      <c r="AC696">
        <f t="shared" ca="1" si="2061"/>
        <v>0.1195380861881126</v>
      </c>
      <c r="AD696">
        <v>637</v>
      </c>
      <c r="AE696" t="str">
        <f>IF(AND(ISNUMBER(SEARCH(O696,4)),ISNUMBER(SEARCH('(4) FCH pathway assessment'!$B$16,AB696)),ISNUMBER(SEARCH('(4) FCH pathway assessment'!$B$10,AA696))),AD696,"")</f>
        <v/>
      </c>
      <c r="AF696" t="str">
        <f t="shared" si="1873"/>
        <v/>
      </c>
      <c r="AG696" t="str">
        <f>VLOOKUP(C696,Assumptions!$B$116:$C$162,2,FALSE)</f>
        <v>BIO_SR_LRG_C</v>
      </c>
      <c r="AH696" t="str">
        <f>VLOOKUP(D696,Assumptions!$B$116:$C$162,2,FALSE)</f>
        <v>NO_STRG</v>
      </c>
      <c r="AI696" t="str">
        <f>VLOOKUP(E696,Assumptions!$B$116:$C$162,2,FALSE)</f>
        <v>H2_T&amp;D_P</v>
      </c>
      <c r="AJ696" t="str">
        <f>VLOOKUP(F696,Assumptions!$B$116:$C$162,2,FALSE)</f>
        <v>H2_CCGT_PWR</v>
      </c>
    </row>
    <row r="697" spans="2:36" x14ac:dyDescent="0.25">
      <c r="B697" t="s">
        <v>112</v>
      </c>
      <c r="C697" t="s">
        <v>49</v>
      </c>
      <c r="D697" t="s">
        <v>62</v>
      </c>
      <c r="E697" t="s">
        <v>157</v>
      </c>
      <c r="F697" t="s">
        <v>163</v>
      </c>
      <c r="G697" t="s">
        <v>114</v>
      </c>
      <c r="H697" t="s">
        <v>433</v>
      </c>
      <c r="I697" t="s">
        <v>32</v>
      </c>
      <c r="J697" t="s">
        <v>72</v>
      </c>
      <c r="K697">
        <f t="shared" si="2062"/>
        <v>1</v>
      </c>
      <c r="L697">
        <f t="shared" si="2063"/>
        <v>0</v>
      </c>
      <c r="M697">
        <f t="shared" si="2064"/>
        <v>0</v>
      </c>
      <c r="N697">
        <f t="shared" si="2065"/>
        <v>0</v>
      </c>
      <c r="O697">
        <f t="shared" si="2057"/>
        <v>1</v>
      </c>
      <c r="P697" t="str">
        <f t="shared" si="2066"/>
        <v>Large centralized electrolysis-Levelized cost</v>
      </c>
      <c r="Q697" t="str">
        <f t="shared" si="2067"/>
        <v>Underground storage-Levelized cost</v>
      </c>
      <c r="R697" t="str">
        <f t="shared" si="2068"/>
        <v>Blending in natural gas pipeline-Levelized cost</v>
      </c>
      <c r="S697" t="str">
        <f t="shared" si="2069"/>
        <v>Hydrogen turbine (CC)-Levelized cost</v>
      </c>
      <c r="T697">
        <f ca="1">IF(timePeriod="2020-30",(VLOOKUP($P697,'TA database'!$I$8:$J$79,2,FALSE)/VLOOKUP($D697,'Merit calculation'!$B$48:$I$52,5,FALSE)/VLOOKUP($E697,'Merit calculation'!$B$67:$I$73,5,FALSE)/VLOOKUP($F697,'Merit calculation'!$B$90:$I$103,5,FALSE)/energyContentH2),(VLOOKUP($P697,'TA database'!$I$8:$J$79,2,FALSE)/VLOOKUP($D697,'Merit calculation'!$B$48:$I$52,7,FALSE)/VLOOKUP($E697,'Merit calculation'!$B$67:$I$73,7,FALSE)/VLOOKUP($F697,'Merit calculation'!$B$90:$I$103,7,FALSE)/energyContentH2))</f>
        <v>4.970874763271587E-2</v>
      </c>
      <c r="U697">
        <f ca="1">IF(timePeriod="2020-30",(VLOOKUP($Q697,'TA database'!$I$86:$J$105,2,FALSE)/VLOOKUP($E697,'Merit calculation'!$B$67:$I$73,5,FALSE)/VLOOKUP($F697,'Merit calculation'!$B$90:$I$104,5,FALSE)/energyContentH2),VLOOKUP($Q697,'TA database'!$I$86:$J$105,2,FALSE)/VLOOKUP($E697,'Merit calculation'!$B$67:$I$73,7,FALSE)/VLOOKUP($F697,'Merit calculation'!$B$90:$I$104,7,FALSE)/energyContentH2)</f>
        <v>3.2848303323188466E-4</v>
      </c>
      <c r="V697">
        <f ca="1">IF(timePeriod="2020-30",(VLOOKUP($R697,'TA database'!$I$112:$J$139,2,FALSE)/VLOOKUP($F697,'Merit calculation'!$B$90:$I$104,5,FALSE)/energyContentH2),(VLOOKUP($R697,'TA database'!$I$112:$J$139,2,FALSE)/VLOOKUP($F697,'Merit calculation'!$B$90:$I$104,7,FALSE)/energyContentH2))</f>
        <v>4.7262844150234304E-3</v>
      </c>
      <c r="W697">
        <f>IFERROR(VLOOKUP($S697,'TA database'!$I$146:$J$193,2,FALSE),0)</f>
        <v>0</v>
      </c>
      <c r="X697">
        <f ca="1">IFERROR(VLOOKUP($S697,'TA database'!$I$200:$J$271,2,FALSE),0)</f>
        <v>4.7965352483301787E-3</v>
      </c>
      <c r="Y697">
        <f t="shared" ca="1" si="2056"/>
        <v>0.20194518953982646</v>
      </c>
      <c r="Z697" t="str">
        <f t="shared" si="2058"/>
        <v>ELCTRLYZ_LRG_C   →   C_UNDRGRND_STRG   →   H2_BLND_NG_P   →   H2_CCGT_PWR</v>
      </c>
      <c r="AA697" t="str">
        <f t="shared" si="2059"/>
        <v>Grid electricity</v>
      </c>
      <c r="AB697" t="str">
        <f t="shared" si="2060"/>
        <v>Levelized cost</v>
      </c>
      <c r="AC697">
        <f t="shared" ca="1" si="2061"/>
        <v>0.20194518953982646</v>
      </c>
      <c r="AD697">
        <v>638</v>
      </c>
      <c r="AE697" t="str">
        <f>IF(AND(ISNUMBER(SEARCH(O697,4)),ISNUMBER(SEARCH('(4) FCH pathway assessment'!$B$16,AB697)),ISNUMBER(SEARCH('(4) FCH pathway assessment'!$B$10,AA697))),AD697,"")</f>
        <v/>
      </c>
      <c r="AF697" t="str">
        <f t="shared" si="1873"/>
        <v/>
      </c>
      <c r="AG697" t="str">
        <f>VLOOKUP(C697,Assumptions!$B$116:$C$162,2,FALSE)</f>
        <v>ELCTRLYZ_LRG_C</v>
      </c>
      <c r="AH697" t="str">
        <f>VLOOKUP(D697,Assumptions!$B$116:$C$162,2,FALSE)</f>
        <v>C_UNDRGRND_STRG</v>
      </c>
      <c r="AI697" t="str">
        <f>VLOOKUP(E697,Assumptions!$B$116:$C$162,2,FALSE)</f>
        <v>H2_BLND_NG_P</v>
      </c>
      <c r="AJ697" t="str">
        <f>VLOOKUP(F697,Assumptions!$B$116:$C$162,2,FALSE)</f>
        <v>H2_CCGT_PWR</v>
      </c>
    </row>
    <row r="698" spans="2:36" x14ac:dyDescent="0.25">
      <c r="B698" t="s">
        <v>112</v>
      </c>
      <c r="C698" t="s">
        <v>49</v>
      </c>
      <c r="D698" t="s">
        <v>62</v>
      </c>
      <c r="E698" t="s">
        <v>122</v>
      </c>
      <c r="F698" t="s">
        <v>163</v>
      </c>
      <c r="G698" t="s">
        <v>114</v>
      </c>
      <c r="H698" t="s">
        <v>433</v>
      </c>
      <c r="I698" t="s">
        <v>32</v>
      </c>
      <c r="J698" t="s">
        <v>72</v>
      </c>
      <c r="K698">
        <f t="shared" si="2062"/>
        <v>1</v>
      </c>
      <c r="L698">
        <f t="shared" si="2063"/>
        <v>0</v>
      </c>
      <c r="M698">
        <f t="shared" si="2064"/>
        <v>1</v>
      </c>
      <c r="N698">
        <f t="shared" si="2065"/>
        <v>0</v>
      </c>
      <c r="O698">
        <f t="shared" si="2057"/>
        <v>2</v>
      </c>
      <c r="P698" t="str">
        <f t="shared" si="2066"/>
        <v>Large centralized electrolysis-Levelized cost</v>
      </c>
      <c r="Q698" t="str">
        <f t="shared" si="2067"/>
        <v>Underground storage-Levelized cost</v>
      </c>
      <c r="R698" t="str">
        <f t="shared" si="2068"/>
        <v>Hydrogen transmission &amp; distribution pipeline-Levelized cost</v>
      </c>
      <c r="S698" t="str">
        <f t="shared" si="2069"/>
        <v>Hydrogen turbine (CC)-Levelized cost</v>
      </c>
      <c r="T698">
        <f ca="1">IF(timePeriod="2020-30",(VLOOKUP($P698,'TA database'!$I$8:$J$79,2,FALSE)/VLOOKUP($D698,'Merit calculation'!$B$48:$I$52,5,FALSE)/VLOOKUP($E698,'Merit calculation'!$B$67:$I$73,5,FALSE)/VLOOKUP($F698,'Merit calculation'!$B$90:$I$103,5,FALSE)/energyContentH2),(VLOOKUP($P698,'TA database'!$I$8:$J$79,2,FALSE)/VLOOKUP($D698,'Merit calculation'!$B$48:$I$52,7,FALSE)/VLOOKUP($E698,'Merit calculation'!$B$67:$I$73,7,FALSE)/VLOOKUP($F698,'Merit calculation'!$B$90:$I$103,7,FALSE)/energyContentH2))</f>
        <v>4.970874763271587E-2</v>
      </c>
      <c r="U698">
        <f ca="1">IF(timePeriod="2020-30",(VLOOKUP($Q698,'TA database'!$I$86:$J$105,2,FALSE)/VLOOKUP($E698,'Merit calculation'!$B$67:$I$73,5,FALSE)/VLOOKUP($F698,'Merit calculation'!$B$90:$I$104,5,FALSE)/energyContentH2),VLOOKUP($Q698,'TA database'!$I$86:$J$105,2,FALSE)/VLOOKUP($E698,'Merit calculation'!$B$67:$I$73,7,FALSE)/VLOOKUP($F698,'Merit calculation'!$B$90:$I$104,7,FALSE)/energyContentH2)</f>
        <v>3.2848303323188466E-4</v>
      </c>
      <c r="V698">
        <f ca="1">IF(timePeriod="2020-30",(VLOOKUP($R698,'TA database'!$I$112:$J$139,2,FALSE)/VLOOKUP($F698,'Merit calculation'!$B$90:$I$104,5,FALSE)/energyContentH2),(VLOOKUP($R698,'TA database'!$I$112:$J$139,2,FALSE)/VLOOKUP($F698,'Merit calculation'!$B$90:$I$104,7,FALSE)/energyContentH2))</f>
        <v>8.7934909049694424E-3</v>
      </c>
      <c r="W698">
        <f>IFERROR(VLOOKUP($S698,'TA database'!$I$146:$J$193,2,FALSE),0)</f>
        <v>0</v>
      </c>
      <c r="X698">
        <f ca="1">IFERROR(VLOOKUP($S698,'TA database'!$I$200:$J$271,2,FALSE),0)</f>
        <v>4.7965352483301787E-3</v>
      </c>
      <c r="Y698">
        <f t="shared" ca="1" si="2056"/>
        <v>0.2165871329036321</v>
      </c>
      <c r="Z698" t="str">
        <f t="shared" si="2058"/>
        <v>ELCTRLYZ_LRG_C   →   C_UNDRGRND_STRG   →   H2_T&amp;D_P   →   H2_CCGT_PWR</v>
      </c>
      <c r="AA698" t="str">
        <f t="shared" si="2059"/>
        <v>Grid electricity</v>
      </c>
      <c r="AB698" t="str">
        <f t="shared" si="2060"/>
        <v>Levelized cost</v>
      </c>
      <c r="AC698">
        <f t="shared" ca="1" si="2061"/>
        <v>0.2165871329036321</v>
      </c>
      <c r="AD698">
        <v>639</v>
      </c>
      <c r="AE698" t="str">
        <f>IF(AND(ISNUMBER(SEARCH(O698,4)),ISNUMBER(SEARCH('(4) FCH pathway assessment'!$B$16,AB698)),ISNUMBER(SEARCH('(4) FCH pathway assessment'!$B$10,AA698))),AD698,"")</f>
        <v/>
      </c>
      <c r="AF698" t="str">
        <f t="shared" si="1873"/>
        <v/>
      </c>
      <c r="AG698" t="str">
        <f>VLOOKUP(C698,Assumptions!$B$116:$C$162,2,FALSE)</f>
        <v>ELCTRLYZ_LRG_C</v>
      </c>
      <c r="AH698" t="str">
        <f>VLOOKUP(D698,Assumptions!$B$116:$C$162,2,FALSE)</f>
        <v>C_UNDRGRND_STRG</v>
      </c>
      <c r="AI698" t="str">
        <f>VLOOKUP(E698,Assumptions!$B$116:$C$162,2,FALSE)</f>
        <v>H2_T&amp;D_P</v>
      </c>
      <c r="AJ698" t="str">
        <f>VLOOKUP(F698,Assumptions!$B$116:$C$162,2,FALSE)</f>
        <v>H2_CCGT_PWR</v>
      </c>
    </row>
    <row r="699" spans="2:36" x14ac:dyDescent="0.25">
      <c r="B699" t="s">
        <v>112</v>
      </c>
      <c r="C699" t="s">
        <v>49</v>
      </c>
      <c r="D699" t="s">
        <v>62</v>
      </c>
      <c r="E699" t="s">
        <v>116</v>
      </c>
      <c r="F699" t="s">
        <v>163</v>
      </c>
      <c r="G699" t="s">
        <v>114</v>
      </c>
      <c r="H699" t="s">
        <v>433</v>
      </c>
      <c r="I699" t="s">
        <v>32</v>
      </c>
      <c r="J699" t="s">
        <v>72</v>
      </c>
      <c r="K699">
        <f t="shared" si="2062"/>
        <v>1</v>
      </c>
      <c r="L699">
        <f t="shared" si="2063"/>
        <v>0</v>
      </c>
      <c r="M699">
        <f t="shared" si="2064"/>
        <v>1</v>
      </c>
      <c r="N699">
        <f t="shared" si="2065"/>
        <v>0</v>
      </c>
      <c r="O699">
        <f t="shared" si="2057"/>
        <v>2</v>
      </c>
      <c r="P699" t="str">
        <f t="shared" si="2066"/>
        <v>Large centralized electrolysis-Levelized cost</v>
      </c>
      <c r="Q699" t="str">
        <f t="shared" si="2067"/>
        <v>Underground storage-Levelized cost</v>
      </c>
      <c r="R699" t="str">
        <f t="shared" si="2068"/>
        <v>Liquid hydrogen truck-Levelized cost</v>
      </c>
      <c r="S699" t="str">
        <f t="shared" si="2069"/>
        <v>Hydrogen turbine (CC)-Levelized cost</v>
      </c>
      <c r="T699">
        <f ca="1">IF(timePeriod="2020-30",(VLOOKUP($P699,'TA database'!$I$8:$J$79,2,FALSE)/VLOOKUP($D699,'Merit calculation'!$B$48:$I$52,5,FALSE)/VLOOKUP($E699,'Merit calculation'!$B$67:$I$73,5,FALSE)/VLOOKUP($F699,'Merit calculation'!$B$90:$I$103,5,FALSE)/energyContentH2),(VLOOKUP($P699,'TA database'!$I$8:$J$79,2,FALSE)/VLOOKUP($D699,'Merit calculation'!$B$48:$I$52,7,FALSE)/VLOOKUP($E699,'Merit calculation'!$B$67:$I$73,7,FALSE)/VLOOKUP($F699,'Merit calculation'!$B$90:$I$103,7,FALSE)/energyContentH2))</f>
        <v>5.7423174044794308E-2</v>
      </c>
      <c r="U699">
        <f ca="1">IF(timePeriod="2020-30",(VLOOKUP($Q699,'TA database'!$I$86:$J$105,2,FALSE)/VLOOKUP($E699,'Merit calculation'!$B$67:$I$73,5,FALSE)/VLOOKUP($F699,'Merit calculation'!$B$90:$I$104,5,FALSE)/energyContentH2),VLOOKUP($Q699,'TA database'!$I$86:$J$105,2,FALSE)/VLOOKUP($E699,'Merit calculation'!$B$67:$I$73,7,FALSE)/VLOOKUP($F699,'Merit calculation'!$B$90:$I$104,7,FALSE)/energyContentH2)</f>
        <v>3.7946114690731134E-4</v>
      </c>
      <c r="V699">
        <f ca="1">IF(timePeriod="2020-30",(VLOOKUP($R699,'TA database'!$I$112:$J$139,2,FALSE)/VLOOKUP($F699,'Merit calculation'!$B$90:$I$104,5,FALSE)/energyContentH2),(VLOOKUP($R699,'TA database'!$I$112:$J$139,2,FALSE)/VLOOKUP($F699,'Merit calculation'!$B$90:$I$104,7,FALSE)/energyContentH2))</f>
        <v>5.8189074534988582E-2</v>
      </c>
      <c r="W699">
        <f>IFERROR(VLOOKUP($S699,'TA database'!$I$146:$J$193,2,FALSE),0)</f>
        <v>0</v>
      </c>
      <c r="X699">
        <f ca="1">IFERROR(VLOOKUP($S699,'TA database'!$I$200:$J$271,2,FALSE),0)</f>
        <v>4.7965352483301787E-3</v>
      </c>
      <c r="Y699">
        <f t="shared" ca="1" si="2056"/>
        <v>0.42236669026441492</v>
      </c>
      <c r="Z699" t="str">
        <f t="shared" si="2058"/>
        <v>ELCTRLYZ_LRG_C   →   C_UNDRGRND_STRG   →   LQ_TRUCK   →   H2_CCGT_PWR</v>
      </c>
      <c r="AA699" t="str">
        <f t="shared" si="2059"/>
        <v>Grid electricity</v>
      </c>
      <c r="AB699" t="str">
        <f t="shared" si="2060"/>
        <v>Levelized cost</v>
      </c>
      <c r="AC699">
        <f t="shared" ca="1" si="2061"/>
        <v>0.42236669026441492</v>
      </c>
      <c r="AD699">
        <v>640</v>
      </c>
      <c r="AE699" t="str">
        <f>IF(AND(ISNUMBER(SEARCH(O699,4)),ISNUMBER(SEARCH('(4) FCH pathway assessment'!$B$16,AB699)),ISNUMBER(SEARCH('(4) FCH pathway assessment'!$B$10,AA699))),AD699,"")</f>
        <v/>
      </c>
      <c r="AF699" t="str">
        <f t="shared" si="1873"/>
        <v/>
      </c>
      <c r="AG699" t="str">
        <f>VLOOKUP(C699,Assumptions!$B$116:$C$162,2,FALSE)</f>
        <v>ELCTRLYZ_LRG_C</v>
      </c>
      <c r="AH699" t="str">
        <f>VLOOKUP(D699,Assumptions!$B$116:$C$162,2,FALSE)</f>
        <v>C_UNDRGRND_STRG</v>
      </c>
      <c r="AI699" t="str">
        <f>VLOOKUP(E699,Assumptions!$B$116:$C$162,2,FALSE)</f>
        <v>LQ_TRUCK</v>
      </c>
      <c r="AJ699" t="str">
        <f>VLOOKUP(F699,Assumptions!$B$116:$C$162,2,FALSE)</f>
        <v>H2_CCGT_PWR</v>
      </c>
    </row>
    <row r="700" spans="2:36" x14ac:dyDescent="0.25">
      <c r="B700" t="s">
        <v>112</v>
      </c>
      <c r="C700" t="s">
        <v>49</v>
      </c>
      <c r="D700" t="s">
        <v>62</v>
      </c>
      <c r="E700" t="s">
        <v>66</v>
      </c>
      <c r="F700" t="s">
        <v>163</v>
      </c>
      <c r="G700" t="s">
        <v>114</v>
      </c>
      <c r="H700" t="s">
        <v>433</v>
      </c>
      <c r="I700" t="s">
        <v>32</v>
      </c>
      <c r="J700" t="s">
        <v>72</v>
      </c>
      <c r="K700">
        <f t="shared" si="2062"/>
        <v>1</v>
      </c>
      <c r="L700">
        <f t="shared" si="2063"/>
        <v>0</v>
      </c>
      <c r="M700">
        <f t="shared" si="2064"/>
        <v>1</v>
      </c>
      <c r="N700">
        <f t="shared" si="2065"/>
        <v>0</v>
      </c>
      <c r="O700">
        <f t="shared" si="2057"/>
        <v>2</v>
      </c>
      <c r="P700" t="str">
        <f t="shared" si="2066"/>
        <v>Large centralized electrolysis-Levelized cost</v>
      </c>
      <c r="Q700" t="str">
        <f t="shared" si="2067"/>
        <v>Underground storage-Levelized cost</v>
      </c>
      <c r="R700" t="str">
        <f t="shared" si="2068"/>
        <v>Onsite-Levelized cost</v>
      </c>
      <c r="S700" t="str">
        <f t="shared" si="2069"/>
        <v>Hydrogen turbine (CC)-Levelized cost</v>
      </c>
      <c r="T700">
        <f ca="1">IF(timePeriod="2020-30",(VLOOKUP($P700,'TA database'!$I$8:$J$79,2,FALSE)/VLOOKUP($D700,'Merit calculation'!$B$48:$I$52,5,FALSE)/VLOOKUP($E700,'Merit calculation'!$B$67:$I$73,5,FALSE)/VLOOKUP($F700,'Merit calculation'!$B$90:$I$103,5,FALSE)/energyContentH2),(VLOOKUP($P700,'TA database'!$I$8:$J$79,2,FALSE)/VLOOKUP($D700,'Merit calculation'!$B$48:$I$52,7,FALSE)/VLOOKUP($E700,'Merit calculation'!$B$67:$I$73,7,FALSE)/VLOOKUP($F700,'Merit calculation'!$B$90:$I$103,7,FALSE)/energyContentH2))</f>
        <v>4.9211660156388712E-2</v>
      </c>
      <c r="U700">
        <f ca="1">IF(timePeriod="2020-30",(VLOOKUP($Q700,'TA database'!$I$86:$J$105,2,FALSE)/VLOOKUP($E700,'Merit calculation'!$B$67:$I$73,5,FALSE)/VLOOKUP($F700,'Merit calculation'!$B$90:$I$104,5,FALSE)/energyContentH2),VLOOKUP($Q700,'TA database'!$I$86:$J$105,2,FALSE)/VLOOKUP($E700,'Merit calculation'!$B$67:$I$73,7,FALSE)/VLOOKUP($F700,'Merit calculation'!$B$90:$I$104,7,FALSE)/energyContentH2)</f>
        <v>3.2519820289956581E-4</v>
      </c>
      <c r="V700">
        <f ca="1">IF(timePeriod="2020-30",(VLOOKUP($R700,'TA database'!$I$112:$J$139,2,FALSE)/VLOOKUP($F700,'Merit calculation'!$B$90:$I$104,5,FALSE)/energyContentH2),(VLOOKUP($R700,'TA database'!$I$112:$J$139,2,FALSE)/VLOOKUP($F700,'Merit calculation'!$B$90:$I$104,7,FALSE)/energyContentH2))</f>
        <v>0</v>
      </c>
      <c r="W700">
        <f>IFERROR(VLOOKUP($S700,'TA database'!$I$146:$J$193,2,FALSE),0)</f>
        <v>0</v>
      </c>
      <c r="X700">
        <f ca="1">IFERROR(VLOOKUP($S700,'TA database'!$I$200:$J$271,2,FALSE),0)</f>
        <v>4.7965352483301787E-3</v>
      </c>
      <c r="Y700">
        <f t="shared" ca="1" si="2056"/>
        <v>0.18312922534176798</v>
      </c>
      <c r="Z700" t="str">
        <f t="shared" si="2058"/>
        <v>ELCTRLYZ_LRG_C   →   C_UNDRGRND_STRG   →   ONSITE_USE   →   H2_CCGT_PWR</v>
      </c>
      <c r="AA700" t="str">
        <f t="shared" si="2059"/>
        <v>Grid electricity</v>
      </c>
      <c r="AB700" t="str">
        <f t="shared" si="2060"/>
        <v>Levelized cost</v>
      </c>
      <c r="AC700">
        <f t="shared" ca="1" si="2061"/>
        <v>0.18312922534176798</v>
      </c>
      <c r="AD700">
        <v>641</v>
      </c>
      <c r="AE700" t="str">
        <f>IF(AND(ISNUMBER(SEARCH(O700,4)),ISNUMBER(SEARCH('(4) FCH pathway assessment'!$B$16,AB700)),ISNUMBER(SEARCH('(4) FCH pathway assessment'!$B$10,AA700))),AD700,"")</f>
        <v/>
      </c>
      <c r="AF700" t="str">
        <f t="shared" ref="AF700:AF763" si="2070">IFERROR(SMALL($AE$60:$AE$1991,AD700),"")</f>
        <v/>
      </c>
      <c r="AG700" t="str">
        <f>VLOOKUP(C700,Assumptions!$B$116:$C$162,2,FALSE)</f>
        <v>ELCTRLYZ_LRG_C</v>
      </c>
      <c r="AH700" t="str">
        <f>VLOOKUP(D700,Assumptions!$B$116:$C$162,2,FALSE)</f>
        <v>C_UNDRGRND_STRG</v>
      </c>
      <c r="AI700" t="str">
        <f>VLOOKUP(E700,Assumptions!$B$116:$C$162,2,FALSE)</f>
        <v>ONSITE_USE</v>
      </c>
      <c r="AJ700" t="str">
        <f>VLOOKUP(F700,Assumptions!$B$116:$C$162,2,FALSE)</f>
        <v>H2_CCGT_PWR</v>
      </c>
    </row>
    <row r="701" spans="2:36" x14ac:dyDescent="0.25">
      <c r="B701" t="s">
        <v>112</v>
      </c>
      <c r="C701" t="s">
        <v>49</v>
      </c>
      <c r="D701" t="s">
        <v>155</v>
      </c>
      <c r="E701" t="s">
        <v>157</v>
      </c>
      <c r="F701" t="s">
        <v>163</v>
      </c>
      <c r="G701" t="s">
        <v>114</v>
      </c>
      <c r="H701" t="s">
        <v>433</v>
      </c>
      <c r="I701" t="s">
        <v>32</v>
      </c>
      <c r="J701" t="s">
        <v>72</v>
      </c>
      <c r="K701">
        <f t="shared" si="2062"/>
        <v>1</v>
      </c>
      <c r="L701">
        <f t="shared" si="2063"/>
        <v>1</v>
      </c>
      <c r="M701">
        <f t="shared" si="2064"/>
        <v>0</v>
      </c>
      <c r="N701">
        <f t="shared" si="2065"/>
        <v>0</v>
      </c>
      <c r="O701">
        <f t="shared" si="2057"/>
        <v>2</v>
      </c>
      <c r="P701" t="str">
        <f t="shared" si="2066"/>
        <v>Large centralized electrolysis-Levelized cost</v>
      </c>
      <c r="Q701" t="str">
        <f t="shared" si="2067"/>
        <v>Central gas storage-Levelized cost</v>
      </c>
      <c r="R701" t="str">
        <f t="shared" si="2068"/>
        <v>Blending in natural gas pipeline-Levelized cost</v>
      </c>
      <c r="S701" t="str">
        <f t="shared" si="2069"/>
        <v>Hydrogen turbine (CC)-Levelized cost</v>
      </c>
      <c r="T701">
        <f ca="1">IF(timePeriod="2020-30",(VLOOKUP($P701,'TA database'!$I$8:$J$79,2,FALSE)/VLOOKUP($D701,'Merit calculation'!$B$48:$I$52,5,FALSE)/VLOOKUP($E701,'Merit calculation'!$B$67:$I$73,5,FALSE)/VLOOKUP($F701,'Merit calculation'!$B$90:$I$103,5,FALSE)/energyContentH2),(VLOOKUP($P701,'TA database'!$I$8:$J$79,2,FALSE)/VLOOKUP($D701,'Merit calculation'!$B$48:$I$52,7,FALSE)/VLOOKUP($E701,'Merit calculation'!$B$67:$I$73,7,FALSE)/VLOOKUP($F701,'Merit calculation'!$B$90:$I$103,7,FALSE)/energyContentH2))</f>
        <v>5.0215979751417054E-2</v>
      </c>
      <c r="U701">
        <f ca="1">IF(timePeriod="2020-30",(VLOOKUP($Q701,'TA database'!$I$86:$J$105,2,FALSE)/VLOOKUP($E701,'Merit calculation'!$B$67:$I$73,5,FALSE)/VLOOKUP($F701,'Merit calculation'!$B$90:$I$104,5,FALSE)/energyContentH2),VLOOKUP($Q701,'TA database'!$I$86:$J$105,2,FALSE)/VLOOKUP($E701,'Merit calculation'!$B$67:$I$73,7,FALSE)/VLOOKUP($F701,'Merit calculation'!$B$90:$I$104,7,FALSE)/energyContentH2)</f>
        <v>1.6492020056890072E-3</v>
      </c>
      <c r="V701">
        <f ca="1">IF(timePeriod="2020-30",(VLOOKUP($R701,'TA database'!$I$112:$J$139,2,FALSE)/VLOOKUP($F701,'Merit calculation'!$B$90:$I$104,5,FALSE)/energyContentH2),(VLOOKUP($R701,'TA database'!$I$112:$J$139,2,FALSE)/VLOOKUP($F701,'Merit calculation'!$B$90:$I$104,7,FALSE)/energyContentH2))</f>
        <v>4.7262844150234304E-3</v>
      </c>
      <c r="W701">
        <f>IFERROR(VLOOKUP($S701,'TA database'!$I$146:$J$193,2,FALSE),0)</f>
        <v>0</v>
      </c>
      <c r="X701">
        <f ca="1">IFERROR(VLOOKUP($S701,'TA database'!$I$200:$J$271,2,FALSE),0)</f>
        <v>4.7965352483301787E-3</v>
      </c>
      <c r="Y701">
        <f t="shared" ca="1" si="2056"/>
        <v>0.20852581346799634</v>
      </c>
      <c r="Z701" t="str">
        <f t="shared" si="2058"/>
        <v>ELCTRLYZ_LRG_C   →   C_GAS_STRG   →   H2_BLND_NG_P   →   H2_CCGT_PWR</v>
      </c>
      <c r="AA701" t="str">
        <f t="shared" si="2059"/>
        <v>Grid electricity</v>
      </c>
      <c r="AB701" t="str">
        <f t="shared" si="2060"/>
        <v>Levelized cost</v>
      </c>
      <c r="AC701">
        <f t="shared" ca="1" si="2061"/>
        <v>0.20852581346799634</v>
      </c>
      <c r="AD701">
        <v>642</v>
      </c>
      <c r="AE701" t="str">
        <f>IF(AND(ISNUMBER(SEARCH(O701,4)),ISNUMBER(SEARCH('(4) FCH pathway assessment'!$B$16,AB701)),ISNUMBER(SEARCH('(4) FCH pathway assessment'!$B$10,AA701))),AD701,"")</f>
        <v/>
      </c>
      <c r="AF701" t="str">
        <f t="shared" si="2070"/>
        <v/>
      </c>
      <c r="AG701" t="str">
        <f>VLOOKUP(C701,Assumptions!$B$116:$C$162,2,FALSE)</f>
        <v>ELCTRLYZ_LRG_C</v>
      </c>
      <c r="AH701" t="str">
        <f>VLOOKUP(D701,Assumptions!$B$116:$C$162,2,FALSE)</f>
        <v>C_GAS_STRG</v>
      </c>
      <c r="AI701" t="str">
        <f>VLOOKUP(E701,Assumptions!$B$116:$C$162,2,FALSE)</f>
        <v>H2_BLND_NG_P</v>
      </c>
      <c r="AJ701" t="str">
        <f>VLOOKUP(F701,Assumptions!$B$116:$C$162,2,FALSE)</f>
        <v>H2_CCGT_PWR</v>
      </c>
    </row>
    <row r="702" spans="2:36" x14ac:dyDescent="0.25">
      <c r="B702" t="s">
        <v>112</v>
      </c>
      <c r="C702" t="s">
        <v>49</v>
      </c>
      <c r="D702" t="s">
        <v>155</v>
      </c>
      <c r="E702" t="s">
        <v>122</v>
      </c>
      <c r="F702" t="s">
        <v>163</v>
      </c>
      <c r="G702" t="s">
        <v>114</v>
      </c>
      <c r="H702" t="s">
        <v>433</v>
      </c>
      <c r="I702" t="s">
        <v>32</v>
      </c>
      <c r="J702" t="s">
        <v>72</v>
      </c>
      <c r="K702">
        <f t="shared" si="2062"/>
        <v>1</v>
      </c>
      <c r="L702">
        <f t="shared" si="2063"/>
        <v>1</v>
      </c>
      <c r="M702">
        <f t="shared" si="2064"/>
        <v>1</v>
      </c>
      <c r="N702">
        <f t="shared" si="2065"/>
        <v>0</v>
      </c>
      <c r="O702">
        <f t="shared" si="2057"/>
        <v>3</v>
      </c>
      <c r="P702" t="str">
        <f t="shared" si="2066"/>
        <v>Large centralized electrolysis-Levelized cost</v>
      </c>
      <c r="Q702" t="str">
        <f t="shared" si="2067"/>
        <v>Central gas storage-Levelized cost</v>
      </c>
      <c r="R702" t="str">
        <f t="shared" si="2068"/>
        <v>Hydrogen transmission &amp; distribution pipeline-Levelized cost</v>
      </c>
      <c r="S702" t="str">
        <f t="shared" si="2069"/>
        <v>Hydrogen turbine (CC)-Levelized cost</v>
      </c>
      <c r="T702">
        <f ca="1">IF(timePeriod="2020-30",(VLOOKUP($P702,'TA database'!$I$8:$J$79,2,FALSE)/VLOOKUP($D702,'Merit calculation'!$B$48:$I$52,5,FALSE)/VLOOKUP($E702,'Merit calculation'!$B$67:$I$73,5,FALSE)/VLOOKUP($F702,'Merit calculation'!$B$90:$I$103,5,FALSE)/energyContentH2),(VLOOKUP($P702,'TA database'!$I$8:$J$79,2,FALSE)/VLOOKUP($D702,'Merit calculation'!$B$48:$I$52,7,FALSE)/VLOOKUP($E702,'Merit calculation'!$B$67:$I$73,7,FALSE)/VLOOKUP($F702,'Merit calculation'!$B$90:$I$103,7,FALSE)/energyContentH2))</f>
        <v>5.0215979751417054E-2</v>
      </c>
      <c r="U702">
        <f ca="1">IF(timePeriod="2020-30",(VLOOKUP($Q702,'TA database'!$I$86:$J$105,2,FALSE)/VLOOKUP($E702,'Merit calculation'!$B$67:$I$73,5,FALSE)/VLOOKUP($F702,'Merit calculation'!$B$90:$I$104,5,FALSE)/energyContentH2),VLOOKUP($Q702,'TA database'!$I$86:$J$105,2,FALSE)/VLOOKUP($E702,'Merit calculation'!$B$67:$I$73,7,FALSE)/VLOOKUP($F702,'Merit calculation'!$B$90:$I$104,7,FALSE)/energyContentH2)</f>
        <v>1.6492020056890072E-3</v>
      </c>
      <c r="V702">
        <f ca="1">IF(timePeriod="2020-30",(VLOOKUP($R702,'TA database'!$I$112:$J$139,2,FALSE)/VLOOKUP($F702,'Merit calculation'!$B$90:$I$104,5,FALSE)/energyContentH2),(VLOOKUP($R702,'TA database'!$I$112:$J$139,2,FALSE)/VLOOKUP($F702,'Merit calculation'!$B$90:$I$104,7,FALSE)/energyContentH2))</f>
        <v>8.7934909049694424E-3</v>
      </c>
      <c r="W702">
        <f>IFERROR(VLOOKUP($S702,'TA database'!$I$146:$J$193,2,FALSE),0)</f>
        <v>0</v>
      </c>
      <c r="X702">
        <f ca="1">IFERROR(VLOOKUP($S702,'TA database'!$I$200:$J$271,2,FALSE),0)</f>
        <v>4.7965352483301787E-3</v>
      </c>
      <c r="Y702">
        <f t="shared" ref="Y702:Y708" ca="1" si="2071">IF($W702=0,T702*3.6+U702*3.6+V702*3.6+X702,T702+U702+V702+W702)</f>
        <v>0.22316775683180198</v>
      </c>
      <c r="Z702" t="str">
        <f t="shared" si="2058"/>
        <v>ELCTRLYZ_LRG_C   →   C_GAS_STRG   →   H2_T&amp;D_P   →   H2_CCGT_PWR</v>
      </c>
      <c r="AA702" t="str">
        <f t="shared" si="2059"/>
        <v>Grid electricity</v>
      </c>
      <c r="AB702" t="str">
        <f t="shared" si="2060"/>
        <v>Levelized cost</v>
      </c>
      <c r="AC702">
        <f t="shared" ca="1" si="2061"/>
        <v>0.22316775683180198</v>
      </c>
      <c r="AD702">
        <v>643</v>
      </c>
      <c r="AE702" t="str">
        <f>IF(AND(ISNUMBER(SEARCH(O702,4)),ISNUMBER(SEARCH('(4) FCH pathway assessment'!$B$16,AB702)),ISNUMBER(SEARCH('(4) FCH pathway assessment'!$B$10,AA702))),AD702,"")</f>
        <v/>
      </c>
      <c r="AF702" t="str">
        <f t="shared" si="2070"/>
        <v/>
      </c>
      <c r="AG702" t="str">
        <f>VLOOKUP(C702,Assumptions!$B$116:$C$162,2,FALSE)</f>
        <v>ELCTRLYZ_LRG_C</v>
      </c>
      <c r="AH702" t="str">
        <f>VLOOKUP(D702,Assumptions!$B$116:$C$162,2,FALSE)</f>
        <v>C_GAS_STRG</v>
      </c>
      <c r="AI702" t="str">
        <f>VLOOKUP(E702,Assumptions!$B$116:$C$162,2,FALSE)</f>
        <v>H2_T&amp;D_P</v>
      </c>
      <c r="AJ702" t="str">
        <f>VLOOKUP(F702,Assumptions!$B$116:$C$162,2,FALSE)</f>
        <v>H2_CCGT_PWR</v>
      </c>
    </row>
    <row r="703" spans="2:36" x14ac:dyDescent="0.25">
      <c r="B703" t="s">
        <v>112</v>
      </c>
      <c r="C703" t="s">
        <v>49</v>
      </c>
      <c r="D703" t="s">
        <v>155</v>
      </c>
      <c r="E703" t="s">
        <v>116</v>
      </c>
      <c r="F703" t="s">
        <v>163</v>
      </c>
      <c r="G703" t="s">
        <v>114</v>
      </c>
      <c r="H703" t="s">
        <v>433</v>
      </c>
      <c r="I703" t="s">
        <v>32</v>
      </c>
      <c r="J703" t="s">
        <v>72</v>
      </c>
      <c r="K703">
        <f t="shared" si="2062"/>
        <v>1</v>
      </c>
      <c r="L703">
        <f t="shared" si="2063"/>
        <v>1</v>
      </c>
      <c r="M703">
        <f t="shared" si="2064"/>
        <v>1</v>
      </c>
      <c r="N703">
        <f t="shared" si="2065"/>
        <v>0</v>
      </c>
      <c r="O703">
        <f t="shared" si="2057"/>
        <v>3</v>
      </c>
      <c r="P703" t="str">
        <f t="shared" si="2066"/>
        <v>Large centralized electrolysis-Levelized cost</v>
      </c>
      <c r="Q703" t="str">
        <f t="shared" si="2067"/>
        <v>Central gas storage-Levelized cost</v>
      </c>
      <c r="R703" t="str">
        <f t="shared" si="2068"/>
        <v>Liquid hydrogen truck-Levelized cost</v>
      </c>
      <c r="S703" t="str">
        <f t="shared" si="2069"/>
        <v>Hydrogen turbine (CC)-Levelized cost</v>
      </c>
      <c r="T703">
        <f ca="1">IF(timePeriod="2020-30",(VLOOKUP($P703,'TA database'!$I$8:$J$79,2,FALSE)/VLOOKUP($D703,'Merit calculation'!$B$48:$I$52,5,FALSE)/VLOOKUP($E703,'Merit calculation'!$B$67:$I$73,5,FALSE)/VLOOKUP($F703,'Merit calculation'!$B$90:$I$103,5,FALSE)/energyContentH2),(VLOOKUP($P703,'TA database'!$I$8:$J$79,2,FALSE)/VLOOKUP($D703,'Merit calculation'!$B$48:$I$52,7,FALSE)/VLOOKUP($E703,'Merit calculation'!$B$67:$I$73,7,FALSE)/VLOOKUP($F703,'Merit calculation'!$B$90:$I$103,7,FALSE)/energyContentH2))</f>
        <v>5.8009124800353432E-2</v>
      </c>
      <c r="U703">
        <f ca="1">IF(timePeriod="2020-30",(VLOOKUP($Q703,'TA database'!$I$86:$J$105,2,FALSE)/VLOOKUP($E703,'Merit calculation'!$B$67:$I$73,5,FALSE)/VLOOKUP($F703,'Merit calculation'!$B$90:$I$104,5,FALSE)/energyContentH2),VLOOKUP($Q703,'TA database'!$I$86:$J$105,2,FALSE)/VLOOKUP($E703,'Merit calculation'!$B$67:$I$73,7,FALSE)/VLOOKUP($F703,'Merit calculation'!$B$90:$I$104,7,FALSE)/energyContentH2)</f>
        <v>1.9051458408776167E-3</v>
      </c>
      <c r="V703">
        <f ca="1">IF(timePeriod="2020-30",(VLOOKUP($R703,'TA database'!$I$112:$J$139,2,FALSE)/VLOOKUP($F703,'Merit calculation'!$B$90:$I$104,5,FALSE)/energyContentH2),(VLOOKUP($R703,'TA database'!$I$112:$J$139,2,FALSE)/VLOOKUP($F703,'Merit calculation'!$B$90:$I$104,7,FALSE)/energyContentH2))</f>
        <v>5.8189074534988582E-2</v>
      </c>
      <c r="W703">
        <f>IFERROR(VLOOKUP($S703,'TA database'!$I$146:$J$193,2,FALSE),0)</f>
        <v>0</v>
      </c>
      <c r="X703">
        <f ca="1">IFERROR(VLOOKUP($S703,'TA database'!$I$200:$J$271,2,FALSE),0)</f>
        <v>4.7965352483301787E-3</v>
      </c>
      <c r="Y703">
        <f t="shared" ca="1" si="2071"/>
        <v>0.42996857788272086</v>
      </c>
      <c r="Z703" t="str">
        <f t="shared" si="2058"/>
        <v>ELCTRLYZ_LRG_C   →   C_GAS_STRG   →   LQ_TRUCK   →   H2_CCGT_PWR</v>
      </c>
      <c r="AA703" t="str">
        <f t="shared" si="2059"/>
        <v>Grid electricity</v>
      </c>
      <c r="AB703" t="str">
        <f t="shared" si="2060"/>
        <v>Levelized cost</v>
      </c>
      <c r="AC703">
        <f t="shared" ca="1" si="2061"/>
        <v>0.42996857788272086</v>
      </c>
      <c r="AD703">
        <v>644</v>
      </c>
      <c r="AE703" t="str">
        <f>IF(AND(ISNUMBER(SEARCH(O703,4)),ISNUMBER(SEARCH('(4) FCH pathway assessment'!$B$16,AB703)),ISNUMBER(SEARCH('(4) FCH pathway assessment'!$B$10,AA703))),AD703,"")</f>
        <v/>
      </c>
      <c r="AF703" t="str">
        <f t="shared" si="2070"/>
        <v/>
      </c>
      <c r="AG703" t="str">
        <f>VLOOKUP(C703,Assumptions!$B$116:$C$162,2,FALSE)</f>
        <v>ELCTRLYZ_LRG_C</v>
      </c>
      <c r="AH703" t="str">
        <f>VLOOKUP(D703,Assumptions!$B$116:$C$162,2,FALSE)</f>
        <v>C_GAS_STRG</v>
      </c>
      <c r="AI703" t="str">
        <f>VLOOKUP(E703,Assumptions!$B$116:$C$162,2,FALSE)</f>
        <v>LQ_TRUCK</v>
      </c>
      <c r="AJ703" t="str">
        <f>VLOOKUP(F703,Assumptions!$B$116:$C$162,2,FALSE)</f>
        <v>H2_CCGT_PWR</v>
      </c>
    </row>
    <row r="704" spans="2:36" x14ac:dyDescent="0.25">
      <c r="B704" t="s">
        <v>112</v>
      </c>
      <c r="C704" t="s">
        <v>49</v>
      </c>
      <c r="D704" t="s">
        <v>155</v>
      </c>
      <c r="E704" t="s">
        <v>66</v>
      </c>
      <c r="F704" t="s">
        <v>163</v>
      </c>
      <c r="G704" t="s">
        <v>114</v>
      </c>
      <c r="H704" t="s">
        <v>433</v>
      </c>
      <c r="I704" t="s">
        <v>32</v>
      </c>
      <c r="J704" t="s">
        <v>72</v>
      </c>
      <c r="K704">
        <f t="shared" si="2062"/>
        <v>1</v>
      </c>
      <c r="L704">
        <f t="shared" si="2063"/>
        <v>1</v>
      </c>
      <c r="M704">
        <f t="shared" si="2064"/>
        <v>1</v>
      </c>
      <c r="N704">
        <f t="shared" si="2065"/>
        <v>0</v>
      </c>
      <c r="O704">
        <f t="shared" si="2057"/>
        <v>3</v>
      </c>
      <c r="P704" t="str">
        <f t="shared" si="2066"/>
        <v>Large centralized electrolysis-Levelized cost</v>
      </c>
      <c r="Q704" t="str">
        <f t="shared" si="2067"/>
        <v>Central gas storage-Levelized cost</v>
      </c>
      <c r="R704" t="str">
        <f t="shared" si="2068"/>
        <v>Onsite-Levelized cost</v>
      </c>
      <c r="S704" t="str">
        <f t="shared" si="2069"/>
        <v>Hydrogen turbine (CC)-Levelized cost</v>
      </c>
      <c r="T704">
        <f ca="1">IF(timePeriod="2020-30",(VLOOKUP($P704,'TA database'!$I$8:$J$79,2,FALSE)/VLOOKUP($D704,'Merit calculation'!$B$48:$I$52,5,FALSE)/VLOOKUP($E704,'Merit calculation'!$B$67:$I$73,5,FALSE)/VLOOKUP($F704,'Merit calculation'!$B$90:$I$103,5,FALSE)/energyContentH2),(VLOOKUP($P704,'TA database'!$I$8:$J$79,2,FALSE)/VLOOKUP($D704,'Merit calculation'!$B$48:$I$52,7,FALSE)/VLOOKUP($E704,'Merit calculation'!$B$67:$I$73,7,FALSE)/VLOOKUP($F704,'Merit calculation'!$B$90:$I$103,7,FALSE)/energyContentH2))</f>
        <v>4.9713819953902887E-2</v>
      </c>
      <c r="U704">
        <f ca="1">IF(timePeriod="2020-30",(VLOOKUP($Q704,'TA database'!$I$86:$J$105,2,FALSE)/VLOOKUP($E704,'Merit calculation'!$B$67:$I$73,5,FALSE)/VLOOKUP($F704,'Merit calculation'!$B$90:$I$104,5,FALSE)/energyContentH2),VLOOKUP($Q704,'TA database'!$I$86:$J$105,2,FALSE)/VLOOKUP($E704,'Merit calculation'!$B$67:$I$73,7,FALSE)/VLOOKUP($F704,'Merit calculation'!$B$90:$I$104,7,FALSE)/energyContentH2)</f>
        <v>1.6327099856321171E-3</v>
      </c>
      <c r="V704">
        <f ca="1">IF(timePeriod="2020-30",(VLOOKUP($R704,'TA database'!$I$112:$J$139,2,FALSE)/VLOOKUP($F704,'Merit calculation'!$B$90:$I$104,5,FALSE)/energyContentH2),(VLOOKUP($R704,'TA database'!$I$112:$J$139,2,FALSE)/VLOOKUP($F704,'Merit calculation'!$B$90:$I$104,7,FALSE)/energyContentH2))</f>
        <v>0</v>
      </c>
      <c r="W704">
        <f>IFERROR(VLOOKUP($S704,'TA database'!$I$146:$J$193,2,FALSE),0)</f>
        <v>0</v>
      </c>
      <c r="X704">
        <f ca="1">IFERROR(VLOOKUP($S704,'TA database'!$I$200:$J$271,2,FALSE),0)</f>
        <v>4.7965352483301787E-3</v>
      </c>
      <c r="Y704">
        <f t="shared" ca="1" si="2071"/>
        <v>0.18964404303065618</v>
      </c>
      <c r="Z704" t="str">
        <f t="shared" si="2058"/>
        <v>ELCTRLYZ_LRG_C   →   C_GAS_STRG   →   ONSITE_USE   →   H2_CCGT_PWR</v>
      </c>
      <c r="AA704" t="str">
        <f t="shared" si="2059"/>
        <v>Grid electricity</v>
      </c>
      <c r="AB704" t="str">
        <f t="shared" si="2060"/>
        <v>Levelized cost</v>
      </c>
      <c r="AC704">
        <f t="shared" ca="1" si="2061"/>
        <v>0.18964404303065618</v>
      </c>
      <c r="AD704">
        <v>645</v>
      </c>
      <c r="AE704" t="str">
        <f>IF(AND(ISNUMBER(SEARCH(O704,4)),ISNUMBER(SEARCH('(4) FCH pathway assessment'!$B$16,AB704)),ISNUMBER(SEARCH('(4) FCH pathway assessment'!$B$10,AA704))),AD704,"")</f>
        <v/>
      </c>
      <c r="AF704" t="str">
        <f t="shared" si="2070"/>
        <v/>
      </c>
      <c r="AG704" t="str">
        <f>VLOOKUP(C704,Assumptions!$B$116:$C$162,2,FALSE)</f>
        <v>ELCTRLYZ_LRG_C</v>
      </c>
      <c r="AH704" t="str">
        <f>VLOOKUP(D704,Assumptions!$B$116:$C$162,2,FALSE)</f>
        <v>C_GAS_STRG</v>
      </c>
      <c r="AI704" t="str">
        <f>VLOOKUP(E704,Assumptions!$B$116:$C$162,2,FALSE)</f>
        <v>ONSITE_USE</v>
      </c>
      <c r="AJ704" t="str">
        <f>VLOOKUP(F704,Assumptions!$B$116:$C$162,2,FALSE)</f>
        <v>H2_CCGT_PWR</v>
      </c>
    </row>
    <row r="705" spans="2:36" x14ac:dyDescent="0.25">
      <c r="B705" t="s">
        <v>112</v>
      </c>
      <c r="C705" t="s">
        <v>51</v>
      </c>
      <c r="D705" t="s">
        <v>155</v>
      </c>
      <c r="E705" t="s">
        <v>157</v>
      </c>
      <c r="F705" t="s">
        <v>163</v>
      </c>
      <c r="G705" t="s">
        <v>114</v>
      </c>
      <c r="H705" t="s">
        <v>433</v>
      </c>
      <c r="I705" t="s">
        <v>32</v>
      </c>
      <c r="J705" t="s">
        <v>72</v>
      </c>
      <c r="K705">
        <f t="shared" ref="K705:K709" si="2072">SUMPRODUCT(($C$7:$C$18=$C705)*($D$6:$H$6=$D705)*($D$7:$H$18))</f>
        <v>1</v>
      </c>
      <c r="L705">
        <f t="shared" ref="L705:L709" si="2073">SUMPRODUCT(($C$19:$C$23=$D705)*($I$6:$O$6=$E705)*($I$19:$O$23))</f>
        <v>1</v>
      </c>
      <c r="M705">
        <f t="shared" ref="M705:M709" si="2074">SUMPRODUCT(($C$24:$C$30=$E705)*($P$6:$AI$6=$F705)*($P$24:$AI$30))</f>
        <v>0</v>
      </c>
      <c r="N705">
        <f t="shared" ref="N705:N709" si="2075">SUMPRODUCT(($C$31:$C$50=$F705)*($AJ$6:$AM$6=$G705)*($AJ$31:$AM$50))</f>
        <v>0</v>
      </c>
      <c r="O705">
        <f t="shared" ref="O705:O709" si="2076">K705+L705+M705+N705</f>
        <v>2</v>
      </c>
      <c r="P705" t="str">
        <f t="shared" ref="P705:P709" si="2077">CONCATENATE(C705,"-",J705)</f>
        <v>Medium centralized electrolysis-Levelized cost</v>
      </c>
      <c r="Q705" t="str">
        <f t="shared" ref="Q705:Q709" si="2078">CONCATENATE(D705,"-",J705)</f>
        <v>Central gas storage-Levelized cost</v>
      </c>
      <c r="R705" t="str">
        <f t="shared" ref="R705:R709" si="2079">CONCATENATE(E705,"-",J705)</f>
        <v>Blending in natural gas pipeline-Levelized cost</v>
      </c>
      <c r="S705" t="str">
        <f t="shared" ref="S705:S709" si="2080">CONCATENATE(F705,"-",J705)</f>
        <v>Hydrogen turbine (CC)-Levelized cost</v>
      </c>
      <c r="T705">
        <f ca="1">IF(timePeriod="2020-30",(VLOOKUP($P705,'TA database'!$I$8:$J$79,2,FALSE)/VLOOKUP($D705,'Merit calculation'!$B$48:$I$52,5,FALSE)/VLOOKUP($E705,'Merit calculation'!$B$67:$I$73,5,FALSE)/VLOOKUP($F705,'Merit calculation'!$B$90:$I$103,5,FALSE)/energyContentH2),(VLOOKUP($P705,'TA database'!$I$8:$J$79,2,FALSE)/VLOOKUP($D705,'Merit calculation'!$B$48:$I$52,7,FALSE)/VLOOKUP($E705,'Merit calculation'!$B$67:$I$73,7,FALSE)/VLOOKUP($F705,'Merit calculation'!$B$90:$I$103,7,FALSE)/energyContentH2))</f>
        <v>5.2311306832010275E-2</v>
      </c>
      <c r="U705">
        <f ca="1">IF(timePeriod="2020-30",(VLOOKUP($Q705,'TA database'!$I$86:$J$105,2,FALSE)/VLOOKUP($E705,'Merit calculation'!$B$67:$I$73,5,FALSE)/VLOOKUP($F705,'Merit calculation'!$B$90:$I$104,5,FALSE)/energyContentH2),VLOOKUP($Q705,'TA database'!$I$86:$J$105,2,FALSE)/VLOOKUP($E705,'Merit calculation'!$B$67:$I$73,7,FALSE)/VLOOKUP($F705,'Merit calculation'!$B$90:$I$104,7,FALSE)/energyContentH2)</f>
        <v>1.6492020056890072E-3</v>
      </c>
      <c r="V705">
        <f ca="1">IF(timePeriod="2020-30",(VLOOKUP($R705,'TA database'!$I$112:$J$139,2,FALSE)/VLOOKUP($F705,'Merit calculation'!$B$90:$I$104,5,FALSE)/energyContentH2),(VLOOKUP($R705,'TA database'!$I$112:$J$139,2,FALSE)/VLOOKUP($F705,'Merit calculation'!$B$90:$I$104,7,FALSE)/energyContentH2))</f>
        <v>4.7262844150234304E-3</v>
      </c>
      <c r="W705">
        <f>IFERROR(VLOOKUP($S705,'TA database'!$I$146:$J$193,2,FALSE),0)</f>
        <v>0</v>
      </c>
      <c r="X705">
        <f ca="1">IFERROR(VLOOKUP($S705,'TA database'!$I$200:$J$271,2,FALSE),0)</f>
        <v>4.7965352483301787E-3</v>
      </c>
      <c r="Y705">
        <f t="shared" ca="1" si="2071"/>
        <v>0.21606899095813195</v>
      </c>
      <c r="Z705" t="str">
        <f t="shared" ref="Z705:Z709" si="2081">CONCATENATE(AG705,"   →   ",AH705,"   →   ",AI705,"   →   ",AJ705)</f>
        <v>ELCTRLYZ_MED_C   →   C_GAS_STRG   →   H2_BLND_NG_P   →   H2_CCGT_PWR</v>
      </c>
      <c r="AA705" t="str">
        <f t="shared" ref="AA705:AA709" si="2082">G705</f>
        <v>Grid electricity</v>
      </c>
      <c r="AB705" t="str">
        <f t="shared" ref="AB705:AB709" si="2083">J705</f>
        <v>Levelized cost</v>
      </c>
      <c r="AC705">
        <f t="shared" ref="AC705:AC709" ca="1" si="2084">Y705</f>
        <v>0.21606899095813195</v>
      </c>
      <c r="AD705">
        <v>646</v>
      </c>
      <c r="AE705" t="str">
        <f>IF(AND(ISNUMBER(SEARCH(O705,4)),ISNUMBER(SEARCH('(4) FCH pathway assessment'!$B$16,AB705)),ISNUMBER(SEARCH('(4) FCH pathway assessment'!$B$10,AA705))),AD705,"")</f>
        <v/>
      </c>
      <c r="AF705" t="str">
        <f t="shared" si="2070"/>
        <v/>
      </c>
      <c r="AG705" t="str">
        <f>VLOOKUP(C705,Assumptions!$B$116:$C$162,2,FALSE)</f>
        <v>ELCTRLYZ_MED_C</v>
      </c>
      <c r="AH705" t="str">
        <f>VLOOKUP(D705,Assumptions!$B$116:$C$162,2,FALSE)</f>
        <v>C_GAS_STRG</v>
      </c>
      <c r="AI705" t="str">
        <f>VLOOKUP(E705,Assumptions!$B$116:$C$162,2,FALSE)</f>
        <v>H2_BLND_NG_P</v>
      </c>
      <c r="AJ705" t="str">
        <f>VLOOKUP(F705,Assumptions!$B$116:$C$162,2,FALSE)</f>
        <v>H2_CCGT_PWR</v>
      </c>
    </row>
    <row r="706" spans="2:36" x14ac:dyDescent="0.25">
      <c r="B706" t="s">
        <v>112</v>
      </c>
      <c r="C706" t="s">
        <v>51</v>
      </c>
      <c r="D706" t="s">
        <v>155</v>
      </c>
      <c r="E706" t="s">
        <v>122</v>
      </c>
      <c r="F706" t="s">
        <v>163</v>
      </c>
      <c r="G706" t="s">
        <v>114</v>
      </c>
      <c r="H706" t="s">
        <v>433</v>
      </c>
      <c r="I706" t="s">
        <v>32</v>
      </c>
      <c r="J706" t="s">
        <v>72</v>
      </c>
      <c r="K706">
        <f t="shared" si="2072"/>
        <v>1</v>
      </c>
      <c r="L706">
        <f t="shared" si="2073"/>
        <v>1</v>
      </c>
      <c r="M706">
        <f t="shared" si="2074"/>
        <v>1</v>
      </c>
      <c r="N706">
        <f t="shared" si="2075"/>
        <v>0</v>
      </c>
      <c r="O706">
        <f t="shared" si="2076"/>
        <v>3</v>
      </c>
      <c r="P706" t="str">
        <f t="shared" si="2077"/>
        <v>Medium centralized electrolysis-Levelized cost</v>
      </c>
      <c r="Q706" t="str">
        <f t="shared" si="2078"/>
        <v>Central gas storage-Levelized cost</v>
      </c>
      <c r="R706" t="str">
        <f t="shared" si="2079"/>
        <v>Hydrogen transmission &amp; distribution pipeline-Levelized cost</v>
      </c>
      <c r="S706" t="str">
        <f t="shared" si="2080"/>
        <v>Hydrogen turbine (CC)-Levelized cost</v>
      </c>
      <c r="T706">
        <f ca="1">IF(timePeriod="2020-30",(VLOOKUP($P706,'TA database'!$I$8:$J$79,2,FALSE)/VLOOKUP($D706,'Merit calculation'!$B$48:$I$52,5,FALSE)/VLOOKUP($E706,'Merit calculation'!$B$67:$I$73,5,FALSE)/VLOOKUP($F706,'Merit calculation'!$B$90:$I$103,5,FALSE)/energyContentH2),(VLOOKUP($P706,'TA database'!$I$8:$J$79,2,FALSE)/VLOOKUP($D706,'Merit calculation'!$B$48:$I$52,7,FALSE)/VLOOKUP($E706,'Merit calculation'!$B$67:$I$73,7,FALSE)/VLOOKUP($F706,'Merit calculation'!$B$90:$I$103,7,FALSE)/energyContentH2))</f>
        <v>5.2311306832010275E-2</v>
      </c>
      <c r="U706">
        <f ca="1">IF(timePeriod="2020-30",(VLOOKUP($Q706,'TA database'!$I$86:$J$105,2,FALSE)/VLOOKUP($E706,'Merit calculation'!$B$67:$I$73,5,FALSE)/VLOOKUP($F706,'Merit calculation'!$B$90:$I$104,5,FALSE)/energyContentH2),VLOOKUP($Q706,'TA database'!$I$86:$J$105,2,FALSE)/VLOOKUP($E706,'Merit calculation'!$B$67:$I$73,7,FALSE)/VLOOKUP($F706,'Merit calculation'!$B$90:$I$104,7,FALSE)/energyContentH2)</f>
        <v>1.6492020056890072E-3</v>
      </c>
      <c r="V706">
        <f ca="1">IF(timePeriod="2020-30",(VLOOKUP($R706,'TA database'!$I$112:$J$139,2,FALSE)/VLOOKUP($F706,'Merit calculation'!$B$90:$I$104,5,FALSE)/energyContentH2),(VLOOKUP($R706,'TA database'!$I$112:$J$139,2,FALSE)/VLOOKUP($F706,'Merit calculation'!$B$90:$I$104,7,FALSE)/energyContentH2))</f>
        <v>8.7934909049694424E-3</v>
      </c>
      <c r="W706">
        <f>IFERROR(VLOOKUP($S706,'TA database'!$I$146:$J$193,2,FALSE),0)</f>
        <v>0</v>
      </c>
      <c r="X706">
        <f ca="1">IFERROR(VLOOKUP($S706,'TA database'!$I$200:$J$271,2,FALSE),0)</f>
        <v>4.7965352483301787E-3</v>
      </c>
      <c r="Y706">
        <f t="shared" ca="1" si="2071"/>
        <v>0.23071093432193759</v>
      </c>
      <c r="Z706" t="str">
        <f t="shared" si="2081"/>
        <v>ELCTRLYZ_MED_C   →   C_GAS_STRG   →   H2_T&amp;D_P   →   H2_CCGT_PWR</v>
      </c>
      <c r="AA706" t="str">
        <f t="shared" si="2082"/>
        <v>Grid electricity</v>
      </c>
      <c r="AB706" t="str">
        <f t="shared" si="2083"/>
        <v>Levelized cost</v>
      </c>
      <c r="AC706">
        <f t="shared" ca="1" si="2084"/>
        <v>0.23071093432193759</v>
      </c>
      <c r="AD706">
        <v>647</v>
      </c>
      <c r="AE706" t="str">
        <f>IF(AND(ISNUMBER(SEARCH(O706,4)),ISNUMBER(SEARCH('(4) FCH pathway assessment'!$B$16,AB706)),ISNUMBER(SEARCH('(4) FCH pathway assessment'!$B$10,AA706))),AD706,"")</f>
        <v/>
      </c>
      <c r="AF706" t="str">
        <f t="shared" si="2070"/>
        <v/>
      </c>
      <c r="AG706" t="str">
        <f>VLOOKUP(C706,Assumptions!$B$116:$C$162,2,FALSE)</f>
        <v>ELCTRLYZ_MED_C</v>
      </c>
      <c r="AH706" t="str">
        <f>VLOOKUP(D706,Assumptions!$B$116:$C$162,2,FALSE)</f>
        <v>C_GAS_STRG</v>
      </c>
      <c r="AI706" t="str">
        <f>VLOOKUP(E706,Assumptions!$B$116:$C$162,2,FALSE)</f>
        <v>H2_T&amp;D_P</v>
      </c>
      <c r="AJ706" t="str">
        <f>VLOOKUP(F706,Assumptions!$B$116:$C$162,2,FALSE)</f>
        <v>H2_CCGT_PWR</v>
      </c>
    </row>
    <row r="707" spans="2:36" x14ac:dyDescent="0.25">
      <c r="B707" t="s">
        <v>112</v>
      </c>
      <c r="C707" t="s">
        <v>51</v>
      </c>
      <c r="D707" t="s">
        <v>155</v>
      </c>
      <c r="E707" t="s">
        <v>116</v>
      </c>
      <c r="F707" t="s">
        <v>163</v>
      </c>
      <c r="G707" t="s">
        <v>114</v>
      </c>
      <c r="H707" t="s">
        <v>433</v>
      </c>
      <c r="I707" t="s">
        <v>32</v>
      </c>
      <c r="J707" t="s">
        <v>72</v>
      </c>
      <c r="K707">
        <f t="shared" si="2072"/>
        <v>1</v>
      </c>
      <c r="L707">
        <f t="shared" si="2073"/>
        <v>1</v>
      </c>
      <c r="M707">
        <f t="shared" si="2074"/>
        <v>1</v>
      </c>
      <c r="N707">
        <f t="shared" si="2075"/>
        <v>0</v>
      </c>
      <c r="O707">
        <f t="shared" si="2076"/>
        <v>3</v>
      </c>
      <c r="P707" t="str">
        <f t="shared" si="2077"/>
        <v>Medium centralized electrolysis-Levelized cost</v>
      </c>
      <c r="Q707" t="str">
        <f t="shared" si="2078"/>
        <v>Central gas storage-Levelized cost</v>
      </c>
      <c r="R707" t="str">
        <f t="shared" si="2079"/>
        <v>Liquid hydrogen truck-Levelized cost</v>
      </c>
      <c r="S707" t="str">
        <f t="shared" si="2080"/>
        <v>Hydrogen turbine (CC)-Levelized cost</v>
      </c>
      <c r="T707">
        <f ca="1">IF(timePeriod="2020-30",(VLOOKUP($P707,'TA database'!$I$8:$J$79,2,FALSE)/VLOOKUP($D707,'Merit calculation'!$B$48:$I$52,5,FALSE)/VLOOKUP($E707,'Merit calculation'!$B$67:$I$73,5,FALSE)/VLOOKUP($F707,'Merit calculation'!$B$90:$I$103,5,FALSE)/energyContentH2),(VLOOKUP($P707,'TA database'!$I$8:$J$79,2,FALSE)/VLOOKUP($D707,'Merit calculation'!$B$48:$I$52,7,FALSE)/VLOOKUP($E707,'Merit calculation'!$B$67:$I$73,7,FALSE)/VLOOKUP($F707,'Merit calculation'!$B$90:$I$103,7,FALSE)/energyContentH2))</f>
        <v>6.0429630996137886E-2</v>
      </c>
      <c r="U707">
        <f ca="1">IF(timePeriod="2020-30",(VLOOKUP($Q707,'TA database'!$I$86:$J$105,2,FALSE)/VLOOKUP($E707,'Merit calculation'!$B$67:$I$73,5,FALSE)/VLOOKUP($F707,'Merit calculation'!$B$90:$I$104,5,FALSE)/energyContentH2),VLOOKUP($Q707,'TA database'!$I$86:$J$105,2,FALSE)/VLOOKUP($E707,'Merit calculation'!$B$67:$I$73,7,FALSE)/VLOOKUP($F707,'Merit calculation'!$B$90:$I$104,7,FALSE)/energyContentH2)</f>
        <v>1.9051458408776167E-3</v>
      </c>
      <c r="V707">
        <f ca="1">IF(timePeriod="2020-30",(VLOOKUP($R707,'TA database'!$I$112:$J$139,2,FALSE)/VLOOKUP($F707,'Merit calculation'!$B$90:$I$104,5,FALSE)/energyContentH2),(VLOOKUP($R707,'TA database'!$I$112:$J$139,2,FALSE)/VLOOKUP($F707,'Merit calculation'!$B$90:$I$104,7,FALSE)/energyContentH2))</f>
        <v>5.8189074534988582E-2</v>
      </c>
      <c r="W707">
        <f>IFERROR(VLOOKUP($S707,'TA database'!$I$146:$J$193,2,FALSE),0)</f>
        <v>0</v>
      </c>
      <c r="X707">
        <f ca="1">IFERROR(VLOOKUP($S707,'TA database'!$I$200:$J$271,2,FALSE),0)</f>
        <v>4.7965352483301787E-3</v>
      </c>
      <c r="Y707">
        <f t="shared" ca="1" si="2071"/>
        <v>0.4386824001875449</v>
      </c>
      <c r="Z707" t="str">
        <f t="shared" si="2081"/>
        <v>ELCTRLYZ_MED_C   →   C_GAS_STRG   →   LQ_TRUCK   →   H2_CCGT_PWR</v>
      </c>
      <c r="AA707" t="str">
        <f t="shared" si="2082"/>
        <v>Grid electricity</v>
      </c>
      <c r="AB707" t="str">
        <f t="shared" si="2083"/>
        <v>Levelized cost</v>
      </c>
      <c r="AC707">
        <f t="shared" ca="1" si="2084"/>
        <v>0.4386824001875449</v>
      </c>
      <c r="AD707">
        <v>648</v>
      </c>
      <c r="AE707" t="str">
        <f>IF(AND(ISNUMBER(SEARCH(O707,4)),ISNUMBER(SEARCH('(4) FCH pathway assessment'!$B$16,AB707)),ISNUMBER(SEARCH('(4) FCH pathway assessment'!$B$10,AA707))),AD707,"")</f>
        <v/>
      </c>
      <c r="AF707" t="str">
        <f t="shared" si="2070"/>
        <v/>
      </c>
      <c r="AG707" t="str">
        <f>VLOOKUP(C707,Assumptions!$B$116:$C$162,2,FALSE)</f>
        <v>ELCTRLYZ_MED_C</v>
      </c>
      <c r="AH707" t="str">
        <f>VLOOKUP(D707,Assumptions!$B$116:$C$162,2,FALSE)</f>
        <v>C_GAS_STRG</v>
      </c>
      <c r="AI707" t="str">
        <f>VLOOKUP(E707,Assumptions!$B$116:$C$162,2,FALSE)</f>
        <v>LQ_TRUCK</v>
      </c>
      <c r="AJ707" t="str">
        <f>VLOOKUP(F707,Assumptions!$B$116:$C$162,2,FALSE)</f>
        <v>H2_CCGT_PWR</v>
      </c>
    </row>
    <row r="708" spans="2:36" x14ac:dyDescent="0.25">
      <c r="B708" t="s">
        <v>112</v>
      </c>
      <c r="C708" t="s">
        <v>51</v>
      </c>
      <c r="D708" t="s">
        <v>155</v>
      </c>
      <c r="E708" t="s">
        <v>66</v>
      </c>
      <c r="F708" t="s">
        <v>163</v>
      </c>
      <c r="G708" t="s">
        <v>114</v>
      </c>
      <c r="H708" t="s">
        <v>433</v>
      </c>
      <c r="I708" t="s">
        <v>32</v>
      </c>
      <c r="J708" t="s">
        <v>72</v>
      </c>
      <c r="K708">
        <f t="shared" si="2072"/>
        <v>1</v>
      </c>
      <c r="L708">
        <f t="shared" si="2073"/>
        <v>1</v>
      </c>
      <c r="M708">
        <f t="shared" si="2074"/>
        <v>1</v>
      </c>
      <c r="N708">
        <f t="shared" si="2075"/>
        <v>0</v>
      </c>
      <c r="O708">
        <f t="shared" si="2076"/>
        <v>3</v>
      </c>
      <c r="P708" t="str">
        <f t="shared" si="2077"/>
        <v>Medium centralized electrolysis-Levelized cost</v>
      </c>
      <c r="Q708" t="str">
        <f t="shared" si="2078"/>
        <v>Central gas storage-Levelized cost</v>
      </c>
      <c r="R708" t="str">
        <f t="shared" si="2079"/>
        <v>Onsite-Levelized cost</v>
      </c>
      <c r="S708" t="str">
        <f t="shared" si="2080"/>
        <v>Hydrogen turbine (CC)-Levelized cost</v>
      </c>
      <c r="T708">
        <f ca="1">IF(timePeriod="2020-30",(VLOOKUP($P708,'TA database'!$I$8:$J$79,2,FALSE)/VLOOKUP($D708,'Merit calculation'!$B$48:$I$52,5,FALSE)/VLOOKUP($E708,'Merit calculation'!$B$67:$I$73,5,FALSE)/VLOOKUP($F708,'Merit calculation'!$B$90:$I$103,5,FALSE)/energyContentH2),(VLOOKUP($P708,'TA database'!$I$8:$J$79,2,FALSE)/VLOOKUP($D708,'Merit calculation'!$B$48:$I$52,7,FALSE)/VLOOKUP($E708,'Merit calculation'!$B$67:$I$73,7,FALSE)/VLOOKUP($F708,'Merit calculation'!$B$90:$I$103,7,FALSE)/energyContentH2))</f>
        <v>5.178819376369017E-2</v>
      </c>
      <c r="U708">
        <f ca="1">IF(timePeriod="2020-30",(VLOOKUP($Q708,'TA database'!$I$86:$J$105,2,FALSE)/VLOOKUP($E708,'Merit calculation'!$B$67:$I$73,5,FALSE)/VLOOKUP($F708,'Merit calculation'!$B$90:$I$104,5,FALSE)/energyContentH2),VLOOKUP($Q708,'TA database'!$I$86:$J$105,2,FALSE)/VLOOKUP($E708,'Merit calculation'!$B$67:$I$73,7,FALSE)/VLOOKUP($F708,'Merit calculation'!$B$90:$I$104,7,FALSE)/energyContentH2)</f>
        <v>1.6327099856321171E-3</v>
      </c>
      <c r="V708">
        <f ca="1">IF(timePeriod="2020-30",(VLOOKUP($R708,'TA database'!$I$112:$J$139,2,FALSE)/VLOOKUP($F708,'Merit calculation'!$B$90:$I$104,5,FALSE)/energyContentH2),(VLOOKUP($R708,'TA database'!$I$112:$J$139,2,FALSE)/VLOOKUP($F708,'Merit calculation'!$B$90:$I$104,7,FALSE)/energyContentH2))</f>
        <v>0</v>
      </c>
      <c r="W708">
        <f>IFERROR(VLOOKUP($S708,'TA database'!$I$146:$J$193,2,FALSE),0)</f>
        <v>0</v>
      </c>
      <c r="X708">
        <f ca="1">IFERROR(VLOOKUP($S708,'TA database'!$I$200:$J$271,2,FALSE),0)</f>
        <v>4.7965352483301787E-3</v>
      </c>
      <c r="Y708">
        <f t="shared" ca="1" si="2071"/>
        <v>0.19711178874589041</v>
      </c>
      <c r="Z708" t="str">
        <f t="shared" si="2081"/>
        <v>ELCTRLYZ_MED_C   →   C_GAS_STRG   →   ONSITE_USE   →   H2_CCGT_PWR</v>
      </c>
      <c r="AA708" t="str">
        <f t="shared" si="2082"/>
        <v>Grid electricity</v>
      </c>
      <c r="AB708" t="str">
        <f t="shared" si="2083"/>
        <v>Levelized cost</v>
      </c>
      <c r="AC708">
        <f t="shared" ca="1" si="2084"/>
        <v>0.19711178874589041</v>
      </c>
      <c r="AD708">
        <v>649</v>
      </c>
      <c r="AE708" t="str">
        <f>IF(AND(ISNUMBER(SEARCH(O708,4)),ISNUMBER(SEARCH('(4) FCH pathway assessment'!$B$16,AB708)),ISNUMBER(SEARCH('(4) FCH pathway assessment'!$B$10,AA708))),AD708,"")</f>
        <v/>
      </c>
      <c r="AF708" t="str">
        <f t="shared" si="2070"/>
        <v/>
      </c>
      <c r="AG708" t="str">
        <f>VLOOKUP(C708,Assumptions!$B$116:$C$162,2,FALSE)</f>
        <v>ELCTRLYZ_MED_C</v>
      </c>
      <c r="AH708" t="str">
        <f>VLOOKUP(D708,Assumptions!$B$116:$C$162,2,FALSE)</f>
        <v>C_GAS_STRG</v>
      </c>
      <c r="AI708" t="str">
        <f>VLOOKUP(E708,Assumptions!$B$116:$C$162,2,FALSE)</f>
        <v>ONSITE_USE</v>
      </c>
      <c r="AJ708" t="str">
        <f>VLOOKUP(F708,Assumptions!$B$116:$C$162,2,FALSE)</f>
        <v>H2_CCGT_PWR</v>
      </c>
    </row>
    <row r="709" spans="2:36" x14ac:dyDescent="0.25">
      <c r="B709" t="s">
        <v>112</v>
      </c>
      <c r="C709" t="s">
        <v>52</v>
      </c>
      <c r="D709" s="60" t="s">
        <v>130</v>
      </c>
      <c r="E709" t="s">
        <v>66</v>
      </c>
      <c r="F709" t="s">
        <v>163</v>
      </c>
      <c r="G709" t="s">
        <v>114</v>
      </c>
      <c r="H709" t="s">
        <v>433</v>
      </c>
      <c r="I709" t="s">
        <v>32</v>
      </c>
      <c r="J709" t="s">
        <v>72</v>
      </c>
      <c r="K709">
        <f t="shared" si="2072"/>
        <v>1</v>
      </c>
      <c r="L709">
        <f t="shared" si="2073"/>
        <v>1</v>
      </c>
      <c r="M709">
        <f t="shared" si="2074"/>
        <v>1</v>
      </c>
      <c r="N709">
        <f t="shared" si="2075"/>
        <v>0</v>
      </c>
      <c r="O709">
        <f t="shared" si="2076"/>
        <v>3</v>
      </c>
      <c r="P709" t="str">
        <f t="shared" si="2077"/>
        <v>Small decentralized electrolysis-Levelized cost</v>
      </c>
      <c r="Q709" t="str">
        <f t="shared" si="2078"/>
        <v>Distributed gas storage-Levelized cost</v>
      </c>
      <c r="R709" t="str">
        <f t="shared" si="2079"/>
        <v>Onsite-Levelized cost</v>
      </c>
      <c r="S709" t="str">
        <f t="shared" si="2080"/>
        <v>Hydrogen turbine (CC)-Levelized cost</v>
      </c>
      <c r="T709">
        <f ca="1">IF(timePeriod="2020-30",(VLOOKUP($P709,'TA database'!$I$8:$J$79,2,FALSE)/VLOOKUP($D709,'Merit calculation'!$B$48:$I$52,5,FALSE)/VLOOKUP($E709,'Merit calculation'!$B$67:$I$73,5,FALSE)/VLOOKUP($F709,'Merit calculation'!$B$90:$I$103,5,FALSE)/energyContentH2),(VLOOKUP($P709,'TA database'!$I$8:$J$79,2,FALSE)/VLOOKUP($D709,'Merit calculation'!$B$48:$I$52,7,FALSE)/VLOOKUP($E709,'Merit calculation'!$B$67:$I$73,7,FALSE)/VLOOKUP($F709,'Merit calculation'!$B$90:$I$103,7,FALSE)/energyContentH2))</f>
        <v>5.7858805164389911E-2</v>
      </c>
      <c r="U709">
        <f ca="1">IF(timePeriod="2020-30",(VLOOKUP($Q709,'TA database'!$I$86:$J$105,2,FALSE)/VLOOKUP($E709,'Merit calculation'!$B$67:$I$73,5,FALSE)/VLOOKUP($F709,'Merit calculation'!$B$90:$I$104,5,FALSE)/energyContentH2),VLOOKUP($Q709,'TA database'!$I$86:$J$105,2,FALSE)/VLOOKUP($E709,'Merit calculation'!$B$67:$I$73,7,FALSE)/VLOOKUP($F709,'Merit calculation'!$B$90:$I$104,7,FALSE)/energyContentH2)</f>
        <v>2.9025955300126531E-3</v>
      </c>
      <c r="V709">
        <f ca="1">IF(timePeriod="2020-30",(VLOOKUP($R709,'TA database'!$I$112:$J$139,2,FALSE)/VLOOKUP($F709,'Merit calculation'!$B$90:$I$104,5,FALSE)/energyContentH2),(VLOOKUP($R709,'TA database'!$I$112:$J$139,2,FALSE)/VLOOKUP($F709,'Merit calculation'!$B$90:$I$104,7,FALSE)/energyContentH2))</f>
        <v>0</v>
      </c>
      <c r="W709">
        <f>IFERROR(VLOOKUP($S709,'TA database'!$I$146:$J$193,2,FALSE),0)</f>
        <v>0</v>
      </c>
      <c r="X709">
        <f ca="1">IFERROR(VLOOKUP($S709,'TA database'!$I$200:$J$271,2,FALSE),0)</f>
        <v>4.7965352483301787E-3</v>
      </c>
      <c r="Y709">
        <f t="shared" ref="Y709:Y714" ca="1" si="2085">IF($W709=0,T709*3.6+U709*3.6+V709*3.6+X709,T709+U709+V709+W709)</f>
        <v>0.22353757774817942</v>
      </c>
      <c r="Z709" t="str">
        <f t="shared" si="2081"/>
        <v>ELCTRLYZ_SML_D   →   D_GAS_STRG   →   ONSITE_USE   →   H2_CCGT_PWR</v>
      </c>
      <c r="AA709" t="str">
        <f t="shared" si="2082"/>
        <v>Grid electricity</v>
      </c>
      <c r="AB709" t="str">
        <f t="shared" si="2083"/>
        <v>Levelized cost</v>
      </c>
      <c r="AC709">
        <f t="shared" ca="1" si="2084"/>
        <v>0.22353757774817942</v>
      </c>
      <c r="AD709">
        <v>650</v>
      </c>
      <c r="AE709" t="str">
        <f>IF(AND(ISNUMBER(SEARCH(O709,4)),ISNUMBER(SEARCH('(4) FCH pathway assessment'!$B$16,AB709)),ISNUMBER(SEARCH('(4) FCH pathway assessment'!$B$10,AA709))),AD709,"")</f>
        <v/>
      </c>
      <c r="AF709" t="str">
        <f t="shared" si="2070"/>
        <v/>
      </c>
      <c r="AG709" t="str">
        <f>VLOOKUP(C709,Assumptions!$B$116:$C$162,2,FALSE)</f>
        <v>ELCTRLYZ_SML_D</v>
      </c>
      <c r="AH709" t="str">
        <f>VLOOKUP(D709,Assumptions!$B$116:$C$162,2,FALSE)</f>
        <v>D_GAS_STRG</v>
      </c>
      <c r="AI709" t="str">
        <f>VLOOKUP(E709,Assumptions!$B$116:$C$162,2,FALSE)</f>
        <v>ONSITE_USE</v>
      </c>
      <c r="AJ709" t="str">
        <f>VLOOKUP(F709,Assumptions!$B$116:$C$162,2,FALSE)</f>
        <v>H2_CCGT_PWR</v>
      </c>
    </row>
    <row r="710" spans="2:36" x14ac:dyDescent="0.25">
      <c r="B710" t="s">
        <v>127</v>
      </c>
      <c r="C710" t="s">
        <v>57</v>
      </c>
      <c r="D710" t="s">
        <v>62</v>
      </c>
      <c r="E710" t="s">
        <v>157</v>
      </c>
      <c r="F710" t="s">
        <v>163</v>
      </c>
      <c r="G710" t="s">
        <v>114</v>
      </c>
      <c r="H710" t="s">
        <v>433</v>
      </c>
      <c r="I710" t="s">
        <v>32</v>
      </c>
      <c r="J710" t="s">
        <v>72</v>
      </c>
      <c r="K710">
        <f t="shared" ref="K710:K718" si="2086">SUMPRODUCT(($C$7:$C$18=$C710)*($D$6:$H$6=$D710)*($D$7:$H$18))</f>
        <v>1</v>
      </c>
      <c r="L710">
        <f t="shared" ref="L710:L718" si="2087">SUMPRODUCT(($C$19:$C$23=$D710)*($I$6:$O$6=$E710)*($I$19:$O$23))</f>
        <v>0</v>
      </c>
      <c r="M710">
        <f t="shared" ref="M710:M718" si="2088">SUMPRODUCT(($C$24:$C$30=$E710)*($P$6:$AI$6=$F710)*($P$24:$AI$30))</f>
        <v>0</v>
      </c>
      <c r="N710">
        <f t="shared" ref="N710:N718" si="2089">SUMPRODUCT(($C$31:$C$50=$F710)*($AJ$6:$AM$6=$G710)*($AJ$31:$AM$50))</f>
        <v>0</v>
      </c>
      <c r="O710">
        <f t="shared" ref="O710:O718" si="2090">K710+L710+M710+N710</f>
        <v>1</v>
      </c>
      <c r="P710" t="str">
        <f t="shared" ref="P710:P718" si="2091">CONCATENATE(C710,"-",J710)</f>
        <v>Large centralized natural gas steam reforming-Levelized cost</v>
      </c>
      <c r="Q710" t="str">
        <f t="shared" ref="Q710:Q718" si="2092">CONCATENATE(D710,"-",J710)</f>
        <v>Underground storage-Levelized cost</v>
      </c>
      <c r="R710" t="str">
        <f t="shared" ref="R710:R718" si="2093">CONCATENATE(E710,"-",J710)</f>
        <v>Blending in natural gas pipeline-Levelized cost</v>
      </c>
      <c r="S710" t="str">
        <f t="shared" ref="S710:S718" si="2094">CONCATENATE(F710,"-",J710)</f>
        <v>Hydrogen turbine (CC)-Levelized cost</v>
      </c>
      <c r="T710">
        <f ca="1">IF(timePeriod="2020-30",(VLOOKUP($P710,'TA database'!$I$8:$J$79,2,FALSE)/VLOOKUP($D710,'Merit calculation'!$B$48:$I$52,5,FALSE)/VLOOKUP($E710,'Merit calculation'!$B$67:$I$73,5,FALSE)/VLOOKUP($F710,'Merit calculation'!$B$90:$I$103,5,FALSE)/energyContentH2),(VLOOKUP($P710,'TA database'!$I$8:$J$79,2,FALSE)/VLOOKUP($D710,'Merit calculation'!$B$48:$I$52,7,FALSE)/VLOOKUP($E710,'Merit calculation'!$B$67:$I$73,7,FALSE)/VLOOKUP($F710,'Merit calculation'!$B$90:$I$103,7,FALSE)/energyContentH2))</f>
        <v>0.11474062562649597</v>
      </c>
      <c r="U710">
        <f ca="1">IF(timePeriod="2020-30",(VLOOKUP($Q710,'TA database'!$I$86:$J$105,2,FALSE)/VLOOKUP($E710,'Merit calculation'!$B$67:$I$73,5,FALSE)/VLOOKUP($F710,'Merit calculation'!$B$90:$I$104,5,FALSE)/energyContentH2),VLOOKUP($Q710,'TA database'!$I$86:$J$105,2,FALSE)/VLOOKUP($E710,'Merit calculation'!$B$67:$I$73,7,FALSE)/VLOOKUP($F710,'Merit calculation'!$B$90:$I$104,7,FALSE)/energyContentH2)</f>
        <v>3.2848303323188466E-4</v>
      </c>
      <c r="V710">
        <f ca="1">IF(timePeriod="2020-30",(VLOOKUP($R710,'TA database'!$I$112:$J$139,2,FALSE)/VLOOKUP($F710,'Merit calculation'!$B$90:$I$104,5,FALSE)/energyContentH2),(VLOOKUP($R710,'TA database'!$I$112:$J$139,2,FALSE)/VLOOKUP($F710,'Merit calculation'!$B$90:$I$104,7,FALSE)/energyContentH2))</f>
        <v>4.7262844150234304E-3</v>
      </c>
      <c r="W710">
        <f>IFERROR(VLOOKUP($S710,'TA database'!$I$146:$J$193,2,FALSE),0)</f>
        <v>0</v>
      </c>
      <c r="X710">
        <f ca="1">IFERROR(VLOOKUP($S710,'TA database'!$I$200:$J$271,2,FALSE),0)</f>
        <v>4.7965352483301787E-3</v>
      </c>
      <c r="Y710">
        <f t="shared" ca="1" si="2085"/>
        <v>0.43605995031743477</v>
      </c>
      <c r="Z710" t="str">
        <f t="shared" ref="Z710:Z718" si="2095">CONCATENATE(AG710,"   →   ",AH710,"   →   ",AI710,"   →   ",AJ710)</f>
        <v>NG_SR_LRG_C   →   C_UNDRGRND_STRG   →   H2_BLND_NG_P   →   H2_CCGT_PWR</v>
      </c>
      <c r="AA710" t="str">
        <f t="shared" ref="AA710:AA718" si="2096">G710</f>
        <v>Grid electricity</v>
      </c>
      <c r="AB710" t="str">
        <f t="shared" ref="AB710:AB718" si="2097">J710</f>
        <v>Levelized cost</v>
      </c>
      <c r="AC710">
        <f t="shared" ref="AC710:AC718" ca="1" si="2098">Y710</f>
        <v>0.43605995031743477</v>
      </c>
      <c r="AD710">
        <v>651</v>
      </c>
      <c r="AE710" t="str">
        <f>IF(AND(ISNUMBER(SEARCH(O710,4)),ISNUMBER(SEARCH('(4) FCH pathway assessment'!$B$16,AB710)),ISNUMBER(SEARCH('(4) FCH pathway assessment'!$B$10,AA710))),AD710,"")</f>
        <v/>
      </c>
      <c r="AF710" t="str">
        <f t="shared" si="2070"/>
        <v/>
      </c>
      <c r="AG710" t="str">
        <f>VLOOKUP(C710,Assumptions!$B$116:$C$162,2,FALSE)</f>
        <v>NG_SR_LRG_C</v>
      </c>
      <c r="AH710" t="str">
        <f>VLOOKUP(D710,Assumptions!$B$116:$C$162,2,FALSE)</f>
        <v>C_UNDRGRND_STRG</v>
      </c>
      <c r="AI710" t="str">
        <f>VLOOKUP(E710,Assumptions!$B$116:$C$162,2,FALSE)</f>
        <v>H2_BLND_NG_P</v>
      </c>
      <c r="AJ710" t="str">
        <f>VLOOKUP(F710,Assumptions!$B$116:$C$162,2,FALSE)</f>
        <v>H2_CCGT_PWR</v>
      </c>
    </row>
    <row r="711" spans="2:36" x14ac:dyDescent="0.25">
      <c r="B711" t="s">
        <v>127</v>
      </c>
      <c r="C711" t="s">
        <v>57</v>
      </c>
      <c r="D711" t="s">
        <v>62</v>
      </c>
      <c r="E711" t="s">
        <v>122</v>
      </c>
      <c r="F711" t="s">
        <v>163</v>
      </c>
      <c r="G711" t="s">
        <v>114</v>
      </c>
      <c r="H711" t="s">
        <v>433</v>
      </c>
      <c r="I711" t="s">
        <v>32</v>
      </c>
      <c r="J711" t="s">
        <v>72</v>
      </c>
      <c r="K711">
        <f t="shared" si="2086"/>
        <v>1</v>
      </c>
      <c r="L711">
        <f t="shared" si="2087"/>
        <v>0</v>
      </c>
      <c r="M711">
        <f t="shared" si="2088"/>
        <v>1</v>
      </c>
      <c r="N711">
        <f t="shared" si="2089"/>
        <v>0</v>
      </c>
      <c r="O711">
        <f t="shared" si="2090"/>
        <v>2</v>
      </c>
      <c r="P711" t="str">
        <f t="shared" si="2091"/>
        <v>Large centralized natural gas steam reforming-Levelized cost</v>
      </c>
      <c r="Q711" t="str">
        <f t="shared" si="2092"/>
        <v>Underground storage-Levelized cost</v>
      </c>
      <c r="R711" t="str">
        <f t="shared" si="2093"/>
        <v>Hydrogen transmission &amp; distribution pipeline-Levelized cost</v>
      </c>
      <c r="S711" t="str">
        <f t="shared" si="2094"/>
        <v>Hydrogen turbine (CC)-Levelized cost</v>
      </c>
      <c r="T711">
        <f ca="1">IF(timePeriod="2020-30",(VLOOKUP($P711,'TA database'!$I$8:$J$79,2,FALSE)/VLOOKUP($D711,'Merit calculation'!$B$48:$I$52,5,FALSE)/VLOOKUP($E711,'Merit calculation'!$B$67:$I$73,5,FALSE)/VLOOKUP($F711,'Merit calculation'!$B$90:$I$103,5,FALSE)/energyContentH2),(VLOOKUP($P711,'TA database'!$I$8:$J$79,2,FALSE)/VLOOKUP($D711,'Merit calculation'!$B$48:$I$52,7,FALSE)/VLOOKUP($E711,'Merit calculation'!$B$67:$I$73,7,FALSE)/VLOOKUP($F711,'Merit calculation'!$B$90:$I$103,7,FALSE)/energyContentH2))</f>
        <v>0.11474062562649597</v>
      </c>
      <c r="U711">
        <f ca="1">IF(timePeriod="2020-30",(VLOOKUP($Q711,'TA database'!$I$86:$J$105,2,FALSE)/VLOOKUP($E711,'Merit calculation'!$B$67:$I$73,5,FALSE)/VLOOKUP($F711,'Merit calculation'!$B$90:$I$104,5,FALSE)/energyContentH2),VLOOKUP($Q711,'TA database'!$I$86:$J$105,2,FALSE)/VLOOKUP($E711,'Merit calculation'!$B$67:$I$73,7,FALSE)/VLOOKUP($F711,'Merit calculation'!$B$90:$I$104,7,FALSE)/energyContentH2)</f>
        <v>3.2848303323188466E-4</v>
      </c>
      <c r="V711">
        <f ca="1">IF(timePeriod="2020-30",(VLOOKUP($R711,'TA database'!$I$112:$J$139,2,FALSE)/VLOOKUP($F711,'Merit calculation'!$B$90:$I$104,5,FALSE)/energyContentH2),(VLOOKUP($R711,'TA database'!$I$112:$J$139,2,FALSE)/VLOOKUP($F711,'Merit calculation'!$B$90:$I$104,7,FALSE)/energyContentH2))</f>
        <v>8.7934909049694424E-3</v>
      </c>
      <c r="W711">
        <f>IFERROR(VLOOKUP($S711,'TA database'!$I$146:$J$193,2,FALSE),0)</f>
        <v>0</v>
      </c>
      <c r="X711">
        <f ca="1">IFERROR(VLOOKUP($S711,'TA database'!$I$200:$J$271,2,FALSE),0)</f>
        <v>4.7965352483301787E-3</v>
      </c>
      <c r="Y711">
        <f t="shared" ca="1" si="2085"/>
        <v>0.45070189368124042</v>
      </c>
      <c r="Z711" t="str">
        <f t="shared" si="2095"/>
        <v>NG_SR_LRG_C   →   C_UNDRGRND_STRG   →   H2_T&amp;D_P   →   H2_CCGT_PWR</v>
      </c>
      <c r="AA711" t="str">
        <f t="shared" si="2096"/>
        <v>Grid electricity</v>
      </c>
      <c r="AB711" t="str">
        <f t="shared" si="2097"/>
        <v>Levelized cost</v>
      </c>
      <c r="AC711">
        <f t="shared" ca="1" si="2098"/>
        <v>0.45070189368124042</v>
      </c>
      <c r="AD711">
        <v>652</v>
      </c>
      <c r="AE711" t="str">
        <f>IF(AND(ISNUMBER(SEARCH(O711,4)),ISNUMBER(SEARCH('(4) FCH pathway assessment'!$B$16,AB711)),ISNUMBER(SEARCH('(4) FCH pathway assessment'!$B$10,AA711))),AD711,"")</f>
        <v/>
      </c>
      <c r="AF711" t="str">
        <f t="shared" si="2070"/>
        <v/>
      </c>
      <c r="AG711" t="str">
        <f>VLOOKUP(C711,Assumptions!$B$116:$C$162,2,FALSE)</f>
        <v>NG_SR_LRG_C</v>
      </c>
      <c r="AH711" t="str">
        <f>VLOOKUP(D711,Assumptions!$B$116:$C$162,2,FALSE)</f>
        <v>C_UNDRGRND_STRG</v>
      </c>
      <c r="AI711" t="str">
        <f>VLOOKUP(E711,Assumptions!$B$116:$C$162,2,FALSE)</f>
        <v>H2_T&amp;D_P</v>
      </c>
      <c r="AJ711" t="str">
        <f>VLOOKUP(F711,Assumptions!$B$116:$C$162,2,FALSE)</f>
        <v>H2_CCGT_PWR</v>
      </c>
    </row>
    <row r="712" spans="2:36" x14ac:dyDescent="0.25">
      <c r="B712" t="s">
        <v>127</v>
      </c>
      <c r="C712" t="s">
        <v>57</v>
      </c>
      <c r="D712" t="s">
        <v>62</v>
      </c>
      <c r="E712" t="s">
        <v>116</v>
      </c>
      <c r="F712" t="s">
        <v>163</v>
      </c>
      <c r="G712" t="s">
        <v>114</v>
      </c>
      <c r="H712" t="s">
        <v>433</v>
      </c>
      <c r="I712" t="s">
        <v>32</v>
      </c>
      <c r="J712" t="s">
        <v>72</v>
      </c>
      <c r="K712">
        <f t="shared" si="2086"/>
        <v>1</v>
      </c>
      <c r="L712">
        <f t="shared" si="2087"/>
        <v>0</v>
      </c>
      <c r="M712">
        <f t="shared" si="2088"/>
        <v>1</v>
      </c>
      <c r="N712">
        <f t="shared" si="2089"/>
        <v>0</v>
      </c>
      <c r="O712">
        <f t="shared" si="2090"/>
        <v>2</v>
      </c>
      <c r="P712" t="str">
        <f t="shared" si="2091"/>
        <v>Large centralized natural gas steam reforming-Levelized cost</v>
      </c>
      <c r="Q712" t="str">
        <f t="shared" si="2092"/>
        <v>Underground storage-Levelized cost</v>
      </c>
      <c r="R712" t="str">
        <f t="shared" si="2093"/>
        <v>Liquid hydrogen truck-Levelized cost</v>
      </c>
      <c r="S712" t="str">
        <f t="shared" si="2094"/>
        <v>Hydrogen turbine (CC)-Levelized cost</v>
      </c>
      <c r="T712">
        <f ca="1">IF(timePeriod="2020-30",(VLOOKUP($P712,'TA database'!$I$8:$J$79,2,FALSE)/VLOOKUP($D712,'Merit calculation'!$B$48:$I$52,5,FALSE)/VLOOKUP($E712,'Merit calculation'!$B$67:$I$73,5,FALSE)/VLOOKUP($F712,'Merit calculation'!$B$90:$I$103,5,FALSE)/energyContentH2),(VLOOKUP($P712,'TA database'!$I$8:$J$79,2,FALSE)/VLOOKUP($D712,'Merit calculation'!$B$48:$I$52,7,FALSE)/VLOOKUP($E712,'Merit calculation'!$B$67:$I$73,7,FALSE)/VLOOKUP($F712,'Merit calculation'!$B$90:$I$103,7,FALSE)/energyContentH2))</f>
        <v>0.13254751385091129</v>
      </c>
      <c r="U712">
        <f ca="1">IF(timePeriod="2020-30",(VLOOKUP($Q712,'TA database'!$I$86:$J$105,2,FALSE)/VLOOKUP($E712,'Merit calculation'!$B$67:$I$73,5,FALSE)/VLOOKUP($F712,'Merit calculation'!$B$90:$I$104,5,FALSE)/energyContentH2),VLOOKUP($Q712,'TA database'!$I$86:$J$105,2,FALSE)/VLOOKUP($E712,'Merit calculation'!$B$67:$I$73,7,FALSE)/VLOOKUP($F712,'Merit calculation'!$B$90:$I$104,7,FALSE)/energyContentH2)</f>
        <v>3.7946114690731134E-4</v>
      </c>
      <c r="V712">
        <f ca="1">IF(timePeriod="2020-30",(VLOOKUP($R712,'TA database'!$I$112:$J$139,2,FALSE)/VLOOKUP($F712,'Merit calculation'!$B$90:$I$104,5,FALSE)/energyContentH2),(VLOOKUP($R712,'TA database'!$I$112:$J$139,2,FALSE)/VLOOKUP($F712,'Merit calculation'!$B$90:$I$104,7,FALSE)/energyContentH2))</f>
        <v>5.8189074534988582E-2</v>
      </c>
      <c r="W712">
        <f>IFERROR(VLOOKUP($S712,'TA database'!$I$146:$J$193,2,FALSE),0)</f>
        <v>0</v>
      </c>
      <c r="X712">
        <f ca="1">IFERROR(VLOOKUP($S712,'TA database'!$I$200:$J$271,2,FALSE),0)</f>
        <v>4.7965352483301787E-3</v>
      </c>
      <c r="Y712">
        <f t="shared" ca="1" si="2085"/>
        <v>0.69281431356643597</v>
      </c>
      <c r="Z712" t="str">
        <f t="shared" si="2095"/>
        <v>NG_SR_LRG_C   →   C_UNDRGRND_STRG   →   LQ_TRUCK   →   H2_CCGT_PWR</v>
      </c>
      <c r="AA712" t="str">
        <f t="shared" si="2096"/>
        <v>Grid electricity</v>
      </c>
      <c r="AB712" t="str">
        <f t="shared" si="2097"/>
        <v>Levelized cost</v>
      </c>
      <c r="AC712">
        <f t="shared" ca="1" si="2098"/>
        <v>0.69281431356643597</v>
      </c>
      <c r="AD712">
        <v>653</v>
      </c>
      <c r="AE712" t="str">
        <f>IF(AND(ISNUMBER(SEARCH(O712,4)),ISNUMBER(SEARCH('(4) FCH pathway assessment'!$B$16,AB712)),ISNUMBER(SEARCH('(4) FCH pathway assessment'!$B$10,AA712))),AD712,"")</f>
        <v/>
      </c>
      <c r="AF712" t="str">
        <f t="shared" si="2070"/>
        <v/>
      </c>
      <c r="AG712" t="str">
        <f>VLOOKUP(C712,Assumptions!$B$116:$C$162,2,FALSE)</f>
        <v>NG_SR_LRG_C</v>
      </c>
      <c r="AH712" t="str">
        <f>VLOOKUP(D712,Assumptions!$B$116:$C$162,2,FALSE)</f>
        <v>C_UNDRGRND_STRG</v>
      </c>
      <c r="AI712" t="str">
        <f>VLOOKUP(E712,Assumptions!$B$116:$C$162,2,FALSE)</f>
        <v>LQ_TRUCK</v>
      </c>
      <c r="AJ712" t="str">
        <f>VLOOKUP(F712,Assumptions!$B$116:$C$162,2,FALSE)</f>
        <v>H2_CCGT_PWR</v>
      </c>
    </row>
    <row r="713" spans="2:36" x14ac:dyDescent="0.25">
      <c r="B713" t="s">
        <v>127</v>
      </c>
      <c r="C713" t="s">
        <v>57</v>
      </c>
      <c r="D713" t="s">
        <v>62</v>
      </c>
      <c r="E713" t="s">
        <v>66</v>
      </c>
      <c r="F713" t="s">
        <v>163</v>
      </c>
      <c r="G713" t="s">
        <v>114</v>
      </c>
      <c r="H713" t="s">
        <v>433</v>
      </c>
      <c r="I713" t="s">
        <v>32</v>
      </c>
      <c r="J713" t="s">
        <v>72</v>
      </c>
      <c r="K713">
        <f t="shared" si="2086"/>
        <v>1</v>
      </c>
      <c r="L713">
        <f t="shared" si="2087"/>
        <v>0</v>
      </c>
      <c r="M713">
        <f t="shared" si="2088"/>
        <v>1</v>
      </c>
      <c r="N713">
        <f t="shared" si="2089"/>
        <v>0</v>
      </c>
      <c r="O713">
        <f t="shared" si="2090"/>
        <v>2</v>
      </c>
      <c r="P713" t="str">
        <f t="shared" si="2091"/>
        <v>Large centralized natural gas steam reforming-Levelized cost</v>
      </c>
      <c r="Q713" t="str">
        <f t="shared" si="2092"/>
        <v>Underground storage-Levelized cost</v>
      </c>
      <c r="R713" t="str">
        <f t="shared" si="2093"/>
        <v>Onsite-Levelized cost</v>
      </c>
      <c r="S713" t="str">
        <f t="shared" si="2094"/>
        <v>Hydrogen turbine (CC)-Levelized cost</v>
      </c>
      <c r="T713">
        <f ca="1">IF(timePeriod="2020-30",(VLOOKUP($P713,'TA database'!$I$8:$J$79,2,FALSE)/VLOOKUP($D713,'Merit calculation'!$B$48:$I$52,5,FALSE)/VLOOKUP($E713,'Merit calculation'!$B$67:$I$73,5,FALSE)/VLOOKUP($F713,'Merit calculation'!$B$90:$I$103,5,FALSE)/energyContentH2),(VLOOKUP($P713,'TA database'!$I$8:$J$79,2,FALSE)/VLOOKUP($D713,'Merit calculation'!$B$48:$I$52,7,FALSE)/VLOOKUP($E713,'Merit calculation'!$B$67:$I$73,7,FALSE)/VLOOKUP($F713,'Merit calculation'!$B$90:$I$103,7,FALSE)/energyContentH2))</f>
        <v>0.11359321937023098</v>
      </c>
      <c r="U713">
        <f ca="1">IF(timePeriod="2020-30",(VLOOKUP($Q713,'TA database'!$I$86:$J$105,2,FALSE)/VLOOKUP($E713,'Merit calculation'!$B$67:$I$73,5,FALSE)/VLOOKUP($F713,'Merit calculation'!$B$90:$I$104,5,FALSE)/energyContentH2),VLOOKUP($Q713,'TA database'!$I$86:$J$105,2,FALSE)/VLOOKUP($E713,'Merit calculation'!$B$67:$I$73,7,FALSE)/VLOOKUP($F713,'Merit calculation'!$B$90:$I$104,7,FALSE)/energyContentH2)</f>
        <v>3.2519820289956581E-4</v>
      </c>
      <c r="V713">
        <f ca="1">IF(timePeriod="2020-30",(VLOOKUP($R713,'TA database'!$I$112:$J$139,2,FALSE)/VLOOKUP($F713,'Merit calculation'!$B$90:$I$104,5,FALSE)/energyContentH2),(VLOOKUP($R713,'TA database'!$I$112:$J$139,2,FALSE)/VLOOKUP($F713,'Merit calculation'!$B$90:$I$104,7,FALSE)/energyContentH2))</f>
        <v>0</v>
      </c>
      <c r="W713">
        <f>IFERROR(VLOOKUP($S713,'TA database'!$I$146:$J$193,2,FALSE),0)</f>
        <v>0</v>
      </c>
      <c r="X713">
        <f ca="1">IFERROR(VLOOKUP($S713,'TA database'!$I$200:$J$271,2,FALSE),0)</f>
        <v>4.7965352483301787E-3</v>
      </c>
      <c r="Y713">
        <f t="shared" ca="1" si="2085"/>
        <v>0.4149028385116002</v>
      </c>
      <c r="Z713" t="str">
        <f t="shared" si="2095"/>
        <v>NG_SR_LRG_C   →   C_UNDRGRND_STRG   →   ONSITE_USE   →   H2_CCGT_PWR</v>
      </c>
      <c r="AA713" t="str">
        <f t="shared" si="2096"/>
        <v>Grid electricity</v>
      </c>
      <c r="AB713" t="str">
        <f t="shared" si="2097"/>
        <v>Levelized cost</v>
      </c>
      <c r="AC713">
        <f t="shared" ca="1" si="2098"/>
        <v>0.4149028385116002</v>
      </c>
      <c r="AD713">
        <v>654</v>
      </c>
      <c r="AE713" t="str">
        <f>IF(AND(ISNUMBER(SEARCH(O713,4)),ISNUMBER(SEARCH('(4) FCH pathway assessment'!$B$16,AB713)),ISNUMBER(SEARCH('(4) FCH pathway assessment'!$B$10,AA713))),AD713,"")</f>
        <v/>
      </c>
      <c r="AF713" t="str">
        <f t="shared" si="2070"/>
        <v/>
      </c>
      <c r="AG713" t="str">
        <f>VLOOKUP(C713,Assumptions!$B$116:$C$162,2,FALSE)</f>
        <v>NG_SR_LRG_C</v>
      </c>
      <c r="AH713" t="str">
        <f>VLOOKUP(D713,Assumptions!$B$116:$C$162,2,FALSE)</f>
        <v>C_UNDRGRND_STRG</v>
      </c>
      <c r="AI713" t="str">
        <f>VLOOKUP(E713,Assumptions!$B$116:$C$162,2,FALSE)</f>
        <v>ONSITE_USE</v>
      </c>
      <c r="AJ713" t="str">
        <f>VLOOKUP(F713,Assumptions!$B$116:$C$162,2,FALSE)</f>
        <v>H2_CCGT_PWR</v>
      </c>
    </row>
    <row r="714" spans="2:36" x14ac:dyDescent="0.25">
      <c r="B714" t="s">
        <v>127</v>
      </c>
      <c r="C714" t="s">
        <v>57</v>
      </c>
      <c r="D714" s="61" t="s">
        <v>63</v>
      </c>
      <c r="E714" t="s">
        <v>122</v>
      </c>
      <c r="F714" t="s">
        <v>163</v>
      </c>
      <c r="G714" t="s">
        <v>114</v>
      </c>
      <c r="H714" t="s">
        <v>433</v>
      </c>
      <c r="I714" t="s">
        <v>32</v>
      </c>
      <c r="J714" t="s">
        <v>72</v>
      </c>
      <c r="K714">
        <f t="shared" si="2086"/>
        <v>1</v>
      </c>
      <c r="L714">
        <f t="shared" si="2087"/>
        <v>1</v>
      </c>
      <c r="M714">
        <f t="shared" si="2088"/>
        <v>1</v>
      </c>
      <c r="N714">
        <f t="shared" si="2089"/>
        <v>0</v>
      </c>
      <c r="O714">
        <f t="shared" si="2090"/>
        <v>3</v>
      </c>
      <c r="P714" t="str">
        <f t="shared" si="2091"/>
        <v>Large centralized natural gas steam reforming-Levelized cost</v>
      </c>
      <c r="Q714" t="str">
        <f t="shared" si="2092"/>
        <v>No storage-Levelized cost</v>
      </c>
      <c r="R714" t="str">
        <f t="shared" si="2093"/>
        <v>Hydrogen transmission &amp; distribution pipeline-Levelized cost</v>
      </c>
      <c r="S714" t="str">
        <f t="shared" si="2094"/>
        <v>Hydrogen turbine (CC)-Levelized cost</v>
      </c>
      <c r="T714">
        <f ca="1">IF(timePeriod="2020-30",(VLOOKUP($P714,'TA database'!$I$8:$J$79,2,FALSE)/VLOOKUP($D714,'Merit calculation'!$B$48:$I$52,5,FALSE)/VLOOKUP($E714,'Merit calculation'!$B$67:$I$73,5,FALSE)/VLOOKUP($F714,'Merit calculation'!$B$90:$I$103,5,FALSE)/energyContentH2),(VLOOKUP($P714,'TA database'!$I$8:$J$79,2,FALSE)/VLOOKUP($D714,'Merit calculation'!$B$48:$I$52,7,FALSE)/VLOOKUP($E714,'Merit calculation'!$B$67:$I$73,7,FALSE)/VLOOKUP($F714,'Merit calculation'!$B$90:$I$103,7,FALSE)/energyContentH2))</f>
        <v>0.11359321937023098</v>
      </c>
      <c r="U714">
        <f ca="1">IF(timePeriod="2020-30",(VLOOKUP($Q714,'TA database'!$I$86:$J$105,2,FALSE)/VLOOKUP($E714,'Merit calculation'!$B$67:$I$73,5,FALSE)/VLOOKUP($F714,'Merit calculation'!$B$90:$I$104,5,FALSE)/energyContentH2),VLOOKUP($Q714,'TA database'!$I$86:$J$105,2,FALSE)/VLOOKUP($E714,'Merit calculation'!$B$67:$I$73,7,FALSE)/VLOOKUP($F714,'Merit calculation'!$B$90:$I$104,7,FALSE)/energyContentH2)</f>
        <v>0</v>
      </c>
      <c r="V714">
        <f ca="1">IF(timePeriod="2020-30",(VLOOKUP($R714,'TA database'!$I$112:$J$139,2,FALSE)/VLOOKUP($F714,'Merit calculation'!$B$90:$I$104,5,FALSE)/energyContentH2),(VLOOKUP($R714,'TA database'!$I$112:$J$139,2,FALSE)/VLOOKUP($F714,'Merit calculation'!$B$90:$I$104,7,FALSE)/energyContentH2))</f>
        <v>8.7934909049694424E-3</v>
      </c>
      <c r="W714">
        <f>IFERROR(VLOOKUP($S714,'TA database'!$I$146:$J$193,2,FALSE),0)</f>
        <v>0</v>
      </c>
      <c r="X714">
        <f ca="1">IFERROR(VLOOKUP($S714,'TA database'!$I$200:$J$271,2,FALSE),0)</f>
        <v>4.7965352483301787E-3</v>
      </c>
      <c r="Y714">
        <f t="shared" ca="1" si="2085"/>
        <v>0.44538869223905175</v>
      </c>
      <c r="Z714" t="str">
        <f t="shared" si="2095"/>
        <v>NG_SR_LRG_C   →   NO_STRG   →   H2_T&amp;D_P   →   H2_CCGT_PWR</v>
      </c>
      <c r="AA714" t="str">
        <f t="shared" si="2096"/>
        <v>Grid electricity</v>
      </c>
      <c r="AB714" t="str">
        <f t="shared" si="2097"/>
        <v>Levelized cost</v>
      </c>
      <c r="AC714">
        <f t="shared" ca="1" si="2098"/>
        <v>0.44538869223905175</v>
      </c>
      <c r="AD714">
        <v>655</v>
      </c>
      <c r="AE714" t="str">
        <f>IF(AND(ISNUMBER(SEARCH(O714,4)),ISNUMBER(SEARCH('(4) FCH pathway assessment'!$B$16,AB714)),ISNUMBER(SEARCH('(4) FCH pathway assessment'!$B$10,AA714))),AD714,"")</f>
        <v/>
      </c>
      <c r="AF714" t="str">
        <f t="shared" si="2070"/>
        <v/>
      </c>
      <c r="AG714" t="str">
        <f>VLOOKUP(C714,Assumptions!$B$116:$C$162,2,FALSE)</f>
        <v>NG_SR_LRG_C</v>
      </c>
      <c r="AH714" t="str">
        <f>VLOOKUP(D714,Assumptions!$B$116:$C$162,2,FALSE)</f>
        <v>NO_STRG</v>
      </c>
      <c r="AI714" t="str">
        <f>VLOOKUP(E714,Assumptions!$B$116:$C$162,2,FALSE)</f>
        <v>H2_T&amp;D_P</v>
      </c>
      <c r="AJ714" t="str">
        <f>VLOOKUP(F714,Assumptions!$B$116:$C$162,2,FALSE)</f>
        <v>H2_CCGT_PWR</v>
      </c>
    </row>
    <row r="715" spans="2:36" x14ac:dyDescent="0.25">
      <c r="B715" t="s">
        <v>127</v>
      </c>
      <c r="C715" t="s">
        <v>58</v>
      </c>
      <c r="D715" t="s">
        <v>155</v>
      </c>
      <c r="E715" t="s">
        <v>157</v>
      </c>
      <c r="F715" t="s">
        <v>163</v>
      </c>
      <c r="G715" t="s">
        <v>114</v>
      </c>
      <c r="H715" t="s">
        <v>433</v>
      </c>
      <c r="I715" t="s">
        <v>32</v>
      </c>
      <c r="J715" t="s">
        <v>72</v>
      </c>
      <c r="K715">
        <f t="shared" si="2086"/>
        <v>1</v>
      </c>
      <c r="L715">
        <f t="shared" si="2087"/>
        <v>1</v>
      </c>
      <c r="M715">
        <f t="shared" si="2088"/>
        <v>0</v>
      </c>
      <c r="N715">
        <f t="shared" si="2089"/>
        <v>0</v>
      </c>
      <c r="O715">
        <f t="shared" si="2090"/>
        <v>2</v>
      </c>
      <c r="P715" t="str">
        <f t="shared" si="2091"/>
        <v>Small centralized natural gas steam reforming-Levelized cost</v>
      </c>
      <c r="Q715" t="str">
        <f t="shared" si="2092"/>
        <v>Central gas storage-Levelized cost</v>
      </c>
      <c r="R715" t="str">
        <f t="shared" si="2093"/>
        <v>Blending in natural gas pipeline-Levelized cost</v>
      </c>
      <c r="S715" t="str">
        <f t="shared" si="2094"/>
        <v>Hydrogen turbine (CC)-Levelized cost</v>
      </c>
      <c r="T715">
        <f ca="1">IF(timePeriod="2020-30",(VLOOKUP($P715,'TA database'!$I$8:$J$79,2,FALSE)/VLOOKUP($D715,'Merit calculation'!$B$48:$I$52,5,FALSE)/VLOOKUP($E715,'Merit calculation'!$B$67:$I$73,5,FALSE)/VLOOKUP($F715,'Merit calculation'!$B$90:$I$103,5,FALSE)/energyContentH2),(VLOOKUP($P715,'TA database'!$I$8:$J$79,2,FALSE)/VLOOKUP($D715,'Merit calculation'!$B$48:$I$52,7,FALSE)/VLOOKUP($E715,'Merit calculation'!$B$67:$I$73,7,FALSE)/VLOOKUP($F715,'Merit calculation'!$B$90:$I$103,7,FALSE)/energyContentH2))</f>
        <v>0.11774868576000037</v>
      </c>
      <c r="U715">
        <f ca="1">IF(timePeriod="2020-30",(VLOOKUP($Q715,'TA database'!$I$86:$J$105,2,FALSE)/VLOOKUP($E715,'Merit calculation'!$B$67:$I$73,5,FALSE)/VLOOKUP($F715,'Merit calculation'!$B$90:$I$104,5,FALSE)/energyContentH2),VLOOKUP($Q715,'TA database'!$I$86:$J$105,2,FALSE)/VLOOKUP($E715,'Merit calculation'!$B$67:$I$73,7,FALSE)/VLOOKUP($F715,'Merit calculation'!$B$90:$I$104,7,FALSE)/energyContentH2)</f>
        <v>1.6492020056890072E-3</v>
      </c>
      <c r="V715">
        <f ca="1">IF(timePeriod="2020-30",(VLOOKUP($R715,'TA database'!$I$112:$J$139,2,FALSE)/VLOOKUP($F715,'Merit calculation'!$B$90:$I$104,5,FALSE)/energyContentH2),(VLOOKUP($R715,'TA database'!$I$112:$J$139,2,FALSE)/VLOOKUP($F715,'Merit calculation'!$B$90:$I$104,7,FALSE)/energyContentH2))</f>
        <v>4.7262844150234304E-3</v>
      </c>
      <c r="W715">
        <f>IFERROR(VLOOKUP($S715,'TA database'!$I$146:$J$193,2,FALSE),0)</f>
        <v>0</v>
      </c>
      <c r="X715">
        <f ca="1">IFERROR(VLOOKUP($S715,'TA database'!$I$200:$J$271,2,FALSE),0)</f>
        <v>4.7965352483301787E-3</v>
      </c>
      <c r="Y715">
        <f t="shared" ref="Y715:Y719" ca="1" si="2099">IF($W715=0,T715*3.6+U715*3.6+V715*3.6+X715,T715+U715+V715+W715)</f>
        <v>0.45164355509889637</v>
      </c>
      <c r="Z715" t="str">
        <f t="shared" si="2095"/>
        <v>NG_SR_SML_C   →   C_GAS_STRG   →   H2_BLND_NG_P   →   H2_CCGT_PWR</v>
      </c>
      <c r="AA715" t="str">
        <f t="shared" si="2096"/>
        <v>Grid electricity</v>
      </c>
      <c r="AB715" t="str">
        <f t="shared" si="2097"/>
        <v>Levelized cost</v>
      </c>
      <c r="AC715">
        <f t="shared" ca="1" si="2098"/>
        <v>0.45164355509889637</v>
      </c>
      <c r="AD715">
        <v>656</v>
      </c>
      <c r="AE715" t="str">
        <f>IF(AND(ISNUMBER(SEARCH(O715,4)),ISNUMBER(SEARCH('(4) FCH pathway assessment'!$B$16,AB715)),ISNUMBER(SEARCH('(4) FCH pathway assessment'!$B$10,AA715))),AD715,"")</f>
        <v/>
      </c>
      <c r="AF715" t="str">
        <f t="shared" si="2070"/>
        <v/>
      </c>
      <c r="AG715" t="str">
        <f>VLOOKUP(C715,Assumptions!$B$116:$C$162,2,FALSE)</f>
        <v>NG_SR_SML_C</v>
      </c>
      <c r="AH715" t="str">
        <f>VLOOKUP(D715,Assumptions!$B$116:$C$162,2,FALSE)</f>
        <v>C_GAS_STRG</v>
      </c>
      <c r="AI715" t="str">
        <f>VLOOKUP(E715,Assumptions!$B$116:$C$162,2,FALSE)</f>
        <v>H2_BLND_NG_P</v>
      </c>
      <c r="AJ715" t="str">
        <f>VLOOKUP(F715,Assumptions!$B$116:$C$162,2,FALSE)</f>
        <v>H2_CCGT_PWR</v>
      </c>
    </row>
    <row r="716" spans="2:36" x14ac:dyDescent="0.25">
      <c r="B716" t="s">
        <v>127</v>
      </c>
      <c r="C716" t="s">
        <v>58</v>
      </c>
      <c r="D716" t="s">
        <v>155</v>
      </c>
      <c r="E716" t="s">
        <v>122</v>
      </c>
      <c r="F716" t="s">
        <v>163</v>
      </c>
      <c r="G716" t="s">
        <v>114</v>
      </c>
      <c r="H716" t="s">
        <v>433</v>
      </c>
      <c r="I716" t="s">
        <v>32</v>
      </c>
      <c r="J716" t="s">
        <v>72</v>
      </c>
      <c r="K716">
        <f t="shared" si="2086"/>
        <v>1</v>
      </c>
      <c r="L716">
        <f t="shared" si="2087"/>
        <v>1</v>
      </c>
      <c r="M716">
        <f t="shared" si="2088"/>
        <v>1</v>
      </c>
      <c r="N716">
        <f t="shared" si="2089"/>
        <v>0</v>
      </c>
      <c r="O716">
        <f t="shared" si="2090"/>
        <v>3</v>
      </c>
      <c r="P716" t="str">
        <f t="shared" si="2091"/>
        <v>Small centralized natural gas steam reforming-Levelized cost</v>
      </c>
      <c r="Q716" t="str">
        <f t="shared" si="2092"/>
        <v>Central gas storage-Levelized cost</v>
      </c>
      <c r="R716" t="str">
        <f t="shared" si="2093"/>
        <v>Hydrogen transmission &amp; distribution pipeline-Levelized cost</v>
      </c>
      <c r="S716" t="str">
        <f t="shared" si="2094"/>
        <v>Hydrogen turbine (CC)-Levelized cost</v>
      </c>
      <c r="T716">
        <f ca="1">IF(timePeriod="2020-30",(VLOOKUP($P716,'TA database'!$I$8:$J$79,2,FALSE)/VLOOKUP($D716,'Merit calculation'!$B$48:$I$52,5,FALSE)/VLOOKUP($E716,'Merit calculation'!$B$67:$I$73,5,FALSE)/VLOOKUP($F716,'Merit calculation'!$B$90:$I$103,5,FALSE)/energyContentH2),(VLOOKUP($P716,'TA database'!$I$8:$J$79,2,FALSE)/VLOOKUP($D716,'Merit calculation'!$B$48:$I$52,7,FALSE)/VLOOKUP($E716,'Merit calculation'!$B$67:$I$73,7,FALSE)/VLOOKUP($F716,'Merit calculation'!$B$90:$I$103,7,FALSE)/energyContentH2))</f>
        <v>0.11774868576000037</v>
      </c>
      <c r="U716">
        <f ca="1">IF(timePeriod="2020-30",(VLOOKUP($Q716,'TA database'!$I$86:$J$105,2,FALSE)/VLOOKUP($E716,'Merit calculation'!$B$67:$I$73,5,FALSE)/VLOOKUP($F716,'Merit calculation'!$B$90:$I$104,5,FALSE)/energyContentH2),VLOOKUP($Q716,'TA database'!$I$86:$J$105,2,FALSE)/VLOOKUP($E716,'Merit calculation'!$B$67:$I$73,7,FALSE)/VLOOKUP($F716,'Merit calculation'!$B$90:$I$104,7,FALSE)/energyContentH2)</f>
        <v>1.6492020056890072E-3</v>
      </c>
      <c r="V716">
        <f ca="1">IF(timePeriod="2020-30",(VLOOKUP($R716,'TA database'!$I$112:$J$139,2,FALSE)/VLOOKUP($F716,'Merit calculation'!$B$90:$I$104,5,FALSE)/energyContentH2),(VLOOKUP($R716,'TA database'!$I$112:$J$139,2,FALSE)/VLOOKUP($F716,'Merit calculation'!$B$90:$I$104,7,FALSE)/energyContentH2))</f>
        <v>8.7934909049694424E-3</v>
      </c>
      <c r="W716">
        <f>IFERROR(VLOOKUP($S716,'TA database'!$I$146:$J$193,2,FALSE),0)</f>
        <v>0</v>
      </c>
      <c r="X716">
        <f ca="1">IFERROR(VLOOKUP($S716,'TA database'!$I$200:$J$271,2,FALSE),0)</f>
        <v>4.7965352483301787E-3</v>
      </c>
      <c r="Y716">
        <f t="shared" ca="1" si="2099"/>
        <v>0.46628549846270201</v>
      </c>
      <c r="Z716" t="str">
        <f t="shared" si="2095"/>
        <v>NG_SR_SML_C   →   C_GAS_STRG   →   H2_T&amp;D_P   →   H2_CCGT_PWR</v>
      </c>
      <c r="AA716" t="str">
        <f t="shared" si="2096"/>
        <v>Grid electricity</v>
      </c>
      <c r="AB716" t="str">
        <f t="shared" si="2097"/>
        <v>Levelized cost</v>
      </c>
      <c r="AC716">
        <f t="shared" ca="1" si="2098"/>
        <v>0.46628549846270201</v>
      </c>
      <c r="AD716">
        <v>657</v>
      </c>
      <c r="AE716" t="str">
        <f>IF(AND(ISNUMBER(SEARCH(O716,4)),ISNUMBER(SEARCH('(4) FCH pathway assessment'!$B$16,AB716)),ISNUMBER(SEARCH('(4) FCH pathway assessment'!$B$10,AA716))),AD716,"")</f>
        <v/>
      </c>
      <c r="AF716" t="str">
        <f t="shared" si="2070"/>
        <v/>
      </c>
      <c r="AG716" t="str">
        <f>VLOOKUP(C716,Assumptions!$B$116:$C$162,2,FALSE)</f>
        <v>NG_SR_SML_C</v>
      </c>
      <c r="AH716" t="str">
        <f>VLOOKUP(D716,Assumptions!$B$116:$C$162,2,FALSE)</f>
        <v>C_GAS_STRG</v>
      </c>
      <c r="AI716" t="str">
        <f>VLOOKUP(E716,Assumptions!$B$116:$C$162,2,FALSE)</f>
        <v>H2_T&amp;D_P</v>
      </c>
      <c r="AJ716" t="str">
        <f>VLOOKUP(F716,Assumptions!$B$116:$C$162,2,FALSE)</f>
        <v>H2_CCGT_PWR</v>
      </c>
    </row>
    <row r="717" spans="2:36" x14ac:dyDescent="0.25">
      <c r="B717" t="s">
        <v>127</v>
      </c>
      <c r="C717" t="s">
        <v>58</v>
      </c>
      <c r="D717" t="s">
        <v>155</v>
      </c>
      <c r="E717" t="s">
        <v>116</v>
      </c>
      <c r="F717" t="s">
        <v>163</v>
      </c>
      <c r="G717" t="s">
        <v>114</v>
      </c>
      <c r="H717" t="s">
        <v>433</v>
      </c>
      <c r="I717" t="s">
        <v>32</v>
      </c>
      <c r="J717" t="s">
        <v>72</v>
      </c>
      <c r="K717">
        <f t="shared" si="2086"/>
        <v>1</v>
      </c>
      <c r="L717">
        <f t="shared" si="2087"/>
        <v>1</v>
      </c>
      <c r="M717">
        <f t="shared" si="2088"/>
        <v>1</v>
      </c>
      <c r="N717">
        <f t="shared" si="2089"/>
        <v>0</v>
      </c>
      <c r="O717">
        <f t="shared" si="2090"/>
        <v>3</v>
      </c>
      <c r="P717" t="str">
        <f t="shared" si="2091"/>
        <v>Small centralized natural gas steam reforming-Levelized cost</v>
      </c>
      <c r="Q717" t="str">
        <f t="shared" si="2092"/>
        <v>Central gas storage-Levelized cost</v>
      </c>
      <c r="R717" t="str">
        <f t="shared" si="2093"/>
        <v>Liquid hydrogen truck-Levelized cost</v>
      </c>
      <c r="S717" t="str">
        <f t="shared" si="2094"/>
        <v>Hydrogen turbine (CC)-Levelized cost</v>
      </c>
      <c r="T717">
        <f ca="1">IF(timePeriod="2020-30",(VLOOKUP($P717,'TA database'!$I$8:$J$79,2,FALSE)/VLOOKUP($D717,'Merit calculation'!$B$48:$I$52,5,FALSE)/VLOOKUP($E717,'Merit calculation'!$B$67:$I$73,5,FALSE)/VLOOKUP($F717,'Merit calculation'!$B$90:$I$103,5,FALSE)/energyContentH2),(VLOOKUP($P717,'TA database'!$I$8:$J$79,2,FALSE)/VLOOKUP($D717,'Merit calculation'!$B$48:$I$52,7,FALSE)/VLOOKUP($E717,'Merit calculation'!$B$67:$I$73,7,FALSE)/VLOOKUP($F717,'Merit calculation'!$B$90:$I$103,7,FALSE)/energyContentH2))</f>
        <v>0.13602240245320932</v>
      </c>
      <c r="U717">
        <f ca="1">IF(timePeriod="2020-30",(VLOOKUP($Q717,'TA database'!$I$86:$J$105,2,FALSE)/VLOOKUP($E717,'Merit calculation'!$B$67:$I$73,5,FALSE)/VLOOKUP($F717,'Merit calculation'!$B$90:$I$104,5,FALSE)/energyContentH2),VLOOKUP($Q717,'TA database'!$I$86:$J$105,2,FALSE)/VLOOKUP($E717,'Merit calculation'!$B$67:$I$73,7,FALSE)/VLOOKUP($F717,'Merit calculation'!$B$90:$I$104,7,FALSE)/energyContentH2)</f>
        <v>1.9051458408776167E-3</v>
      </c>
      <c r="V717">
        <f ca="1">IF(timePeriod="2020-30",(VLOOKUP($R717,'TA database'!$I$112:$J$139,2,FALSE)/VLOOKUP($F717,'Merit calculation'!$B$90:$I$104,5,FALSE)/energyContentH2),(VLOOKUP($R717,'TA database'!$I$112:$J$139,2,FALSE)/VLOOKUP($F717,'Merit calculation'!$B$90:$I$104,7,FALSE)/energyContentH2))</f>
        <v>5.8189074534988582E-2</v>
      </c>
      <c r="W717">
        <f>IFERROR(VLOOKUP($S717,'TA database'!$I$146:$J$193,2,FALSE),0)</f>
        <v>0</v>
      </c>
      <c r="X717">
        <f ca="1">IFERROR(VLOOKUP($S717,'TA database'!$I$200:$J$271,2,FALSE),0)</f>
        <v>4.7965352483301787E-3</v>
      </c>
      <c r="Y717">
        <f t="shared" ca="1" si="2099"/>
        <v>0.71081637743300208</v>
      </c>
      <c r="Z717" t="str">
        <f t="shared" si="2095"/>
        <v>NG_SR_SML_C   →   C_GAS_STRG   →   LQ_TRUCK   →   H2_CCGT_PWR</v>
      </c>
      <c r="AA717" t="str">
        <f t="shared" si="2096"/>
        <v>Grid electricity</v>
      </c>
      <c r="AB717" t="str">
        <f t="shared" si="2097"/>
        <v>Levelized cost</v>
      </c>
      <c r="AC717">
        <f t="shared" ca="1" si="2098"/>
        <v>0.71081637743300208</v>
      </c>
      <c r="AD717">
        <v>658</v>
      </c>
      <c r="AE717" t="str">
        <f>IF(AND(ISNUMBER(SEARCH(O717,4)),ISNUMBER(SEARCH('(4) FCH pathway assessment'!$B$16,AB717)),ISNUMBER(SEARCH('(4) FCH pathway assessment'!$B$10,AA717))),AD717,"")</f>
        <v/>
      </c>
      <c r="AF717" t="str">
        <f t="shared" si="2070"/>
        <v/>
      </c>
      <c r="AG717" t="str">
        <f>VLOOKUP(C717,Assumptions!$B$116:$C$162,2,FALSE)</f>
        <v>NG_SR_SML_C</v>
      </c>
      <c r="AH717" t="str">
        <f>VLOOKUP(D717,Assumptions!$B$116:$C$162,2,FALSE)</f>
        <v>C_GAS_STRG</v>
      </c>
      <c r="AI717" t="str">
        <f>VLOOKUP(E717,Assumptions!$B$116:$C$162,2,FALSE)</f>
        <v>LQ_TRUCK</v>
      </c>
      <c r="AJ717" t="str">
        <f>VLOOKUP(F717,Assumptions!$B$116:$C$162,2,FALSE)</f>
        <v>H2_CCGT_PWR</v>
      </c>
    </row>
    <row r="718" spans="2:36" x14ac:dyDescent="0.25">
      <c r="B718" t="s">
        <v>127</v>
      </c>
      <c r="C718" t="s">
        <v>58</v>
      </c>
      <c r="D718" t="s">
        <v>155</v>
      </c>
      <c r="E718" t="s">
        <v>66</v>
      </c>
      <c r="F718" t="s">
        <v>163</v>
      </c>
      <c r="G718" t="s">
        <v>114</v>
      </c>
      <c r="H718" t="s">
        <v>433</v>
      </c>
      <c r="I718" t="s">
        <v>32</v>
      </c>
      <c r="J718" t="s">
        <v>72</v>
      </c>
      <c r="K718">
        <f t="shared" si="2086"/>
        <v>1</v>
      </c>
      <c r="L718">
        <f t="shared" si="2087"/>
        <v>1</v>
      </c>
      <c r="M718">
        <f t="shared" si="2088"/>
        <v>1</v>
      </c>
      <c r="N718">
        <f t="shared" si="2089"/>
        <v>0</v>
      </c>
      <c r="O718">
        <f t="shared" si="2090"/>
        <v>3</v>
      </c>
      <c r="P718" t="str">
        <f t="shared" si="2091"/>
        <v>Small centralized natural gas steam reforming-Levelized cost</v>
      </c>
      <c r="Q718" t="str">
        <f t="shared" si="2092"/>
        <v>Central gas storage-Levelized cost</v>
      </c>
      <c r="R718" t="str">
        <f t="shared" si="2093"/>
        <v>Onsite-Levelized cost</v>
      </c>
      <c r="S718" t="str">
        <f t="shared" si="2094"/>
        <v>Hydrogen turbine (CC)-Levelized cost</v>
      </c>
      <c r="T718">
        <f ca="1">IF(timePeriod="2020-30",(VLOOKUP($P718,'TA database'!$I$8:$J$79,2,FALSE)/VLOOKUP($D718,'Merit calculation'!$B$48:$I$52,5,FALSE)/VLOOKUP($E718,'Merit calculation'!$B$67:$I$73,5,FALSE)/VLOOKUP($F718,'Merit calculation'!$B$90:$I$103,5,FALSE)/energyContentH2),(VLOOKUP($P718,'TA database'!$I$8:$J$79,2,FALSE)/VLOOKUP($D718,'Merit calculation'!$B$48:$I$52,7,FALSE)/VLOOKUP($E718,'Merit calculation'!$B$67:$I$73,7,FALSE)/VLOOKUP($F718,'Merit calculation'!$B$90:$I$103,7,FALSE)/energyContentH2))</f>
        <v>0.11657119890240036</v>
      </c>
      <c r="U718">
        <f ca="1">IF(timePeriod="2020-30",(VLOOKUP($Q718,'TA database'!$I$86:$J$105,2,FALSE)/VLOOKUP($E718,'Merit calculation'!$B$67:$I$73,5,FALSE)/VLOOKUP($F718,'Merit calculation'!$B$90:$I$104,5,FALSE)/energyContentH2),VLOOKUP($Q718,'TA database'!$I$86:$J$105,2,FALSE)/VLOOKUP($E718,'Merit calculation'!$B$67:$I$73,7,FALSE)/VLOOKUP($F718,'Merit calculation'!$B$90:$I$104,7,FALSE)/energyContentH2)</f>
        <v>1.6327099856321171E-3</v>
      </c>
      <c r="V718">
        <f ca="1">IF(timePeriod="2020-30",(VLOOKUP($R718,'TA database'!$I$112:$J$139,2,FALSE)/VLOOKUP($F718,'Merit calculation'!$B$90:$I$104,5,FALSE)/energyContentH2),(VLOOKUP($R718,'TA database'!$I$112:$J$139,2,FALSE)/VLOOKUP($F718,'Merit calculation'!$B$90:$I$104,7,FALSE)/energyContentH2))</f>
        <v>0</v>
      </c>
      <c r="W718">
        <f>IFERROR(VLOOKUP($S718,'TA database'!$I$146:$J$193,2,FALSE),0)</f>
        <v>0</v>
      </c>
      <c r="X718">
        <f ca="1">IFERROR(VLOOKUP($S718,'TA database'!$I$200:$J$271,2,FALSE),0)</f>
        <v>4.7965352483301787E-3</v>
      </c>
      <c r="Y718">
        <f t="shared" ca="1" si="2099"/>
        <v>0.43033060724524713</v>
      </c>
      <c r="Z718" t="str">
        <f t="shared" si="2095"/>
        <v>NG_SR_SML_C   →   C_GAS_STRG   →   ONSITE_USE   →   H2_CCGT_PWR</v>
      </c>
      <c r="AA718" t="str">
        <f t="shared" si="2096"/>
        <v>Grid electricity</v>
      </c>
      <c r="AB718" t="str">
        <f t="shared" si="2097"/>
        <v>Levelized cost</v>
      </c>
      <c r="AC718">
        <f t="shared" ca="1" si="2098"/>
        <v>0.43033060724524713</v>
      </c>
      <c r="AD718">
        <v>659</v>
      </c>
      <c r="AE718" t="str">
        <f>IF(AND(ISNUMBER(SEARCH(O718,4)),ISNUMBER(SEARCH('(4) FCH pathway assessment'!$B$16,AB718)),ISNUMBER(SEARCH('(4) FCH pathway assessment'!$B$10,AA718))),AD718,"")</f>
        <v/>
      </c>
      <c r="AF718" t="str">
        <f t="shared" si="2070"/>
        <v/>
      </c>
      <c r="AG718" t="str">
        <f>VLOOKUP(C718,Assumptions!$B$116:$C$162,2,FALSE)</f>
        <v>NG_SR_SML_C</v>
      </c>
      <c r="AH718" t="str">
        <f>VLOOKUP(D718,Assumptions!$B$116:$C$162,2,FALSE)</f>
        <v>C_GAS_STRG</v>
      </c>
      <c r="AI718" t="str">
        <f>VLOOKUP(E718,Assumptions!$B$116:$C$162,2,FALSE)</f>
        <v>ONSITE_USE</v>
      </c>
      <c r="AJ718" t="str">
        <f>VLOOKUP(F718,Assumptions!$B$116:$C$162,2,FALSE)</f>
        <v>H2_CCGT_PWR</v>
      </c>
    </row>
    <row r="719" spans="2:36" x14ac:dyDescent="0.25">
      <c r="B719" t="s">
        <v>127</v>
      </c>
      <c r="C719" t="s">
        <v>59</v>
      </c>
      <c r="D719" s="60" t="s">
        <v>130</v>
      </c>
      <c r="E719" t="s">
        <v>66</v>
      </c>
      <c r="F719" t="s">
        <v>163</v>
      </c>
      <c r="G719" t="s">
        <v>114</v>
      </c>
      <c r="H719" t="s">
        <v>433</v>
      </c>
      <c r="I719" t="s">
        <v>32</v>
      </c>
      <c r="J719" t="s">
        <v>72</v>
      </c>
      <c r="K719">
        <f t="shared" ref="K719" si="2100">SUMPRODUCT(($C$7:$C$18=$C719)*($D$6:$H$6=$D719)*($D$7:$H$18))</f>
        <v>1</v>
      </c>
      <c r="L719">
        <f t="shared" ref="L719" si="2101">SUMPRODUCT(($C$19:$C$23=$D719)*($I$6:$O$6=$E719)*($I$19:$O$23))</f>
        <v>1</v>
      </c>
      <c r="M719">
        <f t="shared" ref="M719" si="2102">SUMPRODUCT(($C$24:$C$30=$E719)*($P$6:$AI$6=$F719)*($P$24:$AI$30))</f>
        <v>1</v>
      </c>
      <c r="N719">
        <f t="shared" ref="N719" si="2103">SUMPRODUCT(($C$31:$C$50=$F719)*($AJ$6:$AM$6=$G719)*($AJ$31:$AM$50))</f>
        <v>0</v>
      </c>
      <c r="O719">
        <f t="shared" ref="O719" si="2104">K719+L719+M719+N719</f>
        <v>3</v>
      </c>
      <c r="P719" t="str">
        <f t="shared" ref="P719" si="2105">CONCATENATE(C719,"-",J719)</f>
        <v>Medium decentralized natural gas steam reforming-Levelized cost</v>
      </c>
      <c r="Q719" t="str">
        <f t="shared" ref="Q719" si="2106">CONCATENATE(D719,"-",J719)</f>
        <v>Distributed gas storage-Levelized cost</v>
      </c>
      <c r="R719" t="str">
        <f t="shared" ref="R719" si="2107">CONCATENATE(E719,"-",J719)</f>
        <v>Onsite-Levelized cost</v>
      </c>
      <c r="S719" t="str">
        <f t="shared" ref="S719" si="2108">CONCATENATE(F719,"-",J719)</f>
        <v>Hydrogen turbine (CC)-Levelized cost</v>
      </c>
      <c r="T719">
        <f ca="1">IF(timePeriod="2020-30",(VLOOKUP($P719,'TA database'!$I$8:$J$79,2,FALSE)/VLOOKUP($D719,'Merit calculation'!$B$48:$I$52,5,FALSE)/VLOOKUP($E719,'Merit calculation'!$B$67:$I$73,5,FALSE)/VLOOKUP($F719,'Merit calculation'!$B$90:$I$103,5,FALSE)/energyContentH2),(VLOOKUP($P719,'TA database'!$I$8:$J$79,2,FALSE)/VLOOKUP($D719,'Merit calculation'!$B$48:$I$52,7,FALSE)/VLOOKUP($E719,'Merit calculation'!$B$67:$I$73,7,FALSE)/VLOOKUP($F719,'Merit calculation'!$B$90:$I$103,7,FALSE)/energyContentH2))</f>
        <v>0.12409355584220796</v>
      </c>
      <c r="U719">
        <f ca="1">IF(timePeriod="2020-30",(VLOOKUP($Q719,'TA database'!$I$86:$J$105,2,FALSE)/VLOOKUP($E719,'Merit calculation'!$B$67:$I$73,5,FALSE)/VLOOKUP($F719,'Merit calculation'!$B$90:$I$104,5,FALSE)/energyContentH2),VLOOKUP($Q719,'TA database'!$I$86:$J$105,2,FALSE)/VLOOKUP($E719,'Merit calculation'!$B$67:$I$73,7,FALSE)/VLOOKUP($F719,'Merit calculation'!$B$90:$I$104,7,FALSE)/energyContentH2)</f>
        <v>2.9025955300126531E-3</v>
      </c>
      <c r="V719">
        <f ca="1">IF(timePeriod="2020-30",(VLOOKUP($R719,'TA database'!$I$112:$J$139,2,FALSE)/VLOOKUP($F719,'Merit calculation'!$B$90:$I$104,5,FALSE)/energyContentH2),(VLOOKUP($R719,'TA database'!$I$112:$J$139,2,FALSE)/VLOOKUP($F719,'Merit calculation'!$B$90:$I$104,7,FALSE)/energyContentH2))</f>
        <v>0</v>
      </c>
      <c r="W719">
        <f>IFERROR(VLOOKUP($S719,'TA database'!$I$146:$J$193,2,FALSE),0)</f>
        <v>0</v>
      </c>
      <c r="X719">
        <f ca="1">IFERROR(VLOOKUP($S719,'TA database'!$I$200:$J$271,2,FALSE),0)</f>
        <v>4.7965352483301787E-3</v>
      </c>
      <c r="Y719">
        <f t="shared" ca="1" si="2099"/>
        <v>0.46198268018832439</v>
      </c>
      <c r="Z719" t="str">
        <f t="shared" ref="Z719" si="2109">CONCATENATE(AG719,"   →   ",AH719,"   →   ",AI719,"   →   ",AJ719)</f>
        <v>NG_SR_MED_D   →   D_GAS_STRG   →   ONSITE_USE   →   H2_CCGT_PWR</v>
      </c>
      <c r="AA719" t="str">
        <f t="shared" ref="AA719" si="2110">G719</f>
        <v>Grid electricity</v>
      </c>
      <c r="AB719" t="str">
        <f t="shared" ref="AB719" si="2111">J719</f>
        <v>Levelized cost</v>
      </c>
      <c r="AC719">
        <f t="shared" ref="AC719" ca="1" si="2112">Y719</f>
        <v>0.46198268018832439</v>
      </c>
      <c r="AD719">
        <v>660</v>
      </c>
      <c r="AE719" t="str">
        <f>IF(AND(ISNUMBER(SEARCH(O719,4)),ISNUMBER(SEARCH('(4) FCH pathway assessment'!$B$16,AB719)),ISNUMBER(SEARCH('(4) FCH pathway assessment'!$B$10,AA719))),AD719,"")</f>
        <v/>
      </c>
      <c r="AF719" t="str">
        <f t="shared" si="2070"/>
        <v/>
      </c>
      <c r="AG719" t="str">
        <f>VLOOKUP(C719,Assumptions!$B$116:$C$162,2,FALSE)</f>
        <v>NG_SR_MED_D</v>
      </c>
      <c r="AH719" t="str">
        <f>VLOOKUP(D719,Assumptions!$B$116:$C$162,2,FALSE)</f>
        <v>D_GAS_STRG</v>
      </c>
      <c r="AI719" t="str">
        <f>VLOOKUP(E719,Assumptions!$B$116:$C$162,2,FALSE)</f>
        <v>ONSITE_USE</v>
      </c>
      <c r="AJ719" t="str">
        <f>VLOOKUP(F719,Assumptions!$B$116:$C$162,2,FALSE)</f>
        <v>H2_CCGT_PWR</v>
      </c>
    </row>
    <row r="720" spans="2:36" x14ac:dyDescent="0.25">
      <c r="B720" t="s">
        <v>127</v>
      </c>
      <c r="C720" t="s">
        <v>60</v>
      </c>
      <c r="D720" s="60" t="s">
        <v>130</v>
      </c>
      <c r="E720" t="s">
        <v>66</v>
      </c>
      <c r="F720" t="s">
        <v>163</v>
      </c>
      <c r="G720" t="s">
        <v>114</v>
      </c>
      <c r="H720" t="s">
        <v>433</v>
      </c>
      <c r="I720" t="s">
        <v>32</v>
      </c>
      <c r="J720" t="s">
        <v>72</v>
      </c>
      <c r="K720">
        <f t="shared" ref="K720:K721" si="2113">SUMPRODUCT(($C$7:$C$18=$C720)*($D$6:$H$6=$D720)*($D$7:$H$18))</f>
        <v>1</v>
      </c>
      <c r="L720">
        <f t="shared" ref="L720:L721" si="2114">SUMPRODUCT(($C$19:$C$23=$D720)*($I$6:$O$6=$E720)*($I$19:$O$23))</f>
        <v>1</v>
      </c>
      <c r="M720">
        <f t="shared" ref="M720:M721" si="2115">SUMPRODUCT(($C$24:$C$30=$E720)*($P$6:$AI$6=$F720)*($P$24:$AI$30))</f>
        <v>1</v>
      </c>
      <c r="N720">
        <f t="shared" ref="N720:N721" si="2116">SUMPRODUCT(($C$31:$C$50=$F720)*($AJ$6:$AM$6=$G720)*($AJ$31:$AM$50))</f>
        <v>0</v>
      </c>
      <c r="O720">
        <f t="shared" ref="O720" si="2117">K720+L720+M720+N720</f>
        <v>3</v>
      </c>
      <c r="P720" t="str">
        <f t="shared" ref="P720:P721" si="2118">CONCATENATE(C720,"-",J720)</f>
        <v>Small decentralized natural gas steam reforming-Levelized cost</v>
      </c>
      <c r="Q720" t="str">
        <f t="shared" ref="Q720:Q721" si="2119">CONCATENATE(D720,"-",J720)</f>
        <v>Distributed gas storage-Levelized cost</v>
      </c>
      <c r="R720" t="str">
        <f t="shared" ref="R720:R721" si="2120">CONCATENATE(E720,"-",J720)</f>
        <v>Onsite-Levelized cost</v>
      </c>
      <c r="S720" t="str">
        <f t="shared" ref="S720:S721" si="2121">CONCATENATE(F720,"-",J720)</f>
        <v>Hydrogen turbine (CC)-Levelized cost</v>
      </c>
      <c r="T720">
        <f ca="1">IF(timePeriod="2020-30",(VLOOKUP($P720,'TA database'!$I$8:$J$79,2,FALSE)/VLOOKUP($D720,'Merit calculation'!$B$48:$I$52,5,FALSE)/VLOOKUP($E720,'Merit calculation'!$B$67:$I$73,5,FALSE)/VLOOKUP($F720,'Merit calculation'!$B$90:$I$103,5,FALSE)/energyContentH2),(VLOOKUP($P720,'TA database'!$I$8:$J$79,2,FALSE)/VLOOKUP($D720,'Merit calculation'!$B$48:$I$52,7,FALSE)/VLOOKUP($E720,'Merit calculation'!$B$67:$I$73,7,FALSE)/VLOOKUP($F720,'Merit calculation'!$B$90:$I$103,7,FALSE)/energyContentH2))</f>
        <v>0.13159515247847084</v>
      </c>
      <c r="U720">
        <f ca="1">IF(timePeriod="2020-30",(VLOOKUP($Q720,'TA database'!$I$86:$J$105,2,FALSE)/VLOOKUP($E720,'Merit calculation'!$B$67:$I$73,5,FALSE)/VLOOKUP($F720,'Merit calculation'!$B$90:$I$104,5,FALSE)/energyContentH2),VLOOKUP($Q720,'TA database'!$I$86:$J$105,2,FALSE)/VLOOKUP($E720,'Merit calculation'!$B$67:$I$73,7,FALSE)/VLOOKUP($F720,'Merit calculation'!$B$90:$I$104,7,FALSE)/energyContentH2)</f>
        <v>2.9025955300126531E-3</v>
      </c>
      <c r="V720">
        <f ca="1">IF(timePeriod="2020-30",(VLOOKUP($R720,'TA database'!$I$112:$J$139,2,FALSE)/VLOOKUP($F720,'Merit calculation'!$B$90:$I$104,5,FALSE)/energyContentH2),(VLOOKUP($R720,'TA database'!$I$112:$J$139,2,FALSE)/VLOOKUP($F720,'Merit calculation'!$B$90:$I$104,7,FALSE)/energyContentH2))</f>
        <v>0</v>
      </c>
      <c r="W720">
        <f>IFERROR(VLOOKUP($S720,'TA database'!$I$146:$J$193,2,FALSE),0)</f>
        <v>0</v>
      </c>
      <c r="X720">
        <f ca="1">IFERROR(VLOOKUP($S720,'TA database'!$I$200:$J$271,2,FALSE),0)</f>
        <v>4.7965352483301787E-3</v>
      </c>
      <c r="Y720">
        <f t="shared" ref="Y720" ca="1" si="2122">IF($W720=0,T720*3.6+U720*3.6+V720*3.6+X720,T720+U720+V720+W720)</f>
        <v>0.48898842807887072</v>
      </c>
      <c r="Z720" t="str">
        <f t="shared" ref="Z720" si="2123">CONCATENATE(AG720,"   →   ",AH720,"   →   ",AI720,"   →   ",AJ720)</f>
        <v>NG_SR_SML_D   →   D_GAS_STRG   →   ONSITE_USE   →   H2_CCGT_PWR</v>
      </c>
      <c r="AA720" t="str">
        <f t="shared" ref="AA720" si="2124">G720</f>
        <v>Grid electricity</v>
      </c>
      <c r="AB720" t="str">
        <f t="shared" ref="AB720" si="2125">J720</f>
        <v>Levelized cost</v>
      </c>
      <c r="AC720">
        <f t="shared" ref="AC720" ca="1" si="2126">Y720</f>
        <v>0.48898842807887072</v>
      </c>
      <c r="AD720">
        <v>661</v>
      </c>
      <c r="AE720" t="str">
        <f>IF(AND(ISNUMBER(SEARCH(O720,4)),ISNUMBER(SEARCH('(4) FCH pathway assessment'!$B$16,AB720)),ISNUMBER(SEARCH('(4) FCH pathway assessment'!$B$10,AA720))),AD720,"")</f>
        <v/>
      </c>
      <c r="AF720" t="str">
        <f t="shared" si="2070"/>
        <v/>
      </c>
      <c r="AG720" t="str">
        <f>VLOOKUP(C720,Assumptions!$B$116:$C$162,2,FALSE)</f>
        <v>NG_SR_SML_D</v>
      </c>
      <c r="AH720" t="str">
        <f>VLOOKUP(D720,Assumptions!$B$116:$C$162,2,FALSE)</f>
        <v>D_GAS_STRG</v>
      </c>
      <c r="AI720" t="str">
        <f>VLOOKUP(E720,Assumptions!$B$116:$C$162,2,FALSE)</f>
        <v>ONSITE_USE</v>
      </c>
      <c r="AJ720" t="str">
        <f>VLOOKUP(F720,Assumptions!$B$116:$C$162,2,FALSE)</f>
        <v>H2_CCGT_PWR</v>
      </c>
    </row>
    <row r="721" spans="2:36" x14ac:dyDescent="0.25">
      <c r="B721" t="s">
        <v>117</v>
      </c>
      <c r="C721" t="s">
        <v>53</v>
      </c>
      <c r="D721" t="s">
        <v>155</v>
      </c>
      <c r="E721" t="s">
        <v>157</v>
      </c>
      <c r="F721" t="s">
        <v>162</v>
      </c>
      <c r="G721" t="s">
        <v>114</v>
      </c>
      <c r="H721" t="s">
        <v>433</v>
      </c>
      <c r="I721" t="s">
        <v>32</v>
      </c>
      <c r="J721" t="s">
        <v>72</v>
      </c>
      <c r="K721">
        <f t="shared" si="2113"/>
        <v>0</v>
      </c>
      <c r="L721">
        <f t="shared" si="2114"/>
        <v>1</v>
      </c>
      <c r="M721">
        <f t="shared" si="2115"/>
        <v>0</v>
      </c>
      <c r="N721">
        <f t="shared" si="2116"/>
        <v>0</v>
      </c>
      <c r="O721">
        <f t="shared" ref="O721:O728" si="2127">K721+L721+M721+N721</f>
        <v>1</v>
      </c>
      <c r="P721" t="str">
        <f t="shared" si="2118"/>
        <v>Medium centralized biomass gasification-Levelized cost</v>
      </c>
      <c r="Q721" t="str">
        <f t="shared" si="2119"/>
        <v>Central gas storage-Levelized cost</v>
      </c>
      <c r="R721" t="str">
        <f t="shared" si="2120"/>
        <v>Blending in natural gas pipeline-Levelized cost</v>
      </c>
      <c r="S721" t="str">
        <f t="shared" si="2121"/>
        <v>Hydrogen turbine (OC)-Levelized cost</v>
      </c>
      <c r="T721">
        <f ca="1">IF(timePeriod="2020-30",(VLOOKUP($P721,'TA database'!$I$8:$J$79,2,FALSE)/VLOOKUP($D721,'Merit calculation'!$B$48:$I$52,5,FALSE)/VLOOKUP($E721,'Merit calculation'!$B$67:$I$73,5,FALSE)/VLOOKUP($F721,'Merit calculation'!$B$90:$I$103,5,FALSE)/energyContentH2),(VLOOKUP($P721,'TA database'!$I$8:$J$79,2,FALSE)/VLOOKUP($D721,'Merit calculation'!$B$48:$I$52,7,FALSE)/VLOOKUP($E721,'Merit calculation'!$B$67:$I$73,7,FALSE)/VLOOKUP($F721,'Merit calculation'!$B$90:$I$103,7,FALSE)/energyContentH2))</f>
        <v>2.2225476128910109E-2</v>
      </c>
      <c r="U721">
        <f ca="1">IF(timePeriod="2020-30",(VLOOKUP($Q721,'TA database'!$I$86:$J$105,2,FALSE)/VLOOKUP($E721,'Merit calculation'!$B$67:$I$73,5,FALSE)/VLOOKUP($F721,'Merit calculation'!$B$90:$I$104,5,FALSE)/energyContentH2),VLOOKUP($Q721,'TA database'!$I$86:$J$105,2,FALSE)/VLOOKUP($E721,'Merit calculation'!$B$67:$I$73,7,FALSE)/VLOOKUP($F721,'Merit calculation'!$B$90:$I$104,7,FALSE)/energyContentH2)</f>
        <v>1.0994680037926714E-3</v>
      </c>
      <c r="V721">
        <f ca="1">IF(timePeriod="2020-30",(VLOOKUP($R721,'TA database'!$I$112:$J$139,2,FALSE)/VLOOKUP($F721,'Merit calculation'!$B$90:$I$104,5,FALSE)/energyContentH2),(VLOOKUP($R721,'TA database'!$I$112:$J$139,2,FALSE)/VLOOKUP($F721,'Merit calculation'!$B$90:$I$104,7,FALSE)/energyContentH2))</f>
        <v>3.1508562766822874E-3</v>
      </c>
      <c r="W721">
        <f>IFERROR(VLOOKUP($S721,'TA database'!$I$146:$J$193,2,FALSE),0)</f>
        <v>0</v>
      </c>
      <c r="X721">
        <f ca="1">IFERROR(VLOOKUP($S721,'TA database'!$I$200:$J$271,2,FALSE),0)</f>
        <v>6.8465051836761751E-3</v>
      </c>
      <c r="Y721">
        <f t="shared" ref="Y721:Y728" ca="1" si="2128">IF($W721=0,T721*3.6+U721*3.6+V721*3.6+X721,T721+U721+V721+W721)</f>
        <v>0.10215938665746242</v>
      </c>
      <c r="Z721" t="str">
        <f t="shared" ref="Z721:Z728" si="2129">CONCATENATE(AG721,"   →   ",AH721,"   →   ",AI721,"   →   ",AJ721)</f>
        <v>BIO_GSF_MED_C   →   C_GAS_STRG   →   H2_BLND_NG_P   →   H2_OCGT_PWR</v>
      </c>
      <c r="AA721" t="str">
        <f t="shared" ref="AA721:AA728" si="2130">G721</f>
        <v>Grid electricity</v>
      </c>
      <c r="AB721" t="str">
        <f t="shared" ref="AB721:AB728" si="2131">J721</f>
        <v>Levelized cost</v>
      </c>
      <c r="AC721">
        <f t="shared" ref="AC721:AC728" ca="1" si="2132">Y721</f>
        <v>0.10215938665746242</v>
      </c>
      <c r="AD721">
        <v>662</v>
      </c>
      <c r="AE721" t="str">
        <f>IF(AND(ISNUMBER(SEARCH(O721,4)),ISNUMBER(SEARCH('(4) FCH pathway assessment'!$B$16,AB721)),ISNUMBER(SEARCH('(4) FCH pathway assessment'!$B$10,AA721))),AD721,"")</f>
        <v/>
      </c>
      <c r="AF721" t="str">
        <f t="shared" si="2070"/>
        <v/>
      </c>
      <c r="AG721" t="str">
        <f>VLOOKUP(C721,Assumptions!$B$116:$C$162,2,FALSE)</f>
        <v>BIO_GSF_MED_C</v>
      </c>
      <c r="AH721" t="str">
        <f>VLOOKUP(D721,Assumptions!$B$116:$C$162,2,FALSE)</f>
        <v>C_GAS_STRG</v>
      </c>
      <c r="AI721" t="str">
        <f>VLOOKUP(E721,Assumptions!$B$116:$C$162,2,FALSE)</f>
        <v>H2_BLND_NG_P</v>
      </c>
      <c r="AJ721" t="str">
        <f>VLOOKUP(F721,Assumptions!$B$116:$C$162,2,FALSE)</f>
        <v>H2_OCGT_PWR</v>
      </c>
    </row>
    <row r="722" spans="2:36" x14ac:dyDescent="0.25">
      <c r="B722" t="s">
        <v>117</v>
      </c>
      <c r="C722" t="s">
        <v>53</v>
      </c>
      <c r="D722" t="s">
        <v>155</v>
      </c>
      <c r="E722" t="s">
        <v>122</v>
      </c>
      <c r="F722" t="s">
        <v>162</v>
      </c>
      <c r="G722" t="s">
        <v>114</v>
      </c>
      <c r="H722" t="s">
        <v>433</v>
      </c>
      <c r="I722" t="s">
        <v>32</v>
      </c>
      <c r="J722" t="s">
        <v>72</v>
      </c>
      <c r="K722">
        <f t="shared" ref="K722:K728" si="2133">SUMPRODUCT(($C$7:$C$18=$C722)*($D$6:$H$6=$D722)*($D$7:$H$18))</f>
        <v>0</v>
      </c>
      <c r="L722">
        <f t="shared" ref="L722:L728" si="2134">SUMPRODUCT(($C$19:$C$23=$D722)*($I$6:$O$6=$E722)*($I$19:$O$23))</f>
        <v>1</v>
      </c>
      <c r="M722">
        <f t="shared" ref="M722:M728" si="2135">SUMPRODUCT(($C$24:$C$30=$E722)*($P$6:$AI$6=$F722)*($P$24:$AI$30))</f>
        <v>1</v>
      </c>
      <c r="N722">
        <f t="shared" ref="N722:N728" si="2136">SUMPRODUCT(($C$31:$C$50=$F722)*($AJ$6:$AM$6=$G722)*($AJ$31:$AM$50))</f>
        <v>0</v>
      </c>
      <c r="O722">
        <f t="shared" si="2127"/>
        <v>2</v>
      </c>
      <c r="P722" t="str">
        <f t="shared" ref="P722:P728" si="2137">CONCATENATE(C722,"-",J722)</f>
        <v>Medium centralized biomass gasification-Levelized cost</v>
      </c>
      <c r="Q722" t="str">
        <f t="shared" ref="Q722:Q728" si="2138">CONCATENATE(D722,"-",J722)</f>
        <v>Central gas storage-Levelized cost</v>
      </c>
      <c r="R722" t="str">
        <f t="shared" ref="R722:R728" si="2139">CONCATENATE(E722,"-",J722)</f>
        <v>Hydrogen transmission &amp; distribution pipeline-Levelized cost</v>
      </c>
      <c r="S722" t="str">
        <f t="shared" ref="S722:S728" si="2140">CONCATENATE(F722,"-",J722)</f>
        <v>Hydrogen turbine (OC)-Levelized cost</v>
      </c>
      <c r="T722">
        <f ca="1">IF(timePeriod="2020-30",(VLOOKUP($P722,'TA database'!$I$8:$J$79,2,FALSE)/VLOOKUP($D722,'Merit calculation'!$B$48:$I$52,5,FALSE)/VLOOKUP($E722,'Merit calculation'!$B$67:$I$73,5,FALSE)/VLOOKUP($F722,'Merit calculation'!$B$90:$I$103,5,FALSE)/energyContentH2),(VLOOKUP($P722,'TA database'!$I$8:$J$79,2,FALSE)/VLOOKUP($D722,'Merit calculation'!$B$48:$I$52,7,FALSE)/VLOOKUP($E722,'Merit calculation'!$B$67:$I$73,7,FALSE)/VLOOKUP($F722,'Merit calculation'!$B$90:$I$103,7,FALSE)/energyContentH2))</f>
        <v>2.2225476128910109E-2</v>
      </c>
      <c r="U722">
        <f ca="1">IF(timePeriod="2020-30",(VLOOKUP($Q722,'TA database'!$I$86:$J$105,2,FALSE)/VLOOKUP($E722,'Merit calculation'!$B$67:$I$73,5,FALSE)/VLOOKUP($F722,'Merit calculation'!$B$90:$I$104,5,FALSE)/energyContentH2),VLOOKUP($Q722,'TA database'!$I$86:$J$105,2,FALSE)/VLOOKUP($E722,'Merit calculation'!$B$67:$I$73,7,FALSE)/VLOOKUP($F722,'Merit calculation'!$B$90:$I$104,7,FALSE)/energyContentH2)</f>
        <v>1.0994680037926714E-3</v>
      </c>
      <c r="V722">
        <f ca="1">IF(timePeriod="2020-30",(VLOOKUP($R722,'TA database'!$I$112:$J$139,2,FALSE)/VLOOKUP($F722,'Merit calculation'!$B$90:$I$104,5,FALSE)/energyContentH2),(VLOOKUP($R722,'TA database'!$I$112:$J$139,2,FALSE)/VLOOKUP($F722,'Merit calculation'!$B$90:$I$104,7,FALSE)/energyContentH2))</f>
        <v>5.8623272699796277E-3</v>
      </c>
      <c r="W722">
        <f>IFERROR(VLOOKUP($S722,'TA database'!$I$146:$J$193,2,FALSE),0)</f>
        <v>0</v>
      </c>
      <c r="X722">
        <f ca="1">IFERROR(VLOOKUP($S722,'TA database'!$I$200:$J$271,2,FALSE),0)</f>
        <v>6.8465051836761751E-3</v>
      </c>
      <c r="Y722">
        <f t="shared" ca="1" si="2128"/>
        <v>0.11192068223333285</v>
      </c>
      <c r="Z722" t="str">
        <f t="shared" si="2129"/>
        <v>BIO_GSF_MED_C   →   C_GAS_STRG   →   H2_T&amp;D_P   →   H2_OCGT_PWR</v>
      </c>
      <c r="AA722" t="str">
        <f t="shared" si="2130"/>
        <v>Grid electricity</v>
      </c>
      <c r="AB722" t="str">
        <f t="shared" si="2131"/>
        <v>Levelized cost</v>
      </c>
      <c r="AC722">
        <f t="shared" ca="1" si="2132"/>
        <v>0.11192068223333285</v>
      </c>
      <c r="AD722">
        <v>663</v>
      </c>
      <c r="AE722" t="str">
        <f>IF(AND(ISNUMBER(SEARCH(O722,4)),ISNUMBER(SEARCH('(4) FCH pathway assessment'!$B$16,AB722)),ISNUMBER(SEARCH('(4) FCH pathway assessment'!$B$10,AA722))),AD722,"")</f>
        <v/>
      </c>
      <c r="AF722" t="str">
        <f t="shared" si="2070"/>
        <v/>
      </c>
      <c r="AG722" t="str">
        <f>VLOOKUP(C722,Assumptions!$B$116:$C$162,2,FALSE)</f>
        <v>BIO_GSF_MED_C</v>
      </c>
      <c r="AH722" t="str">
        <f>VLOOKUP(D722,Assumptions!$B$116:$C$162,2,FALSE)</f>
        <v>C_GAS_STRG</v>
      </c>
      <c r="AI722" t="str">
        <f>VLOOKUP(E722,Assumptions!$B$116:$C$162,2,FALSE)</f>
        <v>H2_T&amp;D_P</v>
      </c>
      <c r="AJ722" t="str">
        <f>VLOOKUP(F722,Assumptions!$B$116:$C$162,2,FALSE)</f>
        <v>H2_OCGT_PWR</v>
      </c>
    </row>
    <row r="723" spans="2:36" x14ac:dyDescent="0.25">
      <c r="B723" t="s">
        <v>117</v>
      </c>
      <c r="C723" t="s">
        <v>53</v>
      </c>
      <c r="D723" t="s">
        <v>155</v>
      </c>
      <c r="E723" t="s">
        <v>116</v>
      </c>
      <c r="F723" t="s">
        <v>162</v>
      </c>
      <c r="G723" t="s">
        <v>114</v>
      </c>
      <c r="H723" t="s">
        <v>433</v>
      </c>
      <c r="I723" t="s">
        <v>32</v>
      </c>
      <c r="J723" t="s">
        <v>72</v>
      </c>
      <c r="K723">
        <f t="shared" si="2133"/>
        <v>0</v>
      </c>
      <c r="L723">
        <f t="shared" si="2134"/>
        <v>1</v>
      </c>
      <c r="M723">
        <f t="shared" si="2135"/>
        <v>1</v>
      </c>
      <c r="N723">
        <f t="shared" si="2136"/>
        <v>0</v>
      </c>
      <c r="O723">
        <f t="shared" si="2127"/>
        <v>2</v>
      </c>
      <c r="P723" t="str">
        <f t="shared" si="2137"/>
        <v>Medium centralized biomass gasification-Levelized cost</v>
      </c>
      <c r="Q723" t="str">
        <f t="shared" si="2138"/>
        <v>Central gas storage-Levelized cost</v>
      </c>
      <c r="R723" t="str">
        <f t="shared" si="2139"/>
        <v>Liquid hydrogen truck-Levelized cost</v>
      </c>
      <c r="S723" t="str">
        <f t="shared" si="2140"/>
        <v>Hydrogen turbine (OC)-Levelized cost</v>
      </c>
      <c r="T723">
        <f ca="1">IF(timePeriod="2020-30",(VLOOKUP($P723,'TA database'!$I$8:$J$79,2,FALSE)/VLOOKUP($D723,'Merit calculation'!$B$48:$I$52,5,FALSE)/VLOOKUP($E723,'Merit calculation'!$B$67:$I$73,5,FALSE)/VLOOKUP($F723,'Merit calculation'!$B$90:$I$103,5,FALSE)/energyContentH2),(VLOOKUP($P723,'TA database'!$I$8:$J$79,2,FALSE)/VLOOKUP($D723,'Merit calculation'!$B$48:$I$52,7,FALSE)/VLOOKUP($E723,'Merit calculation'!$B$67:$I$73,7,FALSE)/VLOOKUP($F723,'Merit calculation'!$B$90:$I$103,7,FALSE)/energyContentH2))</f>
        <v>2.5674704046232212E-2</v>
      </c>
      <c r="U723">
        <f ca="1">IF(timePeriod="2020-30",(VLOOKUP($Q723,'TA database'!$I$86:$J$105,2,FALSE)/VLOOKUP($E723,'Merit calculation'!$B$67:$I$73,5,FALSE)/VLOOKUP($F723,'Merit calculation'!$B$90:$I$104,5,FALSE)/energyContentH2),VLOOKUP($Q723,'TA database'!$I$86:$J$105,2,FALSE)/VLOOKUP($E723,'Merit calculation'!$B$67:$I$73,7,FALSE)/VLOOKUP($F723,'Merit calculation'!$B$90:$I$104,7,FALSE)/energyContentH2)</f>
        <v>1.2700972272517443E-3</v>
      </c>
      <c r="V723">
        <f ca="1">IF(timePeriod="2020-30",(VLOOKUP($R723,'TA database'!$I$112:$J$139,2,FALSE)/VLOOKUP($F723,'Merit calculation'!$B$90:$I$104,5,FALSE)/energyContentH2),(VLOOKUP($R723,'TA database'!$I$112:$J$139,2,FALSE)/VLOOKUP($F723,'Merit calculation'!$B$90:$I$104,7,FALSE)/energyContentH2))</f>
        <v>3.8792716356659054E-2</v>
      </c>
      <c r="W723">
        <f>IFERROR(VLOOKUP($S723,'TA database'!$I$146:$J$193,2,FALSE),0)</f>
        <v>0</v>
      </c>
      <c r="X723">
        <f ca="1">IFERROR(VLOOKUP($S723,'TA database'!$I$200:$J$271,2,FALSE),0)</f>
        <v>6.8465051836761751E-3</v>
      </c>
      <c r="Y723">
        <f t="shared" ca="1" si="2128"/>
        <v>0.24350156865219102</v>
      </c>
      <c r="Z723" t="str">
        <f t="shared" si="2129"/>
        <v>BIO_GSF_MED_C   →   C_GAS_STRG   →   LQ_TRUCK   →   H2_OCGT_PWR</v>
      </c>
      <c r="AA723" t="str">
        <f t="shared" si="2130"/>
        <v>Grid electricity</v>
      </c>
      <c r="AB723" t="str">
        <f t="shared" si="2131"/>
        <v>Levelized cost</v>
      </c>
      <c r="AC723">
        <f t="shared" ca="1" si="2132"/>
        <v>0.24350156865219102</v>
      </c>
      <c r="AD723">
        <v>664</v>
      </c>
      <c r="AE723" t="str">
        <f>IF(AND(ISNUMBER(SEARCH(O723,4)),ISNUMBER(SEARCH('(4) FCH pathway assessment'!$B$16,AB723)),ISNUMBER(SEARCH('(4) FCH pathway assessment'!$B$10,AA723))),AD723,"")</f>
        <v/>
      </c>
      <c r="AF723" t="str">
        <f t="shared" si="2070"/>
        <v/>
      </c>
      <c r="AG723" t="str">
        <f>VLOOKUP(C723,Assumptions!$B$116:$C$162,2,FALSE)</f>
        <v>BIO_GSF_MED_C</v>
      </c>
      <c r="AH723" t="str">
        <f>VLOOKUP(D723,Assumptions!$B$116:$C$162,2,FALSE)</f>
        <v>C_GAS_STRG</v>
      </c>
      <c r="AI723" t="str">
        <f>VLOOKUP(E723,Assumptions!$B$116:$C$162,2,FALSE)</f>
        <v>LQ_TRUCK</v>
      </c>
      <c r="AJ723" t="str">
        <f>VLOOKUP(F723,Assumptions!$B$116:$C$162,2,FALSE)</f>
        <v>H2_OCGT_PWR</v>
      </c>
    </row>
    <row r="724" spans="2:36" x14ac:dyDescent="0.25">
      <c r="B724" t="s">
        <v>117</v>
      </c>
      <c r="C724" t="s">
        <v>53</v>
      </c>
      <c r="D724" t="s">
        <v>155</v>
      </c>
      <c r="E724" t="s">
        <v>66</v>
      </c>
      <c r="F724" t="s">
        <v>162</v>
      </c>
      <c r="G724" t="s">
        <v>114</v>
      </c>
      <c r="H724" t="s">
        <v>433</v>
      </c>
      <c r="I724" t="s">
        <v>32</v>
      </c>
      <c r="J724" t="s">
        <v>72</v>
      </c>
      <c r="K724">
        <f t="shared" si="2133"/>
        <v>0</v>
      </c>
      <c r="L724">
        <f t="shared" si="2134"/>
        <v>1</v>
      </c>
      <c r="M724">
        <f t="shared" si="2135"/>
        <v>1</v>
      </c>
      <c r="N724">
        <f t="shared" si="2136"/>
        <v>0</v>
      </c>
      <c r="O724">
        <f t="shared" si="2127"/>
        <v>2</v>
      </c>
      <c r="P724" t="str">
        <f t="shared" si="2137"/>
        <v>Medium centralized biomass gasification-Levelized cost</v>
      </c>
      <c r="Q724" t="str">
        <f t="shared" si="2138"/>
        <v>Central gas storage-Levelized cost</v>
      </c>
      <c r="R724" t="str">
        <f t="shared" si="2139"/>
        <v>Onsite-Levelized cost</v>
      </c>
      <c r="S724" t="str">
        <f t="shared" si="2140"/>
        <v>Hydrogen turbine (OC)-Levelized cost</v>
      </c>
      <c r="T724">
        <f ca="1">IF(timePeriod="2020-30",(VLOOKUP($P724,'TA database'!$I$8:$J$79,2,FALSE)/VLOOKUP($D724,'Merit calculation'!$B$48:$I$52,5,FALSE)/VLOOKUP($E724,'Merit calculation'!$B$67:$I$73,5,FALSE)/VLOOKUP($F724,'Merit calculation'!$B$90:$I$103,5,FALSE)/energyContentH2),(VLOOKUP($P724,'TA database'!$I$8:$J$79,2,FALSE)/VLOOKUP($D724,'Merit calculation'!$B$48:$I$52,7,FALSE)/VLOOKUP($E724,'Merit calculation'!$B$67:$I$73,7,FALSE)/VLOOKUP($F724,'Merit calculation'!$B$90:$I$103,7,FALSE)/energyContentH2))</f>
        <v>2.2003221367621006E-2</v>
      </c>
      <c r="U724">
        <f ca="1">IF(timePeriod="2020-30",(VLOOKUP($Q724,'TA database'!$I$86:$J$105,2,FALSE)/VLOOKUP($E724,'Merit calculation'!$B$67:$I$73,5,FALSE)/VLOOKUP($F724,'Merit calculation'!$B$90:$I$104,5,FALSE)/energyContentH2),VLOOKUP($Q724,'TA database'!$I$86:$J$105,2,FALSE)/VLOOKUP($E724,'Merit calculation'!$B$67:$I$73,7,FALSE)/VLOOKUP($F724,'Merit calculation'!$B$90:$I$104,7,FALSE)/energyContentH2)</f>
        <v>1.088473323754745E-3</v>
      </c>
      <c r="V724">
        <f ca="1">IF(timePeriod="2020-30",(VLOOKUP($R724,'TA database'!$I$112:$J$139,2,FALSE)/VLOOKUP($F724,'Merit calculation'!$B$90:$I$104,5,FALSE)/energyContentH2),(VLOOKUP($R724,'TA database'!$I$112:$J$139,2,FALSE)/VLOOKUP($F724,'Merit calculation'!$B$90:$I$104,7,FALSE)/energyContentH2))</f>
        <v>0</v>
      </c>
      <c r="W724">
        <f>IFERROR(VLOOKUP($S724,'TA database'!$I$146:$J$193,2,FALSE),0)</f>
        <v>0</v>
      </c>
      <c r="X724">
        <f ca="1">IFERROR(VLOOKUP($S724,'TA database'!$I$200:$J$271,2,FALSE),0)</f>
        <v>6.8465051836761751E-3</v>
      </c>
      <c r="Y724">
        <f t="shared" ca="1" si="2128"/>
        <v>8.997660607262889E-2</v>
      </c>
      <c r="Z724" t="str">
        <f t="shared" si="2129"/>
        <v>BIO_GSF_MED_C   →   C_GAS_STRG   →   ONSITE_USE   →   H2_OCGT_PWR</v>
      </c>
      <c r="AA724" t="str">
        <f t="shared" si="2130"/>
        <v>Grid electricity</v>
      </c>
      <c r="AB724" t="str">
        <f t="shared" si="2131"/>
        <v>Levelized cost</v>
      </c>
      <c r="AC724">
        <f t="shared" ca="1" si="2132"/>
        <v>8.997660607262889E-2</v>
      </c>
      <c r="AD724">
        <v>665</v>
      </c>
      <c r="AE724" t="str">
        <f>IF(AND(ISNUMBER(SEARCH(O724,4)),ISNUMBER(SEARCH('(4) FCH pathway assessment'!$B$16,AB724)),ISNUMBER(SEARCH('(4) FCH pathway assessment'!$B$10,AA724))),AD724,"")</f>
        <v/>
      </c>
      <c r="AF724" t="str">
        <f t="shared" si="2070"/>
        <v/>
      </c>
      <c r="AG724" t="str">
        <f>VLOOKUP(C724,Assumptions!$B$116:$C$162,2,FALSE)</f>
        <v>BIO_GSF_MED_C</v>
      </c>
      <c r="AH724" t="str">
        <f>VLOOKUP(D724,Assumptions!$B$116:$C$162,2,FALSE)</f>
        <v>C_GAS_STRG</v>
      </c>
      <c r="AI724" t="str">
        <f>VLOOKUP(E724,Assumptions!$B$116:$C$162,2,FALSE)</f>
        <v>ONSITE_USE</v>
      </c>
      <c r="AJ724" t="str">
        <f>VLOOKUP(F724,Assumptions!$B$116:$C$162,2,FALSE)</f>
        <v>H2_OCGT_PWR</v>
      </c>
    </row>
    <row r="725" spans="2:36" x14ac:dyDescent="0.25">
      <c r="B725" t="s">
        <v>117</v>
      </c>
      <c r="C725" t="s">
        <v>54</v>
      </c>
      <c r="D725" t="s">
        <v>155</v>
      </c>
      <c r="E725" t="s">
        <v>157</v>
      </c>
      <c r="F725" t="s">
        <v>162</v>
      </c>
      <c r="G725" t="s">
        <v>114</v>
      </c>
      <c r="H725" t="s">
        <v>433</v>
      </c>
      <c r="I725" t="s">
        <v>32</v>
      </c>
      <c r="J725" t="s">
        <v>72</v>
      </c>
      <c r="K725">
        <f t="shared" si="2133"/>
        <v>0</v>
      </c>
      <c r="L725">
        <f t="shared" si="2134"/>
        <v>1</v>
      </c>
      <c r="M725">
        <f t="shared" si="2135"/>
        <v>0</v>
      </c>
      <c r="N725">
        <f t="shared" si="2136"/>
        <v>0</v>
      </c>
      <c r="O725">
        <f t="shared" si="2127"/>
        <v>1</v>
      </c>
      <c r="P725" t="str">
        <f t="shared" si="2137"/>
        <v>Medium centralized biomass gasification w/ CCS-Levelized cost</v>
      </c>
      <c r="Q725" t="str">
        <f t="shared" si="2138"/>
        <v>Central gas storage-Levelized cost</v>
      </c>
      <c r="R725" t="str">
        <f t="shared" si="2139"/>
        <v>Blending in natural gas pipeline-Levelized cost</v>
      </c>
      <c r="S725" t="str">
        <f t="shared" si="2140"/>
        <v>Hydrogen turbine (OC)-Levelized cost</v>
      </c>
      <c r="T725">
        <f ca="1">IF(timePeriod="2020-30",(VLOOKUP($P725,'TA database'!$I$8:$J$79,2,FALSE)/VLOOKUP($D725,'Merit calculation'!$B$48:$I$52,5,FALSE)/VLOOKUP($E725,'Merit calculation'!$B$67:$I$73,5,FALSE)/VLOOKUP($F725,'Merit calculation'!$B$90:$I$103,5,FALSE)/energyContentH2),(VLOOKUP($P725,'TA database'!$I$8:$J$79,2,FALSE)/VLOOKUP($D725,'Merit calculation'!$B$48:$I$52,7,FALSE)/VLOOKUP($E725,'Merit calculation'!$B$67:$I$73,7,FALSE)/VLOOKUP($F725,'Merit calculation'!$B$90:$I$103,7,FALSE)/energyContentH2))</f>
        <v>1.3881311409166734E-2</v>
      </c>
      <c r="U725">
        <f ca="1">IF(timePeriod="2020-30",(VLOOKUP($Q725,'TA database'!$I$86:$J$105,2,FALSE)/VLOOKUP($E725,'Merit calculation'!$B$67:$I$73,5,FALSE)/VLOOKUP($F725,'Merit calculation'!$B$90:$I$104,5,FALSE)/energyContentH2),VLOOKUP($Q725,'TA database'!$I$86:$J$105,2,FALSE)/VLOOKUP($E725,'Merit calculation'!$B$67:$I$73,7,FALSE)/VLOOKUP($F725,'Merit calculation'!$B$90:$I$104,7,FALSE)/energyContentH2)</f>
        <v>1.0994680037926714E-3</v>
      </c>
      <c r="V725">
        <f ca="1">IF(timePeriod="2020-30",(VLOOKUP($R725,'TA database'!$I$112:$J$139,2,FALSE)/VLOOKUP($F725,'Merit calculation'!$B$90:$I$104,5,FALSE)/energyContentH2),(VLOOKUP($R725,'TA database'!$I$112:$J$139,2,FALSE)/VLOOKUP($F725,'Merit calculation'!$B$90:$I$104,7,FALSE)/energyContentH2))</f>
        <v>3.1508562766822874E-3</v>
      </c>
      <c r="W725">
        <f>IFERROR(VLOOKUP($S725,'TA database'!$I$146:$J$193,2,FALSE),0)</f>
        <v>0</v>
      </c>
      <c r="X725">
        <f ca="1">IFERROR(VLOOKUP($S725,'TA database'!$I$200:$J$271,2,FALSE),0)</f>
        <v>6.8465051836761751E-3</v>
      </c>
      <c r="Y725">
        <f t="shared" ca="1" si="2128"/>
        <v>7.212039366638627E-2</v>
      </c>
      <c r="Z725" t="str">
        <f t="shared" si="2129"/>
        <v>BIO_GSF_CCS_MED_C   →   C_GAS_STRG   →   H2_BLND_NG_P   →   H2_OCGT_PWR</v>
      </c>
      <c r="AA725" t="str">
        <f t="shared" si="2130"/>
        <v>Grid electricity</v>
      </c>
      <c r="AB725" t="str">
        <f t="shared" si="2131"/>
        <v>Levelized cost</v>
      </c>
      <c r="AC725">
        <f t="shared" ca="1" si="2132"/>
        <v>7.212039366638627E-2</v>
      </c>
      <c r="AD725">
        <v>666</v>
      </c>
      <c r="AE725" t="str">
        <f>IF(AND(ISNUMBER(SEARCH(O725,4)),ISNUMBER(SEARCH('(4) FCH pathway assessment'!$B$16,AB725)),ISNUMBER(SEARCH('(4) FCH pathway assessment'!$B$10,AA725))),AD725,"")</f>
        <v/>
      </c>
      <c r="AF725" t="str">
        <f t="shared" si="2070"/>
        <v/>
      </c>
      <c r="AG725" t="str">
        <f>VLOOKUP(C725,Assumptions!$B$116:$C$162,2,FALSE)</f>
        <v>BIO_GSF_CCS_MED_C</v>
      </c>
      <c r="AH725" t="str">
        <f>VLOOKUP(D725,Assumptions!$B$116:$C$162,2,FALSE)</f>
        <v>C_GAS_STRG</v>
      </c>
      <c r="AI725" t="str">
        <f>VLOOKUP(E725,Assumptions!$B$116:$C$162,2,FALSE)</f>
        <v>H2_BLND_NG_P</v>
      </c>
      <c r="AJ725" t="str">
        <f>VLOOKUP(F725,Assumptions!$B$116:$C$162,2,FALSE)</f>
        <v>H2_OCGT_PWR</v>
      </c>
    </row>
    <row r="726" spans="2:36" x14ac:dyDescent="0.25">
      <c r="B726" t="s">
        <v>117</v>
      </c>
      <c r="C726" t="s">
        <v>54</v>
      </c>
      <c r="D726" t="s">
        <v>155</v>
      </c>
      <c r="E726" t="s">
        <v>122</v>
      </c>
      <c r="F726" t="s">
        <v>162</v>
      </c>
      <c r="G726" t="s">
        <v>114</v>
      </c>
      <c r="H726" t="s">
        <v>433</v>
      </c>
      <c r="I726" t="s">
        <v>32</v>
      </c>
      <c r="J726" t="s">
        <v>72</v>
      </c>
      <c r="K726">
        <f t="shared" si="2133"/>
        <v>0</v>
      </c>
      <c r="L726">
        <f t="shared" si="2134"/>
        <v>1</v>
      </c>
      <c r="M726">
        <f t="shared" si="2135"/>
        <v>1</v>
      </c>
      <c r="N726">
        <f t="shared" si="2136"/>
        <v>0</v>
      </c>
      <c r="O726">
        <f t="shared" si="2127"/>
        <v>2</v>
      </c>
      <c r="P726" t="str">
        <f t="shared" si="2137"/>
        <v>Medium centralized biomass gasification w/ CCS-Levelized cost</v>
      </c>
      <c r="Q726" t="str">
        <f t="shared" si="2138"/>
        <v>Central gas storage-Levelized cost</v>
      </c>
      <c r="R726" t="str">
        <f t="shared" si="2139"/>
        <v>Hydrogen transmission &amp; distribution pipeline-Levelized cost</v>
      </c>
      <c r="S726" t="str">
        <f t="shared" si="2140"/>
        <v>Hydrogen turbine (OC)-Levelized cost</v>
      </c>
      <c r="T726">
        <f ca="1">IF(timePeriod="2020-30",(VLOOKUP($P726,'TA database'!$I$8:$J$79,2,FALSE)/VLOOKUP($D726,'Merit calculation'!$B$48:$I$52,5,FALSE)/VLOOKUP($E726,'Merit calculation'!$B$67:$I$73,5,FALSE)/VLOOKUP($F726,'Merit calculation'!$B$90:$I$103,5,FALSE)/energyContentH2),(VLOOKUP($P726,'TA database'!$I$8:$J$79,2,FALSE)/VLOOKUP($D726,'Merit calculation'!$B$48:$I$52,7,FALSE)/VLOOKUP($E726,'Merit calculation'!$B$67:$I$73,7,FALSE)/VLOOKUP($F726,'Merit calculation'!$B$90:$I$103,7,FALSE)/energyContentH2))</f>
        <v>1.3881311409166734E-2</v>
      </c>
      <c r="U726">
        <f ca="1">IF(timePeriod="2020-30",(VLOOKUP($Q726,'TA database'!$I$86:$J$105,2,FALSE)/VLOOKUP($E726,'Merit calculation'!$B$67:$I$73,5,FALSE)/VLOOKUP($F726,'Merit calculation'!$B$90:$I$104,5,FALSE)/energyContentH2),VLOOKUP($Q726,'TA database'!$I$86:$J$105,2,FALSE)/VLOOKUP($E726,'Merit calculation'!$B$67:$I$73,7,FALSE)/VLOOKUP($F726,'Merit calculation'!$B$90:$I$104,7,FALSE)/energyContentH2)</f>
        <v>1.0994680037926714E-3</v>
      </c>
      <c r="V726">
        <f ca="1">IF(timePeriod="2020-30",(VLOOKUP($R726,'TA database'!$I$112:$J$139,2,FALSE)/VLOOKUP($F726,'Merit calculation'!$B$90:$I$104,5,FALSE)/energyContentH2),(VLOOKUP($R726,'TA database'!$I$112:$J$139,2,FALSE)/VLOOKUP($F726,'Merit calculation'!$B$90:$I$104,7,FALSE)/energyContentH2))</f>
        <v>5.8623272699796277E-3</v>
      </c>
      <c r="W726">
        <f>IFERROR(VLOOKUP($S726,'TA database'!$I$146:$J$193,2,FALSE),0)</f>
        <v>0</v>
      </c>
      <c r="X726">
        <f ca="1">IFERROR(VLOOKUP($S726,'TA database'!$I$200:$J$271,2,FALSE),0)</f>
        <v>6.8465051836761751E-3</v>
      </c>
      <c r="Y726">
        <f t="shared" ca="1" si="2128"/>
        <v>8.1881689242256694E-2</v>
      </c>
      <c r="Z726" t="str">
        <f t="shared" si="2129"/>
        <v>BIO_GSF_CCS_MED_C   →   C_GAS_STRG   →   H2_T&amp;D_P   →   H2_OCGT_PWR</v>
      </c>
      <c r="AA726" t="str">
        <f t="shared" si="2130"/>
        <v>Grid electricity</v>
      </c>
      <c r="AB726" t="str">
        <f t="shared" si="2131"/>
        <v>Levelized cost</v>
      </c>
      <c r="AC726">
        <f t="shared" ca="1" si="2132"/>
        <v>8.1881689242256694E-2</v>
      </c>
      <c r="AD726">
        <v>667</v>
      </c>
      <c r="AE726" t="str">
        <f>IF(AND(ISNUMBER(SEARCH(O726,4)),ISNUMBER(SEARCH('(4) FCH pathway assessment'!$B$16,AB726)),ISNUMBER(SEARCH('(4) FCH pathway assessment'!$B$10,AA726))),AD726,"")</f>
        <v/>
      </c>
      <c r="AF726" t="str">
        <f t="shared" si="2070"/>
        <v/>
      </c>
      <c r="AG726" t="str">
        <f>VLOOKUP(C726,Assumptions!$B$116:$C$162,2,FALSE)</f>
        <v>BIO_GSF_CCS_MED_C</v>
      </c>
      <c r="AH726" t="str">
        <f>VLOOKUP(D726,Assumptions!$B$116:$C$162,2,FALSE)</f>
        <v>C_GAS_STRG</v>
      </c>
      <c r="AI726" t="str">
        <f>VLOOKUP(E726,Assumptions!$B$116:$C$162,2,FALSE)</f>
        <v>H2_T&amp;D_P</v>
      </c>
      <c r="AJ726" t="str">
        <f>VLOOKUP(F726,Assumptions!$B$116:$C$162,2,FALSE)</f>
        <v>H2_OCGT_PWR</v>
      </c>
    </row>
    <row r="727" spans="2:36" x14ac:dyDescent="0.25">
      <c r="B727" t="s">
        <v>117</v>
      </c>
      <c r="C727" t="s">
        <v>54</v>
      </c>
      <c r="D727" t="s">
        <v>155</v>
      </c>
      <c r="E727" t="s">
        <v>116</v>
      </c>
      <c r="F727" t="s">
        <v>162</v>
      </c>
      <c r="G727" t="s">
        <v>114</v>
      </c>
      <c r="H727" t="s">
        <v>433</v>
      </c>
      <c r="I727" t="s">
        <v>32</v>
      </c>
      <c r="J727" t="s">
        <v>72</v>
      </c>
      <c r="K727">
        <f t="shared" si="2133"/>
        <v>0</v>
      </c>
      <c r="L727">
        <f t="shared" si="2134"/>
        <v>1</v>
      </c>
      <c r="M727">
        <f t="shared" si="2135"/>
        <v>1</v>
      </c>
      <c r="N727">
        <f t="shared" si="2136"/>
        <v>0</v>
      </c>
      <c r="O727">
        <f t="shared" si="2127"/>
        <v>2</v>
      </c>
      <c r="P727" t="str">
        <f t="shared" si="2137"/>
        <v>Medium centralized biomass gasification w/ CCS-Levelized cost</v>
      </c>
      <c r="Q727" t="str">
        <f t="shared" si="2138"/>
        <v>Central gas storage-Levelized cost</v>
      </c>
      <c r="R727" t="str">
        <f t="shared" si="2139"/>
        <v>Liquid hydrogen truck-Levelized cost</v>
      </c>
      <c r="S727" t="str">
        <f t="shared" si="2140"/>
        <v>Hydrogen turbine (OC)-Levelized cost</v>
      </c>
      <c r="T727">
        <f ca="1">IF(timePeriod="2020-30",(VLOOKUP($P727,'TA database'!$I$8:$J$79,2,FALSE)/VLOOKUP($D727,'Merit calculation'!$B$48:$I$52,5,FALSE)/VLOOKUP($E727,'Merit calculation'!$B$67:$I$73,5,FALSE)/VLOOKUP($F727,'Merit calculation'!$B$90:$I$103,5,FALSE)/energyContentH2),(VLOOKUP($P727,'TA database'!$I$8:$J$79,2,FALSE)/VLOOKUP($D727,'Merit calculation'!$B$48:$I$52,7,FALSE)/VLOOKUP($E727,'Merit calculation'!$B$67:$I$73,7,FALSE)/VLOOKUP($F727,'Merit calculation'!$B$90:$I$103,7,FALSE)/energyContentH2))</f>
        <v>1.6035587275466823E-2</v>
      </c>
      <c r="U727">
        <f ca="1">IF(timePeriod="2020-30",(VLOOKUP($Q727,'TA database'!$I$86:$J$105,2,FALSE)/VLOOKUP($E727,'Merit calculation'!$B$67:$I$73,5,FALSE)/VLOOKUP($F727,'Merit calculation'!$B$90:$I$104,5,FALSE)/energyContentH2),VLOOKUP($Q727,'TA database'!$I$86:$J$105,2,FALSE)/VLOOKUP($E727,'Merit calculation'!$B$67:$I$73,7,FALSE)/VLOOKUP($F727,'Merit calculation'!$B$90:$I$104,7,FALSE)/energyContentH2)</f>
        <v>1.2700972272517443E-3</v>
      </c>
      <c r="V727">
        <f ca="1">IF(timePeriod="2020-30",(VLOOKUP($R727,'TA database'!$I$112:$J$139,2,FALSE)/VLOOKUP($F727,'Merit calculation'!$B$90:$I$104,5,FALSE)/energyContentH2),(VLOOKUP($R727,'TA database'!$I$112:$J$139,2,FALSE)/VLOOKUP($F727,'Merit calculation'!$B$90:$I$104,7,FALSE)/energyContentH2))</f>
        <v>3.8792716356659054E-2</v>
      </c>
      <c r="W727">
        <f>IFERROR(VLOOKUP($S727,'TA database'!$I$146:$J$193,2,FALSE),0)</f>
        <v>0</v>
      </c>
      <c r="X727">
        <f ca="1">IFERROR(VLOOKUP($S727,'TA database'!$I$200:$J$271,2,FALSE),0)</f>
        <v>6.8465051836761751E-3</v>
      </c>
      <c r="Y727">
        <f t="shared" ca="1" si="2128"/>
        <v>0.20880074827743561</v>
      </c>
      <c r="Z727" t="str">
        <f t="shared" si="2129"/>
        <v>BIO_GSF_CCS_MED_C   →   C_GAS_STRG   →   LQ_TRUCK   →   H2_OCGT_PWR</v>
      </c>
      <c r="AA727" t="str">
        <f t="shared" si="2130"/>
        <v>Grid electricity</v>
      </c>
      <c r="AB727" t="str">
        <f t="shared" si="2131"/>
        <v>Levelized cost</v>
      </c>
      <c r="AC727">
        <f t="shared" ca="1" si="2132"/>
        <v>0.20880074827743561</v>
      </c>
      <c r="AD727">
        <v>668</v>
      </c>
      <c r="AE727" t="str">
        <f>IF(AND(ISNUMBER(SEARCH(O727,4)),ISNUMBER(SEARCH('(4) FCH pathway assessment'!$B$16,AB727)),ISNUMBER(SEARCH('(4) FCH pathway assessment'!$B$10,AA727))),AD727,"")</f>
        <v/>
      </c>
      <c r="AF727" t="str">
        <f t="shared" si="2070"/>
        <v/>
      </c>
      <c r="AG727" t="str">
        <f>VLOOKUP(C727,Assumptions!$B$116:$C$162,2,FALSE)</f>
        <v>BIO_GSF_CCS_MED_C</v>
      </c>
      <c r="AH727" t="str">
        <f>VLOOKUP(D727,Assumptions!$B$116:$C$162,2,FALSE)</f>
        <v>C_GAS_STRG</v>
      </c>
      <c r="AI727" t="str">
        <f>VLOOKUP(E727,Assumptions!$B$116:$C$162,2,FALSE)</f>
        <v>LQ_TRUCK</v>
      </c>
      <c r="AJ727" t="str">
        <f>VLOOKUP(F727,Assumptions!$B$116:$C$162,2,FALSE)</f>
        <v>H2_OCGT_PWR</v>
      </c>
    </row>
    <row r="728" spans="2:36" x14ac:dyDescent="0.25">
      <c r="B728" t="s">
        <v>117</v>
      </c>
      <c r="C728" t="s">
        <v>54</v>
      </c>
      <c r="D728" t="s">
        <v>155</v>
      </c>
      <c r="E728" t="s">
        <v>66</v>
      </c>
      <c r="F728" t="s">
        <v>162</v>
      </c>
      <c r="G728" t="s">
        <v>114</v>
      </c>
      <c r="H728" t="s">
        <v>433</v>
      </c>
      <c r="I728" t="s">
        <v>32</v>
      </c>
      <c r="J728" t="s">
        <v>72</v>
      </c>
      <c r="K728">
        <f t="shared" si="2133"/>
        <v>0</v>
      </c>
      <c r="L728">
        <f t="shared" si="2134"/>
        <v>1</v>
      </c>
      <c r="M728">
        <f t="shared" si="2135"/>
        <v>1</v>
      </c>
      <c r="N728">
        <f t="shared" si="2136"/>
        <v>0</v>
      </c>
      <c r="O728">
        <f t="shared" si="2127"/>
        <v>2</v>
      </c>
      <c r="P728" t="str">
        <f t="shared" si="2137"/>
        <v>Medium centralized biomass gasification w/ CCS-Levelized cost</v>
      </c>
      <c r="Q728" t="str">
        <f t="shared" si="2138"/>
        <v>Central gas storage-Levelized cost</v>
      </c>
      <c r="R728" t="str">
        <f t="shared" si="2139"/>
        <v>Onsite-Levelized cost</v>
      </c>
      <c r="S728" t="str">
        <f t="shared" si="2140"/>
        <v>Hydrogen turbine (OC)-Levelized cost</v>
      </c>
      <c r="T728">
        <f ca="1">IF(timePeriod="2020-30",(VLOOKUP($P728,'TA database'!$I$8:$J$79,2,FALSE)/VLOOKUP($D728,'Merit calculation'!$B$48:$I$52,5,FALSE)/VLOOKUP($E728,'Merit calculation'!$B$67:$I$73,5,FALSE)/VLOOKUP($F728,'Merit calculation'!$B$90:$I$103,5,FALSE)/energyContentH2),(VLOOKUP($P728,'TA database'!$I$8:$J$79,2,FALSE)/VLOOKUP($D728,'Merit calculation'!$B$48:$I$52,7,FALSE)/VLOOKUP($E728,'Merit calculation'!$B$67:$I$73,7,FALSE)/VLOOKUP($F728,'Merit calculation'!$B$90:$I$103,7,FALSE)/energyContentH2))</f>
        <v>1.3742498295075067E-2</v>
      </c>
      <c r="U728">
        <f ca="1">IF(timePeriod="2020-30",(VLOOKUP($Q728,'TA database'!$I$86:$J$105,2,FALSE)/VLOOKUP($E728,'Merit calculation'!$B$67:$I$73,5,FALSE)/VLOOKUP($F728,'Merit calculation'!$B$90:$I$104,5,FALSE)/energyContentH2),VLOOKUP($Q728,'TA database'!$I$86:$J$105,2,FALSE)/VLOOKUP($E728,'Merit calculation'!$B$67:$I$73,7,FALSE)/VLOOKUP($F728,'Merit calculation'!$B$90:$I$104,7,FALSE)/energyContentH2)</f>
        <v>1.088473323754745E-3</v>
      </c>
      <c r="V728">
        <f ca="1">IF(timePeriod="2020-30",(VLOOKUP($R728,'TA database'!$I$112:$J$139,2,FALSE)/VLOOKUP($F728,'Merit calculation'!$B$90:$I$104,5,FALSE)/energyContentH2),(VLOOKUP($R728,'TA database'!$I$112:$J$139,2,FALSE)/VLOOKUP($F728,'Merit calculation'!$B$90:$I$104,7,FALSE)/energyContentH2))</f>
        <v>0</v>
      </c>
      <c r="W728">
        <f>IFERROR(VLOOKUP($S728,'TA database'!$I$146:$J$193,2,FALSE),0)</f>
        <v>0</v>
      </c>
      <c r="X728">
        <f ca="1">IFERROR(VLOOKUP($S728,'TA database'!$I$200:$J$271,2,FALSE),0)</f>
        <v>6.8465051836761751E-3</v>
      </c>
      <c r="Y728">
        <f t="shared" ca="1" si="2128"/>
        <v>6.0238003011463495E-2</v>
      </c>
      <c r="Z728" t="str">
        <f t="shared" si="2129"/>
        <v>BIO_GSF_CCS_MED_C   →   C_GAS_STRG   →   ONSITE_USE   →   H2_OCGT_PWR</v>
      </c>
      <c r="AA728" t="str">
        <f t="shared" si="2130"/>
        <v>Grid electricity</v>
      </c>
      <c r="AB728" t="str">
        <f t="shared" si="2131"/>
        <v>Levelized cost</v>
      </c>
      <c r="AC728">
        <f t="shared" ca="1" si="2132"/>
        <v>6.0238003011463495E-2</v>
      </c>
      <c r="AD728">
        <v>669</v>
      </c>
      <c r="AE728" t="str">
        <f>IF(AND(ISNUMBER(SEARCH(O728,4)),ISNUMBER(SEARCH('(4) FCH pathway assessment'!$B$16,AB728)),ISNUMBER(SEARCH('(4) FCH pathway assessment'!$B$10,AA728))),AD728,"")</f>
        <v/>
      </c>
      <c r="AF728" t="str">
        <f t="shared" si="2070"/>
        <v/>
      </c>
      <c r="AG728" t="str">
        <f>VLOOKUP(C728,Assumptions!$B$116:$C$162,2,FALSE)</f>
        <v>BIO_GSF_CCS_MED_C</v>
      </c>
      <c r="AH728" t="str">
        <f>VLOOKUP(D728,Assumptions!$B$116:$C$162,2,FALSE)</f>
        <v>C_GAS_STRG</v>
      </c>
      <c r="AI728" t="str">
        <f>VLOOKUP(E728,Assumptions!$B$116:$C$162,2,FALSE)</f>
        <v>ONSITE_USE</v>
      </c>
      <c r="AJ728" t="str">
        <f>VLOOKUP(F728,Assumptions!$B$116:$C$162,2,FALSE)</f>
        <v>H2_OCGT_PWR</v>
      </c>
    </row>
    <row r="729" spans="2:36" x14ac:dyDescent="0.25">
      <c r="B729" t="s">
        <v>117</v>
      </c>
      <c r="C729" t="s">
        <v>55</v>
      </c>
      <c r="D729" s="60" t="s">
        <v>130</v>
      </c>
      <c r="E729" t="s">
        <v>66</v>
      </c>
      <c r="F729" t="s">
        <v>162</v>
      </c>
      <c r="G729" t="s">
        <v>114</v>
      </c>
      <c r="H729" t="s">
        <v>433</v>
      </c>
      <c r="I729" t="s">
        <v>32</v>
      </c>
      <c r="J729" t="s">
        <v>72</v>
      </c>
      <c r="K729">
        <f t="shared" ref="K729:K734" si="2141">SUMPRODUCT(($C$7:$C$18=$C729)*($D$6:$H$6=$D729)*($D$7:$H$18))</f>
        <v>0</v>
      </c>
      <c r="L729">
        <f t="shared" ref="L729:L734" si="2142">SUMPRODUCT(($C$19:$C$23=$D729)*($I$6:$O$6=$E729)*($I$19:$O$23))</f>
        <v>1</v>
      </c>
      <c r="M729">
        <f t="shared" ref="M729:M734" si="2143">SUMPRODUCT(($C$24:$C$30=$E729)*($P$6:$AI$6=$F729)*($P$24:$AI$30))</f>
        <v>1</v>
      </c>
      <c r="N729">
        <f t="shared" ref="N729:N734" si="2144">SUMPRODUCT(($C$31:$C$50=$F729)*($AJ$6:$AM$6=$G729)*($AJ$31:$AM$50))</f>
        <v>0</v>
      </c>
      <c r="O729">
        <f t="shared" ref="O729:O734" si="2145">K729+L729+M729+N729</f>
        <v>2</v>
      </c>
      <c r="P729" t="str">
        <f t="shared" ref="P729:P734" si="2146">CONCATENATE(C729,"-",J729)</f>
        <v>Small decentralized biomass gasification-Levelized cost</v>
      </c>
      <c r="Q729" t="str">
        <f t="shared" ref="Q729:Q734" si="2147">CONCATENATE(D729,"-",J729)</f>
        <v>Distributed gas storage-Levelized cost</v>
      </c>
      <c r="R729" t="str">
        <f t="shared" ref="R729:R734" si="2148">CONCATENATE(E729,"-",J729)</f>
        <v>Onsite-Levelized cost</v>
      </c>
      <c r="S729" t="str">
        <f t="shared" ref="S729:S734" si="2149">CONCATENATE(F729,"-",J729)</f>
        <v>Hydrogen turbine (OC)-Levelized cost</v>
      </c>
      <c r="T729">
        <f ca="1">IF(timePeriod="2020-30",(VLOOKUP($P729,'TA database'!$I$8:$J$79,2,FALSE)/VLOOKUP($D729,'Merit calculation'!$B$48:$I$52,5,FALSE)/VLOOKUP($E729,'Merit calculation'!$B$67:$I$73,5,FALSE)/VLOOKUP($F729,'Merit calculation'!$B$90:$I$103,5,FALSE)/energyContentH2),(VLOOKUP($P729,'TA database'!$I$8:$J$79,2,FALSE)/VLOOKUP($D729,'Merit calculation'!$B$48:$I$52,7,FALSE)/VLOOKUP($E729,'Merit calculation'!$B$67:$I$73,7,FALSE)/VLOOKUP($F729,'Merit calculation'!$B$90:$I$103,7,FALSE)/energyContentH2))</f>
        <v>3.5455648488279583E-2</v>
      </c>
      <c r="U729">
        <f ca="1">IF(timePeriod="2020-30",(VLOOKUP($Q729,'TA database'!$I$86:$J$105,2,FALSE)/VLOOKUP($E729,'Merit calculation'!$B$67:$I$73,5,FALSE)/VLOOKUP($F729,'Merit calculation'!$B$90:$I$104,5,FALSE)/energyContentH2),VLOOKUP($Q729,'TA database'!$I$86:$J$105,2,FALSE)/VLOOKUP($E729,'Merit calculation'!$B$67:$I$73,7,FALSE)/VLOOKUP($F729,'Merit calculation'!$B$90:$I$104,7,FALSE)/energyContentH2)</f>
        <v>1.9350636866751023E-3</v>
      </c>
      <c r="V729">
        <f ca="1">IF(timePeriod="2020-30",(VLOOKUP($R729,'TA database'!$I$112:$J$139,2,FALSE)/VLOOKUP($F729,'Merit calculation'!$B$90:$I$104,5,FALSE)/energyContentH2),(VLOOKUP($R729,'TA database'!$I$112:$J$139,2,FALSE)/VLOOKUP($F729,'Merit calculation'!$B$90:$I$104,7,FALSE)/energyContentH2))</f>
        <v>0</v>
      </c>
      <c r="W729">
        <f>IFERROR(VLOOKUP($S729,'TA database'!$I$146:$J$193,2,FALSE),0)</f>
        <v>0</v>
      </c>
      <c r="X729">
        <f ca="1">IFERROR(VLOOKUP($S729,'TA database'!$I$200:$J$271,2,FALSE),0)</f>
        <v>6.8465051836761751E-3</v>
      </c>
      <c r="Y729">
        <f t="shared" ref="Y729:Y733" ca="1" si="2150">IF($W729=0,T729*3.6+U729*3.6+V729*3.6+X729,T729+U729+V729+W729)</f>
        <v>0.14145306901351304</v>
      </c>
      <c r="Z729" t="str">
        <f t="shared" ref="Z729:Z734" si="2151">CONCATENATE(AG729,"   →   ",AH729,"   →   ",AI729,"   →   ",AJ729)</f>
        <v>BIO_GSF_SML_D   →   D_GAS_STRG   →   ONSITE_USE   →   H2_OCGT_PWR</v>
      </c>
      <c r="AA729" t="str">
        <f t="shared" ref="AA729:AA734" si="2152">G729</f>
        <v>Grid electricity</v>
      </c>
      <c r="AB729" t="str">
        <f t="shared" ref="AB729:AB734" si="2153">J729</f>
        <v>Levelized cost</v>
      </c>
      <c r="AC729">
        <f t="shared" ref="AC729:AC734" ca="1" si="2154">Y729</f>
        <v>0.14145306901351304</v>
      </c>
      <c r="AD729">
        <v>670</v>
      </c>
      <c r="AE729" t="str">
        <f>IF(AND(ISNUMBER(SEARCH(O729,4)),ISNUMBER(SEARCH('(4) FCH pathway assessment'!$B$16,AB729)),ISNUMBER(SEARCH('(4) FCH pathway assessment'!$B$10,AA729))),AD729,"")</f>
        <v/>
      </c>
      <c r="AF729" t="str">
        <f t="shared" si="2070"/>
        <v/>
      </c>
      <c r="AG729" t="str">
        <f>VLOOKUP(C729,Assumptions!$B$116:$C$162,2,FALSE)</f>
        <v>BIO_GSF_SML_D</v>
      </c>
      <c r="AH729" t="str">
        <f>VLOOKUP(D729,Assumptions!$B$116:$C$162,2,FALSE)</f>
        <v>D_GAS_STRG</v>
      </c>
      <c r="AI729" t="str">
        <f>VLOOKUP(E729,Assumptions!$B$116:$C$162,2,FALSE)</f>
        <v>ONSITE_USE</v>
      </c>
      <c r="AJ729" t="str">
        <f>VLOOKUP(F729,Assumptions!$B$116:$C$162,2,FALSE)</f>
        <v>H2_OCGT_PWR</v>
      </c>
    </row>
    <row r="730" spans="2:36" x14ac:dyDescent="0.25">
      <c r="B730" t="s">
        <v>117</v>
      </c>
      <c r="C730" t="s">
        <v>56</v>
      </c>
      <c r="D730" t="s">
        <v>62</v>
      </c>
      <c r="E730" t="s">
        <v>157</v>
      </c>
      <c r="F730" t="s">
        <v>162</v>
      </c>
      <c r="G730" t="s">
        <v>114</v>
      </c>
      <c r="H730" t="s">
        <v>433</v>
      </c>
      <c r="I730" t="s">
        <v>32</v>
      </c>
      <c r="J730" t="s">
        <v>72</v>
      </c>
      <c r="K730">
        <f t="shared" si="2141"/>
        <v>0</v>
      </c>
      <c r="L730">
        <f t="shared" si="2142"/>
        <v>0</v>
      </c>
      <c r="M730">
        <f t="shared" si="2143"/>
        <v>0</v>
      </c>
      <c r="N730">
        <f t="shared" si="2144"/>
        <v>0</v>
      </c>
      <c r="O730">
        <f t="shared" si="2145"/>
        <v>0</v>
      </c>
      <c r="P730" t="str">
        <f t="shared" si="2146"/>
        <v>Large centralized biomass steam reforming -Levelized cost</v>
      </c>
      <c r="Q730" t="str">
        <f t="shared" si="2147"/>
        <v>Underground storage-Levelized cost</v>
      </c>
      <c r="R730" t="str">
        <f t="shared" si="2148"/>
        <v>Blending in natural gas pipeline-Levelized cost</v>
      </c>
      <c r="S730" t="str">
        <f t="shared" si="2149"/>
        <v>Hydrogen turbine (OC)-Levelized cost</v>
      </c>
      <c r="T730">
        <f ca="1">IF(timePeriod="2020-30",(VLOOKUP($P730,'TA database'!$I$8:$J$79,2,FALSE)/VLOOKUP($D730,'Merit calculation'!$B$48:$I$52,5,FALSE)/VLOOKUP($E730,'Merit calculation'!$B$67:$I$73,5,FALSE)/VLOOKUP($F730,'Merit calculation'!$B$90:$I$103,5,FALSE)/energyContentH2),(VLOOKUP($P730,'TA database'!$I$8:$J$79,2,FALSE)/VLOOKUP($D730,'Merit calculation'!$B$48:$I$52,7,FALSE)/VLOOKUP($E730,'Merit calculation'!$B$67:$I$73,7,FALSE)/VLOOKUP($F730,'Merit calculation'!$B$90:$I$103,7,FALSE)/energyContentH2))</f>
        <v>1.5541523322463977E-2</v>
      </c>
      <c r="U730">
        <f ca="1">IF(timePeriod="2020-30",(VLOOKUP($Q730,'TA database'!$I$86:$J$105,2,FALSE)/VLOOKUP($E730,'Merit calculation'!$B$67:$I$73,5,FALSE)/VLOOKUP($F730,'Merit calculation'!$B$90:$I$104,5,FALSE)/energyContentH2),VLOOKUP($Q730,'TA database'!$I$86:$J$105,2,FALSE)/VLOOKUP($E730,'Merit calculation'!$B$67:$I$73,7,FALSE)/VLOOKUP($F730,'Merit calculation'!$B$90:$I$104,7,FALSE)/energyContentH2)</f>
        <v>2.1898868882125647E-4</v>
      </c>
      <c r="V730">
        <f ca="1">IF(timePeriod="2020-30",(VLOOKUP($R730,'TA database'!$I$112:$J$139,2,FALSE)/VLOOKUP($F730,'Merit calculation'!$B$90:$I$104,5,FALSE)/energyContentH2),(VLOOKUP($R730,'TA database'!$I$112:$J$139,2,FALSE)/VLOOKUP($F730,'Merit calculation'!$B$90:$I$104,7,FALSE)/energyContentH2))</f>
        <v>3.1508562766822874E-3</v>
      </c>
      <c r="W730">
        <f>IFERROR(VLOOKUP($S730,'TA database'!$I$146:$J$193,2,FALSE),0)</f>
        <v>0</v>
      </c>
      <c r="X730">
        <f ca="1">IFERROR(VLOOKUP($S730,'TA database'!$I$200:$J$271,2,FALSE),0)</f>
        <v>6.8465051836761751E-3</v>
      </c>
      <c r="Y730">
        <f t="shared" ca="1" si="2150"/>
        <v>7.4927431020359259E-2</v>
      </c>
      <c r="Z730" t="str">
        <f t="shared" si="2151"/>
        <v>BIO_SR_LRG_C   →   C_UNDRGRND_STRG   →   H2_BLND_NG_P   →   H2_OCGT_PWR</v>
      </c>
      <c r="AA730" t="str">
        <f t="shared" si="2152"/>
        <v>Grid electricity</v>
      </c>
      <c r="AB730" t="str">
        <f t="shared" si="2153"/>
        <v>Levelized cost</v>
      </c>
      <c r="AC730">
        <f t="shared" ca="1" si="2154"/>
        <v>7.4927431020359259E-2</v>
      </c>
      <c r="AD730">
        <v>671</v>
      </c>
      <c r="AE730" t="str">
        <f>IF(AND(ISNUMBER(SEARCH(O730,4)),ISNUMBER(SEARCH('(4) FCH pathway assessment'!$B$16,AB730)),ISNUMBER(SEARCH('(4) FCH pathway assessment'!$B$10,AA730))),AD730,"")</f>
        <v/>
      </c>
      <c r="AF730" t="str">
        <f t="shared" si="2070"/>
        <v/>
      </c>
      <c r="AG730" t="str">
        <f>VLOOKUP(C730,Assumptions!$B$116:$C$162,2,FALSE)</f>
        <v>BIO_SR_LRG_C</v>
      </c>
      <c r="AH730" t="str">
        <f>VLOOKUP(D730,Assumptions!$B$116:$C$162,2,FALSE)</f>
        <v>C_UNDRGRND_STRG</v>
      </c>
      <c r="AI730" t="str">
        <f>VLOOKUP(E730,Assumptions!$B$116:$C$162,2,FALSE)</f>
        <v>H2_BLND_NG_P</v>
      </c>
      <c r="AJ730" t="str">
        <f>VLOOKUP(F730,Assumptions!$B$116:$C$162,2,FALSE)</f>
        <v>H2_OCGT_PWR</v>
      </c>
    </row>
    <row r="731" spans="2:36" x14ac:dyDescent="0.25">
      <c r="B731" t="s">
        <v>117</v>
      </c>
      <c r="C731" t="s">
        <v>56</v>
      </c>
      <c r="D731" t="s">
        <v>62</v>
      </c>
      <c r="E731" t="s">
        <v>122</v>
      </c>
      <c r="F731" t="s">
        <v>162</v>
      </c>
      <c r="G731" t="s">
        <v>114</v>
      </c>
      <c r="H731" t="s">
        <v>433</v>
      </c>
      <c r="I731" t="s">
        <v>32</v>
      </c>
      <c r="J731" t="s">
        <v>72</v>
      </c>
      <c r="K731">
        <f t="shared" si="2141"/>
        <v>0</v>
      </c>
      <c r="L731">
        <f t="shared" si="2142"/>
        <v>0</v>
      </c>
      <c r="M731">
        <f t="shared" si="2143"/>
        <v>1</v>
      </c>
      <c r="N731">
        <f t="shared" si="2144"/>
        <v>0</v>
      </c>
      <c r="O731">
        <f t="shared" si="2145"/>
        <v>1</v>
      </c>
      <c r="P731" t="str">
        <f t="shared" si="2146"/>
        <v>Large centralized biomass steam reforming -Levelized cost</v>
      </c>
      <c r="Q731" t="str">
        <f t="shared" si="2147"/>
        <v>Underground storage-Levelized cost</v>
      </c>
      <c r="R731" t="str">
        <f t="shared" si="2148"/>
        <v>Hydrogen transmission &amp; distribution pipeline-Levelized cost</v>
      </c>
      <c r="S731" t="str">
        <f t="shared" si="2149"/>
        <v>Hydrogen turbine (OC)-Levelized cost</v>
      </c>
      <c r="T731">
        <f ca="1">IF(timePeriod="2020-30",(VLOOKUP($P731,'TA database'!$I$8:$J$79,2,FALSE)/VLOOKUP($D731,'Merit calculation'!$B$48:$I$52,5,FALSE)/VLOOKUP($E731,'Merit calculation'!$B$67:$I$73,5,FALSE)/VLOOKUP($F731,'Merit calculation'!$B$90:$I$103,5,FALSE)/energyContentH2),(VLOOKUP($P731,'TA database'!$I$8:$J$79,2,FALSE)/VLOOKUP($D731,'Merit calculation'!$B$48:$I$52,7,FALSE)/VLOOKUP($E731,'Merit calculation'!$B$67:$I$73,7,FALSE)/VLOOKUP($F731,'Merit calculation'!$B$90:$I$103,7,FALSE)/energyContentH2))</f>
        <v>1.5541523322463977E-2</v>
      </c>
      <c r="U731">
        <f ca="1">IF(timePeriod="2020-30",(VLOOKUP($Q731,'TA database'!$I$86:$J$105,2,FALSE)/VLOOKUP($E731,'Merit calculation'!$B$67:$I$73,5,FALSE)/VLOOKUP($F731,'Merit calculation'!$B$90:$I$104,5,FALSE)/energyContentH2),VLOOKUP($Q731,'TA database'!$I$86:$J$105,2,FALSE)/VLOOKUP($E731,'Merit calculation'!$B$67:$I$73,7,FALSE)/VLOOKUP($F731,'Merit calculation'!$B$90:$I$104,7,FALSE)/energyContentH2)</f>
        <v>2.1898868882125647E-4</v>
      </c>
      <c r="V731">
        <f ca="1">IF(timePeriod="2020-30",(VLOOKUP($R731,'TA database'!$I$112:$J$139,2,FALSE)/VLOOKUP($F731,'Merit calculation'!$B$90:$I$104,5,FALSE)/energyContentH2),(VLOOKUP($R731,'TA database'!$I$112:$J$139,2,FALSE)/VLOOKUP($F731,'Merit calculation'!$B$90:$I$104,7,FALSE)/energyContentH2))</f>
        <v>5.8623272699796277E-3</v>
      </c>
      <c r="W731">
        <f>IFERROR(VLOOKUP($S731,'TA database'!$I$146:$J$193,2,FALSE),0)</f>
        <v>0</v>
      </c>
      <c r="X731">
        <f ca="1">IFERROR(VLOOKUP($S731,'TA database'!$I$200:$J$271,2,FALSE),0)</f>
        <v>6.8465051836761751E-3</v>
      </c>
      <c r="Y731">
        <f t="shared" ca="1" si="2150"/>
        <v>8.4688726596229683E-2</v>
      </c>
      <c r="Z731" t="str">
        <f t="shared" si="2151"/>
        <v>BIO_SR_LRG_C   →   C_UNDRGRND_STRG   →   H2_T&amp;D_P   →   H2_OCGT_PWR</v>
      </c>
      <c r="AA731" t="str">
        <f t="shared" si="2152"/>
        <v>Grid electricity</v>
      </c>
      <c r="AB731" t="str">
        <f t="shared" si="2153"/>
        <v>Levelized cost</v>
      </c>
      <c r="AC731">
        <f t="shared" ca="1" si="2154"/>
        <v>8.4688726596229683E-2</v>
      </c>
      <c r="AD731">
        <v>672</v>
      </c>
      <c r="AE731" t="str">
        <f>IF(AND(ISNUMBER(SEARCH(O731,4)),ISNUMBER(SEARCH('(4) FCH pathway assessment'!$B$16,AB731)),ISNUMBER(SEARCH('(4) FCH pathway assessment'!$B$10,AA731))),AD731,"")</f>
        <v/>
      </c>
      <c r="AF731" t="str">
        <f t="shared" si="2070"/>
        <v/>
      </c>
      <c r="AG731" t="str">
        <f>VLOOKUP(C731,Assumptions!$B$116:$C$162,2,FALSE)</f>
        <v>BIO_SR_LRG_C</v>
      </c>
      <c r="AH731" t="str">
        <f>VLOOKUP(D731,Assumptions!$B$116:$C$162,2,FALSE)</f>
        <v>C_UNDRGRND_STRG</v>
      </c>
      <c r="AI731" t="str">
        <f>VLOOKUP(E731,Assumptions!$B$116:$C$162,2,FALSE)</f>
        <v>H2_T&amp;D_P</v>
      </c>
      <c r="AJ731" t="str">
        <f>VLOOKUP(F731,Assumptions!$B$116:$C$162,2,FALSE)</f>
        <v>H2_OCGT_PWR</v>
      </c>
    </row>
    <row r="732" spans="2:36" x14ac:dyDescent="0.25">
      <c r="B732" t="s">
        <v>117</v>
      </c>
      <c r="C732" t="s">
        <v>56</v>
      </c>
      <c r="D732" t="s">
        <v>62</v>
      </c>
      <c r="E732" t="s">
        <v>116</v>
      </c>
      <c r="F732" t="s">
        <v>162</v>
      </c>
      <c r="G732" t="s">
        <v>114</v>
      </c>
      <c r="H732" t="s">
        <v>433</v>
      </c>
      <c r="I732" t="s">
        <v>32</v>
      </c>
      <c r="J732" t="s">
        <v>72</v>
      </c>
      <c r="K732">
        <f t="shared" si="2141"/>
        <v>0</v>
      </c>
      <c r="L732">
        <f t="shared" si="2142"/>
        <v>0</v>
      </c>
      <c r="M732">
        <f t="shared" si="2143"/>
        <v>1</v>
      </c>
      <c r="N732">
        <f t="shared" si="2144"/>
        <v>0</v>
      </c>
      <c r="O732">
        <f t="shared" si="2145"/>
        <v>1</v>
      </c>
      <c r="P732" t="str">
        <f t="shared" si="2146"/>
        <v>Large centralized biomass steam reforming -Levelized cost</v>
      </c>
      <c r="Q732" t="str">
        <f t="shared" si="2147"/>
        <v>Underground storage-Levelized cost</v>
      </c>
      <c r="R732" t="str">
        <f t="shared" si="2148"/>
        <v>Liquid hydrogen truck-Levelized cost</v>
      </c>
      <c r="S732" t="str">
        <f t="shared" si="2149"/>
        <v>Hydrogen turbine (OC)-Levelized cost</v>
      </c>
      <c r="T732">
        <f ca="1">IF(timePeriod="2020-30",(VLOOKUP($P732,'TA database'!$I$8:$J$79,2,FALSE)/VLOOKUP($D732,'Merit calculation'!$B$48:$I$52,5,FALSE)/VLOOKUP($E732,'Merit calculation'!$B$67:$I$73,5,FALSE)/VLOOKUP($F732,'Merit calculation'!$B$90:$I$103,5,FALSE)/energyContentH2),(VLOOKUP($P732,'TA database'!$I$8:$J$79,2,FALSE)/VLOOKUP($D732,'Merit calculation'!$B$48:$I$52,7,FALSE)/VLOOKUP($E732,'Merit calculation'!$B$67:$I$73,7,FALSE)/VLOOKUP($F732,'Merit calculation'!$B$90:$I$103,7,FALSE)/energyContentH2))</f>
        <v>1.7953451679392458E-2</v>
      </c>
      <c r="U732">
        <f ca="1">IF(timePeriod="2020-30",(VLOOKUP($Q732,'TA database'!$I$86:$J$105,2,FALSE)/VLOOKUP($E732,'Merit calculation'!$B$67:$I$73,5,FALSE)/VLOOKUP($F732,'Merit calculation'!$B$90:$I$104,5,FALSE)/energyContentH2),VLOOKUP($Q732,'TA database'!$I$86:$J$105,2,FALSE)/VLOOKUP($E732,'Merit calculation'!$B$67:$I$73,7,FALSE)/VLOOKUP($F732,'Merit calculation'!$B$90:$I$104,7,FALSE)/energyContentH2)</f>
        <v>2.5297409793820761E-4</v>
      </c>
      <c r="V732">
        <f ca="1">IF(timePeriod="2020-30",(VLOOKUP($R732,'TA database'!$I$112:$J$139,2,FALSE)/VLOOKUP($F732,'Merit calculation'!$B$90:$I$104,5,FALSE)/energyContentH2),(VLOOKUP($R732,'TA database'!$I$112:$J$139,2,FALSE)/VLOOKUP($F732,'Merit calculation'!$B$90:$I$104,7,FALSE)/energyContentH2))</f>
        <v>3.8792716356659054E-2</v>
      </c>
      <c r="W732">
        <f>IFERROR(VLOOKUP($S732,'TA database'!$I$146:$J$193,2,FALSE),0)</f>
        <v>0</v>
      </c>
      <c r="X732">
        <f ca="1">IFERROR(VLOOKUP($S732,'TA database'!$I$200:$J$271,2,FALSE),0)</f>
        <v>6.8465051836761751E-3</v>
      </c>
      <c r="Y732">
        <f t="shared" ca="1" si="2150"/>
        <v>0.21204341686603917</v>
      </c>
      <c r="Z732" t="str">
        <f t="shared" si="2151"/>
        <v>BIO_SR_LRG_C   →   C_UNDRGRND_STRG   →   LQ_TRUCK   →   H2_OCGT_PWR</v>
      </c>
      <c r="AA732" t="str">
        <f t="shared" si="2152"/>
        <v>Grid electricity</v>
      </c>
      <c r="AB732" t="str">
        <f t="shared" si="2153"/>
        <v>Levelized cost</v>
      </c>
      <c r="AC732">
        <f t="shared" ca="1" si="2154"/>
        <v>0.21204341686603917</v>
      </c>
      <c r="AD732">
        <v>673</v>
      </c>
      <c r="AE732" t="str">
        <f>IF(AND(ISNUMBER(SEARCH(O732,4)),ISNUMBER(SEARCH('(4) FCH pathway assessment'!$B$16,AB732)),ISNUMBER(SEARCH('(4) FCH pathway assessment'!$B$10,AA732))),AD732,"")</f>
        <v/>
      </c>
      <c r="AF732" t="str">
        <f t="shared" si="2070"/>
        <v/>
      </c>
      <c r="AG732" t="str">
        <f>VLOOKUP(C732,Assumptions!$B$116:$C$162,2,FALSE)</f>
        <v>BIO_SR_LRG_C</v>
      </c>
      <c r="AH732" t="str">
        <f>VLOOKUP(D732,Assumptions!$B$116:$C$162,2,FALSE)</f>
        <v>C_UNDRGRND_STRG</v>
      </c>
      <c r="AI732" t="str">
        <f>VLOOKUP(E732,Assumptions!$B$116:$C$162,2,FALSE)</f>
        <v>LQ_TRUCK</v>
      </c>
      <c r="AJ732" t="str">
        <f>VLOOKUP(F732,Assumptions!$B$116:$C$162,2,FALSE)</f>
        <v>H2_OCGT_PWR</v>
      </c>
    </row>
    <row r="733" spans="2:36" x14ac:dyDescent="0.25">
      <c r="B733" t="s">
        <v>117</v>
      </c>
      <c r="C733" t="s">
        <v>56</v>
      </c>
      <c r="D733" t="s">
        <v>62</v>
      </c>
      <c r="E733" t="s">
        <v>66</v>
      </c>
      <c r="F733" t="s">
        <v>162</v>
      </c>
      <c r="G733" t="s">
        <v>114</v>
      </c>
      <c r="H733" t="s">
        <v>433</v>
      </c>
      <c r="I733" t="s">
        <v>32</v>
      </c>
      <c r="J733" t="s">
        <v>72</v>
      </c>
      <c r="K733">
        <f t="shared" si="2141"/>
        <v>0</v>
      </c>
      <c r="L733">
        <f t="shared" si="2142"/>
        <v>0</v>
      </c>
      <c r="M733">
        <f t="shared" si="2143"/>
        <v>1</v>
      </c>
      <c r="N733">
        <f t="shared" si="2144"/>
        <v>0</v>
      </c>
      <c r="O733">
        <f t="shared" si="2145"/>
        <v>1</v>
      </c>
      <c r="P733" t="str">
        <f t="shared" si="2146"/>
        <v>Large centralized biomass steam reforming -Levelized cost</v>
      </c>
      <c r="Q733" t="str">
        <f t="shared" si="2147"/>
        <v>Underground storage-Levelized cost</v>
      </c>
      <c r="R733" t="str">
        <f t="shared" si="2148"/>
        <v>Onsite-Levelized cost</v>
      </c>
      <c r="S733" t="str">
        <f t="shared" si="2149"/>
        <v>Hydrogen turbine (OC)-Levelized cost</v>
      </c>
      <c r="T733">
        <f ca="1">IF(timePeriod="2020-30",(VLOOKUP($P733,'TA database'!$I$8:$J$79,2,FALSE)/VLOOKUP($D733,'Merit calculation'!$B$48:$I$52,5,FALSE)/VLOOKUP($E733,'Merit calculation'!$B$67:$I$73,5,FALSE)/VLOOKUP($F733,'Merit calculation'!$B$90:$I$103,5,FALSE)/energyContentH2),(VLOOKUP($P733,'TA database'!$I$8:$J$79,2,FALSE)/VLOOKUP($D733,'Merit calculation'!$B$48:$I$52,7,FALSE)/VLOOKUP($E733,'Merit calculation'!$B$67:$I$73,7,FALSE)/VLOOKUP($F733,'Merit calculation'!$B$90:$I$103,7,FALSE)/energyContentH2))</f>
        <v>1.5386108089239337E-2</v>
      </c>
      <c r="U733">
        <f ca="1">IF(timePeriod="2020-30",(VLOOKUP($Q733,'TA database'!$I$86:$J$105,2,FALSE)/VLOOKUP($E733,'Merit calculation'!$B$67:$I$73,5,FALSE)/VLOOKUP($F733,'Merit calculation'!$B$90:$I$104,5,FALSE)/energyContentH2),VLOOKUP($Q733,'TA database'!$I$86:$J$105,2,FALSE)/VLOOKUP($E733,'Merit calculation'!$B$67:$I$73,7,FALSE)/VLOOKUP($F733,'Merit calculation'!$B$90:$I$104,7,FALSE)/energyContentH2)</f>
        <v>2.167988019330439E-4</v>
      </c>
      <c r="V733">
        <f ca="1">IF(timePeriod="2020-30",(VLOOKUP($R733,'TA database'!$I$112:$J$139,2,FALSE)/VLOOKUP($F733,'Merit calculation'!$B$90:$I$104,5,FALSE)/energyContentH2),(VLOOKUP($R733,'TA database'!$I$112:$J$139,2,FALSE)/VLOOKUP($F733,'Merit calculation'!$B$90:$I$104,7,FALSE)/energyContentH2))</f>
        <v>0</v>
      </c>
      <c r="W733">
        <f>IFERROR(VLOOKUP($S733,'TA database'!$I$146:$J$193,2,FALSE),0)</f>
        <v>0</v>
      </c>
      <c r="X733">
        <f ca="1">IFERROR(VLOOKUP($S733,'TA database'!$I$200:$J$271,2,FALSE),0)</f>
        <v>6.8465051836761751E-3</v>
      </c>
      <c r="Y733">
        <f t="shared" ca="1" si="2150"/>
        <v>6.3016969991896751E-2</v>
      </c>
      <c r="Z733" t="str">
        <f t="shared" si="2151"/>
        <v>BIO_SR_LRG_C   →   C_UNDRGRND_STRG   →   ONSITE_USE   →   H2_OCGT_PWR</v>
      </c>
      <c r="AA733" t="str">
        <f t="shared" si="2152"/>
        <v>Grid electricity</v>
      </c>
      <c r="AB733" t="str">
        <f t="shared" si="2153"/>
        <v>Levelized cost</v>
      </c>
      <c r="AC733">
        <f t="shared" ca="1" si="2154"/>
        <v>6.3016969991896751E-2</v>
      </c>
      <c r="AD733">
        <v>674</v>
      </c>
      <c r="AE733" t="str">
        <f>IF(AND(ISNUMBER(SEARCH(O733,4)),ISNUMBER(SEARCH('(4) FCH pathway assessment'!$B$16,AB733)),ISNUMBER(SEARCH('(4) FCH pathway assessment'!$B$10,AA733))),AD733,"")</f>
        <v/>
      </c>
      <c r="AF733" t="str">
        <f t="shared" si="2070"/>
        <v/>
      </c>
      <c r="AG733" t="str">
        <f>VLOOKUP(C733,Assumptions!$B$116:$C$162,2,FALSE)</f>
        <v>BIO_SR_LRG_C</v>
      </c>
      <c r="AH733" t="str">
        <f>VLOOKUP(D733,Assumptions!$B$116:$C$162,2,FALSE)</f>
        <v>C_UNDRGRND_STRG</v>
      </c>
      <c r="AI733" t="str">
        <f>VLOOKUP(E733,Assumptions!$B$116:$C$162,2,FALSE)</f>
        <v>ONSITE_USE</v>
      </c>
      <c r="AJ733" t="str">
        <f>VLOOKUP(F733,Assumptions!$B$116:$C$162,2,FALSE)</f>
        <v>H2_OCGT_PWR</v>
      </c>
    </row>
    <row r="734" spans="2:36" x14ac:dyDescent="0.25">
      <c r="B734" t="s">
        <v>117</v>
      </c>
      <c r="C734" t="s">
        <v>56</v>
      </c>
      <c r="D734" s="61" t="s">
        <v>63</v>
      </c>
      <c r="E734" t="s">
        <v>122</v>
      </c>
      <c r="F734" t="s">
        <v>162</v>
      </c>
      <c r="G734" t="s">
        <v>114</v>
      </c>
      <c r="H734" t="s">
        <v>433</v>
      </c>
      <c r="I734" t="s">
        <v>32</v>
      </c>
      <c r="J734" t="s">
        <v>72</v>
      </c>
      <c r="K734">
        <f t="shared" si="2141"/>
        <v>0</v>
      </c>
      <c r="L734">
        <f t="shared" si="2142"/>
        <v>1</v>
      </c>
      <c r="M734">
        <f t="shared" si="2143"/>
        <v>1</v>
      </c>
      <c r="N734">
        <f t="shared" si="2144"/>
        <v>0</v>
      </c>
      <c r="O734">
        <f t="shared" si="2145"/>
        <v>2</v>
      </c>
      <c r="P734" t="str">
        <f t="shared" si="2146"/>
        <v>Large centralized biomass steam reforming -Levelized cost</v>
      </c>
      <c r="Q734" t="str">
        <f t="shared" si="2147"/>
        <v>No storage-Levelized cost</v>
      </c>
      <c r="R734" t="str">
        <f t="shared" si="2148"/>
        <v>Hydrogen transmission &amp; distribution pipeline-Levelized cost</v>
      </c>
      <c r="S734" t="str">
        <f t="shared" si="2149"/>
        <v>Hydrogen turbine (OC)-Levelized cost</v>
      </c>
      <c r="T734">
        <f ca="1">IF(timePeriod="2020-30",(VLOOKUP($P734,'TA database'!$I$8:$J$79,2,FALSE)/VLOOKUP($D734,'Merit calculation'!$B$48:$I$52,5,FALSE)/VLOOKUP($E734,'Merit calculation'!$B$67:$I$73,5,FALSE)/VLOOKUP($F734,'Merit calculation'!$B$90:$I$103,5,FALSE)/energyContentH2),(VLOOKUP($P734,'TA database'!$I$8:$J$79,2,FALSE)/VLOOKUP($D734,'Merit calculation'!$B$48:$I$52,7,FALSE)/VLOOKUP($E734,'Merit calculation'!$B$67:$I$73,7,FALSE)/VLOOKUP($F734,'Merit calculation'!$B$90:$I$103,7,FALSE)/energyContentH2))</f>
        <v>1.5386108089239337E-2</v>
      </c>
      <c r="U734">
        <f ca="1">IF(timePeriod="2020-30",(VLOOKUP($Q734,'TA database'!$I$86:$J$105,2,FALSE)/VLOOKUP($E734,'Merit calculation'!$B$67:$I$73,5,FALSE)/VLOOKUP($F734,'Merit calculation'!$B$90:$I$104,5,FALSE)/energyContentH2),VLOOKUP($Q734,'TA database'!$I$86:$J$105,2,FALSE)/VLOOKUP($E734,'Merit calculation'!$B$67:$I$73,7,FALSE)/VLOOKUP($F734,'Merit calculation'!$B$90:$I$104,7,FALSE)/energyContentH2)</f>
        <v>0</v>
      </c>
      <c r="V734">
        <f ca="1">IF(timePeriod="2020-30",(VLOOKUP($R734,'TA database'!$I$112:$J$139,2,FALSE)/VLOOKUP($F734,'Merit calculation'!$B$90:$I$104,5,FALSE)/energyContentH2),(VLOOKUP($R734,'TA database'!$I$112:$J$139,2,FALSE)/VLOOKUP($F734,'Merit calculation'!$B$90:$I$104,7,FALSE)/energyContentH2))</f>
        <v>5.8623272699796277E-3</v>
      </c>
      <c r="W734">
        <f>IFERROR(VLOOKUP($S734,'TA database'!$I$146:$J$193,2,FALSE),0)</f>
        <v>0</v>
      </c>
      <c r="X734">
        <f ca="1">IFERROR(VLOOKUP($S734,'TA database'!$I$200:$J$271,2,FALSE),0)</f>
        <v>6.8465051836761751E-3</v>
      </c>
      <c r="Y734">
        <f t="shared" ref="Y734:Y742" ca="1" si="2155">IF($W734=0,T734*3.6+U734*3.6+V734*3.6+X734,T734+U734+V734+W734)</f>
        <v>8.3340872476864447E-2</v>
      </c>
      <c r="Z734" t="str">
        <f t="shared" si="2151"/>
        <v>BIO_SR_LRG_C   →   NO_STRG   →   H2_T&amp;D_P   →   H2_OCGT_PWR</v>
      </c>
      <c r="AA734" t="str">
        <f t="shared" si="2152"/>
        <v>Grid electricity</v>
      </c>
      <c r="AB734" t="str">
        <f t="shared" si="2153"/>
        <v>Levelized cost</v>
      </c>
      <c r="AC734">
        <f t="shared" ca="1" si="2154"/>
        <v>8.3340872476864447E-2</v>
      </c>
      <c r="AD734">
        <v>675</v>
      </c>
      <c r="AE734" t="str">
        <f>IF(AND(ISNUMBER(SEARCH(O734,4)),ISNUMBER(SEARCH('(4) FCH pathway assessment'!$B$16,AB734)),ISNUMBER(SEARCH('(4) FCH pathway assessment'!$B$10,AA734))),AD734,"")</f>
        <v/>
      </c>
      <c r="AF734" t="str">
        <f t="shared" si="2070"/>
        <v/>
      </c>
      <c r="AG734" t="str">
        <f>VLOOKUP(C734,Assumptions!$B$116:$C$162,2,FALSE)</f>
        <v>BIO_SR_LRG_C</v>
      </c>
      <c r="AH734" t="str">
        <f>VLOOKUP(D734,Assumptions!$B$116:$C$162,2,FALSE)</f>
        <v>NO_STRG</v>
      </c>
      <c r="AI734" t="str">
        <f>VLOOKUP(E734,Assumptions!$B$116:$C$162,2,FALSE)</f>
        <v>H2_T&amp;D_P</v>
      </c>
      <c r="AJ734" t="str">
        <f>VLOOKUP(F734,Assumptions!$B$116:$C$162,2,FALSE)</f>
        <v>H2_OCGT_PWR</v>
      </c>
    </row>
    <row r="735" spans="2:36" x14ac:dyDescent="0.25">
      <c r="B735" t="s">
        <v>112</v>
      </c>
      <c r="C735" t="s">
        <v>49</v>
      </c>
      <c r="D735" t="s">
        <v>62</v>
      </c>
      <c r="E735" t="s">
        <v>157</v>
      </c>
      <c r="F735" t="s">
        <v>162</v>
      </c>
      <c r="G735" t="s">
        <v>114</v>
      </c>
      <c r="H735" t="s">
        <v>433</v>
      </c>
      <c r="I735" t="s">
        <v>32</v>
      </c>
      <c r="J735" t="s">
        <v>72</v>
      </c>
      <c r="K735">
        <f t="shared" ref="K735:K746" si="2156">SUMPRODUCT(($C$7:$C$18=$C735)*($D$6:$H$6=$D735)*($D$7:$H$18))</f>
        <v>1</v>
      </c>
      <c r="L735">
        <f t="shared" ref="L735:L746" si="2157">SUMPRODUCT(($C$19:$C$23=$D735)*($I$6:$O$6=$E735)*($I$19:$O$23))</f>
        <v>0</v>
      </c>
      <c r="M735">
        <f t="shared" ref="M735:M746" si="2158">SUMPRODUCT(($C$24:$C$30=$E735)*($P$6:$AI$6=$F735)*($P$24:$AI$30))</f>
        <v>0</v>
      </c>
      <c r="N735">
        <f t="shared" ref="N735:N746" si="2159">SUMPRODUCT(($C$31:$C$50=$F735)*($AJ$6:$AM$6=$G735)*($AJ$31:$AM$50))</f>
        <v>0</v>
      </c>
      <c r="O735">
        <f t="shared" ref="O735:O746" si="2160">K735+L735+M735+N735</f>
        <v>1</v>
      </c>
      <c r="P735" t="str">
        <f t="shared" ref="P735:P746" si="2161">CONCATENATE(C735,"-",J735)</f>
        <v>Large centralized electrolysis-Levelized cost</v>
      </c>
      <c r="Q735" t="str">
        <f t="shared" ref="Q735:Q746" si="2162">CONCATENATE(D735,"-",J735)</f>
        <v>Underground storage-Levelized cost</v>
      </c>
      <c r="R735" t="str">
        <f t="shared" ref="R735:R746" si="2163">CONCATENATE(E735,"-",J735)</f>
        <v>Blending in natural gas pipeline-Levelized cost</v>
      </c>
      <c r="S735" t="str">
        <f t="shared" ref="S735:S746" si="2164">CONCATENATE(F735,"-",J735)</f>
        <v>Hydrogen turbine (OC)-Levelized cost</v>
      </c>
      <c r="T735">
        <f ca="1">IF(timePeriod="2020-30",(VLOOKUP($P735,'TA database'!$I$8:$J$79,2,FALSE)/VLOOKUP($D735,'Merit calculation'!$B$48:$I$52,5,FALSE)/VLOOKUP($E735,'Merit calculation'!$B$67:$I$73,5,FALSE)/VLOOKUP($F735,'Merit calculation'!$B$90:$I$103,5,FALSE)/energyContentH2),(VLOOKUP($P735,'TA database'!$I$8:$J$79,2,FALSE)/VLOOKUP($D735,'Merit calculation'!$B$48:$I$52,7,FALSE)/VLOOKUP($E735,'Merit calculation'!$B$67:$I$73,7,FALSE)/VLOOKUP($F735,'Merit calculation'!$B$90:$I$103,7,FALSE)/energyContentH2))</f>
        <v>3.3139165088477245E-2</v>
      </c>
      <c r="U735">
        <f ca="1">IF(timePeriod="2020-30",(VLOOKUP($Q735,'TA database'!$I$86:$J$105,2,FALSE)/VLOOKUP($E735,'Merit calculation'!$B$67:$I$73,5,FALSE)/VLOOKUP($F735,'Merit calculation'!$B$90:$I$104,5,FALSE)/energyContentH2),VLOOKUP($Q735,'TA database'!$I$86:$J$105,2,FALSE)/VLOOKUP($E735,'Merit calculation'!$B$67:$I$73,7,FALSE)/VLOOKUP($F735,'Merit calculation'!$B$90:$I$104,7,FALSE)/energyContentH2)</f>
        <v>2.1898868882125647E-4</v>
      </c>
      <c r="V735">
        <f ca="1">IF(timePeriod="2020-30",(VLOOKUP($R735,'TA database'!$I$112:$J$139,2,FALSE)/VLOOKUP($F735,'Merit calculation'!$B$90:$I$104,5,FALSE)/energyContentH2),(VLOOKUP($R735,'TA database'!$I$112:$J$139,2,FALSE)/VLOOKUP($F735,'Merit calculation'!$B$90:$I$104,7,FALSE)/energyContentH2))</f>
        <v>3.1508562766822874E-3</v>
      </c>
      <c r="W735">
        <f>IFERROR(VLOOKUP($S735,'TA database'!$I$146:$J$193,2,FALSE),0)</f>
        <v>0</v>
      </c>
      <c r="X735">
        <f ca="1">IFERROR(VLOOKUP($S735,'TA database'!$I$200:$J$271,2,FALSE),0)</f>
        <v>6.8465051836761751E-3</v>
      </c>
      <c r="Y735">
        <f t="shared" ca="1" si="2155"/>
        <v>0.13827894137800703</v>
      </c>
      <c r="Z735" t="str">
        <f t="shared" ref="Z735:Z746" si="2165">CONCATENATE(AG735,"   →   ",AH735,"   →   ",AI735,"   →   ",AJ735)</f>
        <v>ELCTRLYZ_LRG_C   →   C_UNDRGRND_STRG   →   H2_BLND_NG_P   →   H2_OCGT_PWR</v>
      </c>
      <c r="AA735" t="str">
        <f t="shared" ref="AA735:AA746" si="2166">G735</f>
        <v>Grid electricity</v>
      </c>
      <c r="AB735" t="str">
        <f t="shared" ref="AB735:AB746" si="2167">J735</f>
        <v>Levelized cost</v>
      </c>
      <c r="AC735">
        <f t="shared" ref="AC735:AC746" ca="1" si="2168">Y735</f>
        <v>0.13827894137800703</v>
      </c>
      <c r="AD735">
        <v>676</v>
      </c>
      <c r="AE735" t="str">
        <f>IF(AND(ISNUMBER(SEARCH(O735,4)),ISNUMBER(SEARCH('(4) FCH pathway assessment'!$B$16,AB735)),ISNUMBER(SEARCH('(4) FCH pathway assessment'!$B$10,AA735))),AD735,"")</f>
        <v/>
      </c>
      <c r="AF735" t="str">
        <f t="shared" si="2070"/>
        <v/>
      </c>
      <c r="AG735" t="str">
        <f>VLOOKUP(C735,Assumptions!$B$116:$C$162,2,FALSE)</f>
        <v>ELCTRLYZ_LRG_C</v>
      </c>
      <c r="AH735" t="str">
        <f>VLOOKUP(D735,Assumptions!$B$116:$C$162,2,FALSE)</f>
        <v>C_UNDRGRND_STRG</v>
      </c>
      <c r="AI735" t="str">
        <f>VLOOKUP(E735,Assumptions!$B$116:$C$162,2,FALSE)</f>
        <v>H2_BLND_NG_P</v>
      </c>
      <c r="AJ735" t="str">
        <f>VLOOKUP(F735,Assumptions!$B$116:$C$162,2,FALSE)</f>
        <v>H2_OCGT_PWR</v>
      </c>
    </row>
    <row r="736" spans="2:36" x14ac:dyDescent="0.25">
      <c r="B736" t="s">
        <v>112</v>
      </c>
      <c r="C736" t="s">
        <v>49</v>
      </c>
      <c r="D736" t="s">
        <v>62</v>
      </c>
      <c r="E736" t="s">
        <v>122</v>
      </c>
      <c r="F736" t="s">
        <v>162</v>
      </c>
      <c r="G736" t="s">
        <v>114</v>
      </c>
      <c r="H736" t="s">
        <v>433</v>
      </c>
      <c r="I736" t="s">
        <v>32</v>
      </c>
      <c r="J736" t="s">
        <v>72</v>
      </c>
      <c r="K736">
        <f t="shared" si="2156"/>
        <v>1</v>
      </c>
      <c r="L736">
        <f t="shared" si="2157"/>
        <v>0</v>
      </c>
      <c r="M736">
        <f t="shared" si="2158"/>
        <v>1</v>
      </c>
      <c r="N736">
        <f t="shared" si="2159"/>
        <v>0</v>
      </c>
      <c r="O736">
        <f t="shared" si="2160"/>
        <v>2</v>
      </c>
      <c r="P736" t="str">
        <f t="shared" si="2161"/>
        <v>Large centralized electrolysis-Levelized cost</v>
      </c>
      <c r="Q736" t="str">
        <f t="shared" si="2162"/>
        <v>Underground storage-Levelized cost</v>
      </c>
      <c r="R736" t="str">
        <f t="shared" si="2163"/>
        <v>Hydrogen transmission &amp; distribution pipeline-Levelized cost</v>
      </c>
      <c r="S736" t="str">
        <f t="shared" si="2164"/>
        <v>Hydrogen turbine (OC)-Levelized cost</v>
      </c>
      <c r="T736">
        <f ca="1">IF(timePeriod="2020-30",(VLOOKUP($P736,'TA database'!$I$8:$J$79,2,FALSE)/VLOOKUP($D736,'Merit calculation'!$B$48:$I$52,5,FALSE)/VLOOKUP($E736,'Merit calculation'!$B$67:$I$73,5,FALSE)/VLOOKUP($F736,'Merit calculation'!$B$90:$I$103,5,FALSE)/energyContentH2),(VLOOKUP($P736,'TA database'!$I$8:$J$79,2,FALSE)/VLOOKUP($D736,'Merit calculation'!$B$48:$I$52,7,FALSE)/VLOOKUP($E736,'Merit calculation'!$B$67:$I$73,7,FALSE)/VLOOKUP($F736,'Merit calculation'!$B$90:$I$103,7,FALSE)/energyContentH2))</f>
        <v>3.3139165088477245E-2</v>
      </c>
      <c r="U736">
        <f ca="1">IF(timePeriod="2020-30",(VLOOKUP($Q736,'TA database'!$I$86:$J$105,2,FALSE)/VLOOKUP($E736,'Merit calculation'!$B$67:$I$73,5,FALSE)/VLOOKUP($F736,'Merit calculation'!$B$90:$I$104,5,FALSE)/energyContentH2),VLOOKUP($Q736,'TA database'!$I$86:$J$105,2,FALSE)/VLOOKUP($E736,'Merit calculation'!$B$67:$I$73,7,FALSE)/VLOOKUP($F736,'Merit calculation'!$B$90:$I$104,7,FALSE)/energyContentH2)</f>
        <v>2.1898868882125647E-4</v>
      </c>
      <c r="V736">
        <f ca="1">IF(timePeriod="2020-30",(VLOOKUP($R736,'TA database'!$I$112:$J$139,2,FALSE)/VLOOKUP($F736,'Merit calculation'!$B$90:$I$104,5,FALSE)/energyContentH2),(VLOOKUP($R736,'TA database'!$I$112:$J$139,2,FALSE)/VLOOKUP($F736,'Merit calculation'!$B$90:$I$104,7,FALSE)/energyContentH2))</f>
        <v>5.8623272699796277E-3</v>
      </c>
      <c r="W736">
        <f>IFERROR(VLOOKUP($S736,'TA database'!$I$146:$J$193,2,FALSE),0)</f>
        <v>0</v>
      </c>
      <c r="X736">
        <f ca="1">IFERROR(VLOOKUP($S736,'TA database'!$I$200:$J$271,2,FALSE),0)</f>
        <v>6.8465051836761751E-3</v>
      </c>
      <c r="Y736">
        <f t="shared" ca="1" si="2155"/>
        <v>0.14804023695387747</v>
      </c>
      <c r="Z736" t="str">
        <f t="shared" si="2165"/>
        <v>ELCTRLYZ_LRG_C   →   C_UNDRGRND_STRG   →   H2_T&amp;D_P   →   H2_OCGT_PWR</v>
      </c>
      <c r="AA736" t="str">
        <f t="shared" si="2166"/>
        <v>Grid electricity</v>
      </c>
      <c r="AB736" t="str">
        <f t="shared" si="2167"/>
        <v>Levelized cost</v>
      </c>
      <c r="AC736">
        <f t="shared" ca="1" si="2168"/>
        <v>0.14804023695387747</v>
      </c>
      <c r="AD736">
        <v>677</v>
      </c>
      <c r="AE736" t="str">
        <f>IF(AND(ISNUMBER(SEARCH(O736,4)),ISNUMBER(SEARCH('(4) FCH pathway assessment'!$B$16,AB736)),ISNUMBER(SEARCH('(4) FCH pathway assessment'!$B$10,AA736))),AD736,"")</f>
        <v/>
      </c>
      <c r="AF736" t="str">
        <f t="shared" si="2070"/>
        <v/>
      </c>
      <c r="AG736" t="str">
        <f>VLOOKUP(C736,Assumptions!$B$116:$C$162,2,FALSE)</f>
        <v>ELCTRLYZ_LRG_C</v>
      </c>
      <c r="AH736" t="str">
        <f>VLOOKUP(D736,Assumptions!$B$116:$C$162,2,FALSE)</f>
        <v>C_UNDRGRND_STRG</v>
      </c>
      <c r="AI736" t="str">
        <f>VLOOKUP(E736,Assumptions!$B$116:$C$162,2,FALSE)</f>
        <v>H2_T&amp;D_P</v>
      </c>
      <c r="AJ736" t="str">
        <f>VLOOKUP(F736,Assumptions!$B$116:$C$162,2,FALSE)</f>
        <v>H2_OCGT_PWR</v>
      </c>
    </row>
    <row r="737" spans="2:36" x14ac:dyDescent="0.25">
      <c r="B737" t="s">
        <v>112</v>
      </c>
      <c r="C737" t="s">
        <v>49</v>
      </c>
      <c r="D737" t="s">
        <v>62</v>
      </c>
      <c r="E737" t="s">
        <v>116</v>
      </c>
      <c r="F737" t="s">
        <v>162</v>
      </c>
      <c r="G737" t="s">
        <v>114</v>
      </c>
      <c r="H737" t="s">
        <v>433</v>
      </c>
      <c r="I737" t="s">
        <v>32</v>
      </c>
      <c r="J737" t="s">
        <v>72</v>
      </c>
      <c r="K737">
        <f t="shared" si="2156"/>
        <v>1</v>
      </c>
      <c r="L737">
        <f t="shared" si="2157"/>
        <v>0</v>
      </c>
      <c r="M737">
        <f t="shared" si="2158"/>
        <v>1</v>
      </c>
      <c r="N737">
        <f t="shared" si="2159"/>
        <v>0</v>
      </c>
      <c r="O737">
        <f t="shared" si="2160"/>
        <v>2</v>
      </c>
      <c r="P737" t="str">
        <f t="shared" si="2161"/>
        <v>Large centralized electrolysis-Levelized cost</v>
      </c>
      <c r="Q737" t="str">
        <f t="shared" si="2162"/>
        <v>Underground storage-Levelized cost</v>
      </c>
      <c r="R737" t="str">
        <f t="shared" si="2163"/>
        <v>Liquid hydrogen truck-Levelized cost</v>
      </c>
      <c r="S737" t="str">
        <f t="shared" si="2164"/>
        <v>Hydrogen turbine (OC)-Levelized cost</v>
      </c>
      <c r="T737">
        <f ca="1">IF(timePeriod="2020-30",(VLOOKUP($P737,'TA database'!$I$8:$J$79,2,FALSE)/VLOOKUP($D737,'Merit calculation'!$B$48:$I$52,5,FALSE)/VLOOKUP($E737,'Merit calculation'!$B$67:$I$73,5,FALSE)/VLOOKUP($F737,'Merit calculation'!$B$90:$I$103,5,FALSE)/energyContentH2),(VLOOKUP($P737,'TA database'!$I$8:$J$79,2,FALSE)/VLOOKUP($D737,'Merit calculation'!$B$48:$I$52,7,FALSE)/VLOOKUP($E737,'Merit calculation'!$B$67:$I$73,7,FALSE)/VLOOKUP($F737,'Merit calculation'!$B$90:$I$103,7,FALSE)/energyContentH2))</f>
        <v>3.8282116029862874E-2</v>
      </c>
      <c r="U737">
        <f ca="1">IF(timePeriod="2020-30",(VLOOKUP($Q737,'TA database'!$I$86:$J$105,2,FALSE)/VLOOKUP($E737,'Merit calculation'!$B$67:$I$73,5,FALSE)/VLOOKUP($F737,'Merit calculation'!$B$90:$I$104,5,FALSE)/energyContentH2),VLOOKUP($Q737,'TA database'!$I$86:$J$105,2,FALSE)/VLOOKUP($E737,'Merit calculation'!$B$67:$I$73,7,FALSE)/VLOOKUP($F737,'Merit calculation'!$B$90:$I$104,7,FALSE)/energyContentH2)</f>
        <v>2.5297409793820761E-4</v>
      </c>
      <c r="V737">
        <f ca="1">IF(timePeriod="2020-30",(VLOOKUP($R737,'TA database'!$I$112:$J$139,2,FALSE)/VLOOKUP($F737,'Merit calculation'!$B$90:$I$104,5,FALSE)/energyContentH2),(VLOOKUP($R737,'TA database'!$I$112:$J$139,2,FALSE)/VLOOKUP($F737,'Merit calculation'!$B$90:$I$104,7,FALSE)/energyContentH2))</f>
        <v>3.8792716356659054E-2</v>
      </c>
      <c r="W737">
        <f>IFERROR(VLOOKUP($S737,'TA database'!$I$146:$J$193,2,FALSE),0)</f>
        <v>0</v>
      </c>
      <c r="X737">
        <f ca="1">IFERROR(VLOOKUP($S737,'TA database'!$I$200:$J$271,2,FALSE),0)</f>
        <v>6.8465051836761751E-3</v>
      </c>
      <c r="Y737">
        <f t="shared" ca="1" si="2155"/>
        <v>0.28522660852773268</v>
      </c>
      <c r="Z737" t="str">
        <f t="shared" si="2165"/>
        <v>ELCTRLYZ_LRG_C   →   C_UNDRGRND_STRG   →   LQ_TRUCK   →   H2_OCGT_PWR</v>
      </c>
      <c r="AA737" t="str">
        <f t="shared" si="2166"/>
        <v>Grid electricity</v>
      </c>
      <c r="AB737" t="str">
        <f t="shared" si="2167"/>
        <v>Levelized cost</v>
      </c>
      <c r="AC737">
        <f t="shared" ca="1" si="2168"/>
        <v>0.28522660852773268</v>
      </c>
      <c r="AD737">
        <v>678</v>
      </c>
      <c r="AE737" t="str">
        <f>IF(AND(ISNUMBER(SEARCH(O737,4)),ISNUMBER(SEARCH('(4) FCH pathway assessment'!$B$16,AB737)),ISNUMBER(SEARCH('(4) FCH pathway assessment'!$B$10,AA737))),AD737,"")</f>
        <v/>
      </c>
      <c r="AF737" t="str">
        <f t="shared" si="2070"/>
        <v/>
      </c>
      <c r="AG737" t="str">
        <f>VLOOKUP(C737,Assumptions!$B$116:$C$162,2,FALSE)</f>
        <v>ELCTRLYZ_LRG_C</v>
      </c>
      <c r="AH737" t="str">
        <f>VLOOKUP(D737,Assumptions!$B$116:$C$162,2,FALSE)</f>
        <v>C_UNDRGRND_STRG</v>
      </c>
      <c r="AI737" t="str">
        <f>VLOOKUP(E737,Assumptions!$B$116:$C$162,2,FALSE)</f>
        <v>LQ_TRUCK</v>
      </c>
      <c r="AJ737" t="str">
        <f>VLOOKUP(F737,Assumptions!$B$116:$C$162,2,FALSE)</f>
        <v>H2_OCGT_PWR</v>
      </c>
    </row>
    <row r="738" spans="2:36" x14ac:dyDescent="0.25">
      <c r="B738" t="s">
        <v>112</v>
      </c>
      <c r="C738" t="s">
        <v>49</v>
      </c>
      <c r="D738" t="s">
        <v>62</v>
      </c>
      <c r="E738" t="s">
        <v>66</v>
      </c>
      <c r="F738" t="s">
        <v>162</v>
      </c>
      <c r="G738" t="s">
        <v>114</v>
      </c>
      <c r="H738" t="s">
        <v>433</v>
      </c>
      <c r="I738" t="s">
        <v>32</v>
      </c>
      <c r="J738" t="s">
        <v>72</v>
      </c>
      <c r="K738">
        <f t="shared" si="2156"/>
        <v>1</v>
      </c>
      <c r="L738">
        <f t="shared" si="2157"/>
        <v>0</v>
      </c>
      <c r="M738">
        <f t="shared" si="2158"/>
        <v>1</v>
      </c>
      <c r="N738">
        <f t="shared" si="2159"/>
        <v>0</v>
      </c>
      <c r="O738">
        <f t="shared" si="2160"/>
        <v>2</v>
      </c>
      <c r="P738" t="str">
        <f t="shared" si="2161"/>
        <v>Large centralized electrolysis-Levelized cost</v>
      </c>
      <c r="Q738" t="str">
        <f t="shared" si="2162"/>
        <v>Underground storage-Levelized cost</v>
      </c>
      <c r="R738" t="str">
        <f t="shared" si="2163"/>
        <v>Onsite-Levelized cost</v>
      </c>
      <c r="S738" t="str">
        <f t="shared" si="2164"/>
        <v>Hydrogen turbine (OC)-Levelized cost</v>
      </c>
      <c r="T738">
        <f ca="1">IF(timePeriod="2020-30",(VLOOKUP($P738,'TA database'!$I$8:$J$79,2,FALSE)/VLOOKUP($D738,'Merit calculation'!$B$48:$I$52,5,FALSE)/VLOOKUP($E738,'Merit calculation'!$B$67:$I$73,5,FALSE)/VLOOKUP($F738,'Merit calculation'!$B$90:$I$103,5,FALSE)/energyContentH2),(VLOOKUP($P738,'TA database'!$I$8:$J$79,2,FALSE)/VLOOKUP($D738,'Merit calculation'!$B$48:$I$52,7,FALSE)/VLOOKUP($E738,'Merit calculation'!$B$67:$I$73,7,FALSE)/VLOOKUP($F738,'Merit calculation'!$B$90:$I$103,7,FALSE)/energyContentH2))</f>
        <v>3.2807773437592475E-2</v>
      </c>
      <c r="U738">
        <f ca="1">IF(timePeriod="2020-30",(VLOOKUP($Q738,'TA database'!$I$86:$J$105,2,FALSE)/VLOOKUP($E738,'Merit calculation'!$B$67:$I$73,5,FALSE)/VLOOKUP($F738,'Merit calculation'!$B$90:$I$104,5,FALSE)/energyContentH2),VLOOKUP($Q738,'TA database'!$I$86:$J$105,2,FALSE)/VLOOKUP($E738,'Merit calculation'!$B$67:$I$73,7,FALSE)/VLOOKUP($F738,'Merit calculation'!$B$90:$I$104,7,FALSE)/energyContentH2)</f>
        <v>2.167988019330439E-4</v>
      </c>
      <c r="V738">
        <f ca="1">IF(timePeriod="2020-30",(VLOOKUP($R738,'TA database'!$I$112:$J$139,2,FALSE)/VLOOKUP($F738,'Merit calculation'!$B$90:$I$104,5,FALSE)/energyContentH2),(VLOOKUP($R738,'TA database'!$I$112:$J$139,2,FALSE)/VLOOKUP($F738,'Merit calculation'!$B$90:$I$104,7,FALSE)/energyContentH2))</f>
        <v>0</v>
      </c>
      <c r="W738">
        <f>IFERROR(VLOOKUP($S738,'TA database'!$I$146:$J$193,2,FALSE),0)</f>
        <v>0</v>
      </c>
      <c r="X738">
        <f ca="1">IFERROR(VLOOKUP($S738,'TA database'!$I$200:$J$271,2,FALSE),0)</f>
        <v>6.8465051836761751E-3</v>
      </c>
      <c r="Y738">
        <f t="shared" ca="1" si="2155"/>
        <v>0.12573496524596806</v>
      </c>
      <c r="Z738" t="str">
        <f t="shared" si="2165"/>
        <v>ELCTRLYZ_LRG_C   →   C_UNDRGRND_STRG   →   ONSITE_USE   →   H2_OCGT_PWR</v>
      </c>
      <c r="AA738" t="str">
        <f t="shared" si="2166"/>
        <v>Grid electricity</v>
      </c>
      <c r="AB738" t="str">
        <f t="shared" si="2167"/>
        <v>Levelized cost</v>
      </c>
      <c r="AC738">
        <f t="shared" ca="1" si="2168"/>
        <v>0.12573496524596806</v>
      </c>
      <c r="AD738">
        <v>679</v>
      </c>
      <c r="AE738" t="str">
        <f>IF(AND(ISNUMBER(SEARCH(O738,4)),ISNUMBER(SEARCH('(4) FCH pathway assessment'!$B$16,AB738)),ISNUMBER(SEARCH('(4) FCH pathway assessment'!$B$10,AA738))),AD738,"")</f>
        <v/>
      </c>
      <c r="AF738" t="str">
        <f t="shared" si="2070"/>
        <v/>
      </c>
      <c r="AG738" t="str">
        <f>VLOOKUP(C738,Assumptions!$B$116:$C$162,2,FALSE)</f>
        <v>ELCTRLYZ_LRG_C</v>
      </c>
      <c r="AH738" t="str">
        <f>VLOOKUP(D738,Assumptions!$B$116:$C$162,2,FALSE)</f>
        <v>C_UNDRGRND_STRG</v>
      </c>
      <c r="AI738" t="str">
        <f>VLOOKUP(E738,Assumptions!$B$116:$C$162,2,FALSE)</f>
        <v>ONSITE_USE</v>
      </c>
      <c r="AJ738" t="str">
        <f>VLOOKUP(F738,Assumptions!$B$116:$C$162,2,FALSE)</f>
        <v>H2_OCGT_PWR</v>
      </c>
    </row>
    <row r="739" spans="2:36" x14ac:dyDescent="0.25">
      <c r="B739" t="s">
        <v>112</v>
      </c>
      <c r="C739" t="s">
        <v>49</v>
      </c>
      <c r="D739" t="s">
        <v>155</v>
      </c>
      <c r="E739" t="s">
        <v>157</v>
      </c>
      <c r="F739" t="s">
        <v>162</v>
      </c>
      <c r="G739" t="s">
        <v>114</v>
      </c>
      <c r="H739" t="s">
        <v>433</v>
      </c>
      <c r="I739" t="s">
        <v>32</v>
      </c>
      <c r="J739" t="s">
        <v>72</v>
      </c>
      <c r="K739">
        <f t="shared" si="2156"/>
        <v>1</v>
      </c>
      <c r="L739">
        <f t="shared" si="2157"/>
        <v>1</v>
      </c>
      <c r="M739">
        <f t="shared" si="2158"/>
        <v>0</v>
      </c>
      <c r="N739">
        <f t="shared" si="2159"/>
        <v>0</v>
      </c>
      <c r="O739">
        <f t="shared" si="2160"/>
        <v>2</v>
      </c>
      <c r="P739" t="str">
        <f t="shared" si="2161"/>
        <v>Large centralized electrolysis-Levelized cost</v>
      </c>
      <c r="Q739" t="str">
        <f t="shared" si="2162"/>
        <v>Central gas storage-Levelized cost</v>
      </c>
      <c r="R739" t="str">
        <f t="shared" si="2163"/>
        <v>Blending in natural gas pipeline-Levelized cost</v>
      </c>
      <c r="S739" t="str">
        <f t="shared" si="2164"/>
        <v>Hydrogen turbine (OC)-Levelized cost</v>
      </c>
      <c r="T739">
        <f ca="1">IF(timePeriod="2020-30",(VLOOKUP($P739,'TA database'!$I$8:$J$79,2,FALSE)/VLOOKUP($D739,'Merit calculation'!$B$48:$I$52,5,FALSE)/VLOOKUP($E739,'Merit calculation'!$B$67:$I$73,5,FALSE)/VLOOKUP($F739,'Merit calculation'!$B$90:$I$103,5,FALSE)/energyContentH2),(VLOOKUP($P739,'TA database'!$I$8:$J$79,2,FALSE)/VLOOKUP($D739,'Merit calculation'!$B$48:$I$52,7,FALSE)/VLOOKUP($E739,'Merit calculation'!$B$67:$I$73,7,FALSE)/VLOOKUP($F739,'Merit calculation'!$B$90:$I$103,7,FALSE)/energyContentH2))</f>
        <v>3.3477319834278041E-2</v>
      </c>
      <c r="U739">
        <f ca="1">IF(timePeriod="2020-30",(VLOOKUP($Q739,'TA database'!$I$86:$J$105,2,FALSE)/VLOOKUP($E739,'Merit calculation'!$B$67:$I$73,5,FALSE)/VLOOKUP($F739,'Merit calculation'!$B$90:$I$104,5,FALSE)/energyContentH2),VLOOKUP($Q739,'TA database'!$I$86:$J$105,2,FALSE)/VLOOKUP($E739,'Merit calculation'!$B$67:$I$73,7,FALSE)/VLOOKUP($F739,'Merit calculation'!$B$90:$I$104,7,FALSE)/energyContentH2)</f>
        <v>1.0994680037926714E-3</v>
      </c>
      <c r="V739">
        <f ca="1">IF(timePeriod="2020-30",(VLOOKUP($R739,'TA database'!$I$112:$J$139,2,FALSE)/VLOOKUP($F739,'Merit calculation'!$B$90:$I$104,5,FALSE)/energyContentH2),(VLOOKUP($R739,'TA database'!$I$112:$J$139,2,FALSE)/VLOOKUP($F739,'Merit calculation'!$B$90:$I$104,7,FALSE)/energyContentH2))</f>
        <v>3.1508562766822874E-3</v>
      </c>
      <c r="W739">
        <f>IFERROR(VLOOKUP($S739,'TA database'!$I$146:$J$193,2,FALSE),0)</f>
        <v>0</v>
      </c>
      <c r="X739">
        <f ca="1">IFERROR(VLOOKUP($S739,'TA database'!$I$200:$J$271,2,FALSE),0)</f>
        <v>6.8465051836761751E-3</v>
      </c>
      <c r="Y739">
        <f t="shared" ca="1" si="2155"/>
        <v>0.14266602399678699</v>
      </c>
      <c r="Z739" t="str">
        <f t="shared" si="2165"/>
        <v>ELCTRLYZ_LRG_C   →   C_GAS_STRG   →   H2_BLND_NG_P   →   H2_OCGT_PWR</v>
      </c>
      <c r="AA739" t="str">
        <f t="shared" si="2166"/>
        <v>Grid electricity</v>
      </c>
      <c r="AB739" t="str">
        <f t="shared" si="2167"/>
        <v>Levelized cost</v>
      </c>
      <c r="AC739">
        <f t="shared" ca="1" si="2168"/>
        <v>0.14266602399678699</v>
      </c>
      <c r="AD739">
        <v>680</v>
      </c>
      <c r="AE739" t="str">
        <f>IF(AND(ISNUMBER(SEARCH(O739,4)),ISNUMBER(SEARCH('(4) FCH pathway assessment'!$B$16,AB739)),ISNUMBER(SEARCH('(4) FCH pathway assessment'!$B$10,AA739))),AD739,"")</f>
        <v/>
      </c>
      <c r="AF739" t="str">
        <f t="shared" si="2070"/>
        <v/>
      </c>
      <c r="AG739" t="str">
        <f>VLOOKUP(C739,Assumptions!$B$116:$C$162,2,FALSE)</f>
        <v>ELCTRLYZ_LRG_C</v>
      </c>
      <c r="AH739" t="str">
        <f>VLOOKUP(D739,Assumptions!$B$116:$C$162,2,FALSE)</f>
        <v>C_GAS_STRG</v>
      </c>
      <c r="AI739" t="str">
        <f>VLOOKUP(E739,Assumptions!$B$116:$C$162,2,FALSE)</f>
        <v>H2_BLND_NG_P</v>
      </c>
      <c r="AJ739" t="str">
        <f>VLOOKUP(F739,Assumptions!$B$116:$C$162,2,FALSE)</f>
        <v>H2_OCGT_PWR</v>
      </c>
    </row>
    <row r="740" spans="2:36" x14ac:dyDescent="0.25">
      <c r="B740" t="s">
        <v>112</v>
      </c>
      <c r="C740" t="s">
        <v>49</v>
      </c>
      <c r="D740" t="s">
        <v>155</v>
      </c>
      <c r="E740" t="s">
        <v>122</v>
      </c>
      <c r="F740" t="s">
        <v>162</v>
      </c>
      <c r="G740" t="s">
        <v>114</v>
      </c>
      <c r="H740" t="s">
        <v>433</v>
      </c>
      <c r="I740" t="s">
        <v>32</v>
      </c>
      <c r="J740" t="s">
        <v>72</v>
      </c>
      <c r="K740">
        <f t="shared" si="2156"/>
        <v>1</v>
      </c>
      <c r="L740">
        <f t="shared" si="2157"/>
        <v>1</v>
      </c>
      <c r="M740">
        <f t="shared" si="2158"/>
        <v>1</v>
      </c>
      <c r="N740">
        <f t="shared" si="2159"/>
        <v>0</v>
      </c>
      <c r="O740">
        <f t="shared" si="2160"/>
        <v>3</v>
      </c>
      <c r="P740" t="str">
        <f t="shared" si="2161"/>
        <v>Large centralized electrolysis-Levelized cost</v>
      </c>
      <c r="Q740" t="str">
        <f t="shared" si="2162"/>
        <v>Central gas storage-Levelized cost</v>
      </c>
      <c r="R740" t="str">
        <f t="shared" si="2163"/>
        <v>Hydrogen transmission &amp; distribution pipeline-Levelized cost</v>
      </c>
      <c r="S740" t="str">
        <f t="shared" si="2164"/>
        <v>Hydrogen turbine (OC)-Levelized cost</v>
      </c>
      <c r="T740">
        <f ca="1">IF(timePeriod="2020-30",(VLOOKUP($P740,'TA database'!$I$8:$J$79,2,FALSE)/VLOOKUP($D740,'Merit calculation'!$B$48:$I$52,5,FALSE)/VLOOKUP($E740,'Merit calculation'!$B$67:$I$73,5,FALSE)/VLOOKUP($F740,'Merit calculation'!$B$90:$I$103,5,FALSE)/energyContentH2),(VLOOKUP($P740,'TA database'!$I$8:$J$79,2,FALSE)/VLOOKUP($D740,'Merit calculation'!$B$48:$I$52,7,FALSE)/VLOOKUP($E740,'Merit calculation'!$B$67:$I$73,7,FALSE)/VLOOKUP($F740,'Merit calculation'!$B$90:$I$103,7,FALSE)/energyContentH2))</f>
        <v>3.3477319834278041E-2</v>
      </c>
      <c r="U740">
        <f ca="1">IF(timePeriod="2020-30",(VLOOKUP($Q740,'TA database'!$I$86:$J$105,2,FALSE)/VLOOKUP($E740,'Merit calculation'!$B$67:$I$73,5,FALSE)/VLOOKUP($F740,'Merit calculation'!$B$90:$I$104,5,FALSE)/energyContentH2),VLOOKUP($Q740,'TA database'!$I$86:$J$105,2,FALSE)/VLOOKUP($E740,'Merit calculation'!$B$67:$I$73,7,FALSE)/VLOOKUP($F740,'Merit calculation'!$B$90:$I$104,7,FALSE)/energyContentH2)</f>
        <v>1.0994680037926714E-3</v>
      </c>
      <c r="V740">
        <f ca="1">IF(timePeriod="2020-30",(VLOOKUP($R740,'TA database'!$I$112:$J$139,2,FALSE)/VLOOKUP($F740,'Merit calculation'!$B$90:$I$104,5,FALSE)/energyContentH2),(VLOOKUP($R740,'TA database'!$I$112:$J$139,2,FALSE)/VLOOKUP($F740,'Merit calculation'!$B$90:$I$104,7,FALSE)/energyContentH2))</f>
        <v>5.8623272699796277E-3</v>
      </c>
      <c r="W740">
        <f>IFERROR(VLOOKUP($S740,'TA database'!$I$146:$J$193,2,FALSE),0)</f>
        <v>0</v>
      </c>
      <c r="X740">
        <f ca="1">IFERROR(VLOOKUP($S740,'TA database'!$I$200:$J$271,2,FALSE),0)</f>
        <v>6.8465051836761751E-3</v>
      </c>
      <c r="Y740">
        <f t="shared" ca="1" si="2155"/>
        <v>0.15242731957265743</v>
      </c>
      <c r="Z740" t="str">
        <f t="shared" si="2165"/>
        <v>ELCTRLYZ_LRG_C   →   C_GAS_STRG   →   H2_T&amp;D_P   →   H2_OCGT_PWR</v>
      </c>
      <c r="AA740" t="str">
        <f t="shared" si="2166"/>
        <v>Grid electricity</v>
      </c>
      <c r="AB740" t="str">
        <f t="shared" si="2167"/>
        <v>Levelized cost</v>
      </c>
      <c r="AC740">
        <f t="shared" ca="1" si="2168"/>
        <v>0.15242731957265743</v>
      </c>
      <c r="AD740">
        <v>681</v>
      </c>
      <c r="AE740" t="str">
        <f>IF(AND(ISNUMBER(SEARCH(O740,4)),ISNUMBER(SEARCH('(4) FCH pathway assessment'!$B$16,AB740)),ISNUMBER(SEARCH('(4) FCH pathway assessment'!$B$10,AA740))),AD740,"")</f>
        <v/>
      </c>
      <c r="AF740" t="str">
        <f t="shared" si="2070"/>
        <v/>
      </c>
      <c r="AG740" t="str">
        <f>VLOOKUP(C740,Assumptions!$B$116:$C$162,2,FALSE)</f>
        <v>ELCTRLYZ_LRG_C</v>
      </c>
      <c r="AH740" t="str">
        <f>VLOOKUP(D740,Assumptions!$B$116:$C$162,2,FALSE)</f>
        <v>C_GAS_STRG</v>
      </c>
      <c r="AI740" t="str">
        <f>VLOOKUP(E740,Assumptions!$B$116:$C$162,2,FALSE)</f>
        <v>H2_T&amp;D_P</v>
      </c>
      <c r="AJ740" t="str">
        <f>VLOOKUP(F740,Assumptions!$B$116:$C$162,2,FALSE)</f>
        <v>H2_OCGT_PWR</v>
      </c>
    </row>
    <row r="741" spans="2:36" x14ac:dyDescent="0.25">
      <c r="B741" t="s">
        <v>112</v>
      </c>
      <c r="C741" t="s">
        <v>49</v>
      </c>
      <c r="D741" t="s">
        <v>155</v>
      </c>
      <c r="E741" t="s">
        <v>116</v>
      </c>
      <c r="F741" t="s">
        <v>162</v>
      </c>
      <c r="G741" t="s">
        <v>114</v>
      </c>
      <c r="H741" t="s">
        <v>433</v>
      </c>
      <c r="I741" t="s">
        <v>32</v>
      </c>
      <c r="J741" t="s">
        <v>72</v>
      </c>
      <c r="K741">
        <f t="shared" si="2156"/>
        <v>1</v>
      </c>
      <c r="L741">
        <f t="shared" si="2157"/>
        <v>1</v>
      </c>
      <c r="M741">
        <f t="shared" si="2158"/>
        <v>1</v>
      </c>
      <c r="N741">
        <f t="shared" si="2159"/>
        <v>0</v>
      </c>
      <c r="O741">
        <f t="shared" si="2160"/>
        <v>3</v>
      </c>
      <c r="P741" t="str">
        <f t="shared" si="2161"/>
        <v>Large centralized electrolysis-Levelized cost</v>
      </c>
      <c r="Q741" t="str">
        <f t="shared" si="2162"/>
        <v>Central gas storage-Levelized cost</v>
      </c>
      <c r="R741" t="str">
        <f t="shared" si="2163"/>
        <v>Liquid hydrogen truck-Levelized cost</v>
      </c>
      <c r="S741" t="str">
        <f t="shared" si="2164"/>
        <v>Hydrogen turbine (OC)-Levelized cost</v>
      </c>
      <c r="T741">
        <f ca="1">IF(timePeriod="2020-30",(VLOOKUP($P741,'TA database'!$I$8:$J$79,2,FALSE)/VLOOKUP($D741,'Merit calculation'!$B$48:$I$52,5,FALSE)/VLOOKUP($E741,'Merit calculation'!$B$67:$I$73,5,FALSE)/VLOOKUP($F741,'Merit calculation'!$B$90:$I$103,5,FALSE)/energyContentH2),(VLOOKUP($P741,'TA database'!$I$8:$J$79,2,FALSE)/VLOOKUP($D741,'Merit calculation'!$B$48:$I$52,7,FALSE)/VLOOKUP($E741,'Merit calculation'!$B$67:$I$73,7,FALSE)/VLOOKUP($F741,'Merit calculation'!$B$90:$I$103,7,FALSE)/energyContentH2))</f>
        <v>3.8672749866902285E-2</v>
      </c>
      <c r="U741">
        <f ca="1">IF(timePeriod="2020-30",(VLOOKUP($Q741,'TA database'!$I$86:$J$105,2,FALSE)/VLOOKUP($E741,'Merit calculation'!$B$67:$I$73,5,FALSE)/VLOOKUP($F741,'Merit calculation'!$B$90:$I$104,5,FALSE)/energyContentH2),VLOOKUP($Q741,'TA database'!$I$86:$J$105,2,FALSE)/VLOOKUP($E741,'Merit calculation'!$B$67:$I$73,7,FALSE)/VLOOKUP($F741,'Merit calculation'!$B$90:$I$104,7,FALSE)/energyContentH2)</f>
        <v>1.2700972272517443E-3</v>
      </c>
      <c r="V741">
        <f ca="1">IF(timePeriod="2020-30",(VLOOKUP($R741,'TA database'!$I$112:$J$139,2,FALSE)/VLOOKUP($F741,'Merit calculation'!$B$90:$I$104,5,FALSE)/energyContentH2),(VLOOKUP($R741,'TA database'!$I$112:$J$139,2,FALSE)/VLOOKUP($F741,'Merit calculation'!$B$90:$I$104,7,FALSE)/energyContentH2))</f>
        <v>3.8792716356659054E-2</v>
      </c>
      <c r="W741">
        <f>IFERROR(VLOOKUP($S741,'TA database'!$I$146:$J$193,2,FALSE),0)</f>
        <v>0</v>
      </c>
      <c r="X741">
        <f ca="1">IFERROR(VLOOKUP($S741,'TA database'!$I$200:$J$271,2,FALSE),0)</f>
        <v>6.8465051836761751E-3</v>
      </c>
      <c r="Y741">
        <f t="shared" ca="1" si="2155"/>
        <v>0.29029453360660329</v>
      </c>
      <c r="Z741" t="str">
        <f t="shared" si="2165"/>
        <v>ELCTRLYZ_LRG_C   →   C_GAS_STRG   →   LQ_TRUCK   →   H2_OCGT_PWR</v>
      </c>
      <c r="AA741" t="str">
        <f t="shared" si="2166"/>
        <v>Grid electricity</v>
      </c>
      <c r="AB741" t="str">
        <f t="shared" si="2167"/>
        <v>Levelized cost</v>
      </c>
      <c r="AC741">
        <f t="shared" ca="1" si="2168"/>
        <v>0.29029453360660329</v>
      </c>
      <c r="AD741">
        <v>682</v>
      </c>
      <c r="AE741" t="str">
        <f>IF(AND(ISNUMBER(SEARCH(O741,4)),ISNUMBER(SEARCH('(4) FCH pathway assessment'!$B$16,AB741)),ISNUMBER(SEARCH('(4) FCH pathway assessment'!$B$10,AA741))),AD741,"")</f>
        <v/>
      </c>
      <c r="AF741" t="str">
        <f t="shared" si="2070"/>
        <v/>
      </c>
      <c r="AG741" t="str">
        <f>VLOOKUP(C741,Assumptions!$B$116:$C$162,2,FALSE)</f>
        <v>ELCTRLYZ_LRG_C</v>
      </c>
      <c r="AH741" t="str">
        <f>VLOOKUP(D741,Assumptions!$B$116:$C$162,2,FALSE)</f>
        <v>C_GAS_STRG</v>
      </c>
      <c r="AI741" t="str">
        <f>VLOOKUP(E741,Assumptions!$B$116:$C$162,2,FALSE)</f>
        <v>LQ_TRUCK</v>
      </c>
      <c r="AJ741" t="str">
        <f>VLOOKUP(F741,Assumptions!$B$116:$C$162,2,FALSE)</f>
        <v>H2_OCGT_PWR</v>
      </c>
    </row>
    <row r="742" spans="2:36" x14ac:dyDescent="0.25">
      <c r="B742" t="s">
        <v>112</v>
      </c>
      <c r="C742" t="s">
        <v>49</v>
      </c>
      <c r="D742" t="s">
        <v>155</v>
      </c>
      <c r="E742" t="s">
        <v>66</v>
      </c>
      <c r="F742" t="s">
        <v>162</v>
      </c>
      <c r="G742" t="s">
        <v>114</v>
      </c>
      <c r="H742" t="s">
        <v>433</v>
      </c>
      <c r="I742" t="s">
        <v>32</v>
      </c>
      <c r="J742" t="s">
        <v>72</v>
      </c>
      <c r="K742">
        <f t="shared" si="2156"/>
        <v>1</v>
      </c>
      <c r="L742">
        <f t="shared" si="2157"/>
        <v>1</v>
      </c>
      <c r="M742">
        <f t="shared" si="2158"/>
        <v>1</v>
      </c>
      <c r="N742">
        <f t="shared" si="2159"/>
        <v>0</v>
      </c>
      <c r="O742">
        <f t="shared" si="2160"/>
        <v>3</v>
      </c>
      <c r="P742" t="str">
        <f t="shared" si="2161"/>
        <v>Large centralized electrolysis-Levelized cost</v>
      </c>
      <c r="Q742" t="str">
        <f t="shared" si="2162"/>
        <v>Central gas storage-Levelized cost</v>
      </c>
      <c r="R742" t="str">
        <f t="shared" si="2163"/>
        <v>Onsite-Levelized cost</v>
      </c>
      <c r="S742" t="str">
        <f t="shared" si="2164"/>
        <v>Hydrogen turbine (OC)-Levelized cost</v>
      </c>
      <c r="T742">
        <f ca="1">IF(timePeriod="2020-30",(VLOOKUP($P742,'TA database'!$I$8:$J$79,2,FALSE)/VLOOKUP($D742,'Merit calculation'!$B$48:$I$52,5,FALSE)/VLOOKUP($E742,'Merit calculation'!$B$67:$I$73,5,FALSE)/VLOOKUP($F742,'Merit calculation'!$B$90:$I$103,5,FALSE)/energyContentH2),(VLOOKUP($P742,'TA database'!$I$8:$J$79,2,FALSE)/VLOOKUP($D742,'Merit calculation'!$B$48:$I$52,7,FALSE)/VLOOKUP($E742,'Merit calculation'!$B$67:$I$73,7,FALSE)/VLOOKUP($F742,'Merit calculation'!$B$90:$I$103,7,FALSE)/energyContentH2))</f>
        <v>3.3142546635935258E-2</v>
      </c>
      <c r="U742">
        <f ca="1">IF(timePeriod="2020-30",(VLOOKUP($Q742,'TA database'!$I$86:$J$105,2,FALSE)/VLOOKUP($E742,'Merit calculation'!$B$67:$I$73,5,FALSE)/VLOOKUP($F742,'Merit calculation'!$B$90:$I$104,5,FALSE)/energyContentH2),VLOOKUP($Q742,'TA database'!$I$86:$J$105,2,FALSE)/VLOOKUP($E742,'Merit calculation'!$B$67:$I$73,7,FALSE)/VLOOKUP($F742,'Merit calculation'!$B$90:$I$104,7,FALSE)/energyContentH2)</f>
        <v>1.088473323754745E-3</v>
      </c>
      <c r="V742">
        <f ca="1">IF(timePeriod="2020-30",(VLOOKUP($R742,'TA database'!$I$112:$J$139,2,FALSE)/VLOOKUP($F742,'Merit calculation'!$B$90:$I$104,5,FALSE)/energyContentH2),(VLOOKUP($R742,'TA database'!$I$112:$J$139,2,FALSE)/VLOOKUP($F742,'Merit calculation'!$B$90:$I$104,7,FALSE)/energyContentH2))</f>
        <v>0</v>
      </c>
      <c r="W742">
        <f>IFERROR(VLOOKUP($S742,'TA database'!$I$146:$J$193,2,FALSE),0)</f>
        <v>0</v>
      </c>
      <c r="X742">
        <f ca="1">IFERROR(VLOOKUP($S742,'TA database'!$I$200:$J$271,2,FALSE),0)</f>
        <v>6.8465051836761751E-3</v>
      </c>
      <c r="Y742">
        <f t="shared" ca="1" si="2155"/>
        <v>0.1300781770385602</v>
      </c>
      <c r="Z742" t="str">
        <f t="shared" si="2165"/>
        <v>ELCTRLYZ_LRG_C   →   C_GAS_STRG   →   ONSITE_USE   →   H2_OCGT_PWR</v>
      </c>
      <c r="AA742" t="str">
        <f t="shared" si="2166"/>
        <v>Grid electricity</v>
      </c>
      <c r="AB742" t="str">
        <f t="shared" si="2167"/>
        <v>Levelized cost</v>
      </c>
      <c r="AC742">
        <f t="shared" ca="1" si="2168"/>
        <v>0.1300781770385602</v>
      </c>
      <c r="AD742">
        <v>683</v>
      </c>
      <c r="AE742" t="str">
        <f>IF(AND(ISNUMBER(SEARCH(O742,4)),ISNUMBER(SEARCH('(4) FCH pathway assessment'!$B$16,AB742)),ISNUMBER(SEARCH('(4) FCH pathway assessment'!$B$10,AA742))),AD742,"")</f>
        <v/>
      </c>
      <c r="AF742" t="str">
        <f t="shared" si="2070"/>
        <v/>
      </c>
      <c r="AG742" t="str">
        <f>VLOOKUP(C742,Assumptions!$B$116:$C$162,2,FALSE)</f>
        <v>ELCTRLYZ_LRG_C</v>
      </c>
      <c r="AH742" t="str">
        <f>VLOOKUP(D742,Assumptions!$B$116:$C$162,2,FALSE)</f>
        <v>C_GAS_STRG</v>
      </c>
      <c r="AI742" t="str">
        <f>VLOOKUP(E742,Assumptions!$B$116:$C$162,2,FALSE)</f>
        <v>ONSITE_USE</v>
      </c>
      <c r="AJ742" t="str">
        <f>VLOOKUP(F742,Assumptions!$B$116:$C$162,2,FALSE)</f>
        <v>H2_OCGT_PWR</v>
      </c>
    </row>
    <row r="743" spans="2:36" x14ac:dyDescent="0.25">
      <c r="B743" t="s">
        <v>112</v>
      </c>
      <c r="C743" t="s">
        <v>51</v>
      </c>
      <c r="D743" t="s">
        <v>155</v>
      </c>
      <c r="E743" t="s">
        <v>157</v>
      </c>
      <c r="F743" t="s">
        <v>162</v>
      </c>
      <c r="G743" t="s">
        <v>114</v>
      </c>
      <c r="H743" t="s">
        <v>433</v>
      </c>
      <c r="I743" t="s">
        <v>32</v>
      </c>
      <c r="J743" t="s">
        <v>72</v>
      </c>
      <c r="K743">
        <f t="shared" si="2156"/>
        <v>1</v>
      </c>
      <c r="L743">
        <f t="shared" si="2157"/>
        <v>1</v>
      </c>
      <c r="M743">
        <f t="shared" si="2158"/>
        <v>0</v>
      </c>
      <c r="N743">
        <f t="shared" si="2159"/>
        <v>0</v>
      </c>
      <c r="O743">
        <f t="shared" si="2160"/>
        <v>2</v>
      </c>
      <c r="P743" t="str">
        <f t="shared" si="2161"/>
        <v>Medium centralized electrolysis-Levelized cost</v>
      </c>
      <c r="Q743" t="str">
        <f t="shared" si="2162"/>
        <v>Central gas storage-Levelized cost</v>
      </c>
      <c r="R743" t="str">
        <f t="shared" si="2163"/>
        <v>Blending in natural gas pipeline-Levelized cost</v>
      </c>
      <c r="S743" t="str">
        <f t="shared" si="2164"/>
        <v>Hydrogen turbine (OC)-Levelized cost</v>
      </c>
      <c r="T743">
        <f ca="1">IF(timePeriod="2020-30",(VLOOKUP($P743,'TA database'!$I$8:$J$79,2,FALSE)/VLOOKUP($D743,'Merit calculation'!$B$48:$I$52,5,FALSE)/VLOOKUP($E743,'Merit calculation'!$B$67:$I$73,5,FALSE)/VLOOKUP($F743,'Merit calculation'!$B$90:$I$103,5,FALSE)/energyContentH2),(VLOOKUP($P743,'TA database'!$I$8:$J$79,2,FALSE)/VLOOKUP($D743,'Merit calculation'!$B$48:$I$52,7,FALSE)/VLOOKUP($E743,'Merit calculation'!$B$67:$I$73,7,FALSE)/VLOOKUP($F743,'Merit calculation'!$B$90:$I$103,7,FALSE)/energyContentH2))</f>
        <v>3.4874204554673514E-2</v>
      </c>
      <c r="U743">
        <f ca="1">IF(timePeriod="2020-30",(VLOOKUP($Q743,'TA database'!$I$86:$J$105,2,FALSE)/VLOOKUP($E743,'Merit calculation'!$B$67:$I$73,5,FALSE)/VLOOKUP($F743,'Merit calculation'!$B$90:$I$104,5,FALSE)/energyContentH2),VLOOKUP($Q743,'TA database'!$I$86:$J$105,2,FALSE)/VLOOKUP($E743,'Merit calculation'!$B$67:$I$73,7,FALSE)/VLOOKUP($F743,'Merit calculation'!$B$90:$I$104,7,FALSE)/energyContentH2)</f>
        <v>1.0994680037926714E-3</v>
      </c>
      <c r="V743">
        <f ca="1">IF(timePeriod="2020-30",(VLOOKUP($R743,'TA database'!$I$112:$J$139,2,FALSE)/VLOOKUP($F743,'Merit calculation'!$B$90:$I$104,5,FALSE)/energyContentH2),(VLOOKUP($R743,'TA database'!$I$112:$J$139,2,FALSE)/VLOOKUP($F743,'Merit calculation'!$B$90:$I$104,7,FALSE)/energyContentH2))</f>
        <v>3.1508562766822874E-3</v>
      </c>
      <c r="W743">
        <f>IFERROR(VLOOKUP($S743,'TA database'!$I$146:$J$193,2,FALSE),0)</f>
        <v>0</v>
      </c>
      <c r="X743">
        <f ca="1">IFERROR(VLOOKUP($S743,'TA database'!$I$200:$J$271,2,FALSE),0)</f>
        <v>6.8465051836761751E-3</v>
      </c>
      <c r="Y743">
        <f t="shared" ref="Y743:Y747" ca="1" si="2169">IF($W743=0,T743*3.6+U743*3.6+V743*3.6+X743,T743+U743+V743+W743)</f>
        <v>0.1476948089902107</v>
      </c>
      <c r="Z743" t="str">
        <f t="shared" si="2165"/>
        <v>ELCTRLYZ_MED_C   →   C_GAS_STRG   →   H2_BLND_NG_P   →   H2_OCGT_PWR</v>
      </c>
      <c r="AA743" t="str">
        <f t="shared" si="2166"/>
        <v>Grid electricity</v>
      </c>
      <c r="AB743" t="str">
        <f t="shared" si="2167"/>
        <v>Levelized cost</v>
      </c>
      <c r="AC743">
        <f t="shared" ca="1" si="2168"/>
        <v>0.1476948089902107</v>
      </c>
      <c r="AD743">
        <v>684</v>
      </c>
      <c r="AE743" t="str">
        <f>IF(AND(ISNUMBER(SEARCH(O743,4)),ISNUMBER(SEARCH('(4) FCH pathway assessment'!$B$16,AB743)),ISNUMBER(SEARCH('(4) FCH pathway assessment'!$B$10,AA743))),AD743,"")</f>
        <v/>
      </c>
      <c r="AF743" t="str">
        <f t="shared" si="2070"/>
        <v/>
      </c>
      <c r="AG743" t="str">
        <f>VLOOKUP(C743,Assumptions!$B$116:$C$162,2,FALSE)</f>
        <v>ELCTRLYZ_MED_C</v>
      </c>
      <c r="AH743" t="str">
        <f>VLOOKUP(D743,Assumptions!$B$116:$C$162,2,FALSE)</f>
        <v>C_GAS_STRG</v>
      </c>
      <c r="AI743" t="str">
        <f>VLOOKUP(E743,Assumptions!$B$116:$C$162,2,FALSE)</f>
        <v>H2_BLND_NG_P</v>
      </c>
      <c r="AJ743" t="str">
        <f>VLOOKUP(F743,Assumptions!$B$116:$C$162,2,FALSE)</f>
        <v>H2_OCGT_PWR</v>
      </c>
    </row>
    <row r="744" spans="2:36" x14ac:dyDescent="0.25">
      <c r="B744" t="s">
        <v>112</v>
      </c>
      <c r="C744" t="s">
        <v>51</v>
      </c>
      <c r="D744" t="s">
        <v>155</v>
      </c>
      <c r="E744" t="s">
        <v>122</v>
      </c>
      <c r="F744" t="s">
        <v>162</v>
      </c>
      <c r="G744" t="s">
        <v>114</v>
      </c>
      <c r="H744" t="s">
        <v>433</v>
      </c>
      <c r="I744" t="s">
        <v>32</v>
      </c>
      <c r="J744" t="s">
        <v>72</v>
      </c>
      <c r="K744">
        <f t="shared" si="2156"/>
        <v>1</v>
      </c>
      <c r="L744">
        <f t="shared" si="2157"/>
        <v>1</v>
      </c>
      <c r="M744">
        <f t="shared" si="2158"/>
        <v>1</v>
      </c>
      <c r="N744">
        <f t="shared" si="2159"/>
        <v>0</v>
      </c>
      <c r="O744">
        <f t="shared" si="2160"/>
        <v>3</v>
      </c>
      <c r="P744" t="str">
        <f t="shared" si="2161"/>
        <v>Medium centralized electrolysis-Levelized cost</v>
      </c>
      <c r="Q744" t="str">
        <f t="shared" si="2162"/>
        <v>Central gas storage-Levelized cost</v>
      </c>
      <c r="R744" t="str">
        <f t="shared" si="2163"/>
        <v>Hydrogen transmission &amp; distribution pipeline-Levelized cost</v>
      </c>
      <c r="S744" t="str">
        <f t="shared" si="2164"/>
        <v>Hydrogen turbine (OC)-Levelized cost</v>
      </c>
      <c r="T744">
        <f ca="1">IF(timePeriod="2020-30",(VLOOKUP($P744,'TA database'!$I$8:$J$79,2,FALSE)/VLOOKUP($D744,'Merit calculation'!$B$48:$I$52,5,FALSE)/VLOOKUP($E744,'Merit calculation'!$B$67:$I$73,5,FALSE)/VLOOKUP($F744,'Merit calculation'!$B$90:$I$103,5,FALSE)/energyContentH2),(VLOOKUP($P744,'TA database'!$I$8:$J$79,2,FALSE)/VLOOKUP($D744,'Merit calculation'!$B$48:$I$52,7,FALSE)/VLOOKUP($E744,'Merit calculation'!$B$67:$I$73,7,FALSE)/VLOOKUP($F744,'Merit calculation'!$B$90:$I$103,7,FALSE)/energyContentH2))</f>
        <v>3.4874204554673514E-2</v>
      </c>
      <c r="U744">
        <f ca="1">IF(timePeriod="2020-30",(VLOOKUP($Q744,'TA database'!$I$86:$J$105,2,FALSE)/VLOOKUP($E744,'Merit calculation'!$B$67:$I$73,5,FALSE)/VLOOKUP($F744,'Merit calculation'!$B$90:$I$104,5,FALSE)/energyContentH2),VLOOKUP($Q744,'TA database'!$I$86:$J$105,2,FALSE)/VLOOKUP($E744,'Merit calculation'!$B$67:$I$73,7,FALSE)/VLOOKUP($F744,'Merit calculation'!$B$90:$I$104,7,FALSE)/energyContentH2)</f>
        <v>1.0994680037926714E-3</v>
      </c>
      <c r="V744">
        <f ca="1">IF(timePeriod="2020-30",(VLOOKUP($R744,'TA database'!$I$112:$J$139,2,FALSE)/VLOOKUP($F744,'Merit calculation'!$B$90:$I$104,5,FALSE)/energyContentH2),(VLOOKUP($R744,'TA database'!$I$112:$J$139,2,FALSE)/VLOOKUP($F744,'Merit calculation'!$B$90:$I$104,7,FALSE)/energyContentH2))</f>
        <v>5.8623272699796277E-3</v>
      </c>
      <c r="W744">
        <f>IFERROR(VLOOKUP($S744,'TA database'!$I$146:$J$193,2,FALSE),0)</f>
        <v>0</v>
      </c>
      <c r="X744">
        <f ca="1">IFERROR(VLOOKUP($S744,'TA database'!$I$200:$J$271,2,FALSE),0)</f>
        <v>6.8465051836761751E-3</v>
      </c>
      <c r="Y744">
        <f t="shared" ca="1" si="2169"/>
        <v>0.15745610456608111</v>
      </c>
      <c r="Z744" t="str">
        <f t="shared" si="2165"/>
        <v>ELCTRLYZ_MED_C   →   C_GAS_STRG   →   H2_T&amp;D_P   →   H2_OCGT_PWR</v>
      </c>
      <c r="AA744" t="str">
        <f t="shared" si="2166"/>
        <v>Grid electricity</v>
      </c>
      <c r="AB744" t="str">
        <f t="shared" si="2167"/>
        <v>Levelized cost</v>
      </c>
      <c r="AC744">
        <f t="shared" ca="1" si="2168"/>
        <v>0.15745610456608111</v>
      </c>
      <c r="AD744">
        <v>685</v>
      </c>
      <c r="AE744" t="str">
        <f>IF(AND(ISNUMBER(SEARCH(O744,4)),ISNUMBER(SEARCH('(4) FCH pathway assessment'!$B$16,AB744)),ISNUMBER(SEARCH('(4) FCH pathway assessment'!$B$10,AA744))),AD744,"")</f>
        <v/>
      </c>
      <c r="AF744" t="str">
        <f t="shared" si="2070"/>
        <v/>
      </c>
      <c r="AG744" t="str">
        <f>VLOOKUP(C744,Assumptions!$B$116:$C$162,2,FALSE)</f>
        <v>ELCTRLYZ_MED_C</v>
      </c>
      <c r="AH744" t="str">
        <f>VLOOKUP(D744,Assumptions!$B$116:$C$162,2,FALSE)</f>
        <v>C_GAS_STRG</v>
      </c>
      <c r="AI744" t="str">
        <f>VLOOKUP(E744,Assumptions!$B$116:$C$162,2,FALSE)</f>
        <v>H2_T&amp;D_P</v>
      </c>
      <c r="AJ744" t="str">
        <f>VLOOKUP(F744,Assumptions!$B$116:$C$162,2,FALSE)</f>
        <v>H2_OCGT_PWR</v>
      </c>
    </row>
    <row r="745" spans="2:36" x14ac:dyDescent="0.25">
      <c r="B745" t="s">
        <v>112</v>
      </c>
      <c r="C745" t="s">
        <v>51</v>
      </c>
      <c r="D745" t="s">
        <v>155</v>
      </c>
      <c r="E745" t="s">
        <v>116</v>
      </c>
      <c r="F745" t="s">
        <v>162</v>
      </c>
      <c r="G745" t="s">
        <v>114</v>
      </c>
      <c r="H745" t="s">
        <v>433</v>
      </c>
      <c r="I745" t="s">
        <v>32</v>
      </c>
      <c r="J745" t="s">
        <v>72</v>
      </c>
      <c r="K745">
        <f t="shared" si="2156"/>
        <v>1</v>
      </c>
      <c r="L745">
        <f t="shared" si="2157"/>
        <v>1</v>
      </c>
      <c r="M745">
        <f t="shared" si="2158"/>
        <v>1</v>
      </c>
      <c r="N745">
        <f t="shared" si="2159"/>
        <v>0</v>
      </c>
      <c r="O745">
        <f t="shared" si="2160"/>
        <v>3</v>
      </c>
      <c r="P745" t="str">
        <f t="shared" si="2161"/>
        <v>Medium centralized electrolysis-Levelized cost</v>
      </c>
      <c r="Q745" t="str">
        <f t="shared" si="2162"/>
        <v>Central gas storage-Levelized cost</v>
      </c>
      <c r="R745" t="str">
        <f t="shared" si="2163"/>
        <v>Liquid hydrogen truck-Levelized cost</v>
      </c>
      <c r="S745" t="str">
        <f t="shared" si="2164"/>
        <v>Hydrogen turbine (OC)-Levelized cost</v>
      </c>
      <c r="T745">
        <f ca="1">IF(timePeriod="2020-30",(VLOOKUP($P745,'TA database'!$I$8:$J$79,2,FALSE)/VLOOKUP($D745,'Merit calculation'!$B$48:$I$52,5,FALSE)/VLOOKUP($E745,'Merit calculation'!$B$67:$I$73,5,FALSE)/VLOOKUP($F745,'Merit calculation'!$B$90:$I$103,5,FALSE)/energyContentH2),(VLOOKUP($P745,'TA database'!$I$8:$J$79,2,FALSE)/VLOOKUP($D745,'Merit calculation'!$B$48:$I$52,7,FALSE)/VLOOKUP($E745,'Merit calculation'!$B$67:$I$73,7,FALSE)/VLOOKUP($F745,'Merit calculation'!$B$90:$I$103,7,FALSE)/energyContentH2))</f>
        <v>4.0286420664091931E-2</v>
      </c>
      <c r="U745">
        <f ca="1">IF(timePeriod="2020-30",(VLOOKUP($Q745,'TA database'!$I$86:$J$105,2,FALSE)/VLOOKUP($E745,'Merit calculation'!$B$67:$I$73,5,FALSE)/VLOOKUP($F745,'Merit calculation'!$B$90:$I$104,5,FALSE)/energyContentH2),VLOOKUP($Q745,'TA database'!$I$86:$J$105,2,FALSE)/VLOOKUP($E745,'Merit calculation'!$B$67:$I$73,7,FALSE)/VLOOKUP($F745,'Merit calculation'!$B$90:$I$104,7,FALSE)/energyContentH2)</f>
        <v>1.2700972272517443E-3</v>
      </c>
      <c r="V745">
        <f ca="1">IF(timePeriod="2020-30",(VLOOKUP($R745,'TA database'!$I$112:$J$139,2,FALSE)/VLOOKUP($F745,'Merit calculation'!$B$90:$I$104,5,FALSE)/energyContentH2),(VLOOKUP($R745,'TA database'!$I$112:$J$139,2,FALSE)/VLOOKUP($F745,'Merit calculation'!$B$90:$I$104,7,FALSE)/energyContentH2))</f>
        <v>3.8792716356659054E-2</v>
      </c>
      <c r="W745">
        <f>IFERROR(VLOOKUP($S745,'TA database'!$I$146:$J$193,2,FALSE),0)</f>
        <v>0</v>
      </c>
      <c r="X745">
        <f ca="1">IFERROR(VLOOKUP($S745,'TA database'!$I$200:$J$271,2,FALSE),0)</f>
        <v>6.8465051836761751E-3</v>
      </c>
      <c r="Y745">
        <f t="shared" ca="1" si="2169"/>
        <v>0.29610374847648602</v>
      </c>
      <c r="Z745" t="str">
        <f t="shared" si="2165"/>
        <v>ELCTRLYZ_MED_C   →   C_GAS_STRG   →   LQ_TRUCK   →   H2_OCGT_PWR</v>
      </c>
      <c r="AA745" t="str">
        <f t="shared" si="2166"/>
        <v>Grid electricity</v>
      </c>
      <c r="AB745" t="str">
        <f t="shared" si="2167"/>
        <v>Levelized cost</v>
      </c>
      <c r="AC745">
        <f t="shared" ca="1" si="2168"/>
        <v>0.29610374847648602</v>
      </c>
      <c r="AD745">
        <v>686</v>
      </c>
      <c r="AE745" t="str">
        <f>IF(AND(ISNUMBER(SEARCH(O745,4)),ISNUMBER(SEARCH('(4) FCH pathway assessment'!$B$16,AB745)),ISNUMBER(SEARCH('(4) FCH pathway assessment'!$B$10,AA745))),AD745,"")</f>
        <v/>
      </c>
      <c r="AF745" t="str">
        <f t="shared" si="2070"/>
        <v/>
      </c>
      <c r="AG745" t="str">
        <f>VLOOKUP(C745,Assumptions!$B$116:$C$162,2,FALSE)</f>
        <v>ELCTRLYZ_MED_C</v>
      </c>
      <c r="AH745" t="str">
        <f>VLOOKUP(D745,Assumptions!$B$116:$C$162,2,FALSE)</f>
        <v>C_GAS_STRG</v>
      </c>
      <c r="AI745" t="str">
        <f>VLOOKUP(E745,Assumptions!$B$116:$C$162,2,FALSE)</f>
        <v>LQ_TRUCK</v>
      </c>
      <c r="AJ745" t="str">
        <f>VLOOKUP(F745,Assumptions!$B$116:$C$162,2,FALSE)</f>
        <v>H2_OCGT_PWR</v>
      </c>
    </row>
    <row r="746" spans="2:36" x14ac:dyDescent="0.25">
      <c r="B746" t="s">
        <v>112</v>
      </c>
      <c r="C746" t="s">
        <v>51</v>
      </c>
      <c r="D746" t="s">
        <v>155</v>
      </c>
      <c r="E746" t="s">
        <v>66</v>
      </c>
      <c r="F746" t="s">
        <v>162</v>
      </c>
      <c r="G746" t="s">
        <v>114</v>
      </c>
      <c r="H746" t="s">
        <v>433</v>
      </c>
      <c r="I746" t="s">
        <v>32</v>
      </c>
      <c r="J746" t="s">
        <v>72</v>
      </c>
      <c r="K746">
        <f t="shared" si="2156"/>
        <v>1</v>
      </c>
      <c r="L746">
        <f t="shared" si="2157"/>
        <v>1</v>
      </c>
      <c r="M746">
        <f t="shared" si="2158"/>
        <v>1</v>
      </c>
      <c r="N746">
        <f t="shared" si="2159"/>
        <v>0</v>
      </c>
      <c r="O746">
        <f t="shared" si="2160"/>
        <v>3</v>
      </c>
      <c r="P746" t="str">
        <f t="shared" si="2161"/>
        <v>Medium centralized electrolysis-Levelized cost</v>
      </c>
      <c r="Q746" t="str">
        <f t="shared" si="2162"/>
        <v>Central gas storage-Levelized cost</v>
      </c>
      <c r="R746" t="str">
        <f t="shared" si="2163"/>
        <v>Onsite-Levelized cost</v>
      </c>
      <c r="S746" t="str">
        <f t="shared" si="2164"/>
        <v>Hydrogen turbine (OC)-Levelized cost</v>
      </c>
      <c r="T746">
        <f ca="1">IF(timePeriod="2020-30",(VLOOKUP($P746,'TA database'!$I$8:$J$79,2,FALSE)/VLOOKUP($D746,'Merit calculation'!$B$48:$I$52,5,FALSE)/VLOOKUP($E746,'Merit calculation'!$B$67:$I$73,5,FALSE)/VLOOKUP($F746,'Merit calculation'!$B$90:$I$103,5,FALSE)/energyContentH2),(VLOOKUP($P746,'TA database'!$I$8:$J$79,2,FALSE)/VLOOKUP($D746,'Merit calculation'!$B$48:$I$52,7,FALSE)/VLOOKUP($E746,'Merit calculation'!$B$67:$I$73,7,FALSE)/VLOOKUP($F746,'Merit calculation'!$B$90:$I$103,7,FALSE)/energyContentH2))</f>
        <v>3.4525462509126789E-2</v>
      </c>
      <c r="U746">
        <f ca="1">IF(timePeriod="2020-30",(VLOOKUP($Q746,'TA database'!$I$86:$J$105,2,FALSE)/VLOOKUP($E746,'Merit calculation'!$B$67:$I$73,5,FALSE)/VLOOKUP($F746,'Merit calculation'!$B$90:$I$104,5,FALSE)/energyContentH2),VLOOKUP($Q746,'TA database'!$I$86:$J$105,2,FALSE)/VLOOKUP($E746,'Merit calculation'!$B$67:$I$73,7,FALSE)/VLOOKUP($F746,'Merit calculation'!$B$90:$I$104,7,FALSE)/energyContentH2)</f>
        <v>1.088473323754745E-3</v>
      </c>
      <c r="V746">
        <f ca="1">IF(timePeriod="2020-30",(VLOOKUP($R746,'TA database'!$I$112:$J$139,2,FALSE)/VLOOKUP($F746,'Merit calculation'!$B$90:$I$104,5,FALSE)/energyContentH2),(VLOOKUP($R746,'TA database'!$I$112:$J$139,2,FALSE)/VLOOKUP($F746,'Merit calculation'!$B$90:$I$104,7,FALSE)/energyContentH2))</f>
        <v>0</v>
      </c>
      <c r="W746">
        <f>IFERROR(VLOOKUP($S746,'TA database'!$I$146:$J$193,2,FALSE),0)</f>
        <v>0</v>
      </c>
      <c r="X746">
        <f ca="1">IFERROR(VLOOKUP($S746,'TA database'!$I$200:$J$271,2,FALSE),0)</f>
        <v>6.8465051836761751E-3</v>
      </c>
      <c r="Y746">
        <f t="shared" ca="1" si="2169"/>
        <v>0.13505667418204972</v>
      </c>
      <c r="Z746" t="str">
        <f t="shared" si="2165"/>
        <v>ELCTRLYZ_MED_C   →   C_GAS_STRG   →   ONSITE_USE   →   H2_OCGT_PWR</v>
      </c>
      <c r="AA746" t="str">
        <f t="shared" si="2166"/>
        <v>Grid electricity</v>
      </c>
      <c r="AB746" t="str">
        <f t="shared" si="2167"/>
        <v>Levelized cost</v>
      </c>
      <c r="AC746">
        <f t="shared" ca="1" si="2168"/>
        <v>0.13505667418204972</v>
      </c>
      <c r="AD746">
        <v>687</v>
      </c>
      <c r="AE746" t="str">
        <f>IF(AND(ISNUMBER(SEARCH(O746,4)),ISNUMBER(SEARCH('(4) FCH pathway assessment'!$B$16,AB746)),ISNUMBER(SEARCH('(4) FCH pathway assessment'!$B$10,AA746))),AD746,"")</f>
        <v/>
      </c>
      <c r="AF746" t="str">
        <f t="shared" si="2070"/>
        <v/>
      </c>
      <c r="AG746" t="str">
        <f>VLOOKUP(C746,Assumptions!$B$116:$C$162,2,FALSE)</f>
        <v>ELCTRLYZ_MED_C</v>
      </c>
      <c r="AH746" t="str">
        <f>VLOOKUP(D746,Assumptions!$B$116:$C$162,2,FALSE)</f>
        <v>C_GAS_STRG</v>
      </c>
      <c r="AI746" t="str">
        <f>VLOOKUP(E746,Assumptions!$B$116:$C$162,2,FALSE)</f>
        <v>ONSITE_USE</v>
      </c>
      <c r="AJ746" t="str">
        <f>VLOOKUP(F746,Assumptions!$B$116:$C$162,2,FALSE)</f>
        <v>H2_OCGT_PWR</v>
      </c>
    </row>
    <row r="747" spans="2:36" x14ac:dyDescent="0.25">
      <c r="B747" t="s">
        <v>112</v>
      </c>
      <c r="C747" t="s">
        <v>52</v>
      </c>
      <c r="D747" s="60" t="s">
        <v>130</v>
      </c>
      <c r="E747" t="s">
        <v>66</v>
      </c>
      <c r="F747" t="s">
        <v>162</v>
      </c>
      <c r="G747" t="s">
        <v>114</v>
      </c>
      <c r="H747" t="s">
        <v>433</v>
      </c>
      <c r="I747" t="s">
        <v>32</v>
      </c>
      <c r="J747" t="s">
        <v>72</v>
      </c>
      <c r="K747">
        <f t="shared" ref="K747:K751" si="2170">SUMPRODUCT(($C$7:$C$18=$C747)*($D$6:$H$6=$D747)*($D$7:$H$18))</f>
        <v>1</v>
      </c>
      <c r="L747">
        <f t="shared" ref="L747:L751" si="2171">SUMPRODUCT(($C$19:$C$23=$D747)*($I$6:$O$6=$E747)*($I$19:$O$23))</f>
        <v>1</v>
      </c>
      <c r="M747">
        <f t="shared" ref="M747:M751" si="2172">SUMPRODUCT(($C$24:$C$30=$E747)*($P$6:$AI$6=$F747)*($P$24:$AI$30))</f>
        <v>1</v>
      </c>
      <c r="N747">
        <f t="shared" ref="N747:N751" si="2173">SUMPRODUCT(($C$31:$C$50=$F747)*($AJ$6:$AM$6=$G747)*($AJ$31:$AM$50))</f>
        <v>0</v>
      </c>
      <c r="O747">
        <f t="shared" ref="O747:O751" si="2174">K747+L747+M747+N747</f>
        <v>3</v>
      </c>
      <c r="P747" t="str">
        <f t="shared" ref="P747:P751" si="2175">CONCATENATE(C747,"-",J747)</f>
        <v>Small decentralized electrolysis-Levelized cost</v>
      </c>
      <c r="Q747" t="str">
        <f t="shared" ref="Q747:Q751" si="2176">CONCATENATE(D747,"-",J747)</f>
        <v>Distributed gas storage-Levelized cost</v>
      </c>
      <c r="R747" t="str">
        <f t="shared" ref="R747:R751" si="2177">CONCATENATE(E747,"-",J747)</f>
        <v>Onsite-Levelized cost</v>
      </c>
      <c r="S747" t="str">
        <f t="shared" ref="S747:S751" si="2178">CONCATENATE(F747,"-",J747)</f>
        <v>Hydrogen turbine (OC)-Levelized cost</v>
      </c>
      <c r="T747">
        <f ca="1">IF(timePeriod="2020-30",(VLOOKUP($P747,'TA database'!$I$8:$J$79,2,FALSE)/VLOOKUP($D747,'Merit calculation'!$B$48:$I$52,5,FALSE)/VLOOKUP($E747,'Merit calculation'!$B$67:$I$73,5,FALSE)/VLOOKUP($F747,'Merit calculation'!$B$90:$I$103,5,FALSE)/energyContentH2),(VLOOKUP($P747,'TA database'!$I$8:$J$79,2,FALSE)/VLOOKUP($D747,'Merit calculation'!$B$48:$I$52,7,FALSE)/VLOOKUP($E747,'Merit calculation'!$B$67:$I$73,7,FALSE)/VLOOKUP($F747,'Merit calculation'!$B$90:$I$103,7,FALSE)/energyContentH2))</f>
        <v>3.8572536776259943E-2</v>
      </c>
      <c r="U747">
        <f ca="1">IF(timePeriod="2020-30",(VLOOKUP($Q747,'TA database'!$I$86:$J$105,2,FALSE)/VLOOKUP($E747,'Merit calculation'!$B$67:$I$73,5,FALSE)/VLOOKUP($F747,'Merit calculation'!$B$90:$I$104,5,FALSE)/energyContentH2),VLOOKUP($Q747,'TA database'!$I$86:$J$105,2,FALSE)/VLOOKUP($E747,'Merit calculation'!$B$67:$I$73,7,FALSE)/VLOOKUP($F747,'Merit calculation'!$B$90:$I$104,7,FALSE)/energyContentH2)</f>
        <v>1.9350636866751023E-3</v>
      </c>
      <c r="V747">
        <f ca="1">IF(timePeriod="2020-30",(VLOOKUP($R747,'TA database'!$I$112:$J$139,2,FALSE)/VLOOKUP($F747,'Merit calculation'!$B$90:$I$104,5,FALSE)/energyContentH2),(VLOOKUP($R747,'TA database'!$I$112:$J$139,2,FALSE)/VLOOKUP($F747,'Merit calculation'!$B$90:$I$104,7,FALSE)/energyContentH2))</f>
        <v>0</v>
      </c>
      <c r="W747">
        <f>IFERROR(VLOOKUP($S747,'TA database'!$I$146:$J$193,2,FALSE),0)</f>
        <v>0</v>
      </c>
      <c r="X747">
        <f ca="1">IFERROR(VLOOKUP($S747,'TA database'!$I$200:$J$271,2,FALSE),0)</f>
        <v>6.8465051836761751E-3</v>
      </c>
      <c r="Y747">
        <f t="shared" ca="1" si="2169"/>
        <v>0.15267386685024234</v>
      </c>
      <c r="Z747" t="str">
        <f t="shared" ref="Z747:Z751" si="2179">CONCATENATE(AG747,"   →   ",AH747,"   →   ",AI747,"   →   ",AJ747)</f>
        <v>ELCTRLYZ_SML_D   →   D_GAS_STRG   →   ONSITE_USE   →   H2_OCGT_PWR</v>
      </c>
      <c r="AA747" t="str">
        <f t="shared" ref="AA747:AA751" si="2180">G747</f>
        <v>Grid electricity</v>
      </c>
      <c r="AB747" t="str">
        <f t="shared" ref="AB747:AB751" si="2181">J747</f>
        <v>Levelized cost</v>
      </c>
      <c r="AC747">
        <f t="shared" ref="AC747:AC751" ca="1" si="2182">Y747</f>
        <v>0.15267386685024234</v>
      </c>
      <c r="AD747">
        <v>688</v>
      </c>
      <c r="AE747" t="str">
        <f>IF(AND(ISNUMBER(SEARCH(O747,4)),ISNUMBER(SEARCH('(4) FCH pathway assessment'!$B$16,AB747)),ISNUMBER(SEARCH('(4) FCH pathway assessment'!$B$10,AA747))),AD747,"")</f>
        <v/>
      </c>
      <c r="AF747" t="str">
        <f t="shared" si="2070"/>
        <v/>
      </c>
      <c r="AG747" t="str">
        <f>VLOOKUP(C747,Assumptions!$B$116:$C$162,2,FALSE)</f>
        <v>ELCTRLYZ_SML_D</v>
      </c>
      <c r="AH747" t="str">
        <f>VLOOKUP(D747,Assumptions!$B$116:$C$162,2,FALSE)</f>
        <v>D_GAS_STRG</v>
      </c>
      <c r="AI747" t="str">
        <f>VLOOKUP(E747,Assumptions!$B$116:$C$162,2,FALSE)</f>
        <v>ONSITE_USE</v>
      </c>
      <c r="AJ747" t="str">
        <f>VLOOKUP(F747,Assumptions!$B$116:$C$162,2,FALSE)</f>
        <v>H2_OCGT_PWR</v>
      </c>
    </row>
    <row r="748" spans="2:36" x14ac:dyDescent="0.25">
      <c r="B748" t="s">
        <v>127</v>
      </c>
      <c r="C748" t="s">
        <v>57</v>
      </c>
      <c r="D748" t="s">
        <v>62</v>
      </c>
      <c r="E748" t="s">
        <v>157</v>
      </c>
      <c r="F748" t="s">
        <v>162</v>
      </c>
      <c r="G748" t="s">
        <v>114</v>
      </c>
      <c r="H748" t="s">
        <v>433</v>
      </c>
      <c r="I748" t="s">
        <v>32</v>
      </c>
      <c r="J748" t="s">
        <v>72</v>
      </c>
      <c r="K748">
        <f t="shared" si="2170"/>
        <v>1</v>
      </c>
      <c r="L748">
        <f t="shared" si="2171"/>
        <v>0</v>
      </c>
      <c r="M748">
        <f t="shared" si="2172"/>
        <v>0</v>
      </c>
      <c r="N748">
        <f t="shared" si="2173"/>
        <v>0</v>
      </c>
      <c r="O748">
        <f t="shared" si="2174"/>
        <v>1</v>
      </c>
      <c r="P748" t="str">
        <f t="shared" si="2175"/>
        <v>Large centralized natural gas steam reforming-Levelized cost</v>
      </c>
      <c r="Q748" t="str">
        <f t="shared" si="2176"/>
        <v>Underground storage-Levelized cost</v>
      </c>
      <c r="R748" t="str">
        <f t="shared" si="2177"/>
        <v>Blending in natural gas pipeline-Levelized cost</v>
      </c>
      <c r="S748" t="str">
        <f t="shared" si="2178"/>
        <v>Hydrogen turbine (OC)-Levelized cost</v>
      </c>
      <c r="T748">
        <f ca="1">IF(timePeriod="2020-30",(VLOOKUP($P748,'TA database'!$I$8:$J$79,2,FALSE)/VLOOKUP($D748,'Merit calculation'!$B$48:$I$52,5,FALSE)/VLOOKUP($E748,'Merit calculation'!$B$67:$I$73,5,FALSE)/VLOOKUP($F748,'Merit calculation'!$B$90:$I$103,5,FALSE)/energyContentH2),(VLOOKUP($P748,'TA database'!$I$8:$J$79,2,FALSE)/VLOOKUP($D748,'Merit calculation'!$B$48:$I$52,7,FALSE)/VLOOKUP($E748,'Merit calculation'!$B$67:$I$73,7,FALSE)/VLOOKUP($F748,'Merit calculation'!$B$90:$I$103,7,FALSE)/energyContentH2))</f>
        <v>7.6493750417663972E-2</v>
      </c>
      <c r="U748">
        <f ca="1">IF(timePeriod="2020-30",(VLOOKUP($Q748,'TA database'!$I$86:$J$105,2,FALSE)/VLOOKUP($E748,'Merit calculation'!$B$67:$I$73,5,FALSE)/VLOOKUP($F748,'Merit calculation'!$B$90:$I$104,5,FALSE)/energyContentH2),VLOOKUP($Q748,'TA database'!$I$86:$J$105,2,FALSE)/VLOOKUP($E748,'Merit calculation'!$B$67:$I$73,7,FALSE)/VLOOKUP($F748,'Merit calculation'!$B$90:$I$104,7,FALSE)/energyContentH2)</f>
        <v>2.1898868882125647E-4</v>
      </c>
      <c r="V748">
        <f ca="1">IF(timePeriod="2020-30",(VLOOKUP($R748,'TA database'!$I$112:$J$139,2,FALSE)/VLOOKUP($F748,'Merit calculation'!$B$90:$I$104,5,FALSE)/energyContentH2),(VLOOKUP($R748,'TA database'!$I$112:$J$139,2,FALSE)/VLOOKUP($F748,'Merit calculation'!$B$90:$I$104,7,FALSE)/energyContentH2))</f>
        <v>3.1508562766822874E-3</v>
      </c>
      <c r="W748">
        <f>IFERROR(VLOOKUP($S748,'TA database'!$I$146:$J$193,2,FALSE),0)</f>
        <v>0</v>
      </c>
      <c r="X748">
        <f ca="1">IFERROR(VLOOKUP($S748,'TA database'!$I$200:$J$271,2,FALSE),0)</f>
        <v>6.8465051836761751E-3</v>
      </c>
      <c r="Y748">
        <f t="shared" ref="Y748:Y756" ca="1" si="2183">IF($W748=0,T748*3.6+U748*3.6+V748*3.6+X748,T748+U748+V748+W748)</f>
        <v>0.29435544856307921</v>
      </c>
      <c r="Z748" t="str">
        <f t="shared" si="2179"/>
        <v>NG_SR_LRG_C   →   C_UNDRGRND_STRG   →   H2_BLND_NG_P   →   H2_OCGT_PWR</v>
      </c>
      <c r="AA748" t="str">
        <f t="shared" si="2180"/>
        <v>Grid electricity</v>
      </c>
      <c r="AB748" t="str">
        <f t="shared" si="2181"/>
        <v>Levelized cost</v>
      </c>
      <c r="AC748">
        <f t="shared" ca="1" si="2182"/>
        <v>0.29435544856307921</v>
      </c>
      <c r="AD748">
        <v>689</v>
      </c>
      <c r="AE748" t="str">
        <f>IF(AND(ISNUMBER(SEARCH(O748,4)),ISNUMBER(SEARCH('(4) FCH pathway assessment'!$B$16,AB748)),ISNUMBER(SEARCH('(4) FCH pathway assessment'!$B$10,AA748))),AD748,"")</f>
        <v/>
      </c>
      <c r="AF748" t="str">
        <f t="shared" si="2070"/>
        <v/>
      </c>
      <c r="AG748" t="str">
        <f>VLOOKUP(C748,Assumptions!$B$116:$C$162,2,FALSE)</f>
        <v>NG_SR_LRG_C</v>
      </c>
      <c r="AH748" t="str">
        <f>VLOOKUP(D748,Assumptions!$B$116:$C$162,2,FALSE)</f>
        <v>C_UNDRGRND_STRG</v>
      </c>
      <c r="AI748" t="str">
        <f>VLOOKUP(E748,Assumptions!$B$116:$C$162,2,FALSE)</f>
        <v>H2_BLND_NG_P</v>
      </c>
      <c r="AJ748" t="str">
        <f>VLOOKUP(F748,Assumptions!$B$116:$C$162,2,FALSE)</f>
        <v>H2_OCGT_PWR</v>
      </c>
    </row>
    <row r="749" spans="2:36" x14ac:dyDescent="0.25">
      <c r="B749" t="s">
        <v>127</v>
      </c>
      <c r="C749" t="s">
        <v>57</v>
      </c>
      <c r="D749" t="s">
        <v>62</v>
      </c>
      <c r="E749" t="s">
        <v>122</v>
      </c>
      <c r="F749" t="s">
        <v>162</v>
      </c>
      <c r="G749" t="s">
        <v>114</v>
      </c>
      <c r="H749" t="s">
        <v>433</v>
      </c>
      <c r="I749" t="s">
        <v>32</v>
      </c>
      <c r="J749" t="s">
        <v>72</v>
      </c>
      <c r="K749">
        <f t="shared" si="2170"/>
        <v>1</v>
      </c>
      <c r="L749">
        <f t="shared" si="2171"/>
        <v>0</v>
      </c>
      <c r="M749">
        <f t="shared" si="2172"/>
        <v>1</v>
      </c>
      <c r="N749">
        <f t="shared" si="2173"/>
        <v>0</v>
      </c>
      <c r="O749">
        <f t="shared" si="2174"/>
        <v>2</v>
      </c>
      <c r="P749" t="str">
        <f t="shared" si="2175"/>
        <v>Large centralized natural gas steam reforming-Levelized cost</v>
      </c>
      <c r="Q749" t="str">
        <f t="shared" si="2176"/>
        <v>Underground storage-Levelized cost</v>
      </c>
      <c r="R749" t="str">
        <f t="shared" si="2177"/>
        <v>Hydrogen transmission &amp; distribution pipeline-Levelized cost</v>
      </c>
      <c r="S749" t="str">
        <f t="shared" si="2178"/>
        <v>Hydrogen turbine (OC)-Levelized cost</v>
      </c>
      <c r="T749">
        <f ca="1">IF(timePeriod="2020-30",(VLOOKUP($P749,'TA database'!$I$8:$J$79,2,FALSE)/VLOOKUP($D749,'Merit calculation'!$B$48:$I$52,5,FALSE)/VLOOKUP($E749,'Merit calculation'!$B$67:$I$73,5,FALSE)/VLOOKUP($F749,'Merit calculation'!$B$90:$I$103,5,FALSE)/energyContentH2),(VLOOKUP($P749,'TA database'!$I$8:$J$79,2,FALSE)/VLOOKUP($D749,'Merit calculation'!$B$48:$I$52,7,FALSE)/VLOOKUP($E749,'Merit calculation'!$B$67:$I$73,7,FALSE)/VLOOKUP($F749,'Merit calculation'!$B$90:$I$103,7,FALSE)/energyContentH2))</f>
        <v>7.6493750417663972E-2</v>
      </c>
      <c r="U749">
        <f ca="1">IF(timePeriod="2020-30",(VLOOKUP($Q749,'TA database'!$I$86:$J$105,2,FALSE)/VLOOKUP($E749,'Merit calculation'!$B$67:$I$73,5,FALSE)/VLOOKUP($F749,'Merit calculation'!$B$90:$I$104,5,FALSE)/energyContentH2),VLOOKUP($Q749,'TA database'!$I$86:$J$105,2,FALSE)/VLOOKUP($E749,'Merit calculation'!$B$67:$I$73,7,FALSE)/VLOOKUP($F749,'Merit calculation'!$B$90:$I$104,7,FALSE)/energyContentH2)</f>
        <v>2.1898868882125647E-4</v>
      </c>
      <c r="V749">
        <f ca="1">IF(timePeriod="2020-30",(VLOOKUP($R749,'TA database'!$I$112:$J$139,2,FALSE)/VLOOKUP($F749,'Merit calculation'!$B$90:$I$104,5,FALSE)/energyContentH2),(VLOOKUP($R749,'TA database'!$I$112:$J$139,2,FALSE)/VLOOKUP($F749,'Merit calculation'!$B$90:$I$104,7,FALSE)/energyContentH2))</f>
        <v>5.8623272699796277E-3</v>
      </c>
      <c r="W749">
        <f>IFERROR(VLOOKUP($S749,'TA database'!$I$146:$J$193,2,FALSE),0)</f>
        <v>0</v>
      </c>
      <c r="X749">
        <f ca="1">IFERROR(VLOOKUP($S749,'TA database'!$I$200:$J$271,2,FALSE),0)</f>
        <v>6.8465051836761751E-3</v>
      </c>
      <c r="Y749">
        <f t="shared" ca="1" si="2183"/>
        <v>0.30411674413894968</v>
      </c>
      <c r="Z749" t="str">
        <f t="shared" si="2179"/>
        <v>NG_SR_LRG_C   →   C_UNDRGRND_STRG   →   H2_T&amp;D_P   →   H2_OCGT_PWR</v>
      </c>
      <c r="AA749" t="str">
        <f t="shared" si="2180"/>
        <v>Grid electricity</v>
      </c>
      <c r="AB749" t="str">
        <f t="shared" si="2181"/>
        <v>Levelized cost</v>
      </c>
      <c r="AC749">
        <f t="shared" ca="1" si="2182"/>
        <v>0.30411674413894968</v>
      </c>
      <c r="AD749">
        <v>690</v>
      </c>
      <c r="AE749" t="str">
        <f>IF(AND(ISNUMBER(SEARCH(O749,4)),ISNUMBER(SEARCH('(4) FCH pathway assessment'!$B$16,AB749)),ISNUMBER(SEARCH('(4) FCH pathway assessment'!$B$10,AA749))),AD749,"")</f>
        <v/>
      </c>
      <c r="AF749" t="str">
        <f t="shared" si="2070"/>
        <v/>
      </c>
      <c r="AG749" t="str">
        <f>VLOOKUP(C749,Assumptions!$B$116:$C$162,2,FALSE)</f>
        <v>NG_SR_LRG_C</v>
      </c>
      <c r="AH749" t="str">
        <f>VLOOKUP(D749,Assumptions!$B$116:$C$162,2,FALSE)</f>
        <v>C_UNDRGRND_STRG</v>
      </c>
      <c r="AI749" t="str">
        <f>VLOOKUP(E749,Assumptions!$B$116:$C$162,2,FALSE)</f>
        <v>H2_T&amp;D_P</v>
      </c>
      <c r="AJ749" t="str">
        <f>VLOOKUP(F749,Assumptions!$B$116:$C$162,2,FALSE)</f>
        <v>H2_OCGT_PWR</v>
      </c>
    </row>
    <row r="750" spans="2:36" x14ac:dyDescent="0.25">
      <c r="B750" t="s">
        <v>127</v>
      </c>
      <c r="C750" t="s">
        <v>57</v>
      </c>
      <c r="D750" t="s">
        <v>62</v>
      </c>
      <c r="E750" t="s">
        <v>116</v>
      </c>
      <c r="F750" t="s">
        <v>162</v>
      </c>
      <c r="G750" t="s">
        <v>114</v>
      </c>
      <c r="H750" t="s">
        <v>433</v>
      </c>
      <c r="I750" t="s">
        <v>32</v>
      </c>
      <c r="J750" t="s">
        <v>72</v>
      </c>
      <c r="K750">
        <f t="shared" si="2170"/>
        <v>1</v>
      </c>
      <c r="L750">
        <f t="shared" si="2171"/>
        <v>0</v>
      </c>
      <c r="M750">
        <f t="shared" si="2172"/>
        <v>1</v>
      </c>
      <c r="N750">
        <f t="shared" si="2173"/>
        <v>0</v>
      </c>
      <c r="O750">
        <f t="shared" si="2174"/>
        <v>2</v>
      </c>
      <c r="P750" t="str">
        <f t="shared" si="2175"/>
        <v>Large centralized natural gas steam reforming-Levelized cost</v>
      </c>
      <c r="Q750" t="str">
        <f t="shared" si="2176"/>
        <v>Underground storage-Levelized cost</v>
      </c>
      <c r="R750" t="str">
        <f t="shared" si="2177"/>
        <v>Liquid hydrogen truck-Levelized cost</v>
      </c>
      <c r="S750" t="str">
        <f t="shared" si="2178"/>
        <v>Hydrogen turbine (OC)-Levelized cost</v>
      </c>
      <c r="T750">
        <f ca="1">IF(timePeriod="2020-30",(VLOOKUP($P750,'TA database'!$I$8:$J$79,2,FALSE)/VLOOKUP($D750,'Merit calculation'!$B$48:$I$52,5,FALSE)/VLOOKUP($E750,'Merit calculation'!$B$67:$I$73,5,FALSE)/VLOOKUP($F750,'Merit calculation'!$B$90:$I$103,5,FALSE)/energyContentH2),(VLOOKUP($P750,'TA database'!$I$8:$J$79,2,FALSE)/VLOOKUP($D750,'Merit calculation'!$B$48:$I$52,7,FALSE)/VLOOKUP($E750,'Merit calculation'!$B$67:$I$73,7,FALSE)/VLOOKUP($F750,'Merit calculation'!$B$90:$I$103,7,FALSE)/energyContentH2))</f>
        <v>8.8365009233940875E-2</v>
      </c>
      <c r="U750">
        <f ca="1">IF(timePeriod="2020-30",(VLOOKUP($Q750,'TA database'!$I$86:$J$105,2,FALSE)/VLOOKUP($E750,'Merit calculation'!$B$67:$I$73,5,FALSE)/VLOOKUP($F750,'Merit calculation'!$B$90:$I$104,5,FALSE)/energyContentH2),VLOOKUP($Q750,'TA database'!$I$86:$J$105,2,FALSE)/VLOOKUP($E750,'Merit calculation'!$B$67:$I$73,7,FALSE)/VLOOKUP($F750,'Merit calculation'!$B$90:$I$104,7,FALSE)/energyContentH2)</f>
        <v>2.5297409793820761E-4</v>
      </c>
      <c r="V750">
        <f ca="1">IF(timePeriod="2020-30",(VLOOKUP($R750,'TA database'!$I$112:$J$139,2,FALSE)/VLOOKUP($F750,'Merit calculation'!$B$90:$I$104,5,FALSE)/energyContentH2),(VLOOKUP($R750,'TA database'!$I$112:$J$139,2,FALSE)/VLOOKUP($F750,'Merit calculation'!$B$90:$I$104,7,FALSE)/energyContentH2))</f>
        <v>3.8792716356659054E-2</v>
      </c>
      <c r="W750">
        <f>IFERROR(VLOOKUP($S750,'TA database'!$I$146:$J$193,2,FALSE),0)</f>
        <v>0</v>
      </c>
      <c r="X750">
        <f ca="1">IFERROR(VLOOKUP($S750,'TA database'!$I$200:$J$271,2,FALSE),0)</f>
        <v>6.8465051836761751E-3</v>
      </c>
      <c r="Y750">
        <f t="shared" ca="1" si="2183"/>
        <v>0.46552502406241353</v>
      </c>
      <c r="Z750" t="str">
        <f t="shared" si="2179"/>
        <v>NG_SR_LRG_C   →   C_UNDRGRND_STRG   →   LQ_TRUCK   →   H2_OCGT_PWR</v>
      </c>
      <c r="AA750" t="str">
        <f t="shared" si="2180"/>
        <v>Grid electricity</v>
      </c>
      <c r="AB750" t="str">
        <f t="shared" si="2181"/>
        <v>Levelized cost</v>
      </c>
      <c r="AC750">
        <f t="shared" ca="1" si="2182"/>
        <v>0.46552502406241353</v>
      </c>
      <c r="AD750">
        <v>691</v>
      </c>
      <c r="AE750" t="str">
        <f>IF(AND(ISNUMBER(SEARCH(O750,4)),ISNUMBER(SEARCH('(4) FCH pathway assessment'!$B$16,AB750)),ISNUMBER(SEARCH('(4) FCH pathway assessment'!$B$10,AA750))),AD750,"")</f>
        <v/>
      </c>
      <c r="AF750" t="str">
        <f t="shared" si="2070"/>
        <v/>
      </c>
      <c r="AG750" t="str">
        <f>VLOOKUP(C750,Assumptions!$B$116:$C$162,2,FALSE)</f>
        <v>NG_SR_LRG_C</v>
      </c>
      <c r="AH750" t="str">
        <f>VLOOKUP(D750,Assumptions!$B$116:$C$162,2,FALSE)</f>
        <v>C_UNDRGRND_STRG</v>
      </c>
      <c r="AI750" t="str">
        <f>VLOOKUP(E750,Assumptions!$B$116:$C$162,2,FALSE)</f>
        <v>LQ_TRUCK</v>
      </c>
      <c r="AJ750" t="str">
        <f>VLOOKUP(F750,Assumptions!$B$116:$C$162,2,FALSE)</f>
        <v>H2_OCGT_PWR</v>
      </c>
    </row>
    <row r="751" spans="2:36" x14ac:dyDescent="0.25">
      <c r="B751" t="s">
        <v>127</v>
      </c>
      <c r="C751" t="s">
        <v>57</v>
      </c>
      <c r="D751" t="s">
        <v>62</v>
      </c>
      <c r="E751" t="s">
        <v>66</v>
      </c>
      <c r="F751" t="s">
        <v>162</v>
      </c>
      <c r="G751" t="s">
        <v>114</v>
      </c>
      <c r="H751" t="s">
        <v>433</v>
      </c>
      <c r="I751" t="s">
        <v>32</v>
      </c>
      <c r="J751" t="s">
        <v>72</v>
      </c>
      <c r="K751">
        <f t="shared" si="2170"/>
        <v>1</v>
      </c>
      <c r="L751">
        <f t="shared" si="2171"/>
        <v>0</v>
      </c>
      <c r="M751">
        <f t="shared" si="2172"/>
        <v>1</v>
      </c>
      <c r="N751">
        <f t="shared" si="2173"/>
        <v>0</v>
      </c>
      <c r="O751">
        <f t="shared" si="2174"/>
        <v>2</v>
      </c>
      <c r="P751" t="str">
        <f t="shared" si="2175"/>
        <v>Large centralized natural gas steam reforming-Levelized cost</v>
      </c>
      <c r="Q751" t="str">
        <f t="shared" si="2176"/>
        <v>Underground storage-Levelized cost</v>
      </c>
      <c r="R751" t="str">
        <f t="shared" si="2177"/>
        <v>Onsite-Levelized cost</v>
      </c>
      <c r="S751" t="str">
        <f t="shared" si="2178"/>
        <v>Hydrogen turbine (OC)-Levelized cost</v>
      </c>
      <c r="T751">
        <f ca="1">IF(timePeriod="2020-30",(VLOOKUP($P751,'TA database'!$I$8:$J$79,2,FALSE)/VLOOKUP($D751,'Merit calculation'!$B$48:$I$52,5,FALSE)/VLOOKUP($E751,'Merit calculation'!$B$67:$I$73,5,FALSE)/VLOOKUP($F751,'Merit calculation'!$B$90:$I$103,5,FALSE)/energyContentH2),(VLOOKUP($P751,'TA database'!$I$8:$J$79,2,FALSE)/VLOOKUP($D751,'Merit calculation'!$B$48:$I$52,7,FALSE)/VLOOKUP($E751,'Merit calculation'!$B$67:$I$73,7,FALSE)/VLOOKUP($F751,'Merit calculation'!$B$90:$I$103,7,FALSE)/energyContentH2))</f>
        <v>7.5728812913487334E-2</v>
      </c>
      <c r="U751">
        <f ca="1">IF(timePeriod="2020-30",(VLOOKUP($Q751,'TA database'!$I$86:$J$105,2,FALSE)/VLOOKUP($E751,'Merit calculation'!$B$67:$I$73,5,FALSE)/VLOOKUP($F751,'Merit calculation'!$B$90:$I$104,5,FALSE)/energyContentH2),VLOOKUP($Q751,'TA database'!$I$86:$J$105,2,FALSE)/VLOOKUP($E751,'Merit calculation'!$B$67:$I$73,7,FALSE)/VLOOKUP($F751,'Merit calculation'!$B$90:$I$104,7,FALSE)/energyContentH2)</f>
        <v>2.167988019330439E-4</v>
      </c>
      <c r="V751">
        <f ca="1">IF(timePeriod="2020-30",(VLOOKUP($R751,'TA database'!$I$112:$J$139,2,FALSE)/VLOOKUP($F751,'Merit calculation'!$B$90:$I$104,5,FALSE)/energyContentH2),(VLOOKUP($R751,'TA database'!$I$112:$J$139,2,FALSE)/VLOOKUP($F751,'Merit calculation'!$B$90:$I$104,7,FALSE)/energyContentH2))</f>
        <v>0</v>
      </c>
      <c r="W751">
        <f>IFERROR(VLOOKUP($S751,'TA database'!$I$146:$J$193,2,FALSE),0)</f>
        <v>0</v>
      </c>
      <c r="X751">
        <f ca="1">IFERROR(VLOOKUP($S751,'TA database'!$I$200:$J$271,2,FALSE),0)</f>
        <v>6.8465051836761751E-3</v>
      </c>
      <c r="Y751">
        <f t="shared" ca="1" si="2183"/>
        <v>0.28025070735918955</v>
      </c>
      <c r="Z751" t="str">
        <f t="shared" si="2179"/>
        <v>NG_SR_LRG_C   →   C_UNDRGRND_STRG   →   ONSITE_USE   →   H2_OCGT_PWR</v>
      </c>
      <c r="AA751" t="str">
        <f t="shared" si="2180"/>
        <v>Grid electricity</v>
      </c>
      <c r="AB751" t="str">
        <f t="shared" si="2181"/>
        <v>Levelized cost</v>
      </c>
      <c r="AC751">
        <f t="shared" ca="1" si="2182"/>
        <v>0.28025070735918955</v>
      </c>
      <c r="AD751">
        <v>692</v>
      </c>
      <c r="AE751" t="str">
        <f>IF(AND(ISNUMBER(SEARCH(O751,4)),ISNUMBER(SEARCH('(4) FCH pathway assessment'!$B$16,AB751)),ISNUMBER(SEARCH('(4) FCH pathway assessment'!$B$10,AA751))),AD751,"")</f>
        <v/>
      </c>
      <c r="AF751" t="str">
        <f t="shared" si="2070"/>
        <v/>
      </c>
      <c r="AG751" t="str">
        <f>VLOOKUP(C751,Assumptions!$B$116:$C$162,2,FALSE)</f>
        <v>NG_SR_LRG_C</v>
      </c>
      <c r="AH751" t="str">
        <f>VLOOKUP(D751,Assumptions!$B$116:$C$162,2,FALSE)</f>
        <v>C_UNDRGRND_STRG</v>
      </c>
      <c r="AI751" t="str">
        <f>VLOOKUP(E751,Assumptions!$B$116:$C$162,2,FALSE)</f>
        <v>ONSITE_USE</v>
      </c>
      <c r="AJ751" t="str">
        <f>VLOOKUP(F751,Assumptions!$B$116:$C$162,2,FALSE)</f>
        <v>H2_OCGT_PWR</v>
      </c>
    </row>
    <row r="752" spans="2:36" x14ac:dyDescent="0.25">
      <c r="B752" t="s">
        <v>127</v>
      </c>
      <c r="C752" t="s">
        <v>57</v>
      </c>
      <c r="D752" s="61" t="s">
        <v>63</v>
      </c>
      <c r="E752" t="s">
        <v>122</v>
      </c>
      <c r="F752" t="s">
        <v>162</v>
      </c>
      <c r="G752" t="s">
        <v>114</v>
      </c>
      <c r="H752" t="s">
        <v>433</v>
      </c>
      <c r="I752" t="s">
        <v>32</v>
      </c>
      <c r="J752" t="s">
        <v>72</v>
      </c>
      <c r="K752">
        <f t="shared" ref="K752:K756" si="2184">SUMPRODUCT(($C$7:$C$18=$C752)*($D$6:$H$6=$D752)*($D$7:$H$18))</f>
        <v>1</v>
      </c>
      <c r="L752">
        <f t="shared" ref="L752:L756" si="2185">SUMPRODUCT(($C$19:$C$23=$D752)*($I$6:$O$6=$E752)*($I$19:$O$23))</f>
        <v>1</v>
      </c>
      <c r="M752">
        <f t="shared" ref="M752:M756" si="2186">SUMPRODUCT(($C$24:$C$30=$E752)*($P$6:$AI$6=$F752)*($P$24:$AI$30))</f>
        <v>1</v>
      </c>
      <c r="N752">
        <f t="shared" ref="N752:N756" si="2187">SUMPRODUCT(($C$31:$C$50=$F752)*($AJ$6:$AM$6=$G752)*($AJ$31:$AM$50))</f>
        <v>0</v>
      </c>
      <c r="O752">
        <f t="shared" ref="O752:O756" si="2188">K752+L752+M752+N752</f>
        <v>3</v>
      </c>
      <c r="P752" t="str">
        <f t="shared" ref="P752:P756" si="2189">CONCATENATE(C752,"-",J752)</f>
        <v>Large centralized natural gas steam reforming-Levelized cost</v>
      </c>
      <c r="Q752" t="str">
        <f t="shared" ref="Q752:Q756" si="2190">CONCATENATE(D752,"-",J752)</f>
        <v>No storage-Levelized cost</v>
      </c>
      <c r="R752" t="str">
        <f t="shared" ref="R752:R756" si="2191">CONCATENATE(E752,"-",J752)</f>
        <v>Hydrogen transmission &amp; distribution pipeline-Levelized cost</v>
      </c>
      <c r="S752" t="str">
        <f t="shared" ref="S752:S756" si="2192">CONCATENATE(F752,"-",J752)</f>
        <v>Hydrogen turbine (OC)-Levelized cost</v>
      </c>
      <c r="T752">
        <f ca="1">IF(timePeriod="2020-30",(VLOOKUP($P752,'TA database'!$I$8:$J$79,2,FALSE)/VLOOKUP($D752,'Merit calculation'!$B$48:$I$52,5,FALSE)/VLOOKUP($E752,'Merit calculation'!$B$67:$I$73,5,FALSE)/VLOOKUP($F752,'Merit calculation'!$B$90:$I$103,5,FALSE)/energyContentH2),(VLOOKUP($P752,'TA database'!$I$8:$J$79,2,FALSE)/VLOOKUP($D752,'Merit calculation'!$B$48:$I$52,7,FALSE)/VLOOKUP($E752,'Merit calculation'!$B$67:$I$73,7,FALSE)/VLOOKUP($F752,'Merit calculation'!$B$90:$I$103,7,FALSE)/energyContentH2))</f>
        <v>7.5728812913487334E-2</v>
      </c>
      <c r="U752">
        <f ca="1">IF(timePeriod="2020-30",(VLOOKUP($Q752,'TA database'!$I$86:$J$105,2,FALSE)/VLOOKUP($E752,'Merit calculation'!$B$67:$I$73,5,FALSE)/VLOOKUP($F752,'Merit calculation'!$B$90:$I$104,5,FALSE)/energyContentH2),VLOOKUP($Q752,'TA database'!$I$86:$J$105,2,FALSE)/VLOOKUP($E752,'Merit calculation'!$B$67:$I$73,7,FALSE)/VLOOKUP($F752,'Merit calculation'!$B$90:$I$104,7,FALSE)/energyContentH2)</f>
        <v>0</v>
      </c>
      <c r="V752">
        <f ca="1">IF(timePeriod="2020-30",(VLOOKUP($R752,'TA database'!$I$112:$J$139,2,FALSE)/VLOOKUP($F752,'Merit calculation'!$B$90:$I$104,5,FALSE)/energyContentH2),(VLOOKUP($R752,'TA database'!$I$112:$J$139,2,FALSE)/VLOOKUP($F752,'Merit calculation'!$B$90:$I$104,7,FALSE)/energyContentH2))</f>
        <v>5.8623272699796277E-3</v>
      </c>
      <c r="W752">
        <f>IFERROR(VLOOKUP($S752,'TA database'!$I$146:$J$193,2,FALSE),0)</f>
        <v>0</v>
      </c>
      <c r="X752">
        <f ca="1">IFERROR(VLOOKUP($S752,'TA database'!$I$200:$J$271,2,FALSE),0)</f>
        <v>6.8465051836761751E-3</v>
      </c>
      <c r="Y752">
        <f t="shared" ca="1" si="2183"/>
        <v>0.30057460984415729</v>
      </c>
      <c r="Z752" t="str">
        <f t="shared" ref="Z752:Z756" si="2193">CONCATENATE(AG752,"   →   ",AH752,"   →   ",AI752,"   →   ",AJ752)</f>
        <v>NG_SR_LRG_C   →   NO_STRG   →   H2_T&amp;D_P   →   H2_OCGT_PWR</v>
      </c>
      <c r="AA752" t="str">
        <f t="shared" ref="AA752:AA756" si="2194">G752</f>
        <v>Grid electricity</v>
      </c>
      <c r="AB752" t="str">
        <f t="shared" ref="AB752:AB756" si="2195">J752</f>
        <v>Levelized cost</v>
      </c>
      <c r="AC752">
        <f t="shared" ref="AC752:AC756" ca="1" si="2196">Y752</f>
        <v>0.30057460984415729</v>
      </c>
      <c r="AD752">
        <v>693</v>
      </c>
      <c r="AE752" t="str">
        <f>IF(AND(ISNUMBER(SEARCH(O752,4)),ISNUMBER(SEARCH('(4) FCH pathway assessment'!$B$16,AB752)),ISNUMBER(SEARCH('(4) FCH pathway assessment'!$B$10,AA752))),AD752,"")</f>
        <v/>
      </c>
      <c r="AF752" t="str">
        <f t="shared" si="2070"/>
        <v/>
      </c>
      <c r="AG752" t="str">
        <f>VLOOKUP(C752,Assumptions!$B$116:$C$162,2,FALSE)</f>
        <v>NG_SR_LRG_C</v>
      </c>
      <c r="AH752" t="str">
        <f>VLOOKUP(D752,Assumptions!$B$116:$C$162,2,FALSE)</f>
        <v>NO_STRG</v>
      </c>
      <c r="AI752" t="str">
        <f>VLOOKUP(E752,Assumptions!$B$116:$C$162,2,FALSE)</f>
        <v>H2_T&amp;D_P</v>
      </c>
      <c r="AJ752" t="str">
        <f>VLOOKUP(F752,Assumptions!$B$116:$C$162,2,FALSE)</f>
        <v>H2_OCGT_PWR</v>
      </c>
    </row>
    <row r="753" spans="2:36" x14ac:dyDescent="0.25">
      <c r="B753" t="s">
        <v>127</v>
      </c>
      <c r="C753" t="s">
        <v>58</v>
      </c>
      <c r="D753" t="s">
        <v>155</v>
      </c>
      <c r="E753" t="s">
        <v>157</v>
      </c>
      <c r="F753" t="s">
        <v>162</v>
      </c>
      <c r="G753" t="s">
        <v>114</v>
      </c>
      <c r="H753" t="s">
        <v>433</v>
      </c>
      <c r="I753" t="s">
        <v>32</v>
      </c>
      <c r="J753" t="s">
        <v>72</v>
      </c>
      <c r="K753">
        <f t="shared" si="2184"/>
        <v>1</v>
      </c>
      <c r="L753">
        <f t="shared" si="2185"/>
        <v>1</v>
      </c>
      <c r="M753">
        <f t="shared" si="2186"/>
        <v>0</v>
      </c>
      <c r="N753">
        <f t="shared" si="2187"/>
        <v>0</v>
      </c>
      <c r="O753">
        <f t="shared" si="2188"/>
        <v>2</v>
      </c>
      <c r="P753" t="str">
        <f t="shared" si="2189"/>
        <v>Small centralized natural gas steam reforming-Levelized cost</v>
      </c>
      <c r="Q753" t="str">
        <f t="shared" si="2190"/>
        <v>Central gas storage-Levelized cost</v>
      </c>
      <c r="R753" t="str">
        <f t="shared" si="2191"/>
        <v>Blending in natural gas pipeline-Levelized cost</v>
      </c>
      <c r="S753" t="str">
        <f t="shared" si="2192"/>
        <v>Hydrogen turbine (OC)-Levelized cost</v>
      </c>
      <c r="T753">
        <f ca="1">IF(timePeriod="2020-30",(VLOOKUP($P753,'TA database'!$I$8:$J$79,2,FALSE)/VLOOKUP($D753,'Merit calculation'!$B$48:$I$52,5,FALSE)/VLOOKUP($E753,'Merit calculation'!$B$67:$I$73,5,FALSE)/VLOOKUP($F753,'Merit calculation'!$B$90:$I$103,5,FALSE)/energyContentH2),(VLOOKUP($P753,'TA database'!$I$8:$J$79,2,FALSE)/VLOOKUP($D753,'Merit calculation'!$B$48:$I$52,7,FALSE)/VLOOKUP($E753,'Merit calculation'!$B$67:$I$73,7,FALSE)/VLOOKUP($F753,'Merit calculation'!$B$90:$I$103,7,FALSE)/energyContentH2))</f>
        <v>7.8499123840000268E-2</v>
      </c>
      <c r="U753">
        <f ca="1">IF(timePeriod="2020-30",(VLOOKUP($Q753,'TA database'!$I$86:$J$105,2,FALSE)/VLOOKUP($E753,'Merit calculation'!$B$67:$I$73,5,FALSE)/VLOOKUP($F753,'Merit calculation'!$B$90:$I$104,5,FALSE)/energyContentH2),VLOOKUP($Q753,'TA database'!$I$86:$J$105,2,FALSE)/VLOOKUP($E753,'Merit calculation'!$B$67:$I$73,7,FALSE)/VLOOKUP($F753,'Merit calculation'!$B$90:$I$104,7,FALSE)/energyContentH2)</f>
        <v>1.0994680037926714E-3</v>
      </c>
      <c r="V753">
        <f ca="1">IF(timePeriod="2020-30",(VLOOKUP($R753,'TA database'!$I$112:$J$139,2,FALSE)/VLOOKUP($F753,'Merit calculation'!$B$90:$I$104,5,FALSE)/energyContentH2),(VLOOKUP($R753,'TA database'!$I$112:$J$139,2,FALSE)/VLOOKUP($F753,'Merit calculation'!$B$90:$I$104,7,FALSE)/energyContentH2))</f>
        <v>3.1508562766822874E-3</v>
      </c>
      <c r="W753">
        <f>IFERROR(VLOOKUP($S753,'TA database'!$I$146:$J$193,2,FALSE),0)</f>
        <v>0</v>
      </c>
      <c r="X753">
        <f ca="1">IFERROR(VLOOKUP($S753,'TA database'!$I$200:$J$271,2,FALSE),0)</f>
        <v>6.8465051836761751E-3</v>
      </c>
      <c r="Y753">
        <f t="shared" ca="1" si="2183"/>
        <v>0.30474451841738698</v>
      </c>
      <c r="Z753" t="str">
        <f t="shared" si="2193"/>
        <v>NG_SR_SML_C   →   C_GAS_STRG   →   H2_BLND_NG_P   →   H2_OCGT_PWR</v>
      </c>
      <c r="AA753" t="str">
        <f t="shared" si="2194"/>
        <v>Grid electricity</v>
      </c>
      <c r="AB753" t="str">
        <f t="shared" si="2195"/>
        <v>Levelized cost</v>
      </c>
      <c r="AC753">
        <f t="shared" ca="1" si="2196"/>
        <v>0.30474451841738698</v>
      </c>
      <c r="AD753">
        <v>694</v>
      </c>
      <c r="AE753" t="str">
        <f>IF(AND(ISNUMBER(SEARCH(O753,4)),ISNUMBER(SEARCH('(4) FCH pathway assessment'!$B$16,AB753)),ISNUMBER(SEARCH('(4) FCH pathway assessment'!$B$10,AA753))),AD753,"")</f>
        <v/>
      </c>
      <c r="AF753" t="str">
        <f t="shared" si="2070"/>
        <v/>
      </c>
      <c r="AG753" t="str">
        <f>VLOOKUP(C753,Assumptions!$B$116:$C$162,2,FALSE)</f>
        <v>NG_SR_SML_C</v>
      </c>
      <c r="AH753" t="str">
        <f>VLOOKUP(D753,Assumptions!$B$116:$C$162,2,FALSE)</f>
        <v>C_GAS_STRG</v>
      </c>
      <c r="AI753" t="str">
        <f>VLOOKUP(E753,Assumptions!$B$116:$C$162,2,FALSE)</f>
        <v>H2_BLND_NG_P</v>
      </c>
      <c r="AJ753" t="str">
        <f>VLOOKUP(F753,Assumptions!$B$116:$C$162,2,FALSE)</f>
        <v>H2_OCGT_PWR</v>
      </c>
    </row>
    <row r="754" spans="2:36" x14ac:dyDescent="0.25">
      <c r="B754" t="s">
        <v>127</v>
      </c>
      <c r="C754" t="s">
        <v>58</v>
      </c>
      <c r="D754" t="s">
        <v>155</v>
      </c>
      <c r="E754" t="s">
        <v>122</v>
      </c>
      <c r="F754" t="s">
        <v>162</v>
      </c>
      <c r="G754" t="s">
        <v>114</v>
      </c>
      <c r="H754" t="s">
        <v>433</v>
      </c>
      <c r="I754" t="s">
        <v>32</v>
      </c>
      <c r="J754" t="s">
        <v>72</v>
      </c>
      <c r="K754">
        <f t="shared" si="2184"/>
        <v>1</v>
      </c>
      <c r="L754">
        <f t="shared" si="2185"/>
        <v>1</v>
      </c>
      <c r="M754">
        <f t="shared" si="2186"/>
        <v>1</v>
      </c>
      <c r="N754">
        <f t="shared" si="2187"/>
        <v>0</v>
      </c>
      <c r="O754">
        <f t="shared" si="2188"/>
        <v>3</v>
      </c>
      <c r="P754" t="str">
        <f t="shared" si="2189"/>
        <v>Small centralized natural gas steam reforming-Levelized cost</v>
      </c>
      <c r="Q754" t="str">
        <f t="shared" si="2190"/>
        <v>Central gas storage-Levelized cost</v>
      </c>
      <c r="R754" t="str">
        <f t="shared" si="2191"/>
        <v>Hydrogen transmission &amp; distribution pipeline-Levelized cost</v>
      </c>
      <c r="S754" t="str">
        <f t="shared" si="2192"/>
        <v>Hydrogen turbine (OC)-Levelized cost</v>
      </c>
      <c r="T754">
        <f ca="1">IF(timePeriod="2020-30",(VLOOKUP($P754,'TA database'!$I$8:$J$79,2,FALSE)/VLOOKUP($D754,'Merit calculation'!$B$48:$I$52,5,FALSE)/VLOOKUP($E754,'Merit calculation'!$B$67:$I$73,5,FALSE)/VLOOKUP($F754,'Merit calculation'!$B$90:$I$103,5,FALSE)/energyContentH2),(VLOOKUP($P754,'TA database'!$I$8:$J$79,2,FALSE)/VLOOKUP($D754,'Merit calculation'!$B$48:$I$52,7,FALSE)/VLOOKUP($E754,'Merit calculation'!$B$67:$I$73,7,FALSE)/VLOOKUP($F754,'Merit calculation'!$B$90:$I$103,7,FALSE)/energyContentH2))</f>
        <v>7.8499123840000268E-2</v>
      </c>
      <c r="U754">
        <f ca="1">IF(timePeriod="2020-30",(VLOOKUP($Q754,'TA database'!$I$86:$J$105,2,FALSE)/VLOOKUP($E754,'Merit calculation'!$B$67:$I$73,5,FALSE)/VLOOKUP($F754,'Merit calculation'!$B$90:$I$104,5,FALSE)/energyContentH2),VLOOKUP($Q754,'TA database'!$I$86:$J$105,2,FALSE)/VLOOKUP($E754,'Merit calculation'!$B$67:$I$73,7,FALSE)/VLOOKUP($F754,'Merit calculation'!$B$90:$I$104,7,FALSE)/energyContentH2)</f>
        <v>1.0994680037926714E-3</v>
      </c>
      <c r="V754">
        <f ca="1">IF(timePeriod="2020-30",(VLOOKUP($R754,'TA database'!$I$112:$J$139,2,FALSE)/VLOOKUP($F754,'Merit calculation'!$B$90:$I$104,5,FALSE)/energyContentH2),(VLOOKUP($R754,'TA database'!$I$112:$J$139,2,FALSE)/VLOOKUP($F754,'Merit calculation'!$B$90:$I$104,7,FALSE)/energyContentH2))</f>
        <v>5.8623272699796277E-3</v>
      </c>
      <c r="W754">
        <f>IFERROR(VLOOKUP($S754,'TA database'!$I$146:$J$193,2,FALSE),0)</f>
        <v>0</v>
      </c>
      <c r="X754">
        <f ca="1">IFERROR(VLOOKUP($S754,'TA database'!$I$200:$J$271,2,FALSE),0)</f>
        <v>6.8465051836761751E-3</v>
      </c>
      <c r="Y754">
        <f t="shared" ca="1" si="2183"/>
        <v>0.31450581399325744</v>
      </c>
      <c r="Z754" t="str">
        <f t="shared" si="2193"/>
        <v>NG_SR_SML_C   →   C_GAS_STRG   →   H2_T&amp;D_P   →   H2_OCGT_PWR</v>
      </c>
      <c r="AA754" t="str">
        <f t="shared" si="2194"/>
        <v>Grid electricity</v>
      </c>
      <c r="AB754" t="str">
        <f t="shared" si="2195"/>
        <v>Levelized cost</v>
      </c>
      <c r="AC754">
        <f t="shared" ca="1" si="2196"/>
        <v>0.31450581399325744</v>
      </c>
      <c r="AD754">
        <v>695</v>
      </c>
      <c r="AE754" t="str">
        <f>IF(AND(ISNUMBER(SEARCH(O754,4)),ISNUMBER(SEARCH('(4) FCH pathway assessment'!$B$16,AB754)),ISNUMBER(SEARCH('(4) FCH pathway assessment'!$B$10,AA754))),AD754,"")</f>
        <v/>
      </c>
      <c r="AF754" t="str">
        <f t="shared" si="2070"/>
        <v/>
      </c>
      <c r="AG754" t="str">
        <f>VLOOKUP(C754,Assumptions!$B$116:$C$162,2,FALSE)</f>
        <v>NG_SR_SML_C</v>
      </c>
      <c r="AH754" t="str">
        <f>VLOOKUP(D754,Assumptions!$B$116:$C$162,2,FALSE)</f>
        <v>C_GAS_STRG</v>
      </c>
      <c r="AI754" t="str">
        <f>VLOOKUP(E754,Assumptions!$B$116:$C$162,2,FALSE)</f>
        <v>H2_T&amp;D_P</v>
      </c>
      <c r="AJ754" t="str">
        <f>VLOOKUP(F754,Assumptions!$B$116:$C$162,2,FALSE)</f>
        <v>H2_OCGT_PWR</v>
      </c>
    </row>
    <row r="755" spans="2:36" x14ac:dyDescent="0.25">
      <c r="B755" t="s">
        <v>127</v>
      </c>
      <c r="C755" t="s">
        <v>58</v>
      </c>
      <c r="D755" t="s">
        <v>155</v>
      </c>
      <c r="E755" t="s">
        <v>116</v>
      </c>
      <c r="F755" t="s">
        <v>162</v>
      </c>
      <c r="G755" t="s">
        <v>114</v>
      </c>
      <c r="H755" t="s">
        <v>433</v>
      </c>
      <c r="I755" t="s">
        <v>32</v>
      </c>
      <c r="J755" t="s">
        <v>72</v>
      </c>
      <c r="K755">
        <f t="shared" si="2184"/>
        <v>1</v>
      </c>
      <c r="L755">
        <f t="shared" si="2185"/>
        <v>1</v>
      </c>
      <c r="M755">
        <f t="shared" si="2186"/>
        <v>1</v>
      </c>
      <c r="N755">
        <f t="shared" si="2187"/>
        <v>0</v>
      </c>
      <c r="O755">
        <f t="shared" si="2188"/>
        <v>3</v>
      </c>
      <c r="P755" t="str">
        <f t="shared" si="2189"/>
        <v>Small centralized natural gas steam reforming-Levelized cost</v>
      </c>
      <c r="Q755" t="str">
        <f t="shared" si="2190"/>
        <v>Central gas storage-Levelized cost</v>
      </c>
      <c r="R755" t="str">
        <f t="shared" si="2191"/>
        <v>Liquid hydrogen truck-Levelized cost</v>
      </c>
      <c r="S755" t="str">
        <f t="shared" si="2192"/>
        <v>Hydrogen turbine (OC)-Levelized cost</v>
      </c>
      <c r="T755">
        <f ca="1">IF(timePeriod="2020-30",(VLOOKUP($P755,'TA database'!$I$8:$J$79,2,FALSE)/VLOOKUP($D755,'Merit calculation'!$B$48:$I$52,5,FALSE)/VLOOKUP($E755,'Merit calculation'!$B$67:$I$73,5,FALSE)/VLOOKUP($F755,'Merit calculation'!$B$90:$I$103,5,FALSE)/energyContentH2),(VLOOKUP($P755,'TA database'!$I$8:$J$79,2,FALSE)/VLOOKUP($D755,'Merit calculation'!$B$48:$I$52,7,FALSE)/VLOOKUP($E755,'Merit calculation'!$B$67:$I$73,7,FALSE)/VLOOKUP($F755,'Merit calculation'!$B$90:$I$103,7,FALSE)/energyContentH2))</f>
        <v>9.0681601635472855E-2</v>
      </c>
      <c r="U755">
        <f ca="1">IF(timePeriod="2020-30",(VLOOKUP($Q755,'TA database'!$I$86:$J$105,2,FALSE)/VLOOKUP($E755,'Merit calculation'!$B$67:$I$73,5,FALSE)/VLOOKUP($F755,'Merit calculation'!$B$90:$I$104,5,FALSE)/energyContentH2),VLOOKUP($Q755,'TA database'!$I$86:$J$105,2,FALSE)/VLOOKUP($E755,'Merit calculation'!$B$67:$I$73,7,FALSE)/VLOOKUP($F755,'Merit calculation'!$B$90:$I$104,7,FALSE)/energyContentH2)</f>
        <v>1.2700972272517443E-3</v>
      </c>
      <c r="V755">
        <f ca="1">IF(timePeriod="2020-30",(VLOOKUP($R755,'TA database'!$I$112:$J$139,2,FALSE)/VLOOKUP($F755,'Merit calculation'!$B$90:$I$104,5,FALSE)/energyContentH2),(VLOOKUP($R755,'TA database'!$I$112:$J$139,2,FALSE)/VLOOKUP($F755,'Merit calculation'!$B$90:$I$104,7,FALSE)/energyContentH2))</f>
        <v>3.8792716356659054E-2</v>
      </c>
      <c r="W755">
        <f>IFERROR(VLOOKUP($S755,'TA database'!$I$146:$J$193,2,FALSE),0)</f>
        <v>0</v>
      </c>
      <c r="X755">
        <f ca="1">IFERROR(VLOOKUP($S755,'TA database'!$I$200:$J$271,2,FALSE),0)</f>
        <v>6.8465051836761751E-3</v>
      </c>
      <c r="Y755">
        <f t="shared" ca="1" si="2183"/>
        <v>0.47752639997345742</v>
      </c>
      <c r="Z755" t="str">
        <f t="shared" si="2193"/>
        <v>NG_SR_SML_C   →   C_GAS_STRG   →   LQ_TRUCK   →   H2_OCGT_PWR</v>
      </c>
      <c r="AA755" t="str">
        <f t="shared" si="2194"/>
        <v>Grid electricity</v>
      </c>
      <c r="AB755" t="str">
        <f t="shared" si="2195"/>
        <v>Levelized cost</v>
      </c>
      <c r="AC755">
        <f t="shared" ca="1" si="2196"/>
        <v>0.47752639997345742</v>
      </c>
      <c r="AD755">
        <v>696</v>
      </c>
      <c r="AE755" t="str">
        <f>IF(AND(ISNUMBER(SEARCH(O755,4)),ISNUMBER(SEARCH('(4) FCH pathway assessment'!$B$16,AB755)),ISNUMBER(SEARCH('(4) FCH pathway assessment'!$B$10,AA755))),AD755,"")</f>
        <v/>
      </c>
      <c r="AF755" t="str">
        <f t="shared" si="2070"/>
        <v/>
      </c>
      <c r="AG755" t="str">
        <f>VLOOKUP(C755,Assumptions!$B$116:$C$162,2,FALSE)</f>
        <v>NG_SR_SML_C</v>
      </c>
      <c r="AH755" t="str">
        <f>VLOOKUP(D755,Assumptions!$B$116:$C$162,2,FALSE)</f>
        <v>C_GAS_STRG</v>
      </c>
      <c r="AI755" t="str">
        <f>VLOOKUP(E755,Assumptions!$B$116:$C$162,2,FALSE)</f>
        <v>LQ_TRUCK</v>
      </c>
      <c r="AJ755" t="str">
        <f>VLOOKUP(F755,Assumptions!$B$116:$C$162,2,FALSE)</f>
        <v>H2_OCGT_PWR</v>
      </c>
    </row>
    <row r="756" spans="2:36" x14ac:dyDescent="0.25">
      <c r="B756" t="s">
        <v>127</v>
      </c>
      <c r="C756" t="s">
        <v>58</v>
      </c>
      <c r="D756" t="s">
        <v>155</v>
      </c>
      <c r="E756" t="s">
        <v>66</v>
      </c>
      <c r="F756" t="s">
        <v>162</v>
      </c>
      <c r="G756" t="s">
        <v>114</v>
      </c>
      <c r="H756" t="s">
        <v>433</v>
      </c>
      <c r="I756" t="s">
        <v>32</v>
      </c>
      <c r="J756" t="s">
        <v>72</v>
      </c>
      <c r="K756">
        <f t="shared" si="2184"/>
        <v>1</v>
      </c>
      <c r="L756">
        <f t="shared" si="2185"/>
        <v>1</v>
      </c>
      <c r="M756">
        <f t="shared" si="2186"/>
        <v>1</v>
      </c>
      <c r="N756">
        <f t="shared" si="2187"/>
        <v>0</v>
      </c>
      <c r="O756">
        <f t="shared" si="2188"/>
        <v>3</v>
      </c>
      <c r="P756" t="str">
        <f t="shared" si="2189"/>
        <v>Small centralized natural gas steam reforming-Levelized cost</v>
      </c>
      <c r="Q756" t="str">
        <f t="shared" si="2190"/>
        <v>Central gas storage-Levelized cost</v>
      </c>
      <c r="R756" t="str">
        <f t="shared" si="2191"/>
        <v>Onsite-Levelized cost</v>
      </c>
      <c r="S756" t="str">
        <f t="shared" si="2192"/>
        <v>Hydrogen turbine (OC)-Levelized cost</v>
      </c>
      <c r="T756">
        <f ca="1">IF(timePeriod="2020-30",(VLOOKUP($P756,'TA database'!$I$8:$J$79,2,FALSE)/VLOOKUP($D756,'Merit calculation'!$B$48:$I$52,5,FALSE)/VLOOKUP($E756,'Merit calculation'!$B$67:$I$73,5,FALSE)/VLOOKUP($F756,'Merit calculation'!$B$90:$I$103,5,FALSE)/energyContentH2),(VLOOKUP($P756,'TA database'!$I$8:$J$79,2,FALSE)/VLOOKUP($D756,'Merit calculation'!$B$48:$I$52,7,FALSE)/VLOOKUP($E756,'Merit calculation'!$B$67:$I$73,7,FALSE)/VLOOKUP($F756,'Merit calculation'!$B$90:$I$103,7,FALSE)/energyContentH2))</f>
        <v>7.7714132601600247E-2</v>
      </c>
      <c r="U756">
        <f ca="1">IF(timePeriod="2020-30",(VLOOKUP($Q756,'TA database'!$I$86:$J$105,2,FALSE)/VLOOKUP($E756,'Merit calculation'!$B$67:$I$73,5,FALSE)/VLOOKUP($F756,'Merit calculation'!$B$90:$I$104,5,FALSE)/energyContentH2),VLOOKUP($Q756,'TA database'!$I$86:$J$105,2,FALSE)/VLOOKUP($E756,'Merit calculation'!$B$67:$I$73,7,FALSE)/VLOOKUP($F756,'Merit calculation'!$B$90:$I$104,7,FALSE)/energyContentH2)</f>
        <v>1.088473323754745E-3</v>
      </c>
      <c r="V756">
        <f ca="1">IF(timePeriod="2020-30",(VLOOKUP($R756,'TA database'!$I$112:$J$139,2,FALSE)/VLOOKUP($F756,'Merit calculation'!$B$90:$I$104,5,FALSE)/energyContentH2),(VLOOKUP($R756,'TA database'!$I$112:$J$139,2,FALSE)/VLOOKUP($F756,'Merit calculation'!$B$90:$I$104,7,FALSE)/energyContentH2))</f>
        <v>0</v>
      </c>
      <c r="W756">
        <f>IFERROR(VLOOKUP($S756,'TA database'!$I$146:$J$193,2,FALSE),0)</f>
        <v>0</v>
      </c>
      <c r="X756">
        <f ca="1">IFERROR(VLOOKUP($S756,'TA database'!$I$200:$J$271,2,FALSE),0)</f>
        <v>6.8465051836761751E-3</v>
      </c>
      <c r="Y756">
        <f t="shared" ca="1" si="2183"/>
        <v>0.29053588651495416</v>
      </c>
      <c r="Z756" t="str">
        <f t="shared" si="2193"/>
        <v>NG_SR_SML_C   →   C_GAS_STRG   →   ONSITE_USE   →   H2_OCGT_PWR</v>
      </c>
      <c r="AA756" t="str">
        <f t="shared" si="2194"/>
        <v>Grid electricity</v>
      </c>
      <c r="AB756" t="str">
        <f t="shared" si="2195"/>
        <v>Levelized cost</v>
      </c>
      <c r="AC756">
        <f t="shared" ca="1" si="2196"/>
        <v>0.29053588651495416</v>
      </c>
      <c r="AD756">
        <v>697</v>
      </c>
      <c r="AE756" t="str">
        <f>IF(AND(ISNUMBER(SEARCH(O756,4)),ISNUMBER(SEARCH('(4) FCH pathway assessment'!$B$16,AB756)),ISNUMBER(SEARCH('(4) FCH pathway assessment'!$B$10,AA756))),AD756,"")</f>
        <v/>
      </c>
      <c r="AF756" t="str">
        <f t="shared" si="2070"/>
        <v/>
      </c>
      <c r="AG756" t="str">
        <f>VLOOKUP(C756,Assumptions!$B$116:$C$162,2,FALSE)</f>
        <v>NG_SR_SML_C</v>
      </c>
      <c r="AH756" t="str">
        <f>VLOOKUP(D756,Assumptions!$B$116:$C$162,2,FALSE)</f>
        <v>C_GAS_STRG</v>
      </c>
      <c r="AI756" t="str">
        <f>VLOOKUP(E756,Assumptions!$B$116:$C$162,2,FALSE)</f>
        <v>ONSITE_USE</v>
      </c>
      <c r="AJ756" t="str">
        <f>VLOOKUP(F756,Assumptions!$B$116:$C$162,2,FALSE)</f>
        <v>H2_OCGT_PWR</v>
      </c>
    </row>
    <row r="757" spans="2:36" x14ac:dyDescent="0.25">
      <c r="B757" t="s">
        <v>127</v>
      </c>
      <c r="C757" t="s">
        <v>59</v>
      </c>
      <c r="D757" s="60" t="s">
        <v>130</v>
      </c>
      <c r="E757" t="s">
        <v>66</v>
      </c>
      <c r="F757" t="s">
        <v>162</v>
      </c>
      <c r="G757" t="s">
        <v>114</v>
      </c>
      <c r="H757" t="s">
        <v>433</v>
      </c>
      <c r="I757" t="s">
        <v>32</v>
      </c>
      <c r="J757" t="s">
        <v>72</v>
      </c>
      <c r="K757">
        <f t="shared" ref="K757:K758" si="2197">SUMPRODUCT(($C$7:$C$18=$C757)*($D$6:$H$6=$D757)*($D$7:$H$18))</f>
        <v>1</v>
      </c>
      <c r="L757">
        <f t="shared" ref="L757:L758" si="2198">SUMPRODUCT(($C$19:$C$23=$D757)*($I$6:$O$6=$E757)*($I$19:$O$23))</f>
        <v>1</v>
      </c>
      <c r="M757">
        <f t="shared" ref="M757:M758" si="2199">SUMPRODUCT(($C$24:$C$30=$E757)*($P$6:$AI$6=$F757)*($P$24:$AI$30))</f>
        <v>1</v>
      </c>
      <c r="N757">
        <f t="shared" ref="N757:N758" si="2200">SUMPRODUCT(($C$31:$C$50=$F757)*($AJ$6:$AM$6=$G757)*($AJ$31:$AM$50))</f>
        <v>0</v>
      </c>
      <c r="O757">
        <f t="shared" ref="O757:O758" si="2201">K757+L757+M757+N757</f>
        <v>3</v>
      </c>
      <c r="P757" t="str">
        <f t="shared" ref="P757:P758" si="2202">CONCATENATE(C757,"-",J757)</f>
        <v>Medium decentralized natural gas steam reforming-Levelized cost</v>
      </c>
      <c r="Q757" t="str">
        <f t="shared" ref="Q757:Q758" si="2203">CONCATENATE(D757,"-",J757)</f>
        <v>Distributed gas storage-Levelized cost</v>
      </c>
      <c r="R757" t="str">
        <f t="shared" ref="R757:R758" si="2204">CONCATENATE(E757,"-",J757)</f>
        <v>Onsite-Levelized cost</v>
      </c>
      <c r="S757" t="str">
        <f t="shared" ref="S757:S758" si="2205">CONCATENATE(F757,"-",J757)</f>
        <v>Hydrogen turbine (OC)-Levelized cost</v>
      </c>
      <c r="T757">
        <f ca="1">IF(timePeriod="2020-30",(VLOOKUP($P757,'TA database'!$I$8:$J$79,2,FALSE)/VLOOKUP($D757,'Merit calculation'!$B$48:$I$52,5,FALSE)/VLOOKUP($E757,'Merit calculation'!$B$67:$I$73,5,FALSE)/VLOOKUP($F757,'Merit calculation'!$B$90:$I$103,5,FALSE)/energyContentH2),(VLOOKUP($P757,'TA database'!$I$8:$J$79,2,FALSE)/VLOOKUP($D757,'Merit calculation'!$B$48:$I$52,7,FALSE)/VLOOKUP($E757,'Merit calculation'!$B$67:$I$73,7,FALSE)/VLOOKUP($F757,'Merit calculation'!$B$90:$I$103,7,FALSE)/energyContentH2))</f>
        <v>8.2729037228138638E-2</v>
      </c>
      <c r="U757">
        <f ca="1">IF(timePeriod="2020-30",(VLOOKUP($Q757,'TA database'!$I$86:$J$105,2,FALSE)/VLOOKUP($E757,'Merit calculation'!$B$67:$I$73,5,FALSE)/VLOOKUP($F757,'Merit calculation'!$B$90:$I$104,5,FALSE)/energyContentH2),VLOOKUP($Q757,'TA database'!$I$86:$J$105,2,FALSE)/VLOOKUP($E757,'Merit calculation'!$B$67:$I$73,7,FALSE)/VLOOKUP($F757,'Merit calculation'!$B$90:$I$104,7,FALSE)/energyContentH2)</f>
        <v>1.9350636866751023E-3</v>
      </c>
      <c r="V757">
        <f ca="1">IF(timePeriod="2020-30",(VLOOKUP($R757,'TA database'!$I$112:$J$139,2,FALSE)/VLOOKUP($F757,'Merit calculation'!$B$90:$I$104,5,FALSE)/energyContentH2),(VLOOKUP($R757,'TA database'!$I$112:$J$139,2,FALSE)/VLOOKUP($F757,'Merit calculation'!$B$90:$I$104,7,FALSE)/energyContentH2))</f>
        <v>0</v>
      </c>
      <c r="W757">
        <f>IFERROR(VLOOKUP($S757,'TA database'!$I$146:$J$193,2,FALSE),0)</f>
        <v>0</v>
      </c>
      <c r="X757">
        <f ca="1">IFERROR(VLOOKUP($S757,'TA database'!$I$200:$J$271,2,FALSE),0)</f>
        <v>6.8465051836761751E-3</v>
      </c>
      <c r="Y757">
        <f t="shared" ref="Y757" ca="1" si="2206">IF($W757=0,T757*3.6+U757*3.6+V757*3.6+X757,T757+U757+V757+W757)</f>
        <v>0.31163726847700568</v>
      </c>
      <c r="Z757" t="str">
        <f t="shared" ref="Z757:Z758" si="2207">CONCATENATE(AG757,"   →   ",AH757,"   →   ",AI757,"   →   ",AJ757)</f>
        <v>NG_SR_MED_D   →   D_GAS_STRG   →   ONSITE_USE   →   H2_OCGT_PWR</v>
      </c>
      <c r="AA757" t="str">
        <f t="shared" ref="AA757:AA758" si="2208">G757</f>
        <v>Grid electricity</v>
      </c>
      <c r="AB757" t="str">
        <f t="shared" ref="AB757:AB758" si="2209">J757</f>
        <v>Levelized cost</v>
      </c>
      <c r="AC757">
        <f t="shared" ref="AC757:AC758" ca="1" si="2210">Y757</f>
        <v>0.31163726847700568</v>
      </c>
      <c r="AD757">
        <v>698</v>
      </c>
      <c r="AE757" t="str">
        <f>IF(AND(ISNUMBER(SEARCH(O757,4)),ISNUMBER(SEARCH('(4) FCH pathway assessment'!$B$16,AB757)),ISNUMBER(SEARCH('(4) FCH pathway assessment'!$B$10,AA757))),AD757,"")</f>
        <v/>
      </c>
      <c r="AF757" t="str">
        <f t="shared" si="2070"/>
        <v/>
      </c>
      <c r="AG757" t="str">
        <f>VLOOKUP(C757,Assumptions!$B$116:$C$162,2,FALSE)</f>
        <v>NG_SR_MED_D</v>
      </c>
      <c r="AH757" t="str">
        <f>VLOOKUP(D757,Assumptions!$B$116:$C$162,2,FALSE)</f>
        <v>D_GAS_STRG</v>
      </c>
      <c r="AI757" t="str">
        <f>VLOOKUP(E757,Assumptions!$B$116:$C$162,2,FALSE)</f>
        <v>ONSITE_USE</v>
      </c>
      <c r="AJ757" t="str">
        <f>VLOOKUP(F757,Assumptions!$B$116:$C$162,2,FALSE)</f>
        <v>H2_OCGT_PWR</v>
      </c>
    </row>
    <row r="758" spans="2:36" x14ac:dyDescent="0.25">
      <c r="B758" t="s">
        <v>127</v>
      </c>
      <c r="C758" t="s">
        <v>60</v>
      </c>
      <c r="D758" s="60" t="s">
        <v>130</v>
      </c>
      <c r="E758" t="s">
        <v>66</v>
      </c>
      <c r="F758" t="s">
        <v>162</v>
      </c>
      <c r="G758" t="s">
        <v>114</v>
      </c>
      <c r="H758" t="s">
        <v>433</v>
      </c>
      <c r="I758" t="s">
        <v>32</v>
      </c>
      <c r="J758" t="s">
        <v>72</v>
      </c>
      <c r="K758">
        <f t="shared" si="2197"/>
        <v>1</v>
      </c>
      <c r="L758">
        <f t="shared" si="2198"/>
        <v>1</v>
      </c>
      <c r="M758">
        <f t="shared" si="2199"/>
        <v>1</v>
      </c>
      <c r="N758">
        <f t="shared" si="2200"/>
        <v>0</v>
      </c>
      <c r="O758">
        <f t="shared" si="2201"/>
        <v>3</v>
      </c>
      <c r="P758" t="str">
        <f t="shared" si="2202"/>
        <v>Small decentralized natural gas steam reforming-Levelized cost</v>
      </c>
      <c r="Q758" t="str">
        <f t="shared" si="2203"/>
        <v>Distributed gas storage-Levelized cost</v>
      </c>
      <c r="R758" t="str">
        <f t="shared" si="2204"/>
        <v>Onsite-Levelized cost</v>
      </c>
      <c r="S758" t="str">
        <f t="shared" si="2205"/>
        <v>Hydrogen turbine (OC)-Levelized cost</v>
      </c>
      <c r="T758">
        <f ca="1">IF(timePeriod="2020-30",(VLOOKUP($P758,'TA database'!$I$8:$J$79,2,FALSE)/VLOOKUP($D758,'Merit calculation'!$B$48:$I$52,5,FALSE)/VLOOKUP($E758,'Merit calculation'!$B$67:$I$73,5,FALSE)/VLOOKUP($F758,'Merit calculation'!$B$90:$I$103,5,FALSE)/energyContentH2),(VLOOKUP($P758,'TA database'!$I$8:$J$79,2,FALSE)/VLOOKUP($D758,'Merit calculation'!$B$48:$I$52,7,FALSE)/VLOOKUP($E758,'Merit calculation'!$B$67:$I$73,7,FALSE)/VLOOKUP($F758,'Merit calculation'!$B$90:$I$103,7,FALSE)/energyContentH2))</f>
        <v>8.7730101652313902E-2</v>
      </c>
      <c r="U758">
        <f ca="1">IF(timePeriod="2020-30",(VLOOKUP($Q758,'TA database'!$I$86:$J$105,2,FALSE)/VLOOKUP($E758,'Merit calculation'!$B$67:$I$73,5,FALSE)/VLOOKUP($F758,'Merit calculation'!$B$90:$I$104,5,FALSE)/energyContentH2),VLOOKUP($Q758,'TA database'!$I$86:$J$105,2,FALSE)/VLOOKUP($E758,'Merit calculation'!$B$67:$I$73,7,FALSE)/VLOOKUP($F758,'Merit calculation'!$B$90:$I$104,7,FALSE)/energyContentH2)</f>
        <v>1.9350636866751023E-3</v>
      </c>
      <c r="V758">
        <f ca="1">IF(timePeriod="2020-30",(VLOOKUP($R758,'TA database'!$I$112:$J$139,2,FALSE)/VLOOKUP($F758,'Merit calculation'!$B$90:$I$104,5,FALSE)/energyContentH2),(VLOOKUP($R758,'TA database'!$I$112:$J$139,2,FALSE)/VLOOKUP($F758,'Merit calculation'!$B$90:$I$104,7,FALSE)/energyContentH2))</f>
        <v>0</v>
      </c>
      <c r="W758">
        <f>IFERROR(VLOOKUP($S758,'TA database'!$I$146:$J$193,2,FALSE),0)</f>
        <v>0</v>
      </c>
      <c r="X758">
        <f ca="1">IFERROR(VLOOKUP($S758,'TA database'!$I$200:$J$271,2,FALSE),0)</f>
        <v>6.8465051836761751E-3</v>
      </c>
      <c r="Y758">
        <f t="shared" ref="Y758" ca="1" si="2211">IF($W758=0,T758*3.6+U758*3.6+V758*3.6+X758,T758+U758+V758+W758)</f>
        <v>0.32964110040403666</v>
      </c>
      <c r="Z758" t="str">
        <f t="shared" si="2207"/>
        <v>NG_SR_SML_D   →   D_GAS_STRG   →   ONSITE_USE   →   H2_OCGT_PWR</v>
      </c>
      <c r="AA758" t="str">
        <f t="shared" si="2208"/>
        <v>Grid electricity</v>
      </c>
      <c r="AB758" t="str">
        <f t="shared" si="2209"/>
        <v>Levelized cost</v>
      </c>
      <c r="AC758">
        <f t="shared" ca="1" si="2210"/>
        <v>0.32964110040403666</v>
      </c>
      <c r="AD758">
        <v>699</v>
      </c>
      <c r="AE758" t="str">
        <f>IF(AND(ISNUMBER(SEARCH(O758,4)),ISNUMBER(SEARCH('(4) FCH pathway assessment'!$B$16,AB758)),ISNUMBER(SEARCH('(4) FCH pathway assessment'!$B$10,AA758))),AD758,"")</f>
        <v/>
      </c>
      <c r="AF758" t="str">
        <f t="shared" si="2070"/>
        <v/>
      </c>
      <c r="AG758" t="str">
        <f>VLOOKUP(C758,Assumptions!$B$116:$C$162,2,FALSE)</f>
        <v>NG_SR_SML_D</v>
      </c>
      <c r="AH758" t="str">
        <f>VLOOKUP(D758,Assumptions!$B$116:$C$162,2,FALSE)</f>
        <v>D_GAS_STRG</v>
      </c>
      <c r="AI758" t="str">
        <f>VLOOKUP(E758,Assumptions!$B$116:$C$162,2,FALSE)</f>
        <v>ONSITE_USE</v>
      </c>
      <c r="AJ758" t="str">
        <f>VLOOKUP(F758,Assumptions!$B$116:$C$162,2,FALSE)</f>
        <v>H2_OCGT_PWR</v>
      </c>
    </row>
    <row r="759" spans="2:36" x14ac:dyDescent="0.25">
      <c r="B759" t="s">
        <v>117</v>
      </c>
      <c r="C759" t="s">
        <v>53</v>
      </c>
      <c r="D759" t="s">
        <v>155</v>
      </c>
      <c r="E759" t="s">
        <v>157</v>
      </c>
      <c r="F759" t="s">
        <v>164</v>
      </c>
      <c r="G759" t="s">
        <v>126</v>
      </c>
      <c r="H759" t="s">
        <v>433</v>
      </c>
      <c r="I759" t="s">
        <v>32</v>
      </c>
      <c r="J759" t="s">
        <v>72</v>
      </c>
      <c r="K759">
        <f t="shared" ref="K759:K761" si="2212">SUMPRODUCT(($C$7:$C$18=$C759)*($D$6:$H$6=$D759)*($D$7:$H$18))</f>
        <v>0</v>
      </c>
      <c r="L759">
        <f t="shared" ref="L759:L761" si="2213">SUMPRODUCT(($C$19:$C$23=$D759)*($I$6:$O$6=$E759)*($I$19:$O$23))</f>
        <v>1</v>
      </c>
      <c r="M759">
        <f t="shared" ref="M759:M761" si="2214">SUMPRODUCT(($C$24:$C$30=$E759)*($P$6:$AI$6=$F759)*($P$24:$AI$30))</f>
        <v>0</v>
      </c>
      <c r="N759">
        <f t="shared" ref="N759:N761" si="2215">SUMPRODUCT(($C$31:$C$50=$F759)*($AJ$6:$AM$6=$G759)*($AJ$31:$AM$50))</f>
        <v>1</v>
      </c>
      <c r="O759">
        <f t="shared" ref="O759:O761" si="2216">K759+L759+M759+N759</f>
        <v>2</v>
      </c>
      <c r="P759" t="str">
        <f t="shared" ref="P759:P761" si="2217">CONCATENATE(C759,"-",J759)</f>
        <v>Medium centralized biomass gasification-Levelized cost</v>
      </c>
      <c r="Q759" t="str">
        <f t="shared" ref="Q759:Q761" si="2218">CONCATENATE(D759,"-",J759)</f>
        <v>Central gas storage-Levelized cost</v>
      </c>
      <c r="R759" t="str">
        <f t="shared" ref="R759:R761" si="2219">CONCATENATE(E759,"-",J759)</f>
        <v>Blending in natural gas pipeline-Levelized cost</v>
      </c>
      <c r="S759" t="str">
        <f t="shared" ref="S759:S761" si="2220">CONCATENATE(F759,"-",J759)</f>
        <v>Prime power H2 fuel cell-Levelized cost</v>
      </c>
      <c r="T759">
        <f ca="1">IF(timePeriod="2020-30",(VLOOKUP($P759,'TA database'!$I$8:$J$79,2,FALSE)/VLOOKUP($D759,'Merit calculation'!$B$48:$I$52,5,FALSE)/VLOOKUP($E759,'Merit calculation'!$B$67:$I$73,5,FALSE)/VLOOKUP($F759,'Merit calculation'!$B$90:$I$103,5,FALSE)/energyContentH2),(VLOOKUP($P759,'TA database'!$I$8:$J$79,2,FALSE)/VLOOKUP($D759,'Merit calculation'!$B$48:$I$52,7,FALSE)/VLOOKUP($E759,'Merit calculation'!$B$67:$I$73,7,FALSE)/VLOOKUP($F759,'Merit calculation'!$B$90:$I$103,7,FALSE)/energyContentH2))</f>
        <v>2.269835859973798E-2</v>
      </c>
      <c r="U759">
        <f ca="1">IF(timePeriod="2020-30",(VLOOKUP($Q759,'TA database'!$I$86:$J$105,2,FALSE)/VLOOKUP($E759,'Merit calculation'!$B$67:$I$73,5,FALSE)/VLOOKUP($F759,'Merit calculation'!$B$90:$I$104,5,FALSE)/energyContentH2),VLOOKUP($Q759,'TA database'!$I$86:$J$105,2,FALSE)/VLOOKUP($E759,'Merit calculation'!$B$67:$I$73,7,FALSE)/VLOOKUP($F759,'Merit calculation'!$B$90:$I$104,7,FALSE)/energyContentH2)</f>
        <v>1.1228609400435795E-3</v>
      </c>
      <c r="V759">
        <f ca="1">IF(timePeriod="2020-30",(VLOOKUP($R759,'TA database'!$I$112:$J$139,2,FALSE)/VLOOKUP($F759,'Merit calculation'!$B$90:$I$104,5,FALSE)/energyContentH2),(VLOOKUP($R759,'TA database'!$I$112:$J$139,2,FALSE)/VLOOKUP($F759,'Merit calculation'!$B$90:$I$104,7,FALSE)/energyContentH2))</f>
        <v>3.2178957719308462E-3</v>
      </c>
      <c r="W759">
        <f>IFERROR(VLOOKUP($S759,'TA database'!$I$146:$J$193,2,FALSE),0)</f>
        <v>0</v>
      </c>
      <c r="X759">
        <f ca="1">IFERROR(VLOOKUP($S759,'TA database'!$I$200:$J$271,2,FALSE),0)</f>
        <v>5.1494071531421985E-2</v>
      </c>
      <c r="Y759">
        <f t="shared" ref="Y759:Y764" ca="1" si="2221">IF($W759=0,T759*3.6+U759*3.6+V759*3.6+X759,T759+U759+V759+W759)</f>
        <v>0.14883488665358666</v>
      </c>
      <c r="Z759" t="str">
        <f t="shared" ref="Z759:Z761" si="2222">CONCATENATE(AG759,"   →   ",AH759,"   →   ",AI759,"   →   ",AJ759)</f>
        <v>BIO_GSF_MED_C   →   C_GAS_STRG   →   H2_BLND_NG_P   →   H2_FC_PWR</v>
      </c>
      <c r="AA759" t="str">
        <f t="shared" ref="AA759:AA761" si="2223">G759</f>
        <v>Onsite / Back-up power</v>
      </c>
      <c r="AB759" t="str">
        <f t="shared" ref="AB759:AB761" si="2224">J759</f>
        <v>Levelized cost</v>
      </c>
      <c r="AC759">
        <f t="shared" ref="AC759:AC761" ca="1" si="2225">Y759</f>
        <v>0.14883488665358666</v>
      </c>
      <c r="AD759">
        <v>700</v>
      </c>
      <c r="AE759" t="str">
        <f>IF(AND(ISNUMBER(SEARCH(O759,4)),ISNUMBER(SEARCH('(4) FCH pathway assessment'!$B$16,AB759)),ISNUMBER(SEARCH('(4) FCH pathway assessment'!$B$10,AA759))),AD759,"")</f>
        <v/>
      </c>
      <c r="AF759" t="str">
        <f t="shared" si="2070"/>
        <v/>
      </c>
      <c r="AG759" t="str">
        <f>VLOOKUP(C759,Assumptions!$B$116:$C$162,2,FALSE)</f>
        <v>BIO_GSF_MED_C</v>
      </c>
      <c r="AH759" t="str">
        <f>VLOOKUP(D759,Assumptions!$B$116:$C$162,2,FALSE)</f>
        <v>C_GAS_STRG</v>
      </c>
      <c r="AI759" t="str">
        <f>VLOOKUP(E759,Assumptions!$B$116:$C$162,2,FALSE)</f>
        <v>H2_BLND_NG_P</v>
      </c>
      <c r="AJ759" t="str">
        <f>VLOOKUP(F759,Assumptions!$B$116:$C$162,2,FALSE)</f>
        <v>H2_FC_PWR</v>
      </c>
    </row>
    <row r="760" spans="2:36" x14ac:dyDescent="0.25">
      <c r="B760" t="s">
        <v>117</v>
      </c>
      <c r="C760" t="s">
        <v>53</v>
      </c>
      <c r="D760" t="s">
        <v>155</v>
      </c>
      <c r="E760" t="s">
        <v>122</v>
      </c>
      <c r="F760" t="s">
        <v>164</v>
      </c>
      <c r="G760" t="s">
        <v>126</v>
      </c>
      <c r="H760" t="s">
        <v>433</v>
      </c>
      <c r="I760" t="s">
        <v>32</v>
      </c>
      <c r="J760" t="s">
        <v>72</v>
      </c>
      <c r="K760">
        <f t="shared" si="2212"/>
        <v>0</v>
      </c>
      <c r="L760">
        <f t="shared" si="2213"/>
        <v>1</v>
      </c>
      <c r="M760">
        <f t="shared" si="2214"/>
        <v>1</v>
      </c>
      <c r="N760">
        <f t="shared" si="2215"/>
        <v>1</v>
      </c>
      <c r="O760">
        <f t="shared" si="2216"/>
        <v>3</v>
      </c>
      <c r="P760" t="str">
        <f t="shared" si="2217"/>
        <v>Medium centralized biomass gasification-Levelized cost</v>
      </c>
      <c r="Q760" t="str">
        <f t="shared" si="2218"/>
        <v>Central gas storage-Levelized cost</v>
      </c>
      <c r="R760" t="str">
        <f t="shared" si="2219"/>
        <v>Hydrogen transmission &amp; distribution pipeline-Levelized cost</v>
      </c>
      <c r="S760" t="str">
        <f t="shared" si="2220"/>
        <v>Prime power H2 fuel cell-Levelized cost</v>
      </c>
      <c r="T760">
        <f ca="1">IF(timePeriod="2020-30",(VLOOKUP($P760,'TA database'!$I$8:$J$79,2,FALSE)/VLOOKUP($D760,'Merit calculation'!$B$48:$I$52,5,FALSE)/VLOOKUP($E760,'Merit calculation'!$B$67:$I$73,5,FALSE)/VLOOKUP($F760,'Merit calculation'!$B$90:$I$103,5,FALSE)/energyContentH2),(VLOOKUP($P760,'TA database'!$I$8:$J$79,2,FALSE)/VLOOKUP($D760,'Merit calculation'!$B$48:$I$52,7,FALSE)/VLOOKUP($E760,'Merit calculation'!$B$67:$I$73,7,FALSE)/VLOOKUP($F760,'Merit calculation'!$B$90:$I$103,7,FALSE)/energyContentH2))</f>
        <v>2.269835859973798E-2</v>
      </c>
      <c r="U760">
        <f ca="1">IF(timePeriod="2020-30",(VLOOKUP($Q760,'TA database'!$I$86:$J$105,2,FALSE)/VLOOKUP($E760,'Merit calculation'!$B$67:$I$73,5,FALSE)/VLOOKUP($F760,'Merit calculation'!$B$90:$I$104,5,FALSE)/energyContentH2),VLOOKUP($Q760,'TA database'!$I$86:$J$105,2,FALSE)/VLOOKUP($E760,'Merit calculation'!$B$67:$I$73,7,FALSE)/VLOOKUP($F760,'Merit calculation'!$B$90:$I$104,7,FALSE)/energyContentH2)</f>
        <v>1.1228609400435795E-3</v>
      </c>
      <c r="V760">
        <f ca="1">IF(timePeriod="2020-30",(VLOOKUP($R760,'TA database'!$I$112:$J$139,2,FALSE)/VLOOKUP($F760,'Merit calculation'!$B$90:$I$104,5,FALSE)/energyContentH2),(VLOOKUP($R760,'TA database'!$I$112:$J$139,2,FALSE)/VLOOKUP($F760,'Merit calculation'!$B$90:$I$104,7,FALSE)/energyContentH2))</f>
        <v>5.9870576374260031E-3</v>
      </c>
      <c r="W760">
        <f>IFERROR(VLOOKUP($S760,'TA database'!$I$146:$J$193,2,FALSE),0)</f>
        <v>0</v>
      </c>
      <c r="X760">
        <f ca="1">IFERROR(VLOOKUP($S760,'TA database'!$I$200:$J$271,2,FALSE),0)</f>
        <v>5.1494071531421985E-2</v>
      </c>
      <c r="Y760">
        <f t="shared" ca="1" si="2221"/>
        <v>0.15880386936936922</v>
      </c>
      <c r="Z760" t="str">
        <f t="shared" si="2222"/>
        <v>BIO_GSF_MED_C   →   C_GAS_STRG   →   H2_T&amp;D_P   →   H2_FC_PWR</v>
      </c>
      <c r="AA760" t="str">
        <f t="shared" si="2223"/>
        <v>Onsite / Back-up power</v>
      </c>
      <c r="AB760" t="str">
        <f t="shared" si="2224"/>
        <v>Levelized cost</v>
      </c>
      <c r="AC760">
        <f t="shared" ca="1" si="2225"/>
        <v>0.15880386936936922</v>
      </c>
      <c r="AD760">
        <v>701</v>
      </c>
      <c r="AE760" t="str">
        <f>IF(AND(ISNUMBER(SEARCH(O760,4)),ISNUMBER(SEARCH('(4) FCH pathway assessment'!$B$16,AB760)),ISNUMBER(SEARCH('(4) FCH pathway assessment'!$B$10,AA760))),AD760,"")</f>
        <v/>
      </c>
      <c r="AF760" t="str">
        <f t="shared" si="2070"/>
        <v/>
      </c>
      <c r="AG760" t="str">
        <f>VLOOKUP(C760,Assumptions!$B$116:$C$162,2,FALSE)</f>
        <v>BIO_GSF_MED_C</v>
      </c>
      <c r="AH760" t="str">
        <f>VLOOKUP(D760,Assumptions!$B$116:$C$162,2,FALSE)</f>
        <v>C_GAS_STRG</v>
      </c>
      <c r="AI760" t="str">
        <f>VLOOKUP(E760,Assumptions!$B$116:$C$162,2,FALSE)</f>
        <v>H2_T&amp;D_P</v>
      </c>
      <c r="AJ760" t="str">
        <f>VLOOKUP(F760,Assumptions!$B$116:$C$162,2,FALSE)</f>
        <v>H2_FC_PWR</v>
      </c>
    </row>
    <row r="761" spans="2:36" x14ac:dyDescent="0.25">
      <c r="B761" t="s">
        <v>117</v>
      </c>
      <c r="C761" t="s">
        <v>53</v>
      </c>
      <c r="D761" t="s">
        <v>155</v>
      </c>
      <c r="E761" t="s">
        <v>66</v>
      </c>
      <c r="F761" t="s">
        <v>164</v>
      </c>
      <c r="G761" t="s">
        <v>126</v>
      </c>
      <c r="H761" t="s">
        <v>433</v>
      </c>
      <c r="I761" t="s">
        <v>32</v>
      </c>
      <c r="J761" t="s">
        <v>72</v>
      </c>
      <c r="K761">
        <f t="shared" si="2212"/>
        <v>0</v>
      </c>
      <c r="L761">
        <f t="shared" si="2213"/>
        <v>1</v>
      </c>
      <c r="M761">
        <f t="shared" si="2214"/>
        <v>1</v>
      </c>
      <c r="N761">
        <f t="shared" si="2215"/>
        <v>1</v>
      </c>
      <c r="O761">
        <f t="shared" si="2216"/>
        <v>3</v>
      </c>
      <c r="P761" t="str">
        <f t="shared" si="2217"/>
        <v>Medium centralized biomass gasification-Levelized cost</v>
      </c>
      <c r="Q761" t="str">
        <f t="shared" si="2218"/>
        <v>Central gas storage-Levelized cost</v>
      </c>
      <c r="R761" t="str">
        <f t="shared" si="2219"/>
        <v>Onsite-Levelized cost</v>
      </c>
      <c r="S761" t="str">
        <f t="shared" si="2220"/>
        <v>Prime power H2 fuel cell-Levelized cost</v>
      </c>
      <c r="T761">
        <f ca="1">IF(timePeriod="2020-30",(VLOOKUP($P761,'TA database'!$I$8:$J$79,2,FALSE)/VLOOKUP($D761,'Merit calculation'!$B$48:$I$52,5,FALSE)/VLOOKUP($E761,'Merit calculation'!$B$67:$I$73,5,FALSE)/VLOOKUP($F761,'Merit calculation'!$B$90:$I$103,5,FALSE)/energyContentH2),(VLOOKUP($P761,'TA database'!$I$8:$J$79,2,FALSE)/VLOOKUP($D761,'Merit calculation'!$B$48:$I$52,7,FALSE)/VLOOKUP($E761,'Merit calculation'!$B$67:$I$73,7,FALSE)/VLOOKUP($F761,'Merit calculation'!$B$90:$I$103,7,FALSE)/energyContentH2))</f>
        <v>2.2471375013740601E-2</v>
      </c>
      <c r="U761">
        <f ca="1">IF(timePeriod="2020-30",(VLOOKUP($Q761,'TA database'!$I$86:$J$105,2,FALSE)/VLOOKUP($E761,'Merit calculation'!$B$67:$I$73,5,FALSE)/VLOOKUP($F761,'Merit calculation'!$B$90:$I$104,5,FALSE)/energyContentH2),VLOOKUP($Q761,'TA database'!$I$86:$J$105,2,FALSE)/VLOOKUP($E761,'Merit calculation'!$B$67:$I$73,7,FALSE)/VLOOKUP($F761,'Merit calculation'!$B$90:$I$104,7,FALSE)/energyContentH2)</f>
        <v>1.1116323306431437E-3</v>
      </c>
      <c r="V761">
        <f ca="1">IF(timePeriod="2020-30",(VLOOKUP($R761,'TA database'!$I$112:$J$139,2,FALSE)/VLOOKUP($F761,'Merit calculation'!$B$90:$I$104,5,FALSE)/energyContentH2),(VLOOKUP($R761,'TA database'!$I$112:$J$139,2,FALSE)/VLOOKUP($F761,'Merit calculation'!$B$90:$I$104,7,FALSE)/energyContentH2))</f>
        <v>0</v>
      </c>
      <c r="W761">
        <f>IFERROR(VLOOKUP($S761,'TA database'!$I$146:$J$193,2,FALSE),0)</f>
        <v>0</v>
      </c>
      <c r="X761">
        <f ca="1">IFERROR(VLOOKUP($S761,'TA database'!$I$200:$J$271,2,FALSE),0)</f>
        <v>5.1494071531421985E-2</v>
      </c>
      <c r="Y761">
        <f t="shared" ca="1" si="2221"/>
        <v>0.13639289797120346</v>
      </c>
      <c r="Z761" t="str">
        <f t="shared" si="2222"/>
        <v>BIO_GSF_MED_C   →   C_GAS_STRG   →   ONSITE_USE   →   H2_FC_PWR</v>
      </c>
      <c r="AA761" t="str">
        <f t="shared" si="2223"/>
        <v>Onsite / Back-up power</v>
      </c>
      <c r="AB761" t="str">
        <f t="shared" si="2224"/>
        <v>Levelized cost</v>
      </c>
      <c r="AC761">
        <f t="shared" ca="1" si="2225"/>
        <v>0.13639289797120346</v>
      </c>
      <c r="AD761">
        <v>702</v>
      </c>
      <c r="AE761" t="str">
        <f>IF(AND(ISNUMBER(SEARCH(O761,4)),ISNUMBER(SEARCH('(4) FCH pathway assessment'!$B$16,AB761)),ISNUMBER(SEARCH('(4) FCH pathway assessment'!$B$10,AA761))),AD761,"")</f>
        <v/>
      </c>
      <c r="AF761" t="str">
        <f t="shared" si="2070"/>
        <v/>
      </c>
      <c r="AG761" t="str">
        <f>VLOOKUP(C761,Assumptions!$B$116:$C$162,2,FALSE)</f>
        <v>BIO_GSF_MED_C</v>
      </c>
      <c r="AH761" t="str">
        <f>VLOOKUP(D761,Assumptions!$B$116:$C$162,2,FALSE)</f>
        <v>C_GAS_STRG</v>
      </c>
      <c r="AI761" t="str">
        <f>VLOOKUP(E761,Assumptions!$B$116:$C$162,2,FALSE)</f>
        <v>ONSITE_USE</v>
      </c>
      <c r="AJ761" t="str">
        <f>VLOOKUP(F761,Assumptions!$B$116:$C$162,2,FALSE)</f>
        <v>H2_FC_PWR</v>
      </c>
    </row>
    <row r="762" spans="2:36" x14ac:dyDescent="0.25">
      <c r="B762" t="s">
        <v>117</v>
      </c>
      <c r="C762" t="s">
        <v>54</v>
      </c>
      <c r="D762" t="s">
        <v>155</v>
      </c>
      <c r="E762" t="s">
        <v>157</v>
      </c>
      <c r="F762" t="s">
        <v>164</v>
      </c>
      <c r="G762" t="s">
        <v>126</v>
      </c>
      <c r="H762" t="s">
        <v>433</v>
      </c>
      <c r="I762" t="s">
        <v>32</v>
      </c>
      <c r="J762" t="s">
        <v>72</v>
      </c>
      <c r="K762">
        <f t="shared" ref="K762:K765" si="2226">SUMPRODUCT(($C$7:$C$18=$C762)*($D$6:$H$6=$D762)*($D$7:$H$18))</f>
        <v>0</v>
      </c>
      <c r="L762">
        <f t="shared" ref="L762:L765" si="2227">SUMPRODUCT(($C$19:$C$23=$D762)*($I$6:$O$6=$E762)*($I$19:$O$23))</f>
        <v>1</v>
      </c>
      <c r="M762">
        <f t="shared" ref="M762:M765" si="2228">SUMPRODUCT(($C$24:$C$30=$E762)*($P$6:$AI$6=$F762)*($P$24:$AI$30))</f>
        <v>0</v>
      </c>
      <c r="N762">
        <f t="shared" ref="N762:N765" si="2229">SUMPRODUCT(($C$31:$C$50=$F762)*($AJ$6:$AM$6=$G762)*($AJ$31:$AM$50))</f>
        <v>1</v>
      </c>
      <c r="O762">
        <f t="shared" ref="O762:O765" si="2230">K762+L762+M762+N762</f>
        <v>2</v>
      </c>
      <c r="P762" t="str">
        <f t="shared" ref="P762:P765" si="2231">CONCATENATE(C762,"-",J762)</f>
        <v>Medium centralized biomass gasification w/ CCS-Levelized cost</v>
      </c>
      <c r="Q762" t="str">
        <f t="shared" ref="Q762:Q765" si="2232">CONCATENATE(D762,"-",J762)</f>
        <v>Central gas storage-Levelized cost</v>
      </c>
      <c r="R762" t="str">
        <f t="shared" ref="R762:R765" si="2233">CONCATENATE(E762,"-",J762)</f>
        <v>Blending in natural gas pipeline-Levelized cost</v>
      </c>
      <c r="S762" t="str">
        <f t="shared" ref="S762:S765" si="2234">CONCATENATE(F762,"-",J762)</f>
        <v>Prime power H2 fuel cell-Levelized cost</v>
      </c>
      <c r="T762">
        <f ca="1">IF(timePeriod="2020-30",(VLOOKUP($P762,'TA database'!$I$8:$J$79,2,FALSE)/VLOOKUP($D762,'Merit calculation'!$B$48:$I$52,5,FALSE)/VLOOKUP($E762,'Merit calculation'!$B$67:$I$73,5,FALSE)/VLOOKUP($F762,'Merit calculation'!$B$90:$I$103,5,FALSE)/energyContentH2),(VLOOKUP($P762,'TA database'!$I$8:$J$79,2,FALSE)/VLOOKUP($D762,'Merit calculation'!$B$48:$I$52,7,FALSE)/VLOOKUP($E762,'Merit calculation'!$B$67:$I$73,7,FALSE)/VLOOKUP($F762,'Merit calculation'!$B$90:$I$103,7,FALSE)/energyContentH2))</f>
        <v>1.41766584604256E-2</v>
      </c>
      <c r="U762">
        <f ca="1">IF(timePeriod="2020-30",(VLOOKUP($Q762,'TA database'!$I$86:$J$105,2,FALSE)/VLOOKUP($E762,'Merit calculation'!$B$67:$I$73,5,FALSE)/VLOOKUP($F762,'Merit calculation'!$B$90:$I$104,5,FALSE)/energyContentH2),VLOOKUP($Q762,'TA database'!$I$86:$J$105,2,FALSE)/VLOOKUP($E762,'Merit calculation'!$B$67:$I$73,7,FALSE)/VLOOKUP($F762,'Merit calculation'!$B$90:$I$104,7,FALSE)/energyContentH2)</f>
        <v>1.1228609400435795E-3</v>
      </c>
      <c r="V762">
        <f ca="1">IF(timePeriod="2020-30",(VLOOKUP($R762,'TA database'!$I$112:$J$139,2,FALSE)/VLOOKUP($F762,'Merit calculation'!$B$90:$I$104,5,FALSE)/energyContentH2),(VLOOKUP($R762,'TA database'!$I$112:$J$139,2,FALSE)/VLOOKUP($F762,'Merit calculation'!$B$90:$I$104,7,FALSE)/energyContentH2))</f>
        <v>3.2178957719308462E-3</v>
      </c>
      <c r="W762">
        <f>IFERROR(VLOOKUP($S762,'TA database'!$I$146:$J$193,2,FALSE),0)</f>
        <v>0</v>
      </c>
      <c r="X762">
        <f ca="1">IFERROR(VLOOKUP($S762,'TA database'!$I$200:$J$271,2,FALSE),0)</f>
        <v>5.1494071531421985E-2</v>
      </c>
      <c r="Y762">
        <f t="shared" ca="1" si="2221"/>
        <v>0.11815676615206208</v>
      </c>
      <c r="Z762" t="str">
        <f t="shared" ref="Z762:Z765" si="2235">CONCATENATE(AG762,"   →   ",AH762,"   →   ",AI762,"   →   ",AJ762)</f>
        <v>BIO_GSF_CCS_MED_C   →   C_GAS_STRG   →   H2_BLND_NG_P   →   H2_FC_PWR</v>
      </c>
      <c r="AA762" t="str">
        <f t="shared" ref="AA762:AA765" si="2236">G762</f>
        <v>Onsite / Back-up power</v>
      </c>
      <c r="AB762" t="str">
        <f t="shared" ref="AB762:AB765" si="2237">J762</f>
        <v>Levelized cost</v>
      </c>
      <c r="AC762">
        <f t="shared" ref="AC762:AC765" ca="1" si="2238">Y762</f>
        <v>0.11815676615206208</v>
      </c>
      <c r="AD762">
        <v>703</v>
      </c>
      <c r="AE762" t="str">
        <f>IF(AND(ISNUMBER(SEARCH(O762,4)),ISNUMBER(SEARCH('(4) FCH pathway assessment'!$B$16,AB762)),ISNUMBER(SEARCH('(4) FCH pathway assessment'!$B$10,AA762))),AD762,"")</f>
        <v/>
      </c>
      <c r="AF762" t="str">
        <f t="shared" si="2070"/>
        <v/>
      </c>
      <c r="AG762" t="str">
        <f>VLOOKUP(C762,Assumptions!$B$116:$C$162,2,FALSE)</f>
        <v>BIO_GSF_CCS_MED_C</v>
      </c>
      <c r="AH762" t="str">
        <f>VLOOKUP(D762,Assumptions!$B$116:$C$162,2,FALSE)</f>
        <v>C_GAS_STRG</v>
      </c>
      <c r="AI762" t="str">
        <f>VLOOKUP(E762,Assumptions!$B$116:$C$162,2,FALSE)</f>
        <v>H2_BLND_NG_P</v>
      </c>
      <c r="AJ762" t="str">
        <f>VLOOKUP(F762,Assumptions!$B$116:$C$162,2,FALSE)</f>
        <v>H2_FC_PWR</v>
      </c>
    </row>
    <row r="763" spans="2:36" x14ac:dyDescent="0.25">
      <c r="B763" t="s">
        <v>117</v>
      </c>
      <c r="C763" t="s">
        <v>54</v>
      </c>
      <c r="D763" t="s">
        <v>155</v>
      </c>
      <c r="E763" t="s">
        <v>122</v>
      </c>
      <c r="F763" t="s">
        <v>164</v>
      </c>
      <c r="G763" t="s">
        <v>126</v>
      </c>
      <c r="H763" t="s">
        <v>433</v>
      </c>
      <c r="I763" t="s">
        <v>32</v>
      </c>
      <c r="J763" t="s">
        <v>72</v>
      </c>
      <c r="K763">
        <f t="shared" si="2226"/>
        <v>0</v>
      </c>
      <c r="L763">
        <f t="shared" si="2227"/>
        <v>1</v>
      </c>
      <c r="M763">
        <f t="shared" si="2228"/>
        <v>1</v>
      </c>
      <c r="N763">
        <f t="shared" si="2229"/>
        <v>1</v>
      </c>
      <c r="O763">
        <f t="shared" si="2230"/>
        <v>3</v>
      </c>
      <c r="P763" t="str">
        <f t="shared" si="2231"/>
        <v>Medium centralized biomass gasification w/ CCS-Levelized cost</v>
      </c>
      <c r="Q763" t="str">
        <f t="shared" si="2232"/>
        <v>Central gas storage-Levelized cost</v>
      </c>
      <c r="R763" t="str">
        <f t="shared" si="2233"/>
        <v>Hydrogen transmission &amp; distribution pipeline-Levelized cost</v>
      </c>
      <c r="S763" t="str">
        <f t="shared" si="2234"/>
        <v>Prime power H2 fuel cell-Levelized cost</v>
      </c>
      <c r="T763">
        <f ca="1">IF(timePeriod="2020-30",(VLOOKUP($P763,'TA database'!$I$8:$J$79,2,FALSE)/VLOOKUP($D763,'Merit calculation'!$B$48:$I$52,5,FALSE)/VLOOKUP($E763,'Merit calculation'!$B$67:$I$73,5,FALSE)/VLOOKUP($F763,'Merit calculation'!$B$90:$I$103,5,FALSE)/energyContentH2),(VLOOKUP($P763,'TA database'!$I$8:$J$79,2,FALSE)/VLOOKUP($D763,'Merit calculation'!$B$48:$I$52,7,FALSE)/VLOOKUP($E763,'Merit calculation'!$B$67:$I$73,7,FALSE)/VLOOKUP($F763,'Merit calculation'!$B$90:$I$103,7,FALSE)/energyContentH2))</f>
        <v>1.41766584604256E-2</v>
      </c>
      <c r="U763">
        <f ca="1">IF(timePeriod="2020-30",(VLOOKUP($Q763,'TA database'!$I$86:$J$105,2,FALSE)/VLOOKUP($E763,'Merit calculation'!$B$67:$I$73,5,FALSE)/VLOOKUP($F763,'Merit calculation'!$B$90:$I$104,5,FALSE)/energyContentH2),VLOOKUP($Q763,'TA database'!$I$86:$J$105,2,FALSE)/VLOOKUP($E763,'Merit calculation'!$B$67:$I$73,7,FALSE)/VLOOKUP($F763,'Merit calculation'!$B$90:$I$104,7,FALSE)/energyContentH2)</f>
        <v>1.1228609400435795E-3</v>
      </c>
      <c r="V763">
        <f ca="1">IF(timePeriod="2020-30",(VLOOKUP($R763,'TA database'!$I$112:$J$139,2,FALSE)/VLOOKUP($F763,'Merit calculation'!$B$90:$I$104,5,FALSE)/energyContentH2),(VLOOKUP($R763,'TA database'!$I$112:$J$139,2,FALSE)/VLOOKUP($F763,'Merit calculation'!$B$90:$I$104,7,FALSE)/energyContentH2))</f>
        <v>5.9870576374260031E-3</v>
      </c>
      <c r="W763">
        <f>IFERROR(VLOOKUP($S763,'TA database'!$I$146:$J$193,2,FALSE),0)</f>
        <v>0</v>
      </c>
      <c r="X763">
        <f ca="1">IFERROR(VLOOKUP($S763,'TA database'!$I$200:$J$271,2,FALSE),0)</f>
        <v>5.1494071531421985E-2</v>
      </c>
      <c r="Y763">
        <f t="shared" ca="1" si="2221"/>
        <v>0.12812574886784464</v>
      </c>
      <c r="Z763" t="str">
        <f t="shared" si="2235"/>
        <v>BIO_GSF_CCS_MED_C   →   C_GAS_STRG   →   H2_T&amp;D_P   →   H2_FC_PWR</v>
      </c>
      <c r="AA763" t="str">
        <f t="shared" si="2236"/>
        <v>Onsite / Back-up power</v>
      </c>
      <c r="AB763" t="str">
        <f t="shared" si="2237"/>
        <v>Levelized cost</v>
      </c>
      <c r="AC763">
        <f t="shared" ca="1" si="2238"/>
        <v>0.12812574886784464</v>
      </c>
      <c r="AD763">
        <v>704</v>
      </c>
      <c r="AE763" t="str">
        <f>IF(AND(ISNUMBER(SEARCH(O763,4)),ISNUMBER(SEARCH('(4) FCH pathway assessment'!$B$16,AB763)),ISNUMBER(SEARCH('(4) FCH pathway assessment'!$B$10,AA763))),AD763,"")</f>
        <v/>
      </c>
      <c r="AF763" t="str">
        <f t="shared" si="2070"/>
        <v/>
      </c>
      <c r="AG763" t="str">
        <f>VLOOKUP(C763,Assumptions!$B$116:$C$162,2,FALSE)</f>
        <v>BIO_GSF_CCS_MED_C</v>
      </c>
      <c r="AH763" t="str">
        <f>VLOOKUP(D763,Assumptions!$B$116:$C$162,2,FALSE)</f>
        <v>C_GAS_STRG</v>
      </c>
      <c r="AI763" t="str">
        <f>VLOOKUP(E763,Assumptions!$B$116:$C$162,2,FALSE)</f>
        <v>H2_T&amp;D_P</v>
      </c>
      <c r="AJ763" t="str">
        <f>VLOOKUP(F763,Assumptions!$B$116:$C$162,2,FALSE)</f>
        <v>H2_FC_PWR</v>
      </c>
    </row>
    <row r="764" spans="2:36" x14ac:dyDescent="0.25">
      <c r="B764" t="s">
        <v>117</v>
      </c>
      <c r="C764" t="s">
        <v>54</v>
      </c>
      <c r="D764" t="s">
        <v>155</v>
      </c>
      <c r="E764" t="s">
        <v>66</v>
      </c>
      <c r="F764" t="s">
        <v>164</v>
      </c>
      <c r="G764" t="s">
        <v>126</v>
      </c>
      <c r="H764" t="s">
        <v>433</v>
      </c>
      <c r="I764" t="s">
        <v>32</v>
      </c>
      <c r="J764" t="s">
        <v>72</v>
      </c>
      <c r="K764">
        <f t="shared" si="2226"/>
        <v>0</v>
      </c>
      <c r="L764">
        <f t="shared" si="2227"/>
        <v>1</v>
      </c>
      <c r="M764">
        <f t="shared" si="2228"/>
        <v>1</v>
      </c>
      <c r="N764">
        <f t="shared" si="2229"/>
        <v>1</v>
      </c>
      <c r="O764">
        <f t="shared" si="2230"/>
        <v>3</v>
      </c>
      <c r="P764" t="str">
        <f t="shared" si="2231"/>
        <v>Medium centralized biomass gasification w/ CCS-Levelized cost</v>
      </c>
      <c r="Q764" t="str">
        <f t="shared" si="2232"/>
        <v>Central gas storage-Levelized cost</v>
      </c>
      <c r="R764" t="str">
        <f t="shared" si="2233"/>
        <v>Onsite-Levelized cost</v>
      </c>
      <c r="S764" t="str">
        <f t="shared" si="2234"/>
        <v>Prime power H2 fuel cell-Levelized cost</v>
      </c>
      <c r="T764">
        <f ca="1">IF(timePeriod="2020-30",(VLOOKUP($P764,'TA database'!$I$8:$J$79,2,FALSE)/VLOOKUP($D764,'Merit calculation'!$B$48:$I$52,5,FALSE)/VLOOKUP($E764,'Merit calculation'!$B$67:$I$73,5,FALSE)/VLOOKUP($F764,'Merit calculation'!$B$90:$I$103,5,FALSE)/energyContentH2),(VLOOKUP($P764,'TA database'!$I$8:$J$79,2,FALSE)/VLOOKUP($D764,'Merit calculation'!$B$48:$I$52,7,FALSE)/VLOOKUP($E764,'Merit calculation'!$B$67:$I$73,7,FALSE)/VLOOKUP($F764,'Merit calculation'!$B$90:$I$103,7,FALSE)/energyContentH2))</f>
        <v>1.4034891875821347E-2</v>
      </c>
      <c r="U764">
        <f ca="1">IF(timePeriod="2020-30",(VLOOKUP($Q764,'TA database'!$I$86:$J$105,2,FALSE)/VLOOKUP($E764,'Merit calculation'!$B$67:$I$73,5,FALSE)/VLOOKUP($F764,'Merit calculation'!$B$90:$I$104,5,FALSE)/energyContentH2),VLOOKUP($Q764,'TA database'!$I$86:$J$105,2,FALSE)/VLOOKUP($E764,'Merit calculation'!$B$67:$I$73,7,FALSE)/VLOOKUP($F764,'Merit calculation'!$B$90:$I$104,7,FALSE)/energyContentH2)</f>
        <v>1.1116323306431437E-3</v>
      </c>
      <c r="V764">
        <f ca="1">IF(timePeriod="2020-30",(VLOOKUP($R764,'TA database'!$I$112:$J$139,2,FALSE)/VLOOKUP($F764,'Merit calculation'!$B$90:$I$104,5,FALSE)/energyContentH2),(VLOOKUP($R764,'TA database'!$I$112:$J$139,2,FALSE)/VLOOKUP($F764,'Merit calculation'!$B$90:$I$104,7,FALSE)/energyContentH2))</f>
        <v>0</v>
      </c>
      <c r="W764">
        <f>IFERROR(VLOOKUP($S764,'TA database'!$I$146:$J$193,2,FALSE),0)</f>
        <v>0</v>
      </c>
      <c r="X764">
        <f ca="1">IFERROR(VLOOKUP($S764,'TA database'!$I$200:$J$271,2,FALSE),0)</f>
        <v>5.1494071531421985E-2</v>
      </c>
      <c r="Y764">
        <f t="shared" ca="1" si="2221"/>
        <v>0.10602155867469415</v>
      </c>
      <c r="Z764" t="str">
        <f t="shared" si="2235"/>
        <v>BIO_GSF_CCS_MED_C   →   C_GAS_STRG   →   ONSITE_USE   →   H2_FC_PWR</v>
      </c>
      <c r="AA764" t="str">
        <f t="shared" si="2236"/>
        <v>Onsite / Back-up power</v>
      </c>
      <c r="AB764" t="str">
        <f t="shared" si="2237"/>
        <v>Levelized cost</v>
      </c>
      <c r="AC764">
        <f t="shared" ca="1" si="2238"/>
        <v>0.10602155867469415</v>
      </c>
      <c r="AD764">
        <v>705</v>
      </c>
      <c r="AE764" t="str">
        <f>IF(AND(ISNUMBER(SEARCH(O764,4)),ISNUMBER(SEARCH('(4) FCH pathway assessment'!$B$16,AB764)),ISNUMBER(SEARCH('(4) FCH pathway assessment'!$B$10,AA764))),AD764,"")</f>
        <v/>
      </c>
      <c r="AF764" t="str">
        <f t="shared" ref="AF764:AF827" si="2239">IFERROR(SMALL($AE$60:$AE$1991,AD764),"")</f>
        <v/>
      </c>
      <c r="AG764" t="str">
        <f>VLOOKUP(C764,Assumptions!$B$116:$C$162,2,FALSE)</f>
        <v>BIO_GSF_CCS_MED_C</v>
      </c>
      <c r="AH764" t="str">
        <f>VLOOKUP(D764,Assumptions!$B$116:$C$162,2,FALSE)</f>
        <v>C_GAS_STRG</v>
      </c>
      <c r="AI764" t="str">
        <f>VLOOKUP(E764,Assumptions!$B$116:$C$162,2,FALSE)</f>
        <v>ONSITE_USE</v>
      </c>
      <c r="AJ764" t="str">
        <f>VLOOKUP(F764,Assumptions!$B$116:$C$162,2,FALSE)</f>
        <v>H2_FC_PWR</v>
      </c>
    </row>
    <row r="765" spans="2:36" x14ac:dyDescent="0.25">
      <c r="B765" t="s">
        <v>117</v>
      </c>
      <c r="C765" t="s">
        <v>55</v>
      </c>
      <c r="D765" s="60" t="s">
        <v>130</v>
      </c>
      <c r="E765" t="s">
        <v>66</v>
      </c>
      <c r="F765" t="s">
        <v>164</v>
      </c>
      <c r="G765" t="s">
        <v>126</v>
      </c>
      <c r="H765" t="s">
        <v>433</v>
      </c>
      <c r="I765" t="s">
        <v>32</v>
      </c>
      <c r="J765" t="s">
        <v>72</v>
      </c>
      <c r="K765">
        <f t="shared" si="2226"/>
        <v>0</v>
      </c>
      <c r="L765">
        <f t="shared" si="2227"/>
        <v>1</v>
      </c>
      <c r="M765">
        <f t="shared" si="2228"/>
        <v>1</v>
      </c>
      <c r="N765">
        <f t="shared" si="2229"/>
        <v>1</v>
      </c>
      <c r="O765">
        <f t="shared" si="2230"/>
        <v>3</v>
      </c>
      <c r="P765" t="str">
        <f t="shared" si="2231"/>
        <v>Small decentralized biomass gasification-Levelized cost</v>
      </c>
      <c r="Q765" t="str">
        <f t="shared" si="2232"/>
        <v>Distributed gas storage-Levelized cost</v>
      </c>
      <c r="R765" t="str">
        <f t="shared" si="2233"/>
        <v>Onsite-Levelized cost</v>
      </c>
      <c r="S765" t="str">
        <f t="shared" si="2234"/>
        <v>Prime power H2 fuel cell-Levelized cost</v>
      </c>
      <c r="T765">
        <f ca="1">IF(timePeriod="2020-30",(VLOOKUP($P765,'TA database'!$I$8:$J$79,2,FALSE)/VLOOKUP($D765,'Merit calculation'!$B$48:$I$52,5,FALSE)/VLOOKUP($E765,'Merit calculation'!$B$67:$I$73,5,FALSE)/VLOOKUP($F765,'Merit calculation'!$B$90:$I$103,5,FALSE)/energyContentH2),(VLOOKUP($P765,'TA database'!$I$8:$J$79,2,FALSE)/VLOOKUP($D765,'Merit calculation'!$B$48:$I$52,7,FALSE)/VLOOKUP($E765,'Merit calculation'!$B$67:$I$73,7,FALSE)/VLOOKUP($F765,'Merit calculation'!$B$90:$I$103,7,FALSE)/energyContentH2))</f>
        <v>3.6210023988030221E-2</v>
      </c>
      <c r="U765">
        <f ca="1">IF(timePeriod="2020-30",(VLOOKUP($Q765,'TA database'!$I$86:$J$105,2,FALSE)/VLOOKUP($E765,'Merit calculation'!$B$67:$I$73,5,FALSE)/VLOOKUP($F765,'Merit calculation'!$B$90:$I$104,5,FALSE)/energyContentH2),VLOOKUP($Q765,'TA database'!$I$86:$J$105,2,FALSE)/VLOOKUP($E765,'Merit calculation'!$B$67:$I$73,7,FALSE)/VLOOKUP($F765,'Merit calculation'!$B$90:$I$104,7,FALSE)/energyContentH2)</f>
        <v>1.9762352544767004E-3</v>
      </c>
      <c r="V765">
        <f ca="1">IF(timePeriod="2020-30",(VLOOKUP($R765,'TA database'!$I$112:$J$139,2,FALSE)/VLOOKUP($F765,'Merit calculation'!$B$90:$I$104,5,FALSE)/energyContentH2),(VLOOKUP($R765,'TA database'!$I$112:$J$139,2,FALSE)/VLOOKUP($F765,'Merit calculation'!$B$90:$I$104,7,FALSE)/energyContentH2))</f>
        <v>0</v>
      </c>
      <c r="W765">
        <f>IFERROR(VLOOKUP($S765,'TA database'!$I$146:$J$193,2,FALSE),0)</f>
        <v>0</v>
      </c>
      <c r="X765">
        <f ca="1">IFERROR(VLOOKUP($S765,'TA database'!$I$200:$J$271,2,FALSE),0)</f>
        <v>5.1494071531421985E-2</v>
      </c>
      <c r="Y765">
        <f t="shared" ref="Y765:Y769" ca="1" si="2240">IF($W765=0,T765*3.6+U765*3.6+V765*3.6+X765,T765+U765+V765+W765)</f>
        <v>0.18896460480444691</v>
      </c>
      <c r="Z765" t="str">
        <f t="shared" si="2235"/>
        <v>BIO_GSF_SML_D   →   D_GAS_STRG   →   ONSITE_USE   →   H2_FC_PWR</v>
      </c>
      <c r="AA765" t="str">
        <f t="shared" si="2236"/>
        <v>Onsite / Back-up power</v>
      </c>
      <c r="AB765" t="str">
        <f t="shared" si="2237"/>
        <v>Levelized cost</v>
      </c>
      <c r="AC765">
        <f t="shared" ca="1" si="2238"/>
        <v>0.18896460480444691</v>
      </c>
      <c r="AD765">
        <v>706</v>
      </c>
      <c r="AE765" t="str">
        <f>IF(AND(ISNUMBER(SEARCH(O765,4)),ISNUMBER(SEARCH('(4) FCH pathway assessment'!$B$16,AB765)),ISNUMBER(SEARCH('(4) FCH pathway assessment'!$B$10,AA765))),AD765,"")</f>
        <v/>
      </c>
      <c r="AF765" t="str">
        <f t="shared" si="2239"/>
        <v/>
      </c>
      <c r="AG765" t="str">
        <f>VLOOKUP(C765,Assumptions!$B$116:$C$162,2,FALSE)</f>
        <v>BIO_GSF_SML_D</v>
      </c>
      <c r="AH765" t="str">
        <f>VLOOKUP(D765,Assumptions!$B$116:$C$162,2,FALSE)</f>
        <v>D_GAS_STRG</v>
      </c>
      <c r="AI765" t="str">
        <f>VLOOKUP(E765,Assumptions!$B$116:$C$162,2,FALSE)</f>
        <v>ONSITE_USE</v>
      </c>
      <c r="AJ765" t="str">
        <f>VLOOKUP(F765,Assumptions!$B$116:$C$162,2,FALSE)</f>
        <v>H2_FC_PWR</v>
      </c>
    </row>
    <row r="766" spans="2:36" x14ac:dyDescent="0.25">
      <c r="B766" t="s">
        <v>117</v>
      </c>
      <c r="C766" t="s">
        <v>56</v>
      </c>
      <c r="D766" t="s">
        <v>62</v>
      </c>
      <c r="E766" t="s">
        <v>157</v>
      </c>
      <c r="F766" t="s">
        <v>164</v>
      </c>
      <c r="G766" t="s">
        <v>126</v>
      </c>
      <c r="H766" t="s">
        <v>433</v>
      </c>
      <c r="I766" t="s">
        <v>32</v>
      </c>
      <c r="J766" t="s">
        <v>72</v>
      </c>
      <c r="K766">
        <f t="shared" ref="K766:K775" si="2241">SUMPRODUCT(($C$7:$C$18=$C766)*($D$6:$H$6=$D766)*($D$7:$H$18))</f>
        <v>0</v>
      </c>
      <c r="L766">
        <f t="shared" ref="L766:L775" si="2242">SUMPRODUCT(($C$19:$C$23=$D766)*($I$6:$O$6=$E766)*($I$19:$O$23))</f>
        <v>0</v>
      </c>
      <c r="M766">
        <f t="shared" ref="M766:M775" si="2243">SUMPRODUCT(($C$24:$C$30=$E766)*($P$6:$AI$6=$F766)*($P$24:$AI$30))</f>
        <v>0</v>
      </c>
      <c r="N766">
        <f t="shared" ref="N766:N775" si="2244">SUMPRODUCT(($C$31:$C$50=$F766)*($AJ$6:$AM$6=$G766)*($AJ$31:$AM$50))</f>
        <v>1</v>
      </c>
      <c r="O766">
        <f t="shared" ref="O766:O775" si="2245">K766+L766+M766+N766</f>
        <v>1</v>
      </c>
      <c r="P766" t="str">
        <f t="shared" ref="P766:P775" si="2246">CONCATENATE(C766,"-",J766)</f>
        <v>Large centralized biomass steam reforming -Levelized cost</v>
      </c>
      <c r="Q766" t="str">
        <f t="shared" ref="Q766:Q775" si="2247">CONCATENATE(D766,"-",J766)</f>
        <v>Underground storage-Levelized cost</v>
      </c>
      <c r="R766" t="str">
        <f t="shared" ref="R766:R775" si="2248">CONCATENATE(E766,"-",J766)</f>
        <v>Blending in natural gas pipeline-Levelized cost</v>
      </c>
      <c r="S766" t="str">
        <f t="shared" ref="S766:S775" si="2249">CONCATENATE(F766,"-",J766)</f>
        <v>Prime power H2 fuel cell-Levelized cost</v>
      </c>
      <c r="T766">
        <f ca="1">IF(timePeriod="2020-30",(VLOOKUP($P766,'TA database'!$I$8:$J$79,2,FALSE)/VLOOKUP($D766,'Merit calculation'!$B$48:$I$52,5,FALSE)/VLOOKUP($E766,'Merit calculation'!$B$67:$I$73,5,FALSE)/VLOOKUP($F766,'Merit calculation'!$B$90:$I$103,5,FALSE)/energyContentH2),(VLOOKUP($P766,'TA database'!$I$8:$J$79,2,FALSE)/VLOOKUP($D766,'Merit calculation'!$B$48:$I$52,7,FALSE)/VLOOKUP($E766,'Merit calculation'!$B$67:$I$73,7,FALSE)/VLOOKUP($F766,'Merit calculation'!$B$90:$I$103,7,FALSE)/energyContentH2))</f>
        <v>1.5872194031452572E-2</v>
      </c>
      <c r="U766">
        <f ca="1">IF(timePeriod="2020-30",(VLOOKUP($Q766,'TA database'!$I$86:$J$105,2,FALSE)/VLOOKUP($E766,'Merit calculation'!$B$67:$I$73,5,FALSE)/VLOOKUP($F766,'Merit calculation'!$B$90:$I$104,5,FALSE)/energyContentH2),VLOOKUP($Q766,'TA database'!$I$86:$J$105,2,FALSE)/VLOOKUP($E766,'Merit calculation'!$B$67:$I$73,7,FALSE)/VLOOKUP($F766,'Merit calculation'!$B$90:$I$104,7,FALSE)/energyContentH2)</f>
        <v>2.2364802262596405E-4</v>
      </c>
      <c r="V766">
        <f ca="1">IF(timePeriod="2020-30",(VLOOKUP($R766,'TA database'!$I$112:$J$139,2,FALSE)/VLOOKUP($F766,'Merit calculation'!$B$90:$I$104,5,FALSE)/energyContentH2),(VLOOKUP($R766,'TA database'!$I$112:$J$139,2,FALSE)/VLOOKUP($F766,'Merit calculation'!$B$90:$I$104,7,FALSE)/energyContentH2))</f>
        <v>3.2178957719308462E-3</v>
      </c>
      <c r="W766">
        <f>IFERROR(VLOOKUP($S766,'TA database'!$I$146:$J$193,2,FALSE),0)</f>
        <v>0</v>
      </c>
      <c r="X766">
        <f ca="1">IFERROR(VLOOKUP($S766,'TA database'!$I$200:$J$271,2,FALSE),0)</f>
        <v>5.1494071531421985E-2</v>
      </c>
      <c r="Y766">
        <f t="shared" ca="1" si="2240"/>
        <v>0.12102352770505576</v>
      </c>
      <c r="Z766" t="str">
        <f t="shared" ref="Z766:Z775" si="2250">CONCATENATE(AG766,"   →   ",AH766,"   →   ",AI766,"   →   ",AJ766)</f>
        <v>BIO_SR_LRG_C   →   C_UNDRGRND_STRG   →   H2_BLND_NG_P   →   H2_FC_PWR</v>
      </c>
      <c r="AA766" t="str">
        <f t="shared" ref="AA766:AA775" si="2251">G766</f>
        <v>Onsite / Back-up power</v>
      </c>
      <c r="AB766" t="str">
        <f t="shared" ref="AB766:AB775" si="2252">J766</f>
        <v>Levelized cost</v>
      </c>
      <c r="AC766">
        <f t="shared" ref="AC766:AC775" ca="1" si="2253">Y766</f>
        <v>0.12102352770505576</v>
      </c>
      <c r="AD766">
        <v>707</v>
      </c>
      <c r="AE766" t="str">
        <f>IF(AND(ISNUMBER(SEARCH(O766,4)),ISNUMBER(SEARCH('(4) FCH pathway assessment'!$B$16,AB766)),ISNUMBER(SEARCH('(4) FCH pathway assessment'!$B$10,AA766))),AD766,"")</f>
        <v/>
      </c>
      <c r="AF766" t="str">
        <f t="shared" si="2239"/>
        <v/>
      </c>
      <c r="AG766" t="str">
        <f>VLOOKUP(C766,Assumptions!$B$116:$C$162,2,FALSE)</f>
        <v>BIO_SR_LRG_C</v>
      </c>
      <c r="AH766" t="str">
        <f>VLOOKUP(D766,Assumptions!$B$116:$C$162,2,FALSE)</f>
        <v>C_UNDRGRND_STRG</v>
      </c>
      <c r="AI766" t="str">
        <f>VLOOKUP(E766,Assumptions!$B$116:$C$162,2,FALSE)</f>
        <v>H2_BLND_NG_P</v>
      </c>
      <c r="AJ766" t="str">
        <f>VLOOKUP(F766,Assumptions!$B$116:$C$162,2,FALSE)</f>
        <v>H2_FC_PWR</v>
      </c>
    </row>
    <row r="767" spans="2:36" x14ac:dyDescent="0.25">
      <c r="B767" t="s">
        <v>117</v>
      </c>
      <c r="C767" t="s">
        <v>56</v>
      </c>
      <c r="D767" t="s">
        <v>62</v>
      </c>
      <c r="E767" t="s">
        <v>122</v>
      </c>
      <c r="F767" t="s">
        <v>164</v>
      </c>
      <c r="G767" t="s">
        <v>126</v>
      </c>
      <c r="H767" t="s">
        <v>433</v>
      </c>
      <c r="I767" t="s">
        <v>32</v>
      </c>
      <c r="J767" t="s">
        <v>72</v>
      </c>
      <c r="K767">
        <f t="shared" si="2241"/>
        <v>0</v>
      </c>
      <c r="L767">
        <f t="shared" si="2242"/>
        <v>0</v>
      </c>
      <c r="M767">
        <f t="shared" si="2243"/>
        <v>1</v>
      </c>
      <c r="N767">
        <f t="shared" si="2244"/>
        <v>1</v>
      </c>
      <c r="O767">
        <f t="shared" si="2245"/>
        <v>2</v>
      </c>
      <c r="P767" t="str">
        <f t="shared" si="2246"/>
        <v>Large centralized biomass steam reforming -Levelized cost</v>
      </c>
      <c r="Q767" t="str">
        <f t="shared" si="2247"/>
        <v>Underground storage-Levelized cost</v>
      </c>
      <c r="R767" t="str">
        <f t="shared" si="2248"/>
        <v>Hydrogen transmission &amp; distribution pipeline-Levelized cost</v>
      </c>
      <c r="S767" t="str">
        <f t="shared" si="2249"/>
        <v>Prime power H2 fuel cell-Levelized cost</v>
      </c>
      <c r="T767">
        <f ca="1">IF(timePeriod="2020-30",(VLOOKUP($P767,'TA database'!$I$8:$J$79,2,FALSE)/VLOOKUP($D767,'Merit calculation'!$B$48:$I$52,5,FALSE)/VLOOKUP($E767,'Merit calculation'!$B$67:$I$73,5,FALSE)/VLOOKUP($F767,'Merit calculation'!$B$90:$I$103,5,FALSE)/energyContentH2),(VLOOKUP($P767,'TA database'!$I$8:$J$79,2,FALSE)/VLOOKUP($D767,'Merit calculation'!$B$48:$I$52,7,FALSE)/VLOOKUP($E767,'Merit calculation'!$B$67:$I$73,7,FALSE)/VLOOKUP($F767,'Merit calculation'!$B$90:$I$103,7,FALSE)/energyContentH2))</f>
        <v>1.5872194031452572E-2</v>
      </c>
      <c r="U767">
        <f ca="1">IF(timePeriod="2020-30",(VLOOKUP($Q767,'TA database'!$I$86:$J$105,2,FALSE)/VLOOKUP($E767,'Merit calculation'!$B$67:$I$73,5,FALSE)/VLOOKUP($F767,'Merit calculation'!$B$90:$I$104,5,FALSE)/energyContentH2),VLOOKUP($Q767,'TA database'!$I$86:$J$105,2,FALSE)/VLOOKUP($E767,'Merit calculation'!$B$67:$I$73,7,FALSE)/VLOOKUP($F767,'Merit calculation'!$B$90:$I$104,7,FALSE)/energyContentH2)</f>
        <v>2.2364802262596405E-4</v>
      </c>
      <c r="V767">
        <f ca="1">IF(timePeriod="2020-30",(VLOOKUP($R767,'TA database'!$I$112:$J$139,2,FALSE)/VLOOKUP($F767,'Merit calculation'!$B$90:$I$104,5,FALSE)/energyContentH2),(VLOOKUP($R767,'TA database'!$I$112:$J$139,2,FALSE)/VLOOKUP($F767,'Merit calculation'!$B$90:$I$104,7,FALSE)/energyContentH2))</f>
        <v>5.9870576374260031E-3</v>
      </c>
      <c r="W767">
        <f>IFERROR(VLOOKUP($S767,'TA database'!$I$146:$J$193,2,FALSE),0)</f>
        <v>0</v>
      </c>
      <c r="X767">
        <f ca="1">IFERROR(VLOOKUP($S767,'TA database'!$I$200:$J$271,2,FALSE),0)</f>
        <v>5.1494071531421985E-2</v>
      </c>
      <c r="Y767">
        <f t="shared" ca="1" si="2240"/>
        <v>0.13099251042083834</v>
      </c>
      <c r="Z767" t="str">
        <f t="shared" si="2250"/>
        <v>BIO_SR_LRG_C   →   C_UNDRGRND_STRG   →   H2_T&amp;D_P   →   H2_FC_PWR</v>
      </c>
      <c r="AA767" t="str">
        <f t="shared" si="2251"/>
        <v>Onsite / Back-up power</v>
      </c>
      <c r="AB767" t="str">
        <f t="shared" si="2252"/>
        <v>Levelized cost</v>
      </c>
      <c r="AC767">
        <f t="shared" ca="1" si="2253"/>
        <v>0.13099251042083834</v>
      </c>
      <c r="AD767">
        <v>708</v>
      </c>
      <c r="AE767" t="str">
        <f>IF(AND(ISNUMBER(SEARCH(O767,4)),ISNUMBER(SEARCH('(4) FCH pathway assessment'!$B$16,AB767)),ISNUMBER(SEARCH('(4) FCH pathway assessment'!$B$10,AA767))),AD767,"")</f>
        <v/>
      </c>
      <c r="AF767" t="str">
        <f t="shared" si="2239"/>
        <v/>
      </c>
      <c r="AG767" t="str">
        <f>VLOOKUP(C767,Assumptions!$B$116:$C$162,2,FALSE)</f>
        <v>BIO_SR_LRG_C</v>
      </c>
      <c r="AH767" t="str">
        <f>VLOOKUP(D767,Assumptions!$B$116:$C$162,2,FALSE)</f>
        <v>C_UNDRGRND_STRG</v>
      </c>
      <c r="AI767" t="str">
        <f>VLOOKUP(E767,Assumptions!$B$116:$C$162,2,FALSE)</f>
        <v>H2_T&amp;D_P</v>
      </c>
      <c r="AJ767" t="str">
        <f>VLOOKUP(F767,Assumptions!$B$116:$C$162,2,FALSE)</f>
        <v>H2_FC_PWR</v>
      </c>
    </row>
    <row r="768" spans="2:36" x14ac:dyDescent="0.25">
      <c r="B768" t="s">
        <v>117</v>
      </c>
      <c r="C768" t="s">
        <v>56</v>
      </c>
      <c r="D768" t="s">
        <v>62</v>
      </c>
      <c r="E768" t="s">
        <v>66</v>
      </c>
      <c r="F768" t="s">
        <v>164</v>
      </c>
      <c r="G768" t="s">
        <v>126</v>
      </c>
      <c r="H768" t="s">
        <v>433</v>
      </c>
      <c r="I768" t="s">
        <v>32</v>
      </c>
      <c r="J768" t="s">
        <v>72</v>
      </c>
      <c r="K768">
        <f t="shared" si="2241"/>
        <v>0</v>
      </c>
      <c r="L768">
        <f t="shared" si="2242"/>
        <v>0</v>
      </c>
      <c r="M768">
        <f t="shared" si="2243"/>
        <v>1</v>
      </c>
      <c r="N768">
        <f t="shared" si="2244"/>
        <v>1</v>
      </c>
      <c r="O768">
        <f t="shared" si="2245"/>
        <v>2</v>
      </c>
      <c r="P768" t="str">
        <f t="shared" si="2246"/>
        <v>Large centralized biomass steam reforming -Levelized cost</v>
      </c>
      <c r="Q768" t="str">
        <f t="shared" si="2247"/>
        <v>Underground storage-Levelized cost</v>
      </c>
      <c r="R768" t="str">
        <f t="shared" si="2248"/>
        <v>Onsite-Levelized cost</v>
      </c>
      <c r="S768" t="str">
        <f t="shared" si="2249"/>
        <v>Prime power H2 fuel cell-Levelized cost</v>
      </c>
      <c r="T768">
        <f ca="1">IF(timePeriod="2020-30",(VLOOKUP($P768,'TA database'!$I$8:$J$79,2,FALSE)/VLOOKUP($D768,'Merit calculation'!$B$48:$I$52,5,FALSE)/VLOOKUP($E768,'Merit calculation'!$B$67:$I$73,5,FALSE)/VLOOKUP($F768,'Merit calculation'!$B$90:$I$103,5,FALSE)/energyContentH2),(VLOOKUP($P768,'TA database'!$I$8:$J$79,2,FALSE)/VLOOKUP($D768,'Merit calculation'!$B$48:$I$52,7,FALSE)/VLOOKUP($E768,'Merit calculation'!$B$67:$I$73,7,FALSE)/VLOOKUP($F768,'Merit calculation'!$B$90:$I$103,7,FALSE)/energyContentH2))</f>
        <v>1.5713472091138048E-2</v>
      </c>
      <c r="U768">
        <f ca="1">IF(timePeriod="2020-30",(VLOOKUP($Q768,'TA database'!$I$86:$J$105,2,FALSE)/VLOOKUP($E768,'Merit calculation'!$B$67:$I$73,5,FALSE)/VLOOKUP($F768,'Merit calculation'!$B$90:$I$104,5,FALSE)/energyContentH2),VLOOKUP($Q768,'TA database'!$I$86:$J$105,2,FALSE)/VLOOKUP($E768,'Merit calculation'!$B$67:$I$73,7,FALSE)/VLOOKUP($F768,'Merit calculation'!$B$90:$I$104,7,FALSE)/energyContentH2)</f>
        <v>2.2141154239970441E-4</v>
      </c>
      <c r="V768">
        <f ca="1">IF(timePeriod="2020-30",(VLOOKUP($R768,'TA database'!$I$112:$J$139,2,FALSE)/VLOOKUP($F768,'Merit calculation'!$B$90:$I$104,5,FALSE)/energyContentH2),(VLOOKUP($R768,'TA database'!$I$112:$J$139,2,FALSE)/VLOOKUP($F768,'Merit calculation'!$B$90:$I$104,7,FALSE)/energyContentH2))</f>
        <v>0</v>
      </c>
      <c r="W768">
        <f>IFERROR(VLOOKUP($S768,'TA database'!$I$146:$J$193,2,FALSE),0)</f>
        <v>0</v>
      </c>
      <c r="X768">
        <f ca="1">IFERROR(VLOOKUP($S768,'TA database'!$I$200:$J$271,2,FALSE),0)</f>
        <v>5.1494071531421985E-2</v>
      </c>
      <c r="Y768">
        <f t="shared" ca="1" si="2240"/>
        <v>0.10885965261215788</v>
      </c>
      <c r="Z768" t="str">
        <f t="shared" si="2250"/>
        <v>BIO_SR_LRG_C   →   C_UNDRGRND_STRG   →   ONSITE_USE   →   H2_FC_PWR</v>
      </c>
      <c r="AA768" t="str">
        <f t="shared" si="2251"/>
        <v>Onsite / Back-up power</v>
      </c>
      <c r="AB768" t="str">
        <f t="shared" si="2252"/>
        <v>Levelized cost</v>
      </c>
      <c r="AC768">
        <f t="shared" ca="1" si="2253"/>
        <v>0.10885965261215788</v>
      </c>
      <c r="AD768">
        <v>709</v>
      </c>
      <c r="AE768" t="str">
        <f>IF(AND(ISNUMBER(SEARCH(O768,4)),ISNUMBER(SEARCH('(4) FCH pathway assessment'!$B$16,AB768)),ISNUMBER(SEARCH('(4) FCH pathway assessment'!$B$10,AA768))),AD768,"")</f>
        <v/>
      </c>
      <c r="AF768" t="str">
        <f t="shared" si="2239"/>
        <v/>
      </c>
      <c r="AG768" t="str">
        <f>VLOOKUP(C768,Assumptions!$B$116:$C$162,2,FALSE)</f>
        <v>BIO_SR_LRG_C</v>
      </c>
      <c r="AH768" t="str">
        <f>VLOOKUP(D768,Assumptions!$B$116:$C$162,2,FALSE)</f>
        <v>C_UNDRGRND_STRG</v>
      </c>
      <c r="AI768" t="str">
        <f>VLOOKUP(E768,Assumptions!$B$116:$C$162,2,FALSE)</f>
        <v>ONSITE_USE</v>
      </c>
      <c r="AJ768" t="str">
        <f>VLOOKUP(F768,Assumptions!$B$116:$C$162,2,FALSE)</f>
        <v>H2_FC_PWR</v>
      </c>
    </row>
    <row r="769" spans="2:36" x14ac:dyDescent="0.25">
      <c r="B769" t="s">
        <v>117</v>
      </c>
      <c r="C769" t="s">
        <v>56</v>
      </c>
      <c r="D769" s="61" t="s">
        <v>63</v>
      </c>
      <c r="E769" t="s">
        <v>122</v>
      </c>
      <c r="F769" t="s">
        <v>164</v>
      </c>
      <c r="G769" t="s">
        <v>126</v>
      </c>
      <c r="H769" t="s">
        <v>433</v>
      </c>
      <c r="I769" t="s">
        <v>32</v>
      </c>
      <c r="J769" t="s">
        <v>72</v>
      </c>
      <c r="K769">
        <f t="shared" si="2241"/>
        <v>0</v>
      </c>
      <c r="L769">
        <f t="shared" si="2242"/>
        <v>1</v>
      </c>
      <c r="M769">
        <f t="shared" si="2243"/>
        <v>1</v>
      </c>
      <c r="N769">
        <f t="shared" si="2244"/>
        <v>1</v>
      </c>
      <c r="O769">
        <f t="shared" si="2245"/>
        <v>3</v>
      </c>
      <c r="P769" t="str">
        <f t="shared" si="2246"/>
        <v>Large centralized biomass steam reforming -Levelized cost</v>
      </c>
      <c r="Q769" t="str">
        <f t="shared" si="2247"/>
        <v>No storage-Levelized cost</v>
      </c>
      <c r="R769" t="str">
        <f t="shared" si="2248"/>
        <v>Hydrogen transmission &amp; distribution pipeline-Levelized cost</v>
      </c>
      <c r="S769" t="str">
        <f t="shared" si="2249"/>
        <v>Prime power H2 fuel cell-Levelized cost</v>
      </c>
      <c r="T769">
        <f ca="1">IF(timePeriod="2020-30",(VLOOKUP($P769,'TA database'!$I$8:$J$79,2,FALSE)/VLOOKUP($D769,'Merit calculation'!$B$48:$I$52,5,FALSE)/VLOOKUP($E769,'Merit calculation'!$B$67:$I$73,5,FALSE)/VLOOKUP($F769,'Merit calculation'!$B$90:$I$103,5,FALSE)/energyContentH2),(VLOOKUP($P769,'TA database'!$I$8:$J$79,2,FALSE)/VLOOKUP($D769,'Merit calculation'!$B$48:$I$52,7,FALSE)/VLOOKUP($E769,'Merit calculation'!$B$67:$I$73,7,FALSE)/VLOOKUP($F769,'Merit calculation'!$B$90:$I$103,7,FALSE)/energyContentH2))</f>
        <v>1.5713472091138048E-2</v>
      </c>
      <c r="U769">
        <f ca="1">IF(timePeriod="2020-30",(VLOOKUP($Q769,'TA database'!$I$86:$J$105,2,FALSE)/VLOOKUP($E769,'Merit calculation'!$B$67:$I$73,5,FALSE)/VLOOKUP($F769,'Merit calculation'!$B$90:$I$104,5,FALSE)/energyContentH2),VLOOKUP($Q769,'TA database'!$I$86:$J$105,2,FALSE)/VLOOKUP($E769,'Merit calculation'!$B$67:$I$73,7,FALSE)/VLOOKUP($F769,'Merit calculation'!$B$90:$I$104,7,FALSE)/energyContentH2)</f>
        <v>0</v>
      </c>
      <c r="V769">
        <f ca="1">IF(timePeriod="2020-30",(VLOOKUP($R769,'TA database'!$I$112:$J$139,2,FALSE)/VLOOKUP($F769,'Merit calculation'!$B$90:$I$104,5,FALSE)/energyContentH2),(VLOOKUP($R769,'TA database'!$I$112:$J$139,2,FALSE)/VLOOKUP($F769,'Merit calculation'!$B$90:$I$104,7,FALSE)/energyContentH2))</f>
        <v>5.9870576374260031E-3</v>
      </c>
      <c r="W769">
        <f>IFERROR(VLOOKUP($S769,'TA database'!$I$146:$J$193,2,FALSE),0)</f>
        <v>0</v>
      </c>
      <c r="X769">
        <f ca="1">IFERROR(VLOOKUP($S769,'TA database'!$I$200:$J$271,2,FALSE),0)</f>
        <v>5.1494071531421985E-2</v>
      </c>
      <c r="Y769">
        <f t="shared" ca="1" si="2240"/>
        <v>0.12961597855425258</v>
      </c>
      <c r="Z769" t="str">
        <f t="shared" si="2250"/>
        <v>BIO_SR_LRG_C   →   NO_STRG   →   H2_T&amp;D_P   →   H2_FC_PWR</v>
      </c>
      <c r="AA769" t="str">
        <f t="shared" si="2251"/>
        <v>Onsite / Back-up power</v>
      </c>
      <c r="AB769" t="str">
        <f t="shared" si="2252"/>
        <v>Levelized cost</v>
      </c>
      <c r="AC769">
        <f t="shared" ca="1" si="2253"/>
        <v>0.12961597855425258</v>
      </c>
      <c r="AD769">
        <v>710</v>
      </c>
      <c r="AE769" t="str">
        <f>IF(AND(ISNUMBER(SEARCH(O769,4)),ISNUMBER(SEARCH('(4) FCH pathway assessment'!$B$16,AB769)),ISNUMBER(SEARCH('(4) FCH pathway assessment'!$B$10,AA769))),AD769,"")</f>
        <v/>
      </c>
      <c r="AF769" t="str">
        <f t="shared" si="2239"/>
        <v/>
      </c>
      <c r="AG769" t="str">
        <f>VLOOKUP(C769,Assumptions!$B$116:$C$162,2,FALSE)</f>
        <v>BIO_SR_LRG_C</v>
      </c>
      <c r="AH769" t="str">
        <f>VLOOKUP(D769,Assumptions!$B$116:$C$162,2,FALSE)</f>
        <v>NO_STRG</v>
      </c>
      <c r="AI769" t="str">
        <f>VLOOKUP(E769,Assumptions!$B$116:$C$162,2,FALSE)</f>
        <v>H2_T&amp;D_P</v>
      </c>
      <c r="AJ769" t="str">
        <f>VLOOKUP(F769,Assumptions!$B$116:$C$162,2,FALSE)</f>
        <v>H2_FC_PWR</v>
      </c>
    </row>
    <row r="770" spans="2:36" x14ac:dyDescent="0.25">
      <c r="B770" t="s">
        <v>112</v>
      </c>
      <c r="C770" t="s">
        <v>49</v>
      </c>
      <c r="D770" t="s">
        <v>62</v>
      </c>
      <c r="E770" t="s">
        <v>157</v>
      </c>
      <c r="F770" t="s">
        <v>164</v>
      </c>
      <c r="G770" t="s">
        <v>126</v>
      </c>
      <c r="H770" t="s">
        <v>433</v>
      </c>
      <c r="I770" t="s">
        <v>32</v>
      </c>
      <c r="J770" t="s">
        <v>72</v>
      </c>
      <c r="K770">
        <f t="shared" si="2241"/>
        <v>1</v>
      </c>
      <c r="L770">
        <f t="shared" si="2242"/>
        <v>0</v>
      </c>
      <c r="M770">
        <f t="shared" si="2243"/>
        <v>0</v>
      </c>
      <c r="N770">
        <f t="shared" si="2244"/>
        <v>1</v>
      </c>
      <c r="O770">
        <f t="shared" si="2245"/>
        <v>2</v>
      </c>
      <c r="P770" t="str">
        <f t="shared" si="2246"/>
        <v>Large centralized electrolysis-Levelized cost</v>
      </c>
      <c r="Q770" t="str">
        <f t="shared" si="2247"/>
        <v>Underground storage-Levelized cost</v>
      </c>
      <c r="R770" t="str">
        <f t="shared" si="2248"/>
        <v>Blending in natural gas pipeline-Levelized cost</v>
      </c>
      <c r="S770" t="str">
        <f t="shared" si="2249"/>
        <v>Prime power H2 fuel cell-Levelized cost</v>
      </c>
      <c r="T770">
        <f ca="1">IF(timePeriod="2020-30",(VLOOKUP($P770,'TA database'!$I$8:$J$79,2,FALSE)/VLOOKUP($D770,'Merit calculation'!$B$48:$I$52,5,FALSE)/VLOOKUP($E770,'Merit calculation'!$B$67:$I$73,5,FALSE)/VLOOKUP($F770,'Merit calculation'!$B$90:$I$103,5,FALSE)/energyContentH2),(VLOOKUP($P770,'TA database'!$I$8:$J$79,2,FALSE)/VLOOKUP($D770,'Merit calculation'!$B$48:$I$52,7,FALSE)/VLOOKUP($E770,'Merit calculation'!$B$67:$I$73,7,FALSE)/VLOOKUP($F770,'Merit calculation'!$B$90:$I$103,7,FALSE)/energyContentH2))</f>
        <v>3.384425370738102E-2</v>
      </c>
      <c r="U770">
        <f ca="1">IF(timePeriod="2020-30",(VLOOKUP($Q770,'TA database'!$I$86:$J$105,2,FALSE)/VLOOKUP($E770,'Merit calculation'!$B$67:$I$73,5,FALSE)/VLOOKUP($F770,'Merit calculation'!$B$90:$I$104,5,FALSE)/energyContentH2),VLOOKUP($Q770,'TA database'!$I$86:$J$105,2,FALSE)/VLOOKUP($E770,'Merit calculation'!$B$67:$I$73,7,FALSE)/VLOOKUP($F770,'Merit calculation'!$B$90:$I$104,7,FALSE)/energyContentH2)</f>
        <v>2.2364802262596405E-4</v>
      </c>
      <c r="V770">
        <f ca="1">IF(timePeriod="2020-30",(VLOOKUP($R770,'TA database'!$I$112:$J$139,2,FALSE)/VLOOKUP($F770,'Merit calculation'!$B$90:$I$104,5,FALSE)/energyContentH2),(VLOOKUP($R770,'TA database'!$I$112:$J$139,2,FALSE)/VLOOKUP($F770,'Merit calculation'!$B$90:$I$104,7,FALSE)/energyContentH2))</f>
        <v>3.2178957719308462E-3</v>
      </c>
      <c r="W770">
        <f>IFERROR(VLOOKUP($S770,'TA database'!$I$146:$J$193,2,FALSE),0)</f>
        <v>0</v>
      </c>
      <c r="X770">
        <f ca="1">IFERROR(VLOOKUP($S770,'TA database'!$I$200:$J$271,2,FALSE),0)</f>
        <v>5.1494071531421985E-2</v>
      </c>
      <c r="Y770">
        <f t="shared" ref="Y770:Y778" ca="1" si="2254">IF($W770=0,T770*3.6+U770*3.6+V770*3.6+X770,T770+U770+V770+W770)</f>
        <v>0.18572294253839819</v>
      </c>
      <c r="Z770" t="str">
        <f t="shared" si="2250"/>
        <v>ELCTRLYZ_LRG_C   →   C_UNDRGRND_STRG   →   H2_BLND_NG_P   →   H2_FC_PWR</v>
      </c>
      <c r="AA770" t="str">
        <f t="shared" si="2251"/>
        <v>Onsite / Back-up power</v>
      </c>
      <c r="AB770" t="str">
        <f t="shared" si="2252"/>
        <v>Levelized cost</v>
      </c>
      <c r="AC770">
        <f t="shared" ca="1" si="2253"/>
        <v>0.18572294253839819</v>
      </c>
      <c r="AD770">
        <v>711</v>
      </c>
      <c r="AE770" t="str">
        <f>IF(AND(ISNUMBER(SEARCH(O770,4)),ISNUMBER(SEARCH('(4) FCH pathway assessment'!$B$16,AB770)),ISNUMBER(SEARCH('(4) FCH pathway assessment'!$B$10,AA770))),AD770,"")</f>
        <v/>
      </c>
      <c r="AF770" t="str">
        <f t="shared" si="2239"/>
        <v/>
      </c>
      <c r="AG770" t="str">
        <f>VLOOKUP(C770,Assumptions!$B$116:$C$162,2,FALSE)</f>
        <v>ELCTRLYZ_LRG_C</v>
      </c>
      <c r="AH770" t="str">
        <f>VLOOKUP(D770,Assumptions!$B$116:$C$162,2,FALSE)</f>
        <v>C_UNDRGRND_STRG</v>
      </c>
      <c r="AI770" t="str">
        <f>VLOOKUP(E770,Assumptions!$B$116:$C$162,2,FALSE)</f>
        <v>H2_BLND_NG_P</v>
      </c>
      <c r="AJ770" t="str">
        <f>VLOOKUP(F770,Assumptions!$B$116:$C$162,2,FALSE)</f>
        <v>H2_FC_PWR</v>
      </c>
    </row>
    <row r="771" spans="2:36" x14ac:dyDescent="0.25">
      <c r="B771" t="s">
        <v>112</v>
      </c>
      <c r="C771" t="s">
        <v>49</v>
      </c>
      <c r="D771" t="s">
        <v>62</v>
      </c>
      <c r="E771" t="s">
        <v>122</v>
      </c>
      <c r="F771" t="s">
        <v>164</v>
      </c>
      <c r="G771" t="s">
        <v>126</v>
      </c>
      <c r="H771" t="s">
        <v>433</v>
      </c>
      <c r="I771" t="s">
        <v>32</v>
      </c>
      <c r="J771" t="s">
        <v>72</v>
      </c>
      <c r="K771">
        <f t="shared" si="2241"/>
        <v>1</v>
      </c>
      <c r="L771">
        <f t="shared" si="2242"/>
        <v>0</v>
      </c>
      <c r="M771">
        <f t="shared" si="2243"/>
        <v>1</v>
      </c>
      <c r="N771">
        <f t="shared" si="2244"/>
        <v>1</v>
      </c>
      <c r="O771">
        <f t="shared" si="2245"/>
        <v>3</v>
      </c>
      <c r="P771" t="str">
        <f t="shared" si="2246"/>
        <v>Large centralized electrolysis-Levelized cost</v>
      </c>
      <c r="Q771" t="str">
        <f t="shared" si="2247"/>
        <v>Underground storage-Levelized cost</v>
      </c>
      <c r="R771" t="str">
        <f t="shared" si="2248"/>
        <v>Hydrogen transmission &amp; distribution pipeline-Levelized cost</v>
      </c>
      <c r="S771" t="str">
        <f t="shared" si="2249"/>
        <v>Prime power H2 fuel cell-Levelized cost</v>
      </c>
      <c r="T771">
        <f ca="1">IF(timePeriod="2020-30",(VLOOKUP($P771,'TA database'!$I$8:$J$79,2,FALSE)/VLOOKUP($D771,'Merit calculation'!$B$48:$I$52,5,FALSE)/VLOOKUP($E771,'Merit calculation'!$B$67:$I$73,5,FALSE)/VLOOKUP($F771,'Merit calculation'!$B$90:$I$103,5,FALSE)/energyContentH2),(VLOOKUP($P771,'TA database'!$I$8:$J$79,2,FALSE)/VLOOKUP($D771,'Merit calculation'!$B$48:$I$52,7,FALSE)/VLOOKUP($E771,'Merit calculation'!$B$67:$I$73,7,FALSE)/VLOOKUP($F771,'Merit calculation'!$B$90:$I$103,7,FALSE)/energyContentH2))</f>
        <v>3.384425370738102E-2</v>
      </c>
      <c r="U771">
        <f ca="1">IF(timePeriod="2020-30",(VLOOKUP($Q771,'TA database'!$I$86:$J$105,2,FALSE)/VLOOKUP($E771,'Merit calculation'!$B$67:$I$73,5,FALSE)/VLOOKUP($F771,'Merit calculation'!$B$90:$I$104,5,FALSE)/energyContentH2),VLOOKUP($Q771,'TA database'!$I$86:$J$105,2,FALSE)/VLOOKUP($E771,'Merit calculation'!$B$67:$I$73,7,FALSE)/VLOOKUP($F771,'Merit calculation'!$B$90:$I$104,7,FALSE)/energyContentH2)</f>
        <v>2.2364802262596405E-4</v>
      </c>
      <c r="V771">
        <f ca="1">IF(timePeriod="2020-30",(VLOOKUP($R771,'TA database'!$I$112:$J$139,2,FALSE)/VLOOKUP($F771,'Merit calculation'!$B$90:$I$104,5,FALSE)/energyContentH2),(VLOOKUP($R771,'TA database'!$I$112:$J$139,2,FALSE)/VLOOKUP($F771,'Merit calculation'!$B$90:$I$104,7,FALSE)/energyContentH2))</f>
        <v>5.9870576374260031E-3</v>
      </c>
      <c r="W771">
        <f>IFERROR(VLOOKUP($S771,'TA database'!$I$146:$J$193,2,FALSE),0)</f>
        <v>0</v>
      </c>
      <c r="X771">
        <f ca="1">IFERROR(VLOOKUP($S771,'TA database'!$I$200:$J$271,2,FALSE),0)</f>
        <v>5.1494071531421985E-2</v>
      </c>
      <c r="Y771">
        <f t="shared" ca="1" si="2254"/>
        <v>0.19569192525418075</v>
      </c>
      <c r="Z771" t="str">
        <f t="shared" si="2250"/>
        <v>ELCTRLYZ_LRG_C   →   C_UNDRGRND_STRG   →   H2_T&amp;D_P   →   H2_FC_PWR</v>
      </c>
      <c r="AA771" t="str">
        <f t="shared" si="2251"/>
        <v>Onsite / Back-up power</v>
      </c>
      <c r="AB771" t="str">
        <f t="shared" si="2252"/>
        <v>Levelized cost</v>
      </c>
      <c r="AC771">
        <f t="shared" ca="1" si="2253"/>
        <v>0.19569192525418075</v>
      </c>
      <c r="AD771">
        <v>712</v>
      </c>
      <c r="AE771" t="str">
        <f>IF(AND(ISNUMBER(SEARCH(O771,4)),ISNUMBER(SEARCH('(4) FCH pathway assessment'!$B$16,AB771)),ISNUMBER(SEARCH('(4) FCH pathway assessment'!$B$10,AA771))),AD771,"")</f>
        <v/>
      </c>
      <c r="AF771" t="str">
        <f t="shared" si="2239"/>
        <v/>
      </c>
      <c r="AG771" t="str">
        <f>VLOOKUP(C771,Assumptions!$B$116:$C$162,2,FALSE)</f>
        <v>ELCTRLYZ_LRG_C</v>
      </c>
      <c r="AH771" t="str">
        <f>VLOOKUP(D771,Assumptions!$B$116:$C$162,2,FALSE)</f>
        <v>C_UNDRGRND_STRG</v>
      </c>
      <c r="AI771" t="str">
        <f>VLOOKUP(E771,Assumptions!$B$116:$C$162,2,FALSE)</f>
        <v>H2_T&amp;D_P</v>
      </c>
      <c r="AJ771" t="str">
        <f>VLOOKUP(F771,Assumptions!$B$116:$C$162,2,FALSE)</f>
        <v>H2_FC_PWR</v>
      </c>
    </row>
    <row r="772" spans="2:36" x14ac:dyDescent="0.25">
      <c r="B772" t="s">
        <v>112</v>
      </c>
      <c r="C772" t="s">
        <v>49</v>
      </c>
      <c r="D772" t="s">
        <v>62</v>
      </c>
      <c r="E772" t="s">
        <v>66</v>
      </c>
      <c r="F772" t="s">
        <v>164</v>
      </c>
      <c r="G772" t="s">
        <v>126</v>
      </c>
      <c r="H772" t="s">
        <v>433</v>
      </c>
      <c r="I772" t="s">
        <v>32</v>
      </c>
      <c r="J772" t="s">
        <v>72</v>
      </c>
      <c r="K772">
        <f t="shared" si="2241"/>
        <v>1</v>
      </c>
      <c r="L772">
        <f t="shared" si="2242"/>
        <v>0</v>
      </c>
      <c r="M772">
        <f t="shared" si="2243"/>
        <v>1</v>
      </c>
      <c r="N772">
        <f t="shared" si="2244"/>
        <v>1</v>
      </c>
      <c r="O772">
        <f t="shared" si="2245"/>
        <v>3</v>
      </c>
      <c r="P772" t="str">
        <f t="shared" si="2246"/>
        <v>Large centralized electrolysis-Levelized cost</v>
      </c>
      <c r="Q772" t="str">
        <f t="shared" si="2247"/>
        <v>Underground storage-Levelized cost</v>
      </c>
      <c r="R772" t="str">
        <f t="shared" si="2248"/>
        <v>Onsite-Levelized cost</v>
      </c>
      <c r="S772" t="str">
        <f t="shared" si="2249"/>
        <v>Prime power H2 fuel cell-Levelized cost</v>
      </c>
      <c r="T772">
        <f ca="1">IF(timePeriod="2020-30",(VLOOKUP($P772,'TA database'!$I$8:$J$79,2,FALSE)/VLOOKUP($D772,'Merit calculation'!$B$48:$I$52,5,FALSE)/VLOOKUP($E772,'Merit calculation'!$B$67:$I$73,5,FALSE)/VLOOKUP($F772,'Merit calculation'!$B$90:$I$103,5,FALSE)/energyContentH2),(VLOOKUP($P772,'TA database'!$I$8:$J$79,2,FALSE)/VLOOKUP($D772,'Merit calculation'!$B$48:$I$52,7,FALSE)/VLOOKUP($E772,'Merit calculation'!$B$67:$I$73,7,FALSE)/VLOOKUP($F772,'Merit calculation'!$B$90:$I$103,7,FALSE)/energyContentH2))</f>
        <v>3.3505811170307216E-2</v>
      </c>
      <c r="U772">
        <f ca="1">IF(timePeriod="2020-30",(VLOOKUP($Q772,'TA database'!$I$86:$J$105,2,FALSE)/VLOOKUP($E772,'Merit calculation'!$B$67:$I$73,5,FALSE)/VLOOKUP($F772,'Merit calculation'!$B$90:$I$104,5,FALSE)/energyContentH2),VLOOKUP($Q772,'TA database'!$I$86:$J$105,2,FALSE)/VLOOKUP($E772,'Merit calculation'!$B$67:$I$73,7,FALSE)/VLOOKUP($F772,'Merit calculation'!$B$90:$I$104,7,FALSE)/energyContentH2)</f>
        <v>2.2141154239970441E-4</v>
      </c>
      <c r="V772">
        <f ca="1">IF(timePeriod="2020-30",(VLOOKUP($R772,'TA database'!$I$112:$J$139,2,FALSE)/VLOOKUP($F772,'Merit calculation'!$B$90:$I$104,5,FALSE)/energyContentH2),(VLOOKUP($R772,'TA database'!$I$112:$J$139,2,FALSE)/VLOOKUP($F772,'Merit calculation'!$B$90:$I$104,7,FALSE)/energyContentH2))</f>
        <v>0</v>
      </c>
      <c r="W772">
        <f>IFERROR(VLOOKUP($S772,'TA database'!$I$146:$J$193,2,FALSE),0)</f>
        <v>0</v>
      </c>
      <c r="X772">
        <f ca="1">IFERROR(VLOOKUP($S772,'TA database'!$I$200:$J$271,2,FALSE),0)</f>
        <v>5.1494071531421985E-2</v>
      </c>
      <c r="Y772">
        <f t="shared" ca="1" si="2254"/>
        <v>0.1729120732971669</v>
      </c>
      <c r="Z772" t="str">
        <f t="shared" si="2250"/>
        <v>ELCTRLYZ_LRG_C   →   C_UNDRGRND_STRG   →   ONSITE_USE   →   H2_FC_PWR</v>
      </c>
      <c r="AA772" t="str">
        <f t="shared" si="2251"/>
        <v>Onsite / Back-up power</v>
      </c>
      <c r="AB772" t="str">
        <f t="shared" si="2252"/>
        <v>Levelized cost</v>
      </c>
      <c r="AC772">
        <f t="shared" ca="1" si="2253"/>
        <v>0.1729120732971669</v>
      </c>
      <c r="AD772">
        <v>713</v>
      </c>
      <c r="AE772" t="str">
        <f>IF(AND(ISNUMBER(SEARCH(O772,4)),ISNUMBER(SEARCH('(4) FCH pathway assessment'!$B$16,AB772)),ISNUMBER(SEARCH('(4) FCH pathway assessment'!$B$10,AA772))),AD772,"")</f>
        <v/>
      </c>
      <c r="AF772" t="str">
        <f t="shared" si="2239"/>
        <v/>
      </c>
      <c r="AG772" t="str">
        <f>VLOOKUP(C772,Assumptions!$B$116:$C$162,2,FALSE)</f>
        <v>ELCTRLYZ_LRG_C</v>
      </c>
      <c r="AH772" t="str">
        <f>VLOOKUP(D772,Assumptions!$B$116:$C$162,2,FALSE)</f>
        <v>C_UNDRGRND_STRG</v>
      </c>
      <c r="AI772" t="str">
        <f>VLOOKUP(E772,Assumptions!$B$116:$C$162,2,FALSE)</f>
        <v>ONSITE_USE</v>
      </c>
      <c r="AJ772" t="str">
        <f>VLOOKUP(F772,Assumptions!$B$116:$C$162,2,FALSE)</f>
        <v>H2_FC_PWR</v>
      </c>
    </row>
    <row r="773" spans="2:36" x14ac:dyDescent="0.25">
      <c r="B773" t="s">
        <v>112</v>
      </c>
      <c r="C773" t="s">
        <v>49</v>
      </c>
      <c r="D773" t="s">
        <v>155</v>
      </c>
      <c r="E773" t="s">
        <v>157</v>
      </c>
      <c r="F773" t="s">
        <v>164</v>
      </c>
      <c r="G773" t="s">
        <v>126</v>
      </c>
      <c r="H773" t="s">
        <v>433</v>
      </c>
      <c r="I773" t="s">
        <v>32</v>
      </c>
      <c r="J773" t="s">
        <v>72</v>
      </c>
      <c r="K773">
        <f t="shared" si="2241"/>
        <v>1</v>
      </c>
      <c r="L773">
        <f t="shared" si="2242"/>
        <v>1</v>
      </c>
      <c r="M773">
        <f t="shared" si="2243"/>
        <v>0</v>
      </c>
      <c r="N773">
        <f t="shared" si="2244"/>
        <v>1</v>
      </c>
      <c r="O773">
        <f t="shared" si="2245"/>
        <v>3</v>
      </c>
      <c r="P773" t="str">
        <f t="shared" si="2246"/>
        <v>Large centralized electrolysis-Levelized cost</v>
      </c>
      <c r="Q773" t="str">
        <f t="shared" si="2247"/>
        <v>Central gas storage-Levelized cost</v>
      </c>
      <c r="R773" t="str">
        <f t="shared" si="2248"/>
        <v>Blending in natural gas pipeline-Levelized cost</v>
      </c>
      <c r="S773" t="str">
        <f t="shared" si="2249"/>
        <v>Prime power H2 fuel cell-Levelized cost</v>
      </c>
      <c r="T773">
        <f ca="1">IF(timePeriod="2020-30",(VLOOKUP($P773,'TA database'!$I$8:$J$79,2,FALSE)/VLOOKUP($D773,'Merit calculation'!$B$48:$I$52,5,FALSE)/VLOOKUP($E773,'Merit calculation'!$B$67:$I$73,5,FALSE)/VLOOKUP($F773,'Merit calculation'!$B$90:$I$103,5,FALSE)/energyContentH2),(VLOOKUP($P773,'TA database'!$I$8:$J$79,2,FALSE)/VLOOKUP($D773,'Merit calculation'!$B$48:$I$52,7,FALSE)/VLOOKUP($E773,'Merit calculation'!$B$67:$I$73,7,FALSE)/VLOOKUP($F773,'Merit calculation'!$B$90:$I$103,7,FALSE)/energyContentH2))</f>
        <v>3.4189603235007353E-2</v>
      </c>
      <c r="U773">
        <f ca="1">IF(timePeriod="2020-30",(VLOOKUP($Q773,'TA database'!$I$86:$J$105,2,FALSE)/VLOOKUP($E773,'Merit calculation'!$B$67:$I$73,5,FALSE)/VLOOKUP($F773,'Merit calculation'!$B$90:$I$104,5,FALSE)/energyContentH2),VLOOKUP($Q773,'TA database'!$I$86:$J$105,2,FALSE)/VLOOKUP($E773,'Merit calculation'!$B$67:$I$73,7,FALSE)/VLOOKUP($F773,'Merit calculation'!$B$90:$I$104,7,FALSE)/energyContentH2)</f>
        <v>1.1228609400435795E-3</v>
      </c>
      <c r="V773">
        <f ca="1">IF(timePeriod="2020-30",(VLOOKUP($R773,'TA database'!$I$112:$J$139,2,FALSE)/VLOOKUP($F773,'Merit calculation'!$B$90:$I$104,5,FALSE)/energyContentH2),(VLOOKUP($R773,'TA database'!$I$112:$J$139,2,FALSE)/VLOOKUP($F773,'Merit calculation'!$B$90:$I$104,7,FALSE)/energyContentH2))</f>
        <v>3.2178957719308462E-3</v>
      </c>
      <c r="W773">
        <f>IFERROR(VLOOKUP($S773,'TA database'!$I$146:$J$193,2,FALSE),0)</f>
        <v>0</v>
      </c>
      <c r="X773">
        <f ca="1">IFERROR(VLOOKUP($S773,'TA database'!$I$200:$J$271,2,FALSE),0)</f>
        <v>5.1494071531421985E-2</v>
      </c>
      <c r="Y773">
        <f t="shared" ca="1" si="2254"/>
        <v>0.1902033673405564</v>
      </c>
      <c r="Z773" t="str">
        <f t="shared" si="2250"/>
        <v>ELCTRLYZ_LRG_C   →   C_GAS_STRG   →   H2_BLND_NG_P   →   H2_FC_PWR</v>
      </c>
      <c r="AA773" t="str">
        <f t="shared" si="2251"/>
        <v>Onsite / Back-up power</v>
      </c>
      <c r="AB773" t="str">
        <f t="shared" si="2252"/>
        <v>Levelized cost</v>
      </c>
      <c r="AC773">
        <f t="shared" ca="1" si="2253"/>
        <v>0.1902033673405564</v>
      </c>
      <c r="AD773">
        <v>714</v>
      </c>
      <c r="AE773" t="str">
        <f>IF(AND(ISNUMBER(SEARCH(O773,4)),ISNUMBER(SEARCH('(4) FCH pathway assessment'!$B$16,AB773)),ISNUMBER(SEARCH('(4) FCH pathway assessment'!$B$10,AA773))),AD773,"")</f>
        <v/>
      </c>
      <c r="AF773" t="str">
        <f t="shared" si="2239"/>
        <v/>
      </c>
      <c r="AG773" t="str">
        <f>VLOOKUP(C773,Assumptions!$B$116:$C$162,2,FALSE)</f>
        <v>ELCTRLYZ_LRG_C</v>
      </c>
      <c r="AH773" t="str">
        <f>VLOOKUP(D773,Assumptions!$B$116:$C$162,2,FALSE)</f>
        <v>C_GAS_STRG</v>
      </c>
      <c r="AI773" t="str">
        <f>VLOOKUP(E773,Assumptions!$B$116:$C$162,2,FALSE)</f>
        <v>H2_BLND_NG_P</v>
      </c>
      <c r="AJ773" t="str">
        <f>VLOOKUP(F773,Assumptions!$B$116:$C$162,2,FALSE)</f>
        <v>H2_FC_PWR</v>
      </c>
    </row>
    <row r="774" spans="2:36" x14ac:dyDescent="0.25">
      <c r="B774" t="s">
        <v>112</v>
      </c>
      <c r="C774" t="s">
        <v>49</v>
      </c>
      <c r="D774" t="s">
        <v>155</v>
      </c>
      <c r="E774" t="s">
        <v>122</v>
      </c>
      <c r="F774" t="s">
        <v>164</v>
      </c>
      <c r="G774" t="s">
        <v>126</v>
      </c>
      <c r="H774" t="s">
        <v>433</v>
      </c>
      <c r="I774" t="s">
        <v>32</v>
      </c>
      <c r="J774" t="s">
        <v>72</v>
      </c>
      <c r="K774">
        <f t="shared" si="2241"/>
        <v>1</v>
      </c>
      <c r="L774">
        <f t="shared" si="2242"/>
        <v>1</v>
      </c>
      <c r="M774">
        <f t="shared" si="2243"/>
        <v>1</v>
      </c>
      <c r="N774">
        <f t="shared" si="2244"/>
        <v>1</v>
      </c>
      <c r="O774">
        <f t="shared" si="2245"/>
        <v>4</v>
      </c>
      <c r="P774" t="str">
        <f t="shared" si="2246"/>
        <v>Large centralized electrolysis-Levelized cost</v>
      </c>
      <c r="Q774" t="str">
        <f t="shared" si="2247"/>
        <v>Central gas storage-Levelized cost</v>
      </c>
      <c r="R774" t="str">
        <f t="shared" si="2248"/>
        <v>Hydrogen transmission &amp; distribution pipeline-Levelized cost</v>
      </c>
      <c r="S774" t="str">
        <f t="shared" si="2249"/>
        <v>Prime power H2 fuel cell-Levelized cost</v>
      </c>
      <c r="T774">
        <f ca="1">IF(timePeriod="2020-30",(VLOOKUP($P774,'TA database'!$I$8:$J$79,2,FALSE)/VLOOKUP($D774,'Merit calculation'!$B$48:$I$52,5,FALSE)/VLOOKUP($E774,'Merit calculation'!$B$67:$I$73,5,FALSE)/VLOOKUP($F774,'Merit calculation'!$B$90:$I$103,5,FALSE)/energyContentH2),(VLOOKUP($P774,'TA database'!$I$8:$J$79,2,FALSE)/VLOOKUP($D774,'Merit calculation'!$B$48:$I$52,7,FALSE)/VLOOKUP($E774,'Merit calculation'!$B$67:$I$73,7,FALSE)/VLOOKUP($F774,'Merit calculation'!$B$90:$I$103,7,FALSE)/energyContentH2))</f>
        <v>3.4189603235007353E-2</v>
      </c>
      <c r="U774">
        <f ca="1">IF(timePeriod="2020-30",(VLOOKUP($Q774,'TA database'!$I$86:$J$105,2,FALSE)/VLOOKUP($E774,'Merit calculation'!$B$67:$I$73,5,FALSE)/VLOOKUP($F774,'Merit calculation'!$B$90:$I$104,5,FALSE)/energyContentH2),VLOOKUP($Q774,'TA database'!$I$86:$J$105,2,FALSE)/VLOOKUP($E774,'Merit calculation'!$B$67:$I$73,7,FALSE)/VLOOKUP($F774,'Merit calculation'!$B$90:$I$104,7,FALSE)/energyContentH2)</f>
        <v>1.1228609400435795E-3</v>
      </c>
      <c r="V774">
        <f ca="1">IF(timePeriod="2020-30",(VLOOKUP($R774,'TA database'!$I$112:$J$139,2,FALSE)/VLOOKUP($F774,'Merit calculation'!$B$90:$I$104,5,FALSE)/energyContentH2),(VLOOKUP($R774,'TA database'!$I$112:$J$139,2,FALSE)/VLOOKUP($F774,'Merit calculation'!$B$90:$I$104,7,FALSE)/energyContentH2))</f>
        <v>5.9870576374260031E-3</v>
      </c>
      <c r="W774">
        <f>IFERROR(VLOOKUP($S774,'TA database'!$I$146:$J$193,2,FALSE),0)</f>
        <v>0</v>
      </c>
      <c r="X774">
        <f ca="1">IFERROR(VLOOKUP($S774,'TA database'!$I$200:$J$271,2,FALSE),0)</f>
        <v>5.1494071531421985E-2</v>
      </c>
      <c r="Y774">
        <f t="shared" ca="1" si="2254"/>
        <v>0.20017235005633896</v>
      </c>
      <c r="Z774" t="str">
        <f t="shared" si="2250"/>
        <v>ELCTRLYZ_LRG_C   →   C_GAS_STRG   →   H2_T&amp;D_P   →   H2_FC_PWR</v>
      </c>
      <c r="AA774" t="str">
        <f t="shared" si="2251"/>
        <v>Onsite / Back-up power</v>
      </c>
      <c r="AB774" t="str">
        <f t="shared" si="2252"/>
        <v>Levelized cost</v>
      </c>
      <c r="AC774">
        <f t="shared" ca="1" si="2253"/>
        <v>0.20017235005633896</v>
      </c>
      <c r="AD774">
        <v>715</v>
      </c>
      <c r="AE774" t="str">
        <f>IF(AND(ISNUMBER(SEARCH(O774,4)),ISNUMBER(SEARCH('(4) FCH pathway assessment'!$B$16,AB774)),ISNUMBER(SEARCH('(4) FCH pathway assessment'!$B$10,AA774))),AD774,"")</f>
        <v/>
      </c>
      <c r="AF774" t="str">
        <f t="shared" si="2239"/>
        <v/>
      </c>
      <c r="AG774" t="str">
        <f>VLOOKUP(C774,Assumptions!$B$116:$C$162,2,FALSE)</f>
        <v>ELCTRLYZ_LRG_C</v>
      </c>
      <c r="AH774" t="str">
        <f>VLOOKUP(D774,Assumptions!$B$116:$C$162,2,FALSE)</f>
        <v>C_GAS_STRG</v>
      </c>
      <c r="AI774" t="str">
        <f>VLOOKUP(E774,Assumptions!$B$116:$C$162,2,FALSE)</f>
        <v>H2_T&amp;D_P</v>
      </c>
      <c r="AJ774" t="str">
        <f>VLOOKUP(F774,Assumptions!$B$116:$C$162,2,FALSE)</f>
        <v>H2_FC_PWR</v>
      </c>
    </row>
    <row r="775" spans="2:36" x14ac:dyDescent="0.25">
      <c r="B775" t="s">
        <v>112</v>
      </c>
      <c r="C775" t="s">
        <v>49</v>
      </c>
      <c r="D775" t="s">
        <v>155</v>
      </c>
      <c r="E775" t="s">
        <v>66</v>
      </c>
      <c r="F775" t="s">
        <v>164</v>
      </c>
      <c r="G775" t="s">
        <v>126</v>
      </c>
      <c r="H775" t="s">
        <v>433</v>
      </c>
      <c r="I775" t="s">
        <v>32</v>
      </c>
      <c r="J775" t="s">
        <v>72</v>
      </c>
      <c r="K775">
        <f t="shared" si="2241"/>
        <v>1</v>
      </c>
      <c r="L775">
        <f t="shared" si="2242"/>
        <v>1</v>
      </c>
      <c r="M775">
        <f t="shared" si="2243"/>
        <v>1</v>
      </c>
      <c r="N775">
        <f t="shared" si="2244"/>
        <v>1</v>
      </c>
      <c r="O775">
        <f t="shared" si="2245"/>
        <v>4</v>
      </c>
      <c r="P775" t="str">
        <f t="shared" si="2246"/>
        <v>Large centralized electrolysis-Levelized cost</v>
      </c>
      <c r="Q775" t="str">
        <f t="shared" si="2247"/>
        <v>Central gas storage-Levelized cost</v>
      </c>
      <c r="R775" t="str">
        <f t="shared" si="2248"/>
        <v>Onsite-Levelized cost</v>
      </c>
      <c r="S775" t="str">
        <f t="shared" si="2249"/>
        <v>Prime power H2 fuel cell-Levelized cost</v>
      </c>
      <c r="T775">
        <f ca="1">IF(timePeriod="2020-30",(VLOOKUP($P775,'TA database'!$I$8:$J$79,2,FALSE)/VLOOKUP($D775,'Merit calculation'!$B$48:$I$52,5,FALSE)/VLOOKUP($E775,'Merit calculation'!$B$67:$I$73,5,FALSE)/VLOOKUP($F775,'Merit calculation'!$B$90:$I$103,5,FALSE)/energyContentH2),(VLOOKUP($P775,'TA database'!$I$8:$J$79,2,FALSE)/VLOOKUP($D775,'Merit calculation'!$B$48:$I$52,7,FALSE)/VLOOKUP($E775,'Merit calculation'!$B$67:$I$73,7,FALSE)/VLOOKUP($F775,'Merit calculation'!$B$90:$I$103,7,FALSE)/energyContentH2))</f>
        <v>3.3847707202657284E-2</v>
      </c>
      <c r="U775">
        <f ca="1">IF(timePeriod="2020-30",(VLOOKUP($Q775,'TA database'!$I$86:$J$105,2,FALSE)/VLOOKUP($E775,'Merit calculation'!$B$67:$I$73,5,FALSE)/VLOOKUP($F775,'Merit calculation'!$B$90:$I$104,5,FALSE)/energyContentH2),VLOOKUP($Q775,'TA database'!$I$86:$J$105,2,FALSE)/VLOOKUP($E775,'Merit calculation'!$B$67:$I$73,7,FALSE)/VLOOKUP($F775,'Merit calculation'!$B$90:$I$104,7,FALSE)/energyContentH2)</f>
        <v>1.1116323306431437E-3</v>
      </c>
      <c r="V775">
        <f ca="1">IF(timePeriod="2020-30",(VLOOKUP($R775,'TA database'!$I$112:$J$139,2,FALSE)/VLOOKUP($F775,'Merit calculation'!$B$90:$I$104,5,FALSE)/energyContentH2),(VLOOKUP($R775,'TA database'!$I$112:$J$139,2,FALSE)/VLOOKUP($F775,'Merit calculation'!$B$90:$I$104,7,FALSE)/energyContentH2))</f>
        <v>0</v>
      </c>
      <c r="W775">
        <f>IFERROR(VLOOKUP($S775,'TA database'!$I$146:$J$193,2,FALSE),0)</f>
        <v>0</v>
      </c>
      <c r="X775">
        <f ca="1">IFERROR(VLOOKUP($S775,'TA database'!$I$200:$J$271,2,FALSE),0)</f>
        <v>5.1494071531421985E-2</v>
      </c>
      <c r="Y775">
        <f t="shared" ca="1" si="2254"/>
        <v>0.17734769385130353</v>
      </c>
      <c r="Z775" t="str">
        <f t="shared" si="2250"/>
        <v>ELCTRLYZ_LRG_C   →   C_GAS_STRG   →   ONSITE_USE   →   H2_FC_PWR</v>
      </c>
      <c r="AA775" t="str">
        <f t="shared" si="2251"/>
        <v>Onsite / Back-up power</v>
      </c>
      <c r="AB775" t="str">
        <f t="shared" si="2252"/>
        <v>Levelized cost</v>
      </c>
      <c r="AC775">
        <f t="shared" ca="1" si="2253"/>
        <v>0.17734769385130353</v>
      </c>
      <c r="AD775">
        <v>716</v>
      </c>
      <c r="AE775" t="str">
        <f>IF(AND(ISNUMBER(SEARCH(O775,4)),ISNUMBER(SEARCH('(4) FCH pathway assessment'!$B$16,AB775)),ISNUMBER(SEARCH('(4) FCH pathway assessment'!$B$10,AA775))),AD775,"")</f>
        <v/>
      </c>
      <c r="AF775" t="str">
        <f t="shared" si="2239"/>
        <v/>
      </c>
      <c r="AG775" t="str">
        <f>VLOOKUP(C775,Assumptions!$B$116:$C$162,2,FALSE)</f>
        <v>ELCTRLYZ_LRG_C</v>
      </c>
      <c r="AH775" t="str">
        <f>VLOOKUP(D775,Assumptions!$B$116:$C$162,2,FALSE)</f>
        <v>C_GAS_STRG</v>
      </c>
      <c r="AI775" t="str">
        <f>VLOOKUP(E775,Assumptions!$B$116:$C$162,2,FALSE)</f>
        <v>ONSITE_USE</v>
      </c>
      <c r="AJ775" t="str">
        <f>VLOOKUP(F775,Assumptions!$B$116:$C$162,2,FALSE)</f>
        <v>H2_FC_PWR</v>
      </c>
    </row>
    <row r="776" spans="2:36" x14ac:dyDescent="0.25">
      <c r="B776" t="s">
        <v>112</v>
      </c>
      <c r="C776" t="s">
        <v>51</v>
      </c>
      <c r="D776" t="s">
        <v>155</v>
      </c>
      <c r="E776" t="s">
        <v>157</v>
      </c>
      <c r="F776" t="s">
        <v>164</v>
      </c>
      <c r="G776" t="s">
        <v>126</v>
      </c>
      <c r="H776" t="s">
        <v>433</v>
      </c>
      <c r="I776" t="s">
        <v>32</v>
      </c>
      <c r="J776" t="s">
        <v>72</v>
      </c>
      <c r="K776">
        <f t="shared" ref="K776:K778" si="2255">SUMPRODUCT(($C$7:$C$18=$C776)*($D$6:$H$6=$D776)*($D$7:$H$18))</f>
        <v>1</v>
      </c>
      <c r="L776">
        <f t="shared" ref="L776:L778" si="2256">SUMPRODUCT(($C$19:$C$23=$D776)*($I$6:$O$6=$E776)*($I$19:$O$23))</f>
        <v>1</v>
      </c>
      <c r="M776">
        <f t="shared" ref="M776:M778" si="2257">SUMPRODUCT(($C$24:$C$30=$E776)*($P$6:$AI$6=$F776)*($P$24:$AI$30))</f>
        <v>0</v>
      </c>
      <c r="N776">
        <f t="shared" ref="N776:N778" si="2258">SUMPRODUCT(($C$31:$C$50=$F776)*($AJ$6:$AM$6=$G776)*($AJ$31:$AM$50))</f>
        <v>1</v>
      </c>
      <c r="O776">
        <f t="shared" ref="O776:O778" si="2259">K776+L776+M776+N776</f>
        <v>3</v>
      </c>
      <c r="P776" t="str">
        <f t="shared" ref="P776:P778" si="2260">CONCATENATE(C776,"-",J776)</f>
        <v>Medium centralized electrolysis-Levelized cost</v>
      </c>
      <c r="Q776" t="str">
        <f t="shared" ref="Q776:Q778" si="2261">CONCATENATE(D776,"-",J776)</f>
        <v>Central gas storage-Levelized cost</v>
      </c>
      <c r="R776" t="str">
        <f t="shared" ref="R776:R778" si="2262">CONCATENATE(E776,"-",J776)</f>
        <v>Blending in natural gas pipeline-Levelized cost</v>
      </c>
      <c r="S776" t="str">
        <f t="shared" ref="S776:S778" si="2263">CONCATENATE(F776,"-",J776)</f>
        <v>Prime power H2 fuel cell-Levelized cost</v>
      </c>
      <c r="T776">
        <f ca="1">IF(timePeriod="2020-30",(VLOOKUP($P776,'TA database'!$I$8:$J$79,2,FALSE)/VLOOKUP($D776,'Merit calculation'!$B$48:$I$52,5,FALSE)/VLOOKUP($E776,'Merit calculation'!$B$67:$I$73,5,FALSE)/VLOOKUP($F776,'Merit calculation'!$B$90:$I$103,5,FALSE)/energyContentH2),(VLOOKUP($P776,'TA database'!$I$8:$J$79,2,FALSE)/VLOOKUP($D776,'Merit calculation'!$B$48:$I$52,7,FALSE)/VLOOKUP($E776,'Merit calculation'!$B$67:$I$73,7,FALSE)/VLOOKUP($F776,'Merit calculation'!$B$90:$I$103,7,FALSE)/energyContentH2))</f>
        <v>3.5616208906900614E-2</v>
      </c>
      <c r="U776">
        <f ca="1">IF(timePeriod="2020-30",(VLOOKUP($Q776,'TA database'!$I$86:$J$105,2,FALSE)/VLOOKUP($E776,'Merit calculation'!$B$67:$I$73,5,FALSE)/VLOOKUP($F776,'Merit calculation'!$B$90:$I$104,5,FALSE)/energyContentH2),VLOOKUP($Q776,'TA database'!$I$86:$J$105,2,FALSE)/VLOOKUP($E776,'Merit calculation'!$B$67:$I$73,7,FALSE)/VLOOKUP($F776,'Merit calculation'!$B$90:$I$104,7,FALSE)/energyContentH2)</f>
        <v>1.1228609400435795E-3</v>
      </c>
      <c r="V776">
        <f ca="1">IF(timePeriod="2020-30",(VLOOKUP($R776,'TA database'!$I$112:$J$139,2,FALSE)/VLOOKUP($F776,'Merit calculation'!$B$90:$I$104,5,FALSE)/energyContentH2),(VLOOKUP($R776,'TA database'!$I$112:$J$139,2,FALSE)/VLOOKUP($F776,'Merit calculation'!$B$90:$I$104,7,FALSE)/energyContentH2))</f>
        <v>3.2178957719308462E-3</v>
      </c>
      <c r="W776">
        <f>IFERROR(VLOOKUP($S776,'TA database'!$I$146:$J$193,2,FALSE),0)</f>
        <v>0</v>
      </c>
      <c r="X776">
        <f ca="1">IFERROR(VLOOKUP($S776,'TA database'!$I$200:$J$271,2,FALSE),0)</f>
        <v>5.1494071531421985E-2</v>
      </c>
      <c r="Y776">
        <f t="shared" ca="1" si="2254"/>
        <v>0.19533914775937217</v>
      </c>
      <c r="Z776" t="str">
        <f t="shared" ref="Z776:Z778" si="2264">CONCATENATE(AG776,"   →   ",AH776,"   →   ",AI776,"   →   ",AJ776)</f>
        <v>ELCTRLYZ_MED_C   →   C_GAS_STRG   →   H2_BLND_NG_P   →   H2_FC_PWR</v>
      </c>
      <c r="AA776" t="str">
        <f t="shared" ref="AA776:AA778" si="2265">G776</f>
        <v>Onsite / Back-up power</v>
      </c>
      <c r="AB776" t="str">
        <f t="shared" ref="AB776:AB778" si="2266">J776</f>
        <v>Levelized cost</v>
      </c>
      <c r="AC776">
        <f t="shared" ref="AC776:AC778" ca="1" si="2267">Y776</f>
        <v>0.19533914775937217</v>
      </c>
      <c r="AD776">
        <v>717</v>
      </c>
      <c r="AE776" t="str">
        <f>IF(AND(ISNUMBER(SEARCH(O776,4)),ISNUMBER(SEARCH('(4) FCH pathway assessment'!$B$16,AB776)),ISNUMBER(SEARCH('(4) FCH pathway assessment'!$B$10,AA776))),AD776,"")</f>
        <v/>
      </c>
      <c r="AF776" t="str">
        <f t="shared" si="2239"/>
        <v/>
      </c>
      <c r="AG776" t="str">
        <f>VLOOKUP(C776,Assumptions!$B$116:$C$162,2,FALSE)</f>
        <v>ELCTRLYZ_MED_C</v>
      </c>
      <c r="AH776" t="str">
        <f>VLOOKUP(D776,Assumptions!$B$116:$C$162,2,FALSE)</f>
        <v>C_GAS_STRG</v>
      </c>
      <c r="AI776" t="str">
        <f>VLOOKUP(E776,Assumptions!$B$116:$C$162,2,FALSE)</f>
        <v>H2_BLND_NG_P</v>
      </c>
      <c r="AJ776" t="str">
        <f>VLOOKUP(F776,Assumptions!$B$116:$C$162,2,FALSE)</f>
        <v>H2_FC_PWR</v>
      </c>
    </row>
    <row r="777" spans="2:36" x14ac:dyDescent="0.25">
      <c r="B777" t="s">
        <v>112</v>
      </c>
      <c r="C777" t="s">
        <v>51</v>
      </c>
      <c r="D777" t="s">
        <v>155</v>
      </c>
      <c r="E777" t="s">
        <v>122</v>
      </c>
      <c r="F777" t="s">
        <v>164</v>
      </c>
      <c r="G777" t="s">
        <v>126</v>
      </c>
      <c r="H777" t="s">
        <v>433</v>
      </c>
      <c r="I777" t="s">
        <v>32</v>
      </c>
      <c r="J777" t="s">
        <v>72</v>
      </c>
      <c r="K777">
        <f t="shared" si="2255"/>
        <v>1</v>
      </c>
      <c r="L777">
        <f t="shared" si="2256"/>
        <v>1</v>
      </c>
      <c r="M777">
        <f t="shared" si="2257"/>
        <v>1</v>
      </c>
      <c r="N777">
        <f t="shared" si="2258"/>
        <v>1</v>
      </c>
      <c r="O777">
        <f t="shared" si="2259"/>
        <v>4</v>
      </c>
      <c r="P777" t="str">
        <f t="shared" si="2260"/>
        <v>Medium centralized electrolysis-Levelized cost</v>
      </c>
      <c r="Q777" t="str">
        <f t="shared" si="2261"/>
        <v>Central gas storage-Levelized cost</v>
      </c>
      <c r="R777" t="str">
        <f t="shared" si="2262"/>
        <v>Hydrogen transmission &amp; distribution pipeline-Levelized cost</v>
      </c>
      <c r="S777" t="str">
        <f t="shared" si="2263"/>
        <v>Prime power H2 fuel cell-Levelized cost</v>
      </c>
      <c r="T777">
        <f ca="1">IF(timePeriod="2020-30",(VLOOKUP($P777,'TA database'!$I$8:$J$79,2,FALSE)/VLOOKUP($D777,'Merit calculation'!$B$48:$I$52,5,FALSE)/VLOOKUP($E777,'Merit calculation'!$B$67:$I$73,5,FALSE)/VLOOKUP($F777,'Merit calculation'!$B$90:$I$103,5,FALSE)/energyContentH2),(VLOOKUP($P777,'TA database'!$I$8:$J$79,2,FALSE)/VLOOKUP($D777,'Merit calculation'!$B$48:$I$52,7,FALSE)/VLOOKUP($E777,'Merit calculation'!$B$67:$I$73,7,FALSE)/VLOOKUP($F777,'Merit calculation'!$B$90:$I$103,7,FALSE)/energyContentH2))</f>
        <v>3.5616208906900614E-2</v>
      </c>
      <c r="U777">
        <f ca="1">IF(timePeriod="2020-30",(VLOOKUP($Q777,'TA database'!$I$86:$J$105,2,FALSE)/VLOOKUP($E777,'Merit calculation'!$B$67:$I$73,5,FALSE)/VLOOKUP($F777,'Merit calculation'!$B$90:$I$104,5,FALSE)/energyContentH2),VLOOKUP($Q777,'TA database'!$I$86:$J$105,2,FALSE)/VLOOKUP($E777,'Merit calculation'!$B$67:$I$73,7,FALSE)/VLOOKUP($F777,'Merit calculation'!$B$90:$I$104,7,FALSE)/energyContentH2)</f>
        <v>1.1228609400435795E-3</v>
      </c>
      <c r="V777">
        <f ca="1">IF(timePeriod="2020-30",(VLOOKUP($R777,'TA database'!$I$112:$J$139,2,FALSE)/VLOOKUP($F777,'Merit calculation'!$B$90:$I$104,5,FALSE)/energyContentH2),(VLOOKUP($R777,'TA database'!$I$112:$J$139,2,FALSE)/VLOOKUP($F777,'Merit calculation'!$B$90:$I$104,7,FALSE)/energyContentH2))</f>
        <v>5.9870576374260031E-3</v>
      </c>
      <c r="W777">
        <f>IFERROR(VLOOKUP($S777,'TA database'!$I$146:$J$193,2,FALSE),0)</f>
        <v>0</v>
      </c>
      <c r="X777">
        <f ca="1">IFERROR(VLOOKUP($S777,'TA database'!$I$200:$J$271,2,FALSE),0)</f>
        <v>5.1494071531421985E-2</v>
      </c>
      <c r="Y777">
        <f t="shared" ca="1" si="2254"/>
        <v>0.20530813047515473</v>
      </c>
      <c r="Z777" t="str">
        <f t="shared" si="2264"/>
        <v>ELCTRLYZ_MED_C   →   C_GAS_STRG   →   H2_T&amp;D_P   →   H2_FC_PWR</v>
      </c>
      <c r="AA777" t="str">
        <f t="shared" si="2265"/>
        <v>Onsite / Back-up power</v>
      </c>
      <c r="AB777" t="str">
        <f t="shared" si="2266"/>
        <v>Levelized cost</v>
      </c>
      <c r="AC777">
        <f t="shared" ca="1" si="2267"/>
        <v>0.20530813047515473</v>
      </c>
      <c r="AD777">
        <v>718</v>
      </c>
      <c r="AE777" t="str">
        <f>IF(AND(ISNUMBER(SEARCH(O777,4)),ISNUMBER(SEARCH('(4) FCH pathway assessment'!$B$16,AB777)),ISNUMBER(SEARCH('(4) FCH pathway assessment'!$B$10,AA777))),AD777,"")</f>
        <v/>
      </c>
      <c r="AF777" t="str">
        <f t="shared" si="2239"/>
        <v/>
      </c>
      <c r="AG777" t="str">
        <f>VLOOKUP(C777,Assumptions!$B$116:$C$162,2,FALSE)</f>
        <v>ELCTRLYZ_MED_C</v>
      </c>
      <c r="AH777" t="str">
        <f>VLOOKUP(D777,Assumptions!$B$116:$C$162,2,FALSE)</f>
        <v>C_GAS_STRG</v>
      </c>
      <c r="AI777" t="str">
        <f>VLOOKUP(E777,Assumptions!$B$116:$C$162,2,FALSE)</f>
        <v>H2_T&amp;D_P</v>
      </c>
      <c r="AJ777" t="str">
        <f>VLOOKUP(F777,Assumptions!$B$116:$C$162,2,FALSE)</f>
        <v>H2_FC_PWR</v>
      </c>
    </row>
    <row r="778" spans="2:36" x14ac:dyDescent="0.25">
      <c r="B778" t="s">
        <v>112</v>
      </c>
      <c r="C778" t="s">
        <v>51</v>
      </c>
      <c r="D778" t="s">
        <v>155</v>
      </c>
      <c r="E778" t="s">
        <v>66</v>
      </c>
      <c r="F778" t="s">
        <v>164</v>
      </c>
      <c r="G778" t="s">
        <v>126</v>
      </c>
      <c r="H778" t="s">
        <v>433</v>
      </c>
      <c r="I778" t="s">
        <v>32</v>
      </c>
      <c r="J778" t="s">
        <v>72</v>
      </c>
      <c r="K778">
        <f t="shared" si="2255"/>
        <v>1</v>
      </c>
      <c r="L778">
        <f t="shared" si="2256"/>
        <v>1</v>
      </c>
      <c r="M778">
        <f t="shared" si="2257"/>
        <v>1</v>
      </c>
      <c r="N778">
        <f t="shared" si="2258"/>
        <v>1</v>
      </c>
      <c r="O778">
        <f t="shared" si="2259"/>
        <v>4</v>
      </c>
      <c r="P778" t="str">
        <f t="shared" si="2260"/>
        <v>Medium centralized electrolysis-Levelized cost</v>
      </c>
      <c r="Q778" t="str">
        <f t="shared" si="2261"/>
        <v>Central gas storage-Levelized cost</v>
      </c>
      <c r="R778" t="str">
        <f t="shared" si="2262"/>
        <v>Onsite-Levelized cost</v>
      </c>
      <c r="S778" t="str">
        <f t="shared" si="2263"/>
        <v>Prime power H2 fuel cell-Levelized cost</v>
      </c>
      <c r="T778">
        <f ca="1">IF(timePeriod="2020-30",(VLOOKUP($P778,'TA database'!$I$8:$J$79,2,FALSE)/VLOOKUP($D778,'Merit calculation'!$B$48:$I$52,5,FALSE)/VLOOKUP($E778,'Merit calculation'!$B$67:$I$73,5,FALSE)/VLOOKUP($F778,'Merit calculation'!$B$90:$I$103,5,FALSE)/energyContentH2),(VLOOKUP($P778,'TA database'!$I$8:$J$79,2,FALSE)/VLOOKUP($D778,'Merit calculation'!$B$48:$I$52,7,FALSE)/VLOOKUP($E778,'Merit calculation'!$B$67:$I$73,7,FALSE)/VLOOKUP($F778,'Merit calculation'!$B$90:$I$103,7,FALSE)/energyContentH2))</f>
        <v>3.5260046817831611E-2</v>
      </c>
      <c r="U778">
        <f ca="1">IF(timePeriod="2020-30",(VLOOKUP($Q778,'TA database'!$I$86:$J$105,2,FALSE)/VLOOKUP($E778,'Merit calculation'!$B$67:$I$73,5,FALSE)/VLOOKUP($F778,'Merit calculation'!$B$90:$I$104,5,FALSE)/energyContentH2),VLOOKUP($Q778,'TA database'!$I$86:$J$105,2,FALSE)/VLOOKUP($E778,'Merit calculation'!$B$67:$I$73,7,FALSE)/VLOOKUP($F778,'Merit calculation'!$B$90:$I$104,7,FALSE)/energyContentH2)</f>
        <v>1.1116323306431437E-3</v>
      </c>
      <c r="V778">
        <f ca="1">IF(timePeriod="2020-30",(VLOOKUP($R778,'TA database'!$I$112:$J$139,2,FALSE)/VLOOKUP($F778,'Merit calculation'!$B$90:$I$104,5,FALSE)/energyContentH2),(VLOOKUP($R778,'TA database'!$I$112:$J$139,2,FALSE)/VLOOKUP($F778,'Merit calculation'!$B$90:$I$104,7,FALSE)/energyContentH2))</f>
        <v>0</v>
      </c>
      <c r="W778">
        <f>IFERROR(VLOOKUP($S778,'TA database'!$I$146:$J$193,2,FALSE),0)</f>
        <v>0</v>
      </c>
      <c r="X778">
        <f ca="1">IFERROR(VLOOKUP($S778,'TA database'!$I$200:$J$271,2,FALSE),0)</f>
        <v>5.1494071531421985E-2</v>
      </c>
      <c r="Y778">
        <f t="shared" ca="1" si="2254"/>
        <v>0.18243211646593113</v>
      </c>
      <c r="Z778" t="str">
        <f t="shared" si="2264"/>
        <v>ELCTRLYZ_MED_C   →   C_GAS_STRG   →   ONSITE_USE   →   H2_FC_PWR</v>
      </c>
      <c r="AA778" t="str">
        <f t="shared" si="2265"/>
        <v>Onsite / Back-up power</v>
      </c>
      <c r="AB778" t="str">
        <f t="shared" si="2266"/>
        <v>Levelized cost</v>
      </c>
      <c r="AC778">
        <f t="shared" ca="1" si="2267"/>
        <v>0.18243211646593113</v>
      </c>
      <c r="AD778">
        <v>719</v>
      </c>
      <c r="AE778" t="str">
        <f>IF(AND(ISNUMBER(SEARCH(O778,4)),ISNUMBER(SEARCH('(4) FCH pathway assessment'!$B$16,AB778)),ISNUMBER(SEARCH('(4) FCH pathway assessment'!$B$10,AA778))),AD778,"")</f>
        <v/>
      </c>
      <c r="AF778" t="str">
        <f t="shared" si="2239"/>
        <v/>
      </c>
      <c r="AG778" t="str">
        <f>VLOOKUP(C778,Assumptions!$B$116:$C$162,2,FALSE)</f>
        <v>ELCTRLYZ_MED_C</v>
      </c>
      <c r="AH778" t="str">
        <f>VLOOKUP(D778,Assumptions!$B$116:$C$162,2,FALSE)</f>
        <v>C_GAS_STRG</v>
      </c>
      <c r="AI778" t="str">
        <f>VLOOKUP(E778,Assumptions!$B$116:$C$162,2,FALSE)</f>
        <v>ONSITE_USE</v>
      </c>
      <c r="AJ778" t="str">
        <f>VLOOKUP(F778,Assumptions!$B$116:$C$162,2,FALSE)</f>
        <v>H2_FC_PWR</v>
      </c>
    </row>
    <row r="779" spans="2:36" x14ac:dyDescent="0.25">
      <c r="B779" t="s">
        <v>112</v>
      </c>
      <c r="C779" t="s">
        <v>52</v>
      </c>
      <c r="D779" s="60" t="s">
        <v>130</v>
      </c>
      <c r="E779" t="s">
        <v>66</v>
      </c>
      <c r="F779" t="s">
        <v>164</v>
      </c>
      <c r="G779" t="s">
        <v>126</v>
      </c>
      <c r="H779" t="s">
        <v>433</v>
      </c>
      <c r="I779" t="s">
        <v>32</v>
      </c>
      <c r="J779" t="s">
        <v>72</v>
      </c>
      <c r="K779">
        <f t="shared" ref="K779:K783" si="2268">SUMPRODUCT(($C$7:$C$18=$C779)*($D$6:$H$6=$D779)*($D$7:$H$18))</f>
        <v>1</v>
      </c>
      <c r="L779">
        <f t="shared" ref="L779:L783" si="2269">SUMPRODUCT(($C$19:$C$23=$D779)*($I$6:$O$6=$E779)*($I$19:$O$23))</f>
        <v>1</v>
      </c>
      <c r="M779">
        <f t="shared" ref="M779:M783" si="2270">SUMPRODUCT(($C$24:$C$30=$E779)*($P$6:$AI$6=$F779)*($P$24:$AI$30))</f>
        <v>1</v>
      </c>
      <c r="N779">
        <f t="shared" ref="N779:N783" si="2271">SUMPRODUCT(($C$31:$C$50=$F779)*($AJ$6:$AM$6=$G779)*($AJ$31:$AM$50))</f>
        <v>1</v>
      </c>
      <c r="O779">
        <f t="shared" ref="O779:O783" si="2272">K779+L779+M779+N779</f>
        <v>4</v>
      </c>
      <c r="P779" t="str">
        <f t="shared" ref="P779:P783" si="2273">CONCATENATE(C779,"-",J779)</f>
        <v>Small decentralized electrolysis-Levelized cost</v>
      </c>
      <c r="Q779" t="str">
        <f t="shared" ref="Q779:Q783" si="2274">CONCATENATE(D779,"-",J779)</f>
        <v>Distributed gas storage-Levelized cost</v>
      </c>
      <c r="R779" t="str">
        <f t="shared" ref="R779:R783" si="2275">CONCATENATE(E779,"-",J779)</f>
        <v>Onsite-Levelized cost</v>
      </c>
      <c r="S779" t="str">
        <f t="shared" ref="S779:S783" si="2276">CONCATENATE(F779,"-",J779)</f>
        <v>Prime power H2 fuel cell-Levelized cost</v>
      </c>
      <c r="T779">
        <f ca="1">IF(timePeriod="2020-30",(VLOOKUP($P779,'TA database'!$I$8:$J$79,2,FALSE)/VLOOKUP($D779,'Merit calculation'!$B$48:$I$52,5,FALSE)/VLOOKUP($E779,'Merit calculation'!$B$67:$I$73,5,FALSE)/VLOOKUP($F779,'Merit calculation'!$B$90:$I$103,5,FALSE)/energyContentH2),(VLOOKUP($P779,'TA database'!$I$8:$J$79,2,FALSE)/VLOOKUP($D779,'Merit calculation'!$B$48:$I$52,7,FALSE)/VLOOKUP($E779,'Merit calculation'!$B$67:$I$73,7,FALSE)/VLOOKUP($F779,'Merit calculation'!$B$90:$I$103,7,FALSE)/energyContentH2))</f>
        <v>3.9393229048095266E-2</v>
      </c>
      <c r="U779">
        <f ca="1">IF(timePeriod="2020-30",(VLOOKUP($Q779,'TA database'!$I$86:$J$105,2,FALSE)/VLOOKUP($E779,'Merit calculation'!$B$67:$I$73,5,FALSE)/VLOOKUP($F779,'Merit calculation'!$B$90:$I$104,5,FALSE)/energyContentH2),VLOOKUP($Q779,'TA database'!$I$86:$J$105,2,FALSE)/VLOOKUP($E779,'Merit calculation'!$B$67:$I$73,7,FALSE)/VLOOKUP($F779,'Merit calculation'!$B$90:$I$104,7,FALSE)/energyContentH2)</f>
        <v>1.9762352544767004E-3</v>
      </c>
      <c r="V779">
        <f ca="1">IF(timePeriod="2020-30",(VLOOKUP($R779,'TA database'!$I$112:$J$139,2,FALSE)/VLOOKUP($F779,'Merit calculation'!$B$90:$I$104,5,FALSE)/energyContentH2),(VLOOKUP($R779,'TA database'!$I$112:$J$139,2,FALSE)/VLOOKUP($F779,'Merit calculation'!$B$90:$I$104,7,FALSE)/energyContentH2))</f>
        <v>0</v>
      </c>
      <c r="W779">
        <f>IFERROR(VLOOKUP($S779,'TA database'!$I$146:$J$193,2,FALSE),0)</f>
        <v>0</v>
      </c>
      <c r="X779">
        <f ca="1">IFERROR(VLOOKUP($S779,'TA database'!$I$200:$J$271,2,FALSE),0)</f>
        <v>5.1494071531421985E-2</v>
      </c>
      <c r="Y779">
        <f t="shared" ref="Y779:Y782" ca="1" si="2277">IF($W779=0,T779*3.6+U779*3.6+V779*3.6+X779,T779+U779+V779+W779)</f>
        <v>0.20042414302068107</v>
      </c>
      <c r="Z779" t="str">
        <f t="shared" ref="Z779:Z783" si="2278">CONCATENATE(AG779,"   →   ",AH779,"   →   ",AI779,"   →   ",AJ779)</f>
        <v>ELCTRLYZ_SML_D   →   D_GAS_STRG   →   ONSITE_USE   →   H2_FC_PWR</v>
      </c>
      <c r="AA779" t="str">
        <f t="shared" ref="AA779:AA783" si="2279">G779</f>
        <v>Onsite / Back-up power</v>
      </c>
      <c r="AB779" t="str">
        <f t="shared" ref="AB779:AB783" si="2280">J779</f>
        <v>Levelized cost</v>
      </c>
      <c r="AC779">
        <f t="shared" ref="AC779:AC783" ca="1" si="2281">Y779</f>
        <v>0.20042414302068107</v>
      </c>
      <c r="AD779">
        <v>720</v>
      </c>
      <c r="AE779" t="str">
        <f>IF(AND(ISNUMBER(SEARCH(O779,4)),ISNUMBER(SEARCH('(4) FCH pathway assessment'!$B$16,AB779)),ISNUMBER(SEARCH('(4) FCH pathway assessment'!$B$10,AA779))),AD779,"")</f>
        <v/>
      </c>
      <c r="AF779" t="str">
        <f t="shared" si="2239"/>
        <v/>
      </c>
      <c r="AG779" t="str">
        <f>VLOOKUP(C779,Assumptions!$B$116:$C$162,2,FALSE)</f>
        <v>ELCTRLYZ_SML_D</v>
      </c>
      <c r="AH779" t="str">
        <f>VLOOKUP(D779,Assumptions!$B$116:$C$162,2,FALSE)</f>
        <v>D_GAS_STRG</v>
      </c>
      <c r="AI779" t="str">
        <f>VLOOKUP(E779,Assumptions!$B$116:$C$162,2,FALSE)</f>
        <v>ONSITE_USE</v>
      </c>
      <c r="AJ779" t="str">
        <f>VLOOKUP(F779,Assumptions!$B$116:$C$162,2,FALSE)</f>
        <v>H2_FC_PWR</v>
      </c>
    </row>
    <row r="780" spans="2:36" x14ac:dyDescent="0.25">
      <c r="B780" t="s">
        <v>127</v>
      </c>
      <c r="C780" t="s">
        <v>57</v>
      </c>
      <c r="D780" t="s">
        <v>62</v>
      </c>
      <c r="E780" t="s">
        <v>157</v>
      </c>
      <c r="F780" t="s">
        <v>164</v>
      </c>
      <c r="G780" t="s">
        <v>126</v>
      </c>
      <c r="H780" t="s">
        <v>433</v>
      </c>
      <c r="I780" t="s">
        <v>32</v>
      </c>
      <c r="J780" t="s">
        <v>72</v>
      </c>
      <c r="K780">
        <f t="shared" si="2268"/>
        <v>1</v>
      </c>
      <c r="L780">
        <f t="shared" si="2269"/>
        <v>0</v>
      </c>
      <c r="M780">
        <f t="shared" si="2270"/>
        <v>0</v>
      </c>
      <c r="N780">
        <f t="shared" si="2271"/>
        <v>1</v>
      </c>
      <c r="O780">
        <f t="shared" si="2272"/>
        <v>2</v>
      </c>
      <c r="P780" t="str">
        <f t="shared" si="2273"/>
        <v>Large centralized natural gas steam reforming-Levelized cost</v>
      </c>
      <c r="Q780" t="str">
        <f t="shared" si="2274"/>
        <v>Underground storage-Levelized cost</v>
      </c>
      <c r="R780" t="str">
        <f t="shared" si="2275"/>
        <v>Blending in natural gas pipeline-Levelized cost</v>
      </c>
      <c r="S780" t="str">
        <f t="shared" si="2276"/>
        <v>Prime power H2 fuel cell-Levelized cost</v>
      </c>
      <c r="T780">
        <f ca="1">IF(timePeriod="2020-30",(VLOOKUP($P780,'TA database'!$I$8:$J$79,2,FALSE)/VLOOKUP($D780,'Merit calculation'!$B$48:$I$52,5,FALSE)/VLOOKUP($E780,'Merit calculation'!$B$67:$I$73,5,FALSE)/VLOOKUP($F780,'Merit calculation'!$B$90:$I$103,5,FALSE)/energyContentH2),(VLOOKUP($P780,'TA database'!$I$8:$J$79,2,FALSE)/VLOOKUP($D780,'Merit calculation'!$B$48:$I$52,7,FALSE)/VLOOKUP($E780,'Merit calculation'!$B$67:$I$73,7,FALSE)/VLOOKUP($F780,'Merit calculation'!$B$90:$I$103,7,FALSE)/energyContentH2))</f>
        <v>7.8121277022295127E-2</v>
      </c>
      <c r="U780">
        <f ca="1">IF(timePeriod="2020-30",(VLOOKUP($Q780,'TA database'!$I$86:$J$105,2,FALSE)/VLOOKUP($E780,'Merit calculation'!$B$67:$I$73,5,FALSE)/VLOOKUP($F780,'Merit calculation'!$B$90:$I$104,5,FALSE)/energyContentH2),VLOOKUP($Q780,'TA database'!$I$86:$J$105,2,FALSE)/VLOOKUP($E780,'Merit calculation'!$B$67:$I$73,7,FALSE)/VLOOKUP($F780,'Merit calculation'!$B$90:$I$104,7,FALSE)/energyContentH2)</f>
        <v>2.2364802262596405E-4</v>
      </c>
      <c r="V780">
        <f ca="1">IF(timePeriod="2020-30",(VLOOKUP($R780,'TA database'!$I$112:$J$139,2,FALSE)/VLOOKUP($F780,'Merit calculation'!$B$90:$I$104,5,FALSE)/energyContentH2),(VLOOKUP($R780,'TA database'!$I$112:$J$139,2,FALSE)/VLOOKUP($F780,'Merit calculation'!$B$90:$I$104,7,FALSE)/energyContentH2))</f>
        <v>3.2178957719308462E-3</v>
      </c>
      <c r="W780">
        <f>IFERROR(VLOOKUP($S780,'TA database'!$I$146:$J$193,2,FALSE),0)</f>
        <v>0</v>
      </c>
      <c r="X780">
        <f ca="1">IFERROR(VLOOKUP($S780,'TA database'!$I$200:$J$271,2,FALSE),0)</f>
        <v>5.1494071531421985E-2</v>
      </c>
      <c r="Y780">
        <f t="shared" ca="1" si="2277"/>
        <v>0.34512022647208895</v>
      </c>
      <c r="Z780" t="str">
        <f t="shared" si="2278"/>
        <v>NG_SR_LRG_C   →   C_UNDRGRND_STRG   →   H2_BLND_NG_P   →   H2_FC_PWR</v>
      </c>
      <c r="AA780" t="str">
        <f t="shared" si="2279"/>
        <v>Onsite / Back-up power</v>
      </c>
      <c r="AB780" t="str">
        <f t="shared" si="2280"/>
        <v>Levelized cost</v>
      </c>
      <c r="AC780">
        <f t="shared" ca="1" si="2281"/>
        <v>0.34512022647208895</v>
      </c>
      <c r="AD780">
        <v>721</v>
      </c>
      <c r="AE780" t="str">
        <f>IF(AND(ISNUMBER(SEARCH(O780,4)),ISNUMBER(SEARCH('(4) FCH pathway assessment'!$B$16,AB780)),ISNUMBER(SEARCH('(4) FCH pathway assessment'!$B$10,AA780))),AD780,"")</f>
        <v/>
      </c>
      <c r="AF780" t="str">
        <f t="shared" si="2239"/>
        <v/>
      </c>
      <c r="AG780" t="str">
        <f>VLOOKUP(C780,Assumptions!$B$116:$C$162,2,FALSE)</f>
        <v>NG_SR_LRG_C</v>
      </c>
      <c r="AH780" t="str">
        <f>VLOOKUP(D780,Assumptions!$B$116:$C$162,2,FALSE)</f>
        <v>C_UNDRGRND_STRG</v>
      </c>
      <c r="AI780" t="str">
        <f>VLOOKUP(E780,Assumptions!$B$116:$C$162,2,FALSE)</f>
        <v>H2_BLND_NG_P</v>
      </c>
      <c r="AJ780" t="str">
        <f>VLOOKUP(F780,Assumptions!$B$116:$C$162,2,FALSE)</f>
        <v>H2_FC_PWR</v>
      </c>
    </row>
    <row r="781" spans="2:36" x14ac:dyDescent="0.25">
      <c r="B781" t="s">
        <v>127</v>
      </c>
      <c r="C781" t="s">
        <v>57</v>
      </c>
      <c r="D781" t="s">
        <v>62</v>
      </c>
      <c r="E781" t="s">
        <v>122</v>
      </c>
      <c r="F781" t="s">
        <v>164</v>
      </c>
      <c r="G781" t="s">
        <v>126</v>
      </c>
      <c r="H781" t="s">
        <v>433</v>
      </c>
      <c r="I781" t="s">
        <v>32</v>
      </c>
      <c r="J781" t="s">
        <v>72</v>
      </c>
      <c r="K781">
        <f t="shared" si="2268"/>
        <v>1</v>
      </c>
      <c r="L781">
        <f t="shared" si="2269"/>
        <v>0</v>
      </c>
      <c r="M781">
        <f t="shared" si="2270"/>
        <v>1</v>
      </c>
      <c r="N781">
        <f t="shared" si="2271"/>
        <v>1</v>
      </c>
      <c r="O781">
        <f t="shared" si="2272"/>
        <v>3</v>
      </c>
      <c r="P781" t="str">
        <f t="shared" si="2273"/>
        <v>Large centralized natural gas steam reforming-Levelized cost</v>
      </c>
      <c r="Q781" t="str">
        <f t="shared" si="2274"/>
        <v>Underground storage-Levelized cost</v>
      </c>
      <c r="R781" t="str">
        <f t="shared" si="2275"/>
        <v>Hydrogen transmission &amp; distribution pipeline-Levelized cost</v>
      </c>
      <c r="S781" t="str">
        <f t="shared" si="2276"/>
        <v>Prime power H2 fuel cell-Levelized cost</v>
      </c>
      <c r="T781">
        <f ca="1">IF(timePeriod="2020-30",(VLOOKUP($P781,'TA database'!$I$8:$J$79,2,FALSE)/VLOOKUP($D781,'Merit calculation'!$B$48:$I$52,5,FALSE)/VLOOKUP($E781,'Merit calculation'!$B$67:$I$73,5,FALSE)/VLOOKUP($F781,'Merit calculation'!$B$90:$I$103,5,FALSE)/energyContentH2),(VLOOKUP($P781,'TA database'!$I$8:$J$79,2,FALSE)/VLOOKUP($D781,'Merit calculation'!$B$48:$I$52,7,FALSE)/VLOOKUP($E781,'Merit calculation'!$B$67:$I$73,7,FALSE)/VLOOKUP($F781,'Merit calculation'!$B$90:$I$103,7,FALSE)/energyContentH2))</f>
        <v>7.8121277022295127E-2</v>
      </c>
      <c r="U781">
        <f ca="1">IF(timePeriod="2020-30",(VLOOKUP($Q781,'TA database'!$I$86:$J$105,2,FALSE)/VLOOKUP($E781,'Merit calculation'!$B$67:$I$73,5,FALSE)/VLOOKUP($F781,'Merit calculation'!$B$90:$I$104,5,FALSE)/energyContentH2),VLOOKUP($Q781,'TA database'!$I$86:$J$105,2,FALSE)/VLOOKUP($E781,'Merit calculation'!$B$67:$I$73,7,FALSE)/VLOOKUP($F781,'Merit calculation'!$B$90:$I$104,7,FALSE)/energyContentH2)</f>
        <v>2.2364802262596405E-4</v>
      </c>
      <c r="V781">
        <f ca="1">IF(timePeriod="2020-30",(VLOOKUP($R781,'TA database'!$I$112:$J$139,2,FALSE)/VLOOKUP($F781,'Merit calculation'!$B$90:$I$104,5,FALSE)/energyContentH2),(VLOOKUP($R781,'TA database'!$I$112:$J$139,2,FALSE)/VLOOKUP($F781,'Merit calculation'!$B$90:$I$104,7,FALSE)/energyContentH2))</f>
        <v>5.9870576374260031E-3</v>
      </c>
      <c r="W781">
        <f>IFERROR(VLOOKUP($S781,'TA database'!$I$146:$J$193,2,FALSE),0)</f>
        <v>0</v>
      </c>
      <c r="X781">
        <f ca="1">IFERROR(VLOOKUP($S781,'TA database'!$I$200:$J$271,2,FALSE),0)</f>
        <v>5.1494071531421985E-2</v>
      </c>
      <c r="Y781">
        <f t="shared" ca="1" si="2277"/>
        <v>0.35508920918787151</v>
      </c>
      <c r="Z781" t="str">
        <f t="shared" si="2278"/>
        <v>NG_SR_LRG_C   →   C_UNDRGRND_STRG   →   H2_T&amp;D_P   →   H2_FC_PWR</v>
      </c>
      <c r="AA781" t="str">
        <f t="shared" si="2279"/>
        <v>Onsite / Back-up power</v>
      </c>
      <c r="AB781" t="str">
        <f t="shared" si="2280"/>
        <v>Levelized cost</v>
      </c>
      <c r="AC781">
        <f t="shared" ca="1" si="2281"/>
        <v>0.35508920918787151</v>
      </c>
      <c r="AD781">
        <v>722</v>
      </c>
      <c r="AE781" t="str">
        <f>IF(AND(ISNUMBER(SEARCH(O781,4)),ISNUMBER(SEARCH('(4) FCH pathway assessment'!$B$16,AB781)),ISNUMBER(SEARCH('(4) FCH pathway assessment'!$B$10,AA781))),AD781,"")</f>
        <v/>
      </c>
      <c r="AF781" t="str">
        <f t="shared" si="2239"/>
        <v/>
      </c>
      <c r="AG781" t="str">
        <f>VLOOKUP(C781,Assumptions!$B$116:$C$162,2,FALSE)</f>
        <v>NG_SR_LRG_C</v>
      </c>
      <c r="AH781" t="str">
        <f>VLOOKUP(D781,Assumptions!$B$116:$C$162,2,FALSE)</f>
        <v>C_UNDRGRND_STRG</v>
      </c>
      <c r="AI781" t="str">
        <f>VLOOKUP(E781,Assumptions!$B$116:$C$162,2,FALSE)</f>
        <v>H2_T&amp;D_P</v>
      </c>
      <c r="AJ781" t="str">
        <f>VLOOKUP(F781,Assumptions!$B$116:$C$162,2,FALSE)</f>
        <v>H2_FC_PWR</v>
      </c>
    </row>
    <row r="782" spans="2:36" x14ac:dyDescent="0.25">
      <c r="B782" t="s">
        <v>127</v>
      </c>
      <c r="C782" t="s">
        <v>57</v>
      </c>
      <c r="D782" t="s">
        <v>62</v>
      </c>
      <c r="E782" t="s">
        <v>66</v>
      </c>
      <c r="F782" t="s">
        <v>164</v>
      </c>
      <c r="G782" t="s">
        <v>126</v>
      </c>
      <c r="H782" t="s">
        <v>433</v>
      </c>
      <c r="I782" t="s">
        <v>32</v>
      </c>
      <c r="J782" t="s">
        <v>72</v>
      </c>
      <c r="K782">
        <f t="shared" si="2268"/>
        <v>1</v>
      </c>
      <c r="L782">
        <f t="shared" si="2269"/>
        <v>0</v>
      </c>
      <c r="M782">
        <f t="shared" si="2270"/>
        <v>1</v>
      </c>
      <c r="N782">
        <f t="shared" si="2271"/>
        <v>1</v>
      </c>
      <c r="O782">
        <f t="shared" si="2272"/>
        <v>3</v>
      </c>
      <c r="P782" t="str">
        <f t="shared" si="2273"/>
        <v>Large centralized natural gas steam reforming-Levelized cost</v>
      </c>
      <c r="Q782" t="str">
        <f t="shared" si="2274"/>
        <v>Underground storage-Levelized cost</v>
      </c>
      <c r="R782" t="str">
        <f t="shared" si="2275"/>
        <v>Onsite-Levelized cost</v>
      </c>
      <c r="S782" t="str">
        <f t="shared" si="2276"/>
        <v>Prime power H2 fuel cell-Levelized cost</v>
      </c>
      <c r="T782">
        <f ca="1">IF(timePeriod="2020-30",(VLOOKUP($P782,'TA database'!$I$8:$J$79,2,FALSE)/VLOOKUP($D782,'Merit calculation'!$B$48:$I$52,5,FALSE)/VLOOKUP($E782,'Merit calculation'!$B$67:$I$73,5,FALSE)/VLOOKUP($F782,'Merit calculation'!$B$90:$I$103,5,FALSE)/energyContentH2),(VLOOKUP($P782,'TA database'!$I$8:$J$79,2,FALSE)/VLOOKUP($D782,'Merit calculation'!$B$48:$I$52,7,FALSE)/VLOOKUP($E782,'Merit calculation'!$B$67:$I$73,7,FALSE)/VLOOKUP($F782,'Merit calculation'!$B$90:$I$103,7,FALSE)/energyContentH2))</f>
        <v>7.7340064252072155E-2</v>
      </c>
      <c r="U782">
        <f ca="1">IF(timePeriod="2020-30",(VLOOKUP($Q782,'TA database'!$I$86:$J$105,2,FALSE)/VLOOKUP($E782,'Merit calculation'!$B$67:$I$73,5,FALSE)/VLOOKUP($F782,'Merit calculation'!$B$90:$I$104,5,FALSE)/energyContentH2),VLOOKUP($Q782,'TA database'!$I$86:$J$105,2,FALSE)/VLOOKUP($E782,'Merit calculation'!$B$67:$I$73,7,FALSE)/VLOOKUP($F782,'Merit calculation'!$B$90:$I$104,7,FALSE)/energyContentH2)</f>
        <v>2.2141154239970441E-4</v>
      </c>
      <c r="V782">
        <f ca="1">IF(timePeriod="2020-30",(VLOOKUP($R782,'TA database'!$I$112:$J$139,2,FALSE)/VLOOKUP($F782,'Merit calculation'!$B$90:$I$104,5,FALSE)/energyContentH2),(VLOOKUP($R782,'TA database'!$I$112:$J$139,2,FALSE)/VLOOKUP($F782,'Merit calculation'!$B$90:$I$104,7,FALSE)/energyContentH2))</f>
        <v>0</v>
      </c>
      <c r="W782">
        <f>IFERROR(VLOOKUP($S782,'TA database'!$I$146:$J$193,2,FALSE),0)</f>
        <v>0</v>
      </c>
      <c r="X782">
        <f ca="1">IFERROR(VLOOKUP($S782,'TA database'!$I$200:$J$271,2,FALSE),0)</f>
        <v>5.1494071531421985E-2</v>
      </c>
      <c r="Y782">
        <f t="shared" ca="1" si="2277"/>
        <v>0.33071538439152065</v>
      </c>
      <c r="Z782" t="str">
        <f t="shared" si="2278"/>
        <v>NG_SR_LRG_C   →   C_UNDRGRND_STRG   →   ONSITE_USE   →   H2_FC_PWR</v>
      </c>
      <c r="AA782" t="str">
        <f t="shared" si="2279"/>
        <v>Onsite / Back-up power</v>
      </c>
      <c r="AB782" t="str">
        <f t="shared" si="2280"/>
        <v>Levelized cost</v>
      </c>
      <c r="AC782">
        <f t="shared" ca="1" si="2281"/>
        <v>0.33071538439152065</v>
      </c>
      <c r="AD782">
        <v>723</v>
      </c>
      <c r="AE782" t="str">
        <f>IF(AND(ISNUMBER(SEARCH(O782,4)),ISNUMBER(SEARCH('(4) FCH pathway assessment'!$B$16,AB782)),ISNUMBER(SEARCH('(4) FCH pathway assessment'!$B$10,AA782))),AD782,"")</f>
        <v/>
      </c>
      <c r="AF782" t="str">
        <f t="shared" si="2239"/>
        <v/>
      </c>
      <c r="AG782" t="str">
        <f>VLOOKUP(C782,Assumptions!$B$116:$C$162,2,FALSE)</f>
        <v>NG_SR_LRG_C</v>
      </c>
      <c r="AH782" t="str">
        <f>VLOOKUP(D782,Assumptions!$B$116:$C$162,2,FALSE)</f>
        <v>C_UNDRGRND_STRG</v>
      </c>
      <c r="AI782" t="str">
        <f>VLOOKUP(E782,Assumptions!$B$116:$C$162,2,FALSE)</f>
        <v>ONSITE_USE</v>
      </c>
      <c r="AJ782" t="str">
        <f>VLOOKUP(F782,Assumptions!$B$116:$C$162,2,FALSE)</f>
        <v>H2_FC_PWR</v>
      </c>
    </row>
    <row r="783" spans="2:36" x14ac:dyDescent="0.25">
      <c r="B783" t="s">
        <v>127</v>
      </c>
      <c r="C783" t="s">
        <v>57</v>
      </c>
      <c r="D783" s="61" t="s">
        <v>63</v>
      </c>
      <c r="E783" t="s">
        <v>122</v>
      </c>
      <c r="F783" t="s">
        <v>164</v>
      </c>
      <c r="G783" t="s">
        <v>126</v>
      </c>
      <c r="H783" t="s">
        <v>433</v>
      </c>
      <c r="I783" t="s">
        <v>32</v>
      </c>
      <c r="J783" t="s">
        <v>72</v>
      </c>
      <c r="K783">
        <f t="shared" si="2268"/>
        <v>1</v>
      </c>
      <c r="L783">
        <f t="shared" si="2269"/>
        <v>1</v>
      </c>
      <c r="M783">
        <f t="shared" si="2270"/>
        <v>1</v>
      </c>
      <c r="N783">
        <f t="shared" si="2271"/>
        <v>1</v>
      </c>
      <c r="O783">
        <f t="shared" si="2272"/>
        <v>4</v>
      </c>
      <c r="P783" t="str">
        <f t="shared" si="2273"/>
        <v>Large centralized natural gas steam reforming-Levelized cost</v>
      </c>
      <c r="Q783" t="str">
        <f t="shared" si="2274"/>
        <v>No storage-Levelized cost</v>
      </c>
      <c r="R783" t="str">
        <f t="shared" si="2275"/>
        <v>Hydrogen transmission &amp; distribution pipeline-Levelized cost</v>
      </c>
      <c r="S783" t="str">
        <f t="shared" si="2276"/>
        <v>Prime power H2 fuel cell-Levelized cost</v>
      </c>
      <c r="T783">
        <f ca="1">IF(timePeriod="2020-30",(VLOOKUP($P783,'TA database'!$I$8:$J$79,2,FALSE)/VLOOKUP($D783,'Merit calculation'!$B$48:$I$52,5,FALSE)/VLOOKUP($E783,'Merit calculation'!$B$67:$I$73,5,FALSE)/VLOOKUP($F783,'Merit calculation'!$B$90:$I$103,5,FALSE)/energyContentH2),(VLOOKUP($P783,'TA database'!$I$8:$J$79,2,FALSE)/VLOOKUP($D783,'Merit calculation'!$B$48:$I$52,7,FALSE)/VLOOKUP($E783,'Merit calculation'!$B$67:$I$73,7,FALSE)/VLOOKUP($F783,'Merit calculation'!$B$90:$I$103,7,FALSE)/energyContentH2))</f>
        <v>7.7340064252072155E-2</v>
      </c>
      <c r="U783">
        <f ca="1">IF(timePeriod="2020-30",(VLOOKUP($Q783,'TA database'!$I$86:$J$105,2,FALSE)/VLOOKUP($E783,'Merit calculation'!$B$67:$I$73,5,FALSE)/VLOOKUP($F783,'Merit calculation'!$B$90:$I$104,5,FALSE)/energyContentH2),VLOOKUP($Q783,'TA database'!$I$86:$J$105,2,FALSE)/VLOOKUP($E783,'Merit calculation'!$B$67:$I$73,7,FALSE)/VLOOKUP($F783,'Merit calculation'!$B$90:$I$104,7,FALSE)/energyContentH2)</f>
        <v>0</v>
      </c>
      <c r="V783">
        <f ca="1">IF(timePeriod="2020-30",(VLOOKUP($R783,'TA database'!$I$112:$J$139,2,FALSE)/VLOOKUP($F783,'Merit calculation'!$B$90:$I$104,5,FALSE)/energyContentH2),(VLOOKUP($R783,'TA database'!$I$112:$J$139,2,FALSE)/VLOOKUP($F783,'Merit calculation'!$B$90:$I$104,7,FALSE)/energyContentH2))</f>
        <v>5.9870576374260031E-3</v>
      </c>
      <c r="W783">
        <f>IFERROR(VLOOKUP($S783,'TA database'!$I$146:$J$193,2,FALSE),0)</f>
        <v>0</v>
      </c>
      <c r="X783">
        <f ca="1">IFERROR(VLOOKUP($S783,'TA database'!$I$200:$J$271,2,FALSE),0)</f>
        <v>5.1494071531421985E-2</v>
      </c>
      <c r="Y783">
        <f t="shared" ref="Y783:Y786" ca="1" si="2282">IF($W783=0,T783*3.6+U783*3.6+V783*3.6+X783,T783+U783+V783+W783)</f>
        <v>0.35147171033361535</v>
      </c>
      <c r="Z783" t="str">
        <f t="shared" si="2278"/>
        <v>NG_SR_LRG_C   →   NO_STRG   →   H2_T&amp;D_P   →   H2_FC_PWR</v>
      </c>
      <c r="AA783" t="str">
        <f t="shared" si="2279"/>
        <v>Onsite / Back-up power</v>
      </c>
      <c r="AB783" t="str">
        <f t="shared" si="2280"/>
        <v>Levelized cost</v>
      </c>
      <c r="AC783">
        <f t="shared" ca="1" si="2281"/>
        <v>0.35147171033361535</v>
      </c>
      <c r="AD783">
        <v>724</v>
      </c>
      <c r="AE783" t="str">
        <f>IF(AND(ISNUMBER(SEARCH(O783,4)),ISNUMBER(SEARCH('(4) FCH pathway assessment'!$B$16,AB783)),ISNUMBER(SEARCH('(4) FCH pathway assessment'!$B$10,AA783))),AD783,"")</f>
        <v/>
      </c>
      <c r="AF783" t="str">
        <f t="shared" si="2239"/>
        <v/>
      </c>
      <c r="AG783" t="str">
        <f>VLOOKUP(C783,Assumptions!$B$116:$C$162,2,FALSE)</f>
        <v>NG_SR_LRG_C</v>
      </c>
      <c r="AH783" t="str">
        <f>VLOOKUP(D783,Assumptions!$B$116:$C$162,2,FALSE)</f>
        <v>NO_STRG</v>
      </c>
      <c r="AI783" t="str">
        <f>VLOOKUP(E783,Assumptions!$B$116:$C$162,2,FALSE)</f>
        <v>H2_T&amp;D_P</v>
      </c>
      <c r="AJ783" t="str">
        <f>VLOOKUP(F783,Assumptions!$B$116:$C$162,2,FALSE)</f>
        <v>H2_FC_PWR</v>
      </c>
    </row>
    <row r="784" spans="2:36" x14ac:dyDescent="0.25">
      <c r="B784" t="s">
        <v>127</v>
      </c>
      <c r="C784" t="s">
        <v>58</v>
      </c>
      <c r="D784" t="s">
        <v>155</v>
      </c>
      <c r="E784" t="s">
        <v>157</v>
      </c>
      <c r="F784" t="s">
        <v>164</v>
      </c>
      <c r="G784" t="s">
        <v>126</v>
      </c>
      <c r="H784" t="s">
        <v>433</v>
      </c>
      <c r="I784" t="s">
        <v>32</v>
      </c>
      <c r="J784" t="s">
        <v>72</v>
      </c>
      <c r="K784">
        <f t="shared" ref="K784:K787" si="2283">SUMPRODUCT(($C$7:$C$18=$C784)*($D$6:$H$6=$D784)*($D$7:$H$18))</f>
        <v>1</v>
      </c>
      <c r="L784">
        <f t="shared" ref="L784:L787" si="2284">SUMPRODUCT(($C$19:$C$23=$D784)*($I$6:$O$6=$E784)*($I$19:$O$23))</f>
        <v>1</v>
      </c>
      <c r="M784">
        <f t="shared" ref="M784:M787" si="2285">SUMPRODUCT(($C$24:$C$30=$E784)*($P$6:$AI$6=$F784)*($P$24:$AI$30))</f>
        <v>0</v>
      </c>
      <c r="N784">
        <f t="shared" ref="N784:N787" si="2286">SUMPRODUCT(($C$31:$C$50=$F784)*($AJ$6:$AM$6=$G784)*($AJ$31:$AM$50))</f>
        <v>1</v>
      </c>
      <c r="O784">
        <f t="shared" ref="O784:O787" si="2287">K784+L784+M784+N784</f>
        <v>3</v>
      </c>
      <c r="P784" t="str">
        <f t="shared" ref="P784:P787" si="2288">CONCATENATE(C784,"-",J784)</f>
        <v>Small centralized natural gas steam reforming-Levelized cost</v>
      </c>
      <c r="Q784" t="str">
        <f t="shared" ref="Q784:Q787" si="2289">CONCATENATE(D784,"-",J784)</f>
        <v>Central gas storage-Levelized cost</v>
      </c>
      <c r="R784" t="str">
        <f t="shared" ref="R784:R787" si="2290">CONCATENATE(E784,"-",J784)</f>
        <v>Blending in natural gas pipeline-Levelized cost</v>
      </c>
      <c r="S784" t="str">
        <f t="shared" ref="S784:S787" si="2291">CONCATENATE(F784,"-",J784)</f>
        <v>Prime power H2 fuel cell-Levelized cost</v>
      </c>
      <c r="T784">
        <f ca="1">IF(timePeriod="2020-30",(VLOOKUP($P784,'TA database'!$I$8:$J$79,2,FALSE)/VLOOKUP($D784,'Merit calculation'!$B$48:$I$52,5,FALSE)/VLOOKUP($E784,'Merit calculation'!$B$67:$I$73,5,FALSE)/VLOOKUP($F784,'Merit calculation'!$B$90:$I$103,5,FALSE)/energyContentH2),(VLOOKUP($P784,'TA database'!$I$8:$J$79,2,FALSE)/VLOOKUP($D784,'Merit calculation'!$B$48:$I$52,7,FALSE)/VLOOKUP($E784,'Merit calculation'!$B$67:$I$73,7,FALSE)/VLOOKUP($F784,'Merit calculation'!$B$90:$I$103,7,FALSE)/energyContentH2))</f>
        <v>8.0169317964255582E-2</v>
      </c>
      <c r="U784">
        <f ca="1">IF(timePeriod="2020-30",(VLOOKUP($Q784,'TA database'!$I$86:$J$105,2,FALSE)/VLOOKUP($E784,'Merit calculation'!$B$67:$I$73,5,FALSE)/VLOOKUP($F784,'Merit calculation'!$B$90:$I$104,5,FALSE)/energyContentH2),VLOOKUP($Q784,'TA database'!$I$86:$J$105,2,FALSE)/VLOOKUP($E784,'Merit calculation'!$B$67:$I$73,7,FALSE)/VLOOKUP($F784,'Merit calculation'!$B$90:$I$104,7,FALSE)/energyContentH2)</f>
        <v>1.1228609400435795E-3</v>
      </c>
      <c r="V784">
        <f ca="1">IF(timePeriod="2020-30",(VLOOKUP($R784,'TA database'!$I$112:$J$139,2,FALSE)/VLOOKUP($F784,'Merit calculation'!$B$90:$I$104,5,FALSE)/energyContentH2),(VLOOKUP($R784,'TA database'!$I$112:$J$139,2,FALSE)/VLOOKUP($F784,'Merit calculation'!$B$90:$I$104,7,FALSE)/energyContentH2))</f>
        <v>3.2178957719308462E-3</v>
      </c>
      <c r="W784">
        <f>IFERROR(VLOOKUP($S784,'TA database'!$I$146:$J$193,2,FALSE),0)</f>
        <v>0</v>
      </c>
      <c r="X784">
        <f ca="1">IFERROR(VLOOKUP($S784,'TA database'!$I$200:$J$271,2,FALSE),0)</f>
        <v>5.1494071531421985E-2</v>
      </c>
      <c r="Y784">
        <f t="shared" ca="1" si="2282"/>
        <v>0.35573034036585005</v>
      </c>
      <c r="Z784" t="str">
        <f t="shared" ref="Z784:Z787" si="2292">CONCATENATE(AG784,"   →   ",AH784,"   →   ",AI784,"   →   ",AJ784)</f>
        <v>NG_SR_SML_C   →   C_GAS_STRG   →   H2_BLND_NG_P   →   H2_FC_PWR</v>
      </c>
      <c r="AA784" t="str">
        <f t="shared" ref="AA784:AA787" si="2293">G784</f>
        <v>Onsite / Back-up power</v>
      </c>
      <c r="AB784" t="str">
        <f t="shared" ref="AB784:AB787" si="2294">J784</f>
        <v>Levelized cost</v>
      </c>
      <c r="AC784">
        <f t="shared" ref="AC784:AC787" ca="1" si="2295">Y784</f>
        <v>0.35573034036585005</v>
      </c>
      <c r="AD784">
        <v>725</v>
      </c>
      <c r="AE784" t="str">
        <f>IF(AND(ISNUMBER(SEARCH(O784,4)),ISNUMBER(SEARCH('(4) FCH pathway assessment'!$B$16,AB784)),ISNUMBER(SEARCH('(4) FCH pathway assessment'!$B$10,AA784))),AD784,"")</f>
        <v/>
      </c>
      <c r="AF784" t="str">
        <f t="shared" si="2239"/>
        <v/>
      </c>
      <c r="AG784" t="str">
        <f>VLOOKUP(C784,Assumptions!$B$116:$C$162,2,FALSE)</f>
        <v>NG_SR_SML_C</v>
      </c>
      <c r="AH784" t="str">
        <f>VLOOKUP(D784,Assumptions!$B$116:$C$162,2,FALSE)</f>
        <v>C_GAS_STRG</v>
      </c>
      <c r="AI784" t="str">
        <f>VLOOKUP(E784,Assumptions!$B$116:$C$162,2,FALSE)</f>
        <v>H2_BLND_NG_P</v>
      </c>
      <c r="AJ784" t="str">
        <f>VLOOKUP(F784,Assumptions!$B$116:$C$162,2,FALSE)</f>
        <v>H2_FC_PWR</v>
      </c>
    </row>
    <row r="785" spans="2:36" x14ac:dyDescent="0.25">
      <c r="B785" t="s">
        <v>127</v>
      </c>
      <c r="C785" t="s">
        <v>58</v>
      </c>
      <c r="D785" t="s">
        <v>155</v>
      </c>
      <c r="E785" t="s">
        <v>122</v>
      </c>
      <c r="F785" t="s">
        <v>164</v>
      </c>
      <c r="G785" t="s">
        <v>126</v>
      </c>
      <c r="H785" t="s">
        <v>433</v>
      </c>
      <c r="I785" t="s">
        <v>32</v>
      </c>
      <c r="J785" t="s">
        <v>72</v>
      </c>
      <c r="K785">
        <f t="shared" si="2283"/>
        <v>1</v>
      </c>
      <c r="L785">
        <f t="shared" si="2284"/>
        <v>1</v>
      </c>
      <c r="M785">
        <f t="shared" si="2285"/>
        <v>1</v>
      </c>
      <c r="N785">
        <f t="shared" si="2286"/>
        <v>1</v>
      </c>
      <c r="O785">
        <f t="shared" si="2287"/>
        <v>4</v>
      </c>
      <c r="P785" t="str">
        <f t="shared" si="2288"/>
        <v>Small centralized natural gas steam reforming-Levelized cost</v>
      </c>
      <c r="Q785" t="str">
        <f t="shared" si="2289"/>
        <v>Central gas storage-Levelized cost</v>
      </c>
      <c r="R785" t="str">
        <f t="shared" si="2290"/>
        <v>Hydrogen transmission &amp; distribution pipeline-Levelized cost</v>
      </c>
      <c r="S785" t="str">
        <f t="shared" si="2291"/>
        <v>Prime power H2 fuel cell-Levelized cost</v>
      </c>
      <c r="T785">
        <f ca="1">IF(timePeriod="2020-30",(VLOOKUP($P785,'TA database'!$I$8:$J$79,2,FALSE)/VLOOKUP($D785,'Merit calculation'!$B$48:$I$52,5,FALSE)/VLOOKUP($E785,'Merit calculation'!$B$67:$I$73,5,FALSE)/VLOOKUP($F785,'Merit calculation'!$B$90:$I$103,5,FALSE)/energyContentH2),(VLOOKUP($P785,'TA database'!$I$8:$J$79,2,FALSE)/VLOOKUP($D785,'Merit calculation'!$B$48:$I$52,7,FALSE)/VLOOKUP($E785,'Merit calculation'!$B$67:$I$73,7,FALSE)/VLOOKUP($F785,'Merit calculation'!$B$90:$I$103,7,FALSE)/energyContentH2))</f>
        <v>8.0169317964255582E-2</v>
      </c>
      <c r="U785">
        <f ca="1">IF(timePeriod="2020-30",(VLOOKUP($Q785,'TA database'!$I$86:$J$105,2,FALSE)/VLOOKUP($E785,'Merit calculation'!$B$67:$I$73,5,FALSE)/VLOOKUP($F785,'Merit calculation'!$B$90:$I$104,5,FALSE)/energyContentH2),VLOOKUP($Q785,'TA database'!$I$86:$J$105,2,FALSE)/VLOOKUP($E785,'Merit calculation'!$B$67:$I$73,7,FALSE)/VLOOKUP($F785,'Merit calculation'!$B$90:$I$104,7,FALSE)/energyContentH2)</f>
        <v>1.1228609400435795E-3</v>
      </c>
      <c r="V785">
        <f ca="1">IF(timePeriod="2020-30",(VLOOKUP($R785,'TA database'!$I$112:$J$139,2,FALSE)/VLOOKUP($F785,'Merit calculation'!$B$90:$I$104,5,FALSE)/energyContentH2),(VLOOKUP($R785,'TA database'!$I$112:$J$139,2,FALSE)/VLOOKUP($F785,'Merit calculation'!$B$90:$I$104,7,FALSE)/energyContentH2))</f>
        <v>5.9870576374260031E-3</v>
      </c>
      <c r="W785">
        <f>IFERROR(VLOOKUP($S785,'TA database'!$I$146:$J$193,2,FALSE),0)</f>
        <v>0</v>
      </c>
      <c r="X785">
        <f ca="1">IFERROR(VLOOKUP($S785,'TA database'!$I$200:$J$271,2,FALSE),0)</f>
        <v>5.1494071531421985E-2</v>
      </c>
      <c r="Y785">
        <f t="shared" ca="1" si="2282"/>
        <v>0.36569932308163261</v>
      </c>
      <c r="Z785" t="str">
        <f t="shared" si="2292"/>
        <v>NG_SR_SML_C   →   C_GAS_STRG   →   H2_T&amp;D_P   →   H2_FC_PWR</v>
      </c>
      <c r="AA785" t="str">
        <f t="shared" si="2293"/>
        <v>Onsite / Back-up power</v>
      </c>
      <c r="AB785" t="str">
        <f t="shared" si="2294"/>
        <v>Levelized cost</v>
      </c>
      <c r="AC785">
        <f t="shared" ca="1" si="2295"/>
        <v>0.36569932308163261</v>
      </c>
      <c r="AD785">
        <v>726</v>
      </c>
      <c r="AE785" t="str">
        <f>IF(AND(ISNUMBER(SEARCH(O785,4)),ISNUMBER(SEARCH('(4) FCH pathway assessment'!$B$16,AB785)),ISNUMBER(SEARCH('(4) FCH pathway assessment'!$B$10,AA785))),AD785,"")</f>
        <v/>
      </c>
      <c r="AF785" t="str">
        <f t="shared" si="2239"/>
        <v/>
      </c>
      <c r="AG785" t="str">
        <f>VLOOKUP(C785,Assumptions!$B$116:$C$162,2,FALSE)</f>
        <v>NG_SR_SML_C</v>
      </c>
      <c r="AH785" t="str">
        <f>VLOOKUP(D785,Assumptions!$B$116:$C$162,2,FALSE)</f>
        <v>C_GAS_STRG</v>
      </c>
      <c r="AI785" t="str">
        <f>VLOOKUP(E785,Assumptions!$B$116:$C$162,2,FALSE)</f>
        <v>H2_T&amp;D_P</v>
      </c>
      <c r="AJ785" t="str">
        <f>VLOOKUP(F785,Assumptions!$B$116:$C$162,2,FALSE)</f>
        <v>H2_FC_PWR</v>
      </c>
    </row>
    <row r="786" spans="2:36" x14ac:dyDescent="0.25">
      <c r="B786" t="s">
        <v>127</v>
      </c>
      <c r="C786" t="s">
        <v>58</v>
      </c>
      <c r="D786" t="s">
        <v>155</v>
      </c>
      <c r="E786" t="s">
        <v>66</v>
      </c>
      <c r="F786" t="s">
        <v>164</v>
      </c>
      <c r="G786" t="s">
        <v>126</v>
      </c>
      <c r="H786" t="s">
        <v>433</v>
      </c>
      <c r="I786" t="s">
        <v>32</v>
      </c>
      <c r="J786" t="s">
        <v>72</v>
      </c>
      <c r="K786">
        <f t="shared" si="2283"/>
        <v>1</v>
      </c>
      <c r="L786">
        <f t="shared" si="2284"/>
        <v>1</v>
      </c>
      <c r="M786">
        <f t="shared" si="2285"/>
        <v>1</v>
      </c>
      <c r="N786">
        <f t="shared" si="2286"/>
        <v>1</v>
      </c>
      <c r="O786">
        <f t="shared" si="2287"/>
        <v>4</v>
      </c>
      <c r="P786" t="str">
        <f t="shared" si="2288"/>
        <v>Small centralized natural gas steam reforming-Levelized cost</v>
      </c>
      <c r="Q786" t="str">
        <f t="shared" si="2289"/>
        <v>Central gas storage-Levelized cost</v>
      </c>
      <c r="R786" t="str">
        <f t="shared" si="2290"/>
        <v>Onsite-Levelized cost</v>
      </c>
      <c r="S786" t="str">
        <f t="shared" si="2291"/>
        <v>Prime power H2 fuel cell-Levelized cost</v>
      </c>
      <c r="T786">
        <f ca="1">IF(timePeriod="2020-30",(VLOOKUP($P786,'TA database'!$I$8:$J$79,2,FALSE)/VLOOKUP($D786,'Merit calculation'!$B$48:$I$52,5,FALSE)/VLOOKUP($E786,'Merit calculation'!$B$67:$I$73,5,FALSE)/VLOOKUP($F786,'Merit calculation'!$B$90:$I$103,5,FALSE)/energyContentH2),(VLOOKUP($P786,'TA database'!$I$8:$J$79,2,FALSE)/VLOOKUP($D786,'Merit calculation'!$B$48:$I$52,7,FALSE)/VLOOKUP($E786,'Merit calculation'!$B$67:$I$73,7,FALSE)/VLOOKUP($F786,'Merit calculation'!$B$90:$I$103,7,FALSE)/energyContentH2))</f>
        <v>7.9367624784613025E-2</v>
      </c>
      <c r="U786">
        <f ca="1">IF(timePeriod="2020-30",(VLOOKUP($Q786,'TA database'!$I$86:$J$105,2,FALSE)/VLOOKUP($E786,'Merit calculation'!$B$67:$I$73,5,FALSE)/VLOOKUP($F786,'Merit calculation'!$B$90:$I$104,5,FALSE)/energyContentH2),VLOOKUP($Q786,'TA database'!$I$86:$J$105,2,FALSE)/VLOOKUP($E786,'Merit calculation'!$B$67:$I$73,7,FALSE)/VLOOKUP($F786,'Merit calculation'!$B$90:$I$104,7,FALSE)/energyContentH2)</f>
        <v>1.1116323306431437E-3</v>
      </c>
      <c r="V786">
        <f ca="1">IF(timePeriod="2020-30",(VLOOKUP($R786,'TA database'!$I$112:$J$139,2,FALSE)/VLOOKUP($F786,'Merit calculation'!$B$90:$I$104,5,FALSE)/energyContentH2),(VLOOKUP($R786,'TA database'!$I$112:$J$139,2,FALSE)/VLOOKUP($F786,'Merit calculation'!$B$90:$I$104,7,FALSE)/energyContentH2))</f>
        <v>0</v>
      </c>
      <c r="W786">
        <f>IFERROR(VLOOKUP($S786,'TA database'!$I$146:$J$193,2,FALSE),0)</f>
        <v>0</v>
      </c>
      <c r="X786">
        <f ca="1">IFERROR(VLOOKUP($S786,'TA database'!$I$200:$J$271,2,FALSE),0)</f>
        <v>5.1494071531421985E-2</v>
      </c>
      <c r="Y786">
        <f t="shared" ca="1" si="2282"/>
        <v>0.34121939714634419</v>
      </c>
      <c r="Z786" t="str">
        <f t="shared" si="2292"/>
        <v>NG_SR_SML_C   →   C_GAS_STRG   →   ONSITE_USE   →   H2_FC_PWR</v>
      </c>
      <c r="AA786" t="str">
        <f t="shared" si="2293"/>
        <v>Onsite / Back-up power</v>
      </c>
      <c r="AB786" t="str">
        <f t="shared" si="2294"/>
        <v>Levelized cost</v>
      </c>
      <c r="AC786">
        <f t="shared" ca="1" si="2295"/>
        <v>0.34121939714634419</v>
      </c>
      <c r="AD786">
        <v>727</v>
      </c>
      <c r="AE786" t="str">
        <f>IF(AND(ISNUMBER(SEARCH(O786,4)),ISNUMBER(SEARCH('(4) FCH pathway assessment'!$B$16,AB786)),ISNUMBER(SEARCH('(4) FCH pathway assessment'!$B$10,AA786))),AD786,"")</f>
        <v/>
      </c>
      <c r="AF786" t="str">
        <f t="shared" si="2239"/>
        <v/>
      </c>
      <c r="AG786" t="str">
        <f>VLOOKUP(C786,Assumptions!$B$116:$C$162,2,FALSE)</f>
        <v>NG_SR_SML_C</v>
      </c>
      <c r="AH786" t="str">
        <f>VLOOKUP(D786,Assumptions!$B$116:$C$162,2,FALSE)</f>
        <v>C_GAS_STRG</v>
      </c>
      <c r="AI786" t="str">
        <f>VLOOKUP(E786,Assumptions!$B$116:$C$162,2,FALSE)</f>
        <v>ONSITE_USE</v>
      </c>
      <c r="AJ786" t="str">
        <f>VLOOKUP(F786,Assumptions!$B$116:$C$162,2,FALSE)</f>
        <v>H2_FC_PWR</v>
      </c>
    </row>
    <row r="787" spans="2:36" x14ac:dyDescent="0.25">
      <c r="B787" t="s">
        <v>127</v>
      </c>
      <c r="C787" t="s">
        <v>59</v>
      </c>
      <c r="D787" s="60" t="s">
        <v>130</v>
      </c>
      <c r="E787" t="s">
        <v>66</v>
      </c>
      <c r="F787" t="s">
        <v>164</v>
      </c>
      <c r="G787" t="s">
        <v>126</v>
      </c>
      <c r="H787" t="s">
        <v>433</v>
      </c>
      <c r="I787" t="s">
        <v>32</v>
      </c>
      <c r="J787" t="s">
        <v>72</v>
      </c>
      <c r="K787">
        <f t="shared" si="2283"/>
        <v>1</v>
      </c>
      <c r="L787">
        <f t="shared" si="2284"/>
        <v>1</v>
      </c>
      <c r="M787">
        <f t="shared" si="2285"/>
        <v>1</v>
      </c>
      <c r="N787">
        <f t="shared" si="2286"/>
        <v>1</v>
      </c>
      <c r="O787">
        <f t="shared" si="2287"/>
        <v>4</v>
      </c>
      <c r="P787" t="str">
        <f t="shared" si="2288"/>
        <v>Medium decentralized natural gas steam reforming-Levelized cost</v>
      </c>
      <c r="Q787" t="str">
        <f t="shared" si="2289"/>
        <v>Distributed gas storage-Levelized cost</v>
      </c>
      <c r="R787" t="str">
        <f t="shared" si="2290"/>
        <v>Onsite-Levelized cost</v>
      </c>
      <c r="S787" t="str">
        <f t="shared" si="2291"/>
        <v>Prime power H2 fuel cell-Levelized cost</v>
      </c>
      <c r="T787">
        <f ca="1">IF(timePeriod="2020-30",(VLOOKUP($P787,'TA database'!$I$8:$J$79,2,FALSE)/VLOOKUP($D787,'Merit calculation'!$B$48:$I$52,5,FALSE)/VLOOKUP($E787,'Merit calculation'!$B$67:$I$73,5,FALSE)/VLOOKUP($F787,'Merit calculation'!$B$90:$I$103,5,FALSE)/energyContentH2),(VLOOKUP($P787,'TA database'!$I$8:$J$79,2,FALSE)/VLOOKUP($D787,'Merit calculation'!$B$48:$I$52,7,FALSE)/VLOOKUP($E787,'Merit calculation'!$B$67:$I$73,7,FALSE)/VLOOKUP($F787,'Merit calculation'!$B$90:$I$103,7,FALSE)/energyContentH2))</f>
        <v>8.4489229509588412E-2</v>
      </c>
      <c r="U787">
        <f ca="1">IF(timePeriod="2020-30",(VLOOKUP($Q787,'TA database'!$I$86:$J$105,2,FALSE)/VLOOKUP($E787,'Merit calculation'!$B$67:$I$73,5,FALSE)/VLOOKUP($F787,'Merit calculation'!$B$90:$I$104,5,FALSE)/energyContentH2),VLOOKUP($Q787,'TA database'!$I$86:$J$105,2,FALSE)/VLOOKUP($E787,'Merit calculation'!$B$67:$I$73,7,FALSE)/VLOOKUP($F787,'Merit calculation'!$B$90:$I$104,7,FALSE)/energyContentH2)</f>
        <v>1.9762352544767004E-3</v>
      </c>
      <c r="V787">
        <f ca="1">IF(timePeriod="2020-30",(VLOOKUP($R787,'TA database'!$I$112:$J$139,2,FALSE)/VLOOKUP($F787,'Merit calculation'!$B$90:$I$104,5,FALSE)/energyContentH2),(VLOOKUP($R787,'TA database'!$I$112:$J$139,2,FALSE)/VLOOKUP($F787,'Merit calculation'!$B$90:$I$104,7,FALSE)/energyContentH2))</f>
        <v>0</v>
      </c>
      <c r="W787">
        <f>IFERROR(VLOOKUP($S787,'TA database'!$I$146:$J$193,2,FALSE),0)</f>
        <v>0</v>
      </c>
      <c r="X787">
        <f ca="1">IFERROR(VLOOKUP($S787,'TA database'!$I$200:$J$271,2,FALSE),0)</f>
        <v>5.1494071531421985E-2</v>
      </c>
      <c r="Y787">
        <f t="shared" ref="Y787:Y788" ca="1" si="2296">IF($W787=0,T787*3.6+U787*3.6+V787*3.6+X787,T787+U787+V787+W787)</f>
        <v>0.36276974468205642</v>
      </c>
      <c r="Z787" t="str">
        <f t="shared" si="2292"/>
        <v>NG_SR_MED_D   →   D_GAS_STRG   →   ONSITE_USE   →   H2_FC_PWR</v>
      </c>
      <c r="AA787" t="str">
        <f t="shared" si="2293"/>
        <v>Onsite / Back-up power</v>
      </c>
      <c r="AB787" t="str">
        <f t="shared" si="2294"/>
        <v>Levelized cost</v>
      </c>
      <c r="AC787">
        <f t="shared" ca="1" si="2295"/>
        <v>0.36276974468205642</v>
      </c>
      <c r="AD787">
        <v>728</v>
      </c>
      <c r="AE787" t="str">
        <f>IF(AND(ISNUMBER(SEARCH(O787,4)),ISNUMBER(SEARCH('(4) FCH pathway assessment'!$B$16,AB787)),ISNUMBER(SEARCH('(4) FCH pathway assessment'!$B$10,AA787))),AD787,"")</f>
        <v/>
      </c>
      <c r="AF787" t="str">
        <f t="shared" si="2239"/>
        <v/>
      </c>
      <c r="AG787" t="str">
        <f>VLOOKUP(C787,Assumptions!$B$116:$C$162,2,FALSE)</f>
        <v>NG_SR_MED_D</v>
      </c>
      <c r="AH787" t="str">
        <f>VLOOKUP(D787,Assumptions!$B$116:$C$162,2,FALSE)</f>
        <v>D_GAS_STRG</v>
      </c>
      <c r="AI787" t="str">
        <f>VLOOKUP(E787,Assumptions!$B$116:$C$162,2,FALSE)</f>
        <v>ONSITE_USE</v>
      </c>
      <c r="AJ787" t="str">
        <f>VLOOKUP(F787,Assumptions!$B$116:$C$162,2,FALSE)</f>
        <v>H2_FC_PWR</v>
      </c>
    </row>
    <row r="788" spans="2:36" x14ac:dyDescent="0.25">
      <c r="B788" t="s">
        <v>127</v>
      </c>
      <c r="C788" t="s">
        <v>60</v>
      </c>
      <c r="D788" s="60" t="s">
        <v>130</v>
      </c>
      <c r="E788" t="s">
        <v>66</v>
      </c>
      <c r="F788" t="s">
        <v>164</v>
      </c>
      <c r="G788" t="s">
        <v>126</v>
      </c>
      <c r="H788" t="s">
        <v>433</v>
      </c>
      <c r="I788" t="s">
        <v>32</v>
      </c>
      <c r="J788" t="s">
        <v>72</v>
      </c>
      <c r="K788">
        <f t="shared" ref="K788" si="2297">SUMPRODUCT(($C$7:$C$18=$C788)*($D$6:$H$6=$D788)*($D$7:$H$18))</f>
        <v>1</v>
      </c>
      <c r="L788">
        <f t="shared" ref="L788" si="2298">SUMPRODUCT(($C$19:$C$23=$D788)*($I$6:$O$6=$E788)*($I$19:$O$23))</f>
        <v>1</v>
      </c>
      <c r="M788">
        <f t="shared" ref="M788" si="2299">SUMPRODUCT(($C$24:$C$30=$E788)*($P$6:$AI$6=$F788)*($P$24:$AI$30))</f>
        <v>1</v>
      </c>
      <c r="N788">
        <f t="shared" ref="N788" si="2300">SUMPRODUCT(($C$31:$C$50=$F788)*($AJ$6:$AM$6=$G788)*($AJ$31:$AM$50))</f>
        <v>1</v>
      </c>
      <c r="O788">
        <f t="shared" ref="O788" si="2301">K788+L788+M788+N788</f>
        <v>4</v>
      </c>
      <c r="P788" t="str">
        <f t="shared" ref="P788" si="2302">CONCATENATE(C788,"-",J788)</f>
        <v>Small decentralized natural gas steam reforming-Levelized cost</v>
      </c>
      <c r="Q788" t="str">
        <f t="shared" ref="Q788" si="2303">CONCATENATE(D788,"-",J788)</f>
        <v>Distributed gas storage-Levelized cost</v>
      </c>
      <c r="R788" t="str">
        <f t="shared" ref="R788" si="2304">CONCATENATE(E788,"-",J788)</f>
        <v>Onsite-Levelized cost</v>
      </c>
      <c r="S788" t="str">
        <f t="shared" ref="S788" si="2305">CONCATENATE(F788,"-",J788)</f>
        <v>Prime power H2 fuel cell-Levelized cost</v>
      </c>
      <c r="T788">
        <f ca="1">IF(timePeriod="2020-30",(VLOOKUP($P788,'TA database'!$I$8:$J$79,2,FALSE)/VLOOKUP($D788,'Merit calculation'!$B$48:$I$52,5,FALSE)/VLOOKUP($E788,'Merit calculation'!$B$67:$I$73,5,FALSE)/VLOOKUP($F788,'Merit calculation'!$B$90:$I$103,5,FALSE)/energyContentH2),(VLOOKUP($P788,'TA database'!$I$8:$J$79,2,FALSE)/VLOOKUP($D788,'Merit calculation'!$B$48:$I$52,7,FALSE)/VLOOKUP($E788,'Merit calculation'!$B$67:$I$73,7,FALSE)/VLOOKUP($F788,'Merit calculation'!$B$90:$I$103,7,FALSE)/energyContentH2))</f>
        <v>8.9596699559809936E-2</v>
      </c>
      <c r="U788">
        <f ca="1">IF(timePeriod="2020-30",(VLOOKUP($Q788,'TA database'!$I$86:$J$105,2,FALSE)/VLOOKUP($E788,'Merit calculation'!$B$67:$I$73,5,FALSE)/VLOOKUP($F788,'Merit calculation'!$B$90:$I$104,5,FALSE)/energyContentH2),VLOOKUP($Q788,'TA database'!$I$86:$J$105,2,FALSE)/VLOOKUP($E788,'Merit calculation'!$B$67:$I$73,7,FALSE)/VLOOKUP($F788,'Merit calculation'!$B$90:$I$104,7,FALSE)/energyContentH2)</f>
        <v>1.9762352544767004E-3</v>
      </c>
      <c r="V788">
        <f ca="1">IF(timePeriod="2020-30",(VLOOKUP($R788,'TA database'!$I$112:$J$139,2,FALSE)/VLOOKUP($F788,'Merit calculation'!$B$90:$I$104,5,FALSE)/energyContentH2),(VLOOKUP($R788,'TA database'!$I$112:$J$139,2,FALSE)/VLOOKUP($F788,'Merit calculation'!$B$90:$I$104,7,FALSE)/energyContentH2))</f>
        <v>0</v>
      </c>
      <c r="W788">
        <f>IFERROR(VLOOKUP($S788,'TA database'!$I$146:$J$193,2,FALSE),0)</f>
        <v>0</v>
      </c>
      <c r="X788">
        <f ca="1">IFERROR(VLOOKUP($S788,'TA database'!$I$200:$J$271,2,FALSE),0)</f>
        <v>5.1494071531421985E-2</v>
      </c>
      <c r="Y788">
        <f t="shared" ca="1" si="2296"/>
        <v>0.38115663686285389</v>
      </c>
      <c r="Z788" t="str">
        <f t="shared" ref="Z788" si="2306">CONCATENATE(AG788,"   →   ",AH788,"   →   ",AI788,"   →   ",AJ788)</f>
        <v>NG_SR_SML_D   →   D_GAS_STRG   →   ONSITE_USE   →   H2_FC_PWR</v>
      </c>
      <c r="AA788" t="str">
        <f t="shared" ref="AA788" si="2307">G788</f>
        <v>Onsite / Back-up power</v>
      </c>
      <c r="AB788" t="str">
        <f t="shared" ref="AB788" si="2308">J788</f>
        <v>Levelized cost</v>
      </c>
      <c r="AC788">
        <f t="shared" ref="AC788" ca="1" si="2309">Y788</f>
        <v>0.38115663686285389</v>
      </c>
      <c r="AD788">
        <v>729</v>
      </c>
      <c r="AE788" t="str">
        <f>IF(AND(ISNUMBER(SEARCH(O788,4)),ISNUMBER(SEARCH('(4) FCH pathway assessment'!$B$16,AB788)),ISNUMBER(SEARCH('(4) FCH pathway assessment'!$B$10,AA788))),AD788,"")</f>
        <v/>
      </c>
      <c r="AF788" t="str">
        <f t="shared" si="2239"/>
        <v/>
      </c>
      <c r="AG788" t="str">
        <f>VLOOKUP(C788,Assumptions!$B$116:$C$162,2,FALSE)</f>
        <v>NG_SR_SML_D</v>
      </c>
      <c r="AH788" t="str">
        <f>VLOOKUP(D788,Assumptions!$B$116:$C$162,2,FALSE)</f>
        <v>D_GAS_STRG</v>
      </c>
      <c r="AI788" t="str">
        <f>VLOOKUP(E788,Assumptions!$B$116:$C$162,2,FALSE)</f>
        <v>ONSITE_USE</v>
      </c>
      <c r="AJ788" t="str">
        <f>VLOOKUP(F788,Assumptions!$B$116:$C$162,2,FALSE)</f>
        <v>H2_FC_PWR</v>
      </c>
    </row>
    <row r="789" spans="2:36" x14ac:dyDescent="0.25">
      <c r="B789" t="s">
        <v>117</v>
      </c>
      <c r="C789" t="s">
        <v>53</v>
      </c>
      <c r="D789" t="s">
        <v>155</v>
      </c>
      <c r="E789" t="s">
        <v>65</v>
      </c>
      <c r="F789" t="s">
        <v>165</v>
      </c>
      <c r="G789" t="s">
        <v>126</v>
      </c>
      <c r="H789" t="s">
        <v>433</v>
      </c>
      <c r="I789" t="s">
        <v>32</v>
      </c>
      <c r="J789" t="s">
        <v>72</v>
      </c>
      <c r="K789">
        <f t="shared" ref="K789:K790" si="2310">SUMPRODUCT(($C$7:$C$18=$C789)*($D$6:$H$6=$D789)*($D$7:$H$18))</f>
        <v>0</v>
      </c>
      <c r="L789">
        <f t="shared" ref="L789:L790" si="2311">SUMPRODUCT(($C$19:$C$23=$D789)*($I$6:$O$6=$E789)*($I$19:$O$23))</f>
        <v>1</v>
      </c>
      <c r="M789">
        <f t="shared" ref="M789:M790" si="2312">SUMPRODUCT(($C$24:$C$30=$E789)*($P$6:$AI$6=$F789)*($P$24:$AI$30))</f>
        <v>0</v>
      </c>
      <c r="N789">
        <f t="shared" ref="N789:N790" si="2313">SUMPRODUCT(($C$31:$C$50=$F789)*($AJ$6:$AM$6=$G789)*($AJ$31:$AM$50))</f>
        <v>1</v>
      </c>
      <c r="O789">
        <f t="shared" ref="O789:O790" si="2314">K789+L789+M789+N789</f>
        <v>2</v>
      </c>
      <c r="P789" t="str">
        <f t="shared" ref="P789:P790" si="2315">CONCATENATE(C789,"-",J789)</f>
        <v>Medium centralized biomass gasification-Levelized cost</v>
      </c>
      <c r="Q789" t="str">
        <f t="shared" ref="Q789:Q790" si="2316">CONCATENATE(D789,"-",J789)</f>
        <v>Central gas storage-Levelized cost</v>
      </c>
      <c r="R789" t="str">
        <f t="shared" ref="R789:R790" si="2317">CONCATENATE(E789,"-",J789)</f>
        <v>Methanation-Levelized cost</v>
      </c>
      <c r="S789" t="str">
        <f t="shared" ref="S789:S790" si="2318">CONCATENATE(F789,"-",J789)</f>
        <v>Prime power natural gas fuel cell-Levelized cost</v>
      </c>
      <c r="T789">
        <f ca="1">IF(timePeriod="2020-30",(VLOOKUP($P789,'TA database'!$I$8:$J$79,2,FALSE)/VLOOKUP($D789,'Merit calculation'!$B$48:$I$52,5,FALSE)/VLOOKUP($E789,'Merit calculation'!$B$67:$I$73,5,FALSE)/VLOOKUP($F789,'Merit calculation'!$B$90:$I$103,5,FALSE)/energyContentH2),(VLOOKUP($P789,'TA database'!$I$8:$J$79,2,FALSE)/VLOOKUP($D789,'Merit calculation'!$B$48:$I$52,7,FALSE)/VLOOKUP($E789,'Merit calculation'!$B$67:$I$73,7,FALSE)/VLOOKUP($F789,'Merit calculation'!$B$90:$I$103,7,FALSE)/energyContentH2))</f>
        <v>2.8089218767175749E-2</v>
      </c>
      <c r="U789">
        <f ca="1">IF(timePeriod="2020-30",(VLOOKUP($Q789,'TA database'!$I$86:$J$105,2,FALSE)/VLOOKUP($E789,'Merit calculation'!$B$67:$I$73,5,FALSE)/VLOOKUP($F789,'Merit calculation'!$B$90:$I$104,5,FALSE)/energyContentH2),VLOOKUP($Q789,'TA database'!$I$86:$J$105,2,FALSE)/VLOOKUP($E789,'Merit calculation'!$B$67:$I$73,7,FALSE)/VLOOKUP($F789,'Merit calculation'!$B$90:$I$104,7,FALSE)/energyContentH2)</f>
        <v>1.3895404133039296E-3</v>
      </c>
      <c r="V789">
        <f ca="1">IF(timePeriod="2020-30",(VLOOKUP($R789,'TA database'!$I$112:$J$139,2,FALSE)/VLOOKUP($F789,'Merit calculation'!$B$90:$I$104,5,FALSE)/energyContentH2),(VLOOKUP($R789,'TA database'!$I$112:$J$139,2,FALSE)/VLOOKUP($F789,'Merit calculation'!$B$90:$I$104,7,FALSE)/energyContentH2))</f>
        <v>2.4119440514383122E-2</v>
      </c>
      <c r="W789">
        <f>IFERROR(VLOOKUP($S789,'TA database'!$I$146:$J$193,2,FALSE),0)</f>
        <v>0</v>
      </c>
      <c r="X789">
        <f ca="1">IFERROR(VLOOKUP($S789,'TA database'!$I$200:$J$271,2,FALSE),0)</f>
        <v>5.1494071531421985E-2</v>
      </c>
      <c r="Y789">
        <f t="shared" ref="Y789" ca="1" si="2319">IF($W789=0,T789*3.6+U789*3.6+V789*3.6+X789,T789+U789+V789+W789)</f>
        <v>0.24444759043292807</v>
      </c>
      <c r="Z789" t="str">
        <f t="shared" ref="Z789:Z790" si="2320">CONCATENATE(AG789,"   →   ",AH789,"   →   ",AI789,"   →   ",AJ789)</f>
        <v>BIO_GSF_MED_C   →   C_GAS_STRG   →   METHANATION   →   NG_FC_PWR</v>
      </c>
      <c r="AA789" t="str">
        <f t="shared" ref="AA789:AA790" si="2321">G789</f>
        <v>Onsite / Back-up power</v>
      </c>
      <c r="AB789" t="str">
        <f t="shared" ref="AB789:AB790" si="2322">J789</f>
        <v>Levelized cost</v>
      </c>
      <c r="AC789">
        <f t="shared" ref="AC789:AC790" ca="1" si="2323">Y789</f>
        <v>0.24444759043292807</v>
      </c>
      <c r="AD789">
        <v>730</v>
      </c>
      <c r="AE789" t="str">
        <f>IF(AND(ISNUMBER(SEARCH(O789,4)),ISNUMBER(SEARCH('(4) FCH pathway assessment'!$B$16,AB789)),ISNUMBER(SEARCH('(4) FCH pathway assessment'!$B$10,AA789))),AD789,"")</f>
        <v/>
      </c>
      <c r="AF789" t="str">
        <f t="shared" si="2239"/>
        <v/>
      </c>
      <c r="AG789" t="str">
        <f>VLOOKUP(C789,Assumptions!$B$116:$C$162,2,FALSE)</f>
        <v>BIO_GSF_MED_C</v>
      </c>
      <c r="AH789" t="str">
        <f>VLOOKUP(D789,Assumptions!$B$116:$C$162,2,FALSE)</f>
        <v>C_GAS_STRG</v>
      </c>
      <c r="AI789" t="str">
        <f>VLOOKUP(E789,Assumptions!$B$116:$C$162,2,FALSE)</f>
        <v>METHANATION</v>
      </c>
      <c r="AJ789" t="str">
        <f>VLOOKUP(F789,Assumptions!$B$116:$C$162,2,FALSE)</f>
        <v>NG_FC_PWR</v>
      </c>
    </row>
    <row r="790" spans="2:36" x14ac:dyDescent="0.25">
      <c r="B790" t="s">
        <v>117</v>
      </c>
      <c r="C790" t="s">
        <v>54</v>
      </c>
      <c r="D790" t="s">
        <v>155</v>
      </c>
      <c r="E790" t="s">
        <v>65</v>
      </c>
      <c r="F790" t="s">
        <v>165</v>
      </c>
      <c r="G790" t="s">
        <v>126</v>
      </c>
      <c r="H790" t="s">
        <v>433</v>
      </c>
      <c r="I790" t="s">
        <v>32</v>
      </c>
      <c r="J790" t="s">
        <v>72</v>
      </c>
      <c r="K790">
        <f t="shared" si="2310"/>
        <v>0</v>
      </c>
      <c r="L790">
        <f t="shared" si="2311"/>
        <v>1</v>
      </c>
      <c r="M790">
        <f t="shared" si="2312"/>
        <v>0</v>
      </c>
      <c r="N790">
        <f t="shared" si="2313"/>
        <v>1</v>
      </c>
      <c r="O790">
        <f t="shared" si="2314"/>
        <v>2</v>
      </c>
      <c r="P790" t="str">
        <f t="shared" si="2315"/>
        <v>Medium centralized biomass gasification w/ CCS-Levelized cost</v>
      </c>
      <c r="Q790" t="str">
        <f t="shared" si="2316"/>
        <v>Central gas storage-Levelized cost</v>
      </c>
      <c r="R790" t="str">
        <f t="shared" si="2317"/>
        <v>Methanation-Levelized cost</v>
      </c>
      <c r="S790" t="str">
        <f t="shared" si="2318"/>
        <v>Prime power natural gas fuel cell-Levelized cost</v>
      </c>
      <c r="T790">
        <f ca="1">IF(timePeriod="2020-30",(VLOOKUP($P790,'TA database'!$I$8:$J$79,2,FALSE)/VLOOKUP($D790,'Merit calculation'!$B$48:$I$52,5,FALSE)/VLOOKUP($E790,'Merit calculation'!$B$67:$I$73,5,FALSE)/VLOOKUP($F790,'Merit calculation'!$B$90:$I$103,5,FALSE)/energyContentH2),(VLOOKUP($P790,'TA database'!$I$8:$J$79,2,FALSE)/VLOOKUP($D790,'Merit calculation'!$B$48:$I$52,7,FALSE)/VLOOKUP($E790,'Merit calculation'!$B$67:$I$73,7,FALSE)/VLOOKUP($F790,'Merit calculation'!$B$90:$I$103,7,FALSE)/energyContentH2))</f>
        <v>1.7543614844776682E-2</v>
      </c>
      <c r="U790">
        <f ca="1">IF(timePeriod="2020-30",(VLOOKUP($Q790,'TA database'!$I$86:$J$105,2,FALSE)/VLOOKUP($E790,'Merit calculation'!$B$67:$I$73,5,FALSE)/VLOOKUP($F790,'Merit calculation'!$B$90:$I$104,5,FALSE)/energyContentH2),VLOOKUP($Q790,'TA database'!$I$86:$J$105,2,FALSE)/VLOOKUP($E790,'Merit calculation'!$B$67:$I$73,7,FALSE)/VLOOKUP($F790,'Merit calculation'!$B$90:$I$104,7,FALSE)/energyContentH2)</f>
        <v>1.3895404133039296E-3</v>
      </c>
      <c r="V790">
        <f ca="1">IF(timePeriod="2020-30",(VLOOKUP($R790,'TA database'!$I$112:$J$139,2,FALSE)/VLOOKUP($F790,'Merit calculation'!$B$90:$I$104,5,FALSE)/energyContentH2),(VLOOKUP($R790,'TA database'!$I$112:$J$139,2,FALSE)/VLOOKUP($F790,'Merit calculation'!$B$90:$I$104,7,FALSE)/energyContentH2))</f>
        <v>2.4119440514383122E-2</v>
      </c>
      <c r="W790">
        <f>IFERROR(VLOOKUP($S790,'TA database'!$I$146:$J$193,2,FALSE),0)</f>
        <v>0</v>
      </c>
      <c r="X790">
        <f ca="1">IFERROR(VLOOKUP($S790,'TA database'!$I$200:$J$271,2,FALSE),0)</f>
        <v>5.1494071531421985E-2</v>
      </c>
      <c r="Y790">
        <f t="shared" ref="Y790" ca="1" si="2324">IF($W790=0,T790*3.6+U790*3.6+V790*3.6+X790,T790+U790+V790+W790)</f>
        <v>0.20648341631229145</v>
      </c>
      <c r="Z790" t="str">
        <f t="shared" si="2320"/>
        <v>BIO_GSF_CCS_MED_C   →   C_GAS_STRG   →   METHANATION   →   NG_FC_PWR</v>
      </c>
      <c r="AA790" t="str">
        <f t="shared" si="2321"/>
        <v>Onsite / Back-up power</v>
      </c>
      <c r="AB790" t="str">
        <f t="shared" si="2322"/>
        <v>Levelized cost</v>
      </c>
      <c r="AC790">
        <f t="shared" ca="1" si="2323"/>
        <v>0.20648341631229145</v>
      </c>
      <c r="AD790">
        <v>731</v>
      </c>
      <c r="AE790" t="str">
        <f>IF(AND(ISNUMBER(SEARCH(O790,4)),ISNUMBER(SEARCH('(4) FCH pathway assessment'!$B$16,AB790)),ISNUMBER(SEARCH('(4) FCH pathway assessment'!$B$10,AA790))),AD790,"")</f>
        <v/>
      </c>
      <c r="AF790" t="str">
        <f t="shared" si="2239"/>
        <v/>
      </c>
      <c r="AG790" t="str">
        <f>VLOOKUP(C790,Assumptions!$B$116:$C$162,2,FALSE)</f>
        <v>BIO_GSF_CCS_MED_C</v>
      </c>
      <c r="AH790" t="str">
        <f>VLOOKUP(D790,Assumptions!$B$116:$C$162,2,FALSE)</f>
        <v>C_GAS_STRG</v>
      </c>
      <c r="AI790" t="str">
        <f>VLOOKUP(E790,Assumptions!$B$116:$C$162,2,FALSE)</f>
        <v>METHANATION</v>
      </c>
      <c r="AJ790" t="str">
        <f>VLOOKUP(F790,Assumptions!$B$116:$C$162,2,FALSE)</f>
        <v>NG_FC_PWR</v>
      </c>
    </row>
    <row r="791" spans="2:36" x14ac:dyDescent="0.25">
      <c r="B791" t="s">
        <v>117</v>
      </c>
      <c r="C791" t="s">
        <v>56</v>
      </c>
      <c r="D791" t="s">
        <v>62</v>
      </c>
      <c r="E791" t="s">
        <v>65</v>
      </c>
      <c r="F791" t="s">
        <v>165</v>
      </c>
      <c r="G791" t="s">
        <v>126</v>
      </c>
      <c r="H791" t="s">
        <v>433</v>
      </c>
      <c r="I791" t="s">
        <v>32</v>
      </c>
      <c r="J791" t="s">
        <v>72</v>
      </c>
      <c r="K791">
        <f t="shared" ref="K791" si="2325">SUMPRODUCT(($C$7:$C$18=$C791)*($D$6:$H$6=$D791)*($D$7:$H$18))</f>
        <v>0</v>
      </c>
      <c r="L791">
        <f t="shared" ref="L791" si="2326">SUMPRODUCT(($C$19:$C$23=$D791)*($I$6:$O$6=$E791)*($I$19:$O$23))</f>
        <v>0</v>
      </c>
      <c r="M791">
        <f t="shared" ref="M791" si="2327">SUMPRODUCT(($C$24:$C$30=$E791)*($P$6:$AI$6=$F791)*($P$24:$AI$30))</f>
        <v>0</v>
      </c>
      <c r="N791">
        <f t="shared" ref="N791" si="2328">SUMPRODUCT(($C$31:$C$50=$F791)*($AJ$6:$AM$6=$G791)*($AJ$31:$AM$50))</f>
        <v>1</v>
      </c>
      <c r="O791">
        <f t="shared" ref="O791" si="2329">K791+L791+M791+N791</f>
        <v>1</v>
      </c>
      <c r="P791" t="str">
        <f t="shared" ref="P791" si="2330">CONCATENATE(C791,"-",J791)</f>
        <v>Large centralized biomass steam reforming -Levelized cost</v>
      </c>
      <c r="Q791" t="str">
        <f t="shared" ref="Q791" si="2331">CONCATENATE(D791,"-",J791)</f>
        <v>Underground storage-Levelized cost</v>
      </c>
      <c r="R791" t="str">
        <f t="shared" ref="R791" si="2332">CONCATENATE(E791,"-",J791)</f>
        <v>Methanation-Levelized cost</v>
      </c>
      <c r="S791" t="str">
        <f t="shared" ref="S791" si="2333">CONCATENATE(F791,"-",J791)</f>
        <v>Prime power natural gas fuel cell-Levelized cost</v>
      </c>
      <c r="T791">
        <f ca="1">IF(timePeriod="2020-30",(VLOOKUP($P791,'TA database'!$I$8:$J$79,2,FALSE)/VLOOKUP($D791,'Merit calculation'!$B$48:$I$52,5,FALSE)/VLOOKUP($E791,'Merit calculation'!$B$67:$I$73,5,FALSE)/VLOOKUP($F791,'Merit calculation'!$B$90:$I$103,5,FALSE)/energyContentH2),(VLOOKUP($P791,'TA database'!$I$8:$J$79,2,FALSE)/VLOOKUP($D791,'Merit calculation'!$B$48:$I$52,7,FALSE)/VLOOKUP($E791,'Merit calculation'!$B$67:$I$73,7,FALSE)/VLOOKUP($F791,'Merit calculation'!$B$90:$I$103,7,FALSE)/energyContentH2))</f>
        <v>1.9641840113922556E-2</v>
      </c>
      <c r="U791">
        <f ca="1">IF(timePeriod="2020-30",(VLOOKUP($Q791,'TA database'!$I$86:$J$105,2,FALSE)/VLOOKUP($E791,'Merit calculation'!$B$67:$I$73,5,FALSE)/VLOOKUP($F791,'Merit calculation'!$B$90:$I$104,5,FALSE)/energyContentH2),VLOOKUP($Q791,'TA database'!$I$86:$J$105,2,FALSE)/VLOOKUP($E791,'Merit calculation'!$B$67:$I$73,7,FALSE)/VLOOKUP($F791,'Merit calculation'!$B$90:$I$104,7,FALSE)/energyContentH2)</f>
        <v>2.7676442799963046E-4</v>
      </c>
      <c r="V791">
        <f ca="1">IF(timePeriod="2020-30",(VLOOKUP($R791,'TA database'!$I$112:$J$139,2,FALSE)/VLOOKUP($F791,'Merit calculation'!$B$90:$I$104,5,FALSE)/energyContentH2),(VLOOKUP($R791,'TA database'!$I$112:$J$139,2,FALSE)/VLOOKUP($F791,'Merit calculation'!$B$90:$I$104,7,FALSE)/energyContentH2))</f>
        <v>2.4119440514383122E-2</v>
      </c>
      <c r="W791">
        <f>IFERROR(VLOOKUP($S791,'TA database'!$I$146:$J$193,2,FALSE),0)</f>
        <v>0</v>
      </c>
      <c r="X791">
        <f ca="1">IFERROR(VLOOKUP($S791,'TA database'!$I$200:$J$271,2,FALSE),0)</f>
        <v>5.1494071531421985E-2</v>
      </c>
      <c r="Y791">
        <f t="shared" ref="Y791:Y793" ca="1" si="2334">IF($W791=0,T791*3.6+U791*3.6+V791*3.6+X791,T791+U791+V791+W791)</f>
        <v>0.2100310337341211</v>
      </c>
      <c r="Z791" t="str">
        <f t="shared" ref="Z791" si="2335">CONCATENATE(AG791,"   →   ",AH791,"   →   ",AI791,"   →   ",AJ791)</f>
        <v>BIO_SR_LRG_C   →   C_UNDRGRND_STRG   →   METHANATION   →   NG_FC_PWR</v>
      </c>
      <c r="AA791" t="str">
        <f t="shared" ref="AA791" si="2336">G791</f>
        <v>Onsite / Back-up power</v>
      </c>
      <c r="AB791" t="str">
        <f t="shared" ref="AB791" si="2337">J791</f>
        <v>Levelized cost</v>
      </c>
      <c r="AC791">
        <f t="shared" ref="AC791" ca="1" si="2338">Y791</f>
        <v>0.2100310337341211</v>
      </c>
      <c r="AD791">
        <v>732</v>
      </c>
      <c r="AE791" t="str">
        <f>IF(AND(ISNUMBER(SEARCH(O791,4)),ISNUMBER(SEARCH('(4) FCH pathway assessment'!$B$16,AB791)),ISNUMBER(SEARCH('(4) FCH pathway assessment'!$B$10,AA791))),AD791,"")</f>
        <v/>
      </c>
      <c r="AF791" t="str">
        <f t="shared" si="2239"/>
        <v/>
      </c>
      <c r="AG791" t="str">
        <f>VLOOKUP(C791,Assumptions!$B$116:$C$162,2,FALSE)</f>
        <v>BIO_SR_LRG_C</v>
      </c>
      <c r="AH791" t="str">
        <f>VLOOKUP(D791,Assumptions!$B$116:$C$162,2,FALSE)</f>
        <v>C_UNDRGRND_STRG</v>
      </c>
      <c r="AI791" t="str">
        <f>VLOOKUP(E791,Assumptions!$B$116:$C$162,2,FALSE)</f>
        <v>METHANATION</v>
      </c>
      <c r="AJ791" t="str">
        <f>VLOOKUP(F791,Assumptions!$B$116:$C$162,2,FALSE)</f>
        <v>NG_FC_PWR</v>
      </c>
    </row>
    <row r="792" spans="2:36" x14ac:dyDescent="0.25">
      <c r="B792" t="s">
        <v>112</v>
      </c>
      <c r="C792" t="s">
        <v>49</v>
      </c>
      <c r="D792" t="s">
        <v>62</v>
      </c>
      <c r="E792" t="s">
        <v>65</v>
      </c>
      <c r="F792" t="s">
        <v>165</v>
      </c>
      <c r="G792" t="s">
        <v>126</v>
      </c>
      <c r="H792" t="s">
        <v>433</v>
      </c>
      <c r="I792" t="s">
        <v>32</v>
      </c>
      <c r="J792" t="s">
        <v>72</v>
      </c>
      <c r="K792">
        <f t="shared" ref="K792:K793" si="2339">SUMPRODUCT(($C$7:$C$18=$C792)*($D$6:$H$6=$D792)*($D$7:$H$18))</f>
        <v>1</v>
      </c>
      <c r="L792">
        <f t="shared" ref="L792:L793" si="2340">SUMPRODUCT(($C$19:$C$23=$D792)*($I$6:$O$6=$E792)*($I$19:$O$23))</f>
        <v>0</v>
      </c>
      <c r="M792">
        <f t="shared" ref="M792:M793" si="2341">SUMPRODUCT(($C$24:$C$30=$E792)*($P$6:$AI$6=$F792)*($P$24:$AI$30))</f>
        <v>0</v>
      </c>
      <c r="N792">
        <f t="shared" ref="N792:N793" si="2342">SUMPRODUCT(($C$31:$C$50=$F792)*($AJ$6:$AM$6=$G792)*($AJ$31:$AM$50))</f>
        <v>1</v>
      </c>
      <c r="O792">
        <f t="shared" ref="O792:O793" si="2343">K792+L792+M792+N792</f>
        <v>2</v>
      </c>
      <c r="P792" t="str">
        <f t="shared" ref="P792:P793" si="2344">CONCATENATE(C792,"-",J792)</f>
        <v>Large centralized electrolysis-Levelized cost</v>
      </c>
      <c r="Q792" t="str">
        <f t="shared" ref="Q792:Q793" si="2345">CONCATENATE(D792,"-",J792)</f>
        <v>Underground storage-Levelized cost</v>
      </c>
      <c r="R792" t="str">
        <f t="shared" ref="R792:R793" si="2346">CONCATENATE(E792,"-",J792)</f>
        <v>Methanation-Levelized cost</v>
      </c>
      <c r="S792" t="str">
        <f t="shared" ref="S792:S793" si="2347">CONCATENATE(F792,"-",J792)</f>
        <v>Prime power natural gas fuel cell-Levelized cost</v>
      </c>
      <c r="T792">
        <f ca="1">IF(timePeriod="2020-30",(VLOOKUP($P792,'TA database'!$I$8:$J$79,2,FALSE)/VLOOKUP($D792,'Merit calculation'!$B$48:$I$52,5,FALSE)/VLOOKUP($E792,'Merit calculation'!$B$67:$I$73,5,FALSE)/VLOOKUP($F792,'Merit calculation'!$B$90:$I$103,5,FALSE)/energyContentH2),(VLOOKUP($P792,'TA database'!$I$8:$J$79,2,FALSE)/VLOOKUP($D792,'Merit calculation'!$B$48:$I$52,7,FALSE)/VLOOKUP($E792,'Merit calculation'!$B$67:$I$73,7,FALSE)/VLOOKUP($F792,'Merit calculation'!$B$90:$I$103,7,FALSE)/energyContentH2))</f>
        <v>4.1882263962884012E-2</v>
      </c>
      <c r="U792">
        <f ca="1">IF(timePeriod="2020-30",(VLOOKUP($Q792,'TA database'!$I$86:$J$105,2,FALSE)/VLOOKUP($E792,'Merit calculation'!$B$67:$I$73,5,FALSE)/VLOOKUP($F792,'Merit calculation'!$B$90:$I$104,5,FALSE)/energyContentH2),VLOOKUP($Q792,'TA database'!$I$86:$J$105,2,FALSE)/VLOOKUP($E792,'Merit calculation'!$B$67:$I$73,7,FALSE)/VLOOKUP($F792,'Merit calculation'!$B$90:$I$104,7,FALSE)/energyContentH2)</f>
        <v>2.7676442799963046E-4</v>
      </c>
      <c r="V792">
        <f ca="1">IF(timePeriod="2020-30",(VLOOKUP($R792,'TA database'!$I$112:$J$139,2,FALSE)/VLOOKUP($F792,'Merit calculation'!$B$90:$I$104,5,FALSE)/energyContentH2),(VLOOKUP($R792,'TA database'!$I$112:$J$139,2,FALSE)/VLOOKUP($F792,'Merit calculation'!$B$90:$I$104,7,FALSE)/energyContentH2))</f>
        <v>2.4119440514383122E-2</v>
      </c>
      <c r="W792">
        <f>IFERROR(VLOOKUP($S792,'TA database'!$I$146:$J$193,2,FALSE),0)</f>
        <v>0</v>
      </c>
      <c r="X792">
        <f ca="1">IFERROR(VLOOKUP($S792,'TA database'!$I$200:$J$271,2,FALSE),0)</f>
        <v>5.1494071531421985E-2</v>
      </c>
      <c r="Y792">
        <f t="shared" ca="1" si="2334"/>
        <v>0.29009655959038233</v>
      </c>
      <c r="Z792" t="str">
        <f t="shared" ref="Z792:Z793" si="2348">CONCATENATE(AG792,"   →   ",AH792,"   →   ",AI792,"   →   ",AJ792)</f>
        <v>ELCTRLYZ_LRG_C   →   C_UNDRGRND_STRG   →   METHANATION   →   NG_FC_PWR</v>
      </c>
      <c r="AA792" t="str">
        <f t="shared" ref="AA792:AA793" si="2349">G792</f>
        <v>Onsite / Back-up power</v>
      </c>
      <c r="AB792" t="str">
        <f t="shared" ref="AB792:AB793" si="2350">J792</f>
        <v>Levelized cost</v>
      </c>
      <c r="AC792">
        <f t="shared" ref="AC792:AC793" ca="1" si="2351">Y792</f>
        <v>0.29009655959038233</v>
      </c>
      <c r="AD792">
        <v>733</v>
      </c>
      <c r="AE792" t="str">
        <f>IF(AND(ISNUMBER(SEARCH(O792,4)),ISNUMBER(SEARCH('(4) FCH pathway assessment'!$B$16,AB792)),ISNUMBER(SEARCH('(4) FCH pathway assessment'!$B$10,AA792))),AD792,"")</f>
        <v/>
      </c>
      <c r="AF792" t="str">
        <f t="shared" si="2239"/>
        <v/>
      </c>
      <c r="AG792" t="str">
        <f>VLOOKUP(C792,Assumptions!$B$116:$C$162,2,FALSE)</f>
        <v>ELCTRLYZ_LRG_C</v>
      </c>
      <c r="AH792" t="str">
        <f>VLOOKUP(D792,Assumptions!$B$116:$C$162,2,FALSE)</f>
        <v>C_UNDRGRND_STRG</v>
      </c>
      <c r="AI792" t="str">
        <f>VLOOKUP(E792,Assumptions!$B$116:$C$162,2,FALSE)</f>
        <v>METHANATION</v>
      </c>
      <c r="AJ792" t="str">
        <f>VLOOKUP(F792,Assumptions!$B$116:$C$162,2,FALSE)</f>
        <v>NG_FC_PWR</v>
      </c>
    </row>
    <row r="793" spans="2:36" x14ac:dyDescent="0.25">
      <c r="B793" t="s">
        <v>112</v>
      </c>
      <c r="C793" t="s">
        <v>49</v>
      </c>
      <c r="D793" t="s">
        <v>155</v>
      </c>
      <c r="E793" t="s">
        <v>65</v>
      </c>
      <c r="F793" t="s">
        <v>165</v>
      </c>
      <c r="G793" t="s">
        <v>126</v>
      </c>
      <c r="H793" t="s">
        <v>433</v>
      </c>
      <c r="I793" t="s">
        <v>32</v>
      </c>
      <c r="J793" t="s">
        <v>72</v>
      </c>
      <c r="K793">
        <f t="shared" si="2339"/>
        <v>1</v>
      </c>
      <c r="L793">
        <f t="shared" si="2340"/>
        <v>1</v>
      </c>
      <c r="M793">
        <f t="shared" si="2341"/>
        <v>0</v>
      </c>
      <c r="N793">
        <f t="shared" si="2342"/>
        <v>1</v>
      </c>
      <c r="O793">
        <f t="shared" si="2343"/>
        <v>3</v>
      </c>
      <c r="P793" t="str">
        <f t="shared" si="2344"/>
        <v>Large centralized electrolysis-Levelized cost</v>
      </c>
      <c r="Q793" t="str">
        <f t="shared" si="2345"/>
        <v>Central gas storage-Levelized cost</v>
      </c>
      <c r="R793" t="str">
        <f t="shared" si="2346"/>
        <v>Methanation-Levelized cost</v>
      </c>
      <c r="S793" t="str">
        <f t="shared" si="2347"/>
        <v>Prime power natural gas fuel cell-Levelized cost</v>
      </c>
      <c r="T793">
        <f ca="1">IF(timePeriod="2020-30",(VLOOKUP($P793,'TA database'!$I$8:$J$79,2,FALSE)/VLOOKUP($D793,'Merit calculation'!$B$48:$I$52,5,FALSE)/VLOOKUP($E793,'Merit calculation'!$B$67:$I$73,5,FALSE)/VLOOKUP($F793,'Merit calculation'!$B$90:$I$103,5,FALSE)/energyContentH2),(VLOOKUP($P793,'TA database'!$I$8:$J$79,2,FALSE)/VLOOKUP($D793,'Merit calculation'!$B$48:$I$52,7,FALSE)/VLOOKUP($E793,'Merit calculation'!$B$67:$I$73,7,FALSE)/VLOOKUP($F793,'Merit calculation'!$B$90:$I$103,7,FALSE)/energyContentH2))</f>
        <v>4.2309634003321613E-2</v>
      </c>
      <c r="U793">
        <f ca="1">IF(timePeriod="2020-30",(VLOOKUP($Q793,'TA database'!$I$86:$J$105,2,FALSE)/VLOOKUP($E793,'Merit calculation'!$B$67:$I$73,5,FALSE)/VLOOKUP($F793,'Merit calculation'!$B$90:$I$104,5,FALSE)/energyContentH2),VLOOKUP($Q793,'TA database'!$I$86:$J$105,2,FALSE)/VLOOKUP($E793,'Merit calculation'!$B$67:$I$73,7,FALSE)/VLOOKUP($F793,'Merit calculation'!$B$90:$I$104,7,FALSE)/energyContentH2)</f>
        <v>1.3895404133039296E-3</v>
      </c>
      <c r="V793">
        <f ca="1">IF(timePeriod="2020-30",(VLOOKUP($R793,'TA database'!$I$112:$J$139,2,FALSE)/VLOOKUP($F793,'Merit calculation'!$B$90:$I$104,5,FALSE)/energyContentH2),(VLOOKUP($R793,'TA database'!$I$112:$J$139,2,FALSE)/VLOOKUP($F793,'Merit calculation'!$B$90:$I$104,7,FALSE)/energyContentH2))</f>
        <v>2.4119440514383122E-2</v>
      </c>
      <c r="W793">
        <f>IFERROR(VLOOKUP($S793,'TA database'!$I$146:$J$193,2,FALSE),0)</f>
        <v>0</v>
      </c>
      <c r="X793">
        <f ca="1">IFERROR(VLOOKUP($S793,'TA database'!$I$200:$J$271,2,FALSE),0)</f>
        <v>5.1494071531421985E-2</v>
      </c>
      <c r="Y793">
        <f t="shared" ca="1" si="2334"/>
        <v>0.29564108528305322</v>
      </c>
      <c r="Z793" t="str">
        <f t="shared" si="2348"/>
        <v>ELCTRLYZ_LRG_C   →   C_GAS_STRG   →   METHANATION   →   NG_FC_PWR</v>
      </c>
      <c r="AA793" t="str">
        <f t="shared" si="2349"/>
        <v>Onsite / Back-up power</v>
      </c>
      <c r="AB793" t="str">
        <f t="shared" si="2350"/>
        <v>Levelized cost</v>
      </c>
      <c r="AC793">
        <f t="shared" ca="1" si="2351"/>
        <v>0.29564108528305322</v>
      </c>
      <c r="AD793">
        <v>734</v>
      </c>
      <c r="AE793" t="str">
        <f>IF(AND(ISNUMBER(SEARCH(O793,4)),ISNUMBER(SEARCH('(4) FCH pathway assessment'!$B$16,AB793)),ISNUMBER(SEARCH('(4) FCH pathway assessment'!$B$10,AA793))),AD793,"")</f>
        <v/>
      </c>
      <c r="AF793" t="str">
        <f t="shared" si="2239"/>
        <v/>
      </c>
      <c r="AG793" t="str">
        <f>VLOOKUP(C793,Assumptions!$B$116:$C$162,2,FALSE)</f>
        <v>ELCTRLYZ_LRG_C</v>
      </c>
      <c r="AH793" t="str">
        <f>VLOOKUP(D793,Assumptions!$B$116:$C$162,2,FALSE)</f>
        <v>C_GAS_STRG</v>
      </c>
      <c r="AI793" t="str">
        <f>VLOOKUP(E793,Assumptions!$B$116:$C$162,2,FALSE)</f>
        <v>METHANATION</v>
      </c>
      <c r="AJ793" t="str">
        <f>VLOOKUP(F793,Assumptions!$B$116:$C$162,2,FALSE)</f>
        <v>NG_FC_PWR</v>
      </c>
    </row>
    <row r="794" spans="2:36" x14ac:dyDescent="0.25">
      <c r="B794" t="s">
        <v>112</v>
      </c>
      <c r="C794" t="s">
        <v>51</v>
      </c>
      <c r="D794" t="s">
        <v>155</v>
      </c>
      <c r="E794" t="s">
        <v>65</v>
      </c>
      <c r="F794" t="s">
        <v>165</v>
      </c>
      <c r="G794" t="s">
        <v>126</v>
      </c>
      <c r="H794" t="s">
        <v>433</v>
      </c>
      <c r="I794" t="s">
        <v>32</v>
      </c>
      <c r="J794" t="s">
        <v>72</v>
      </c>
      <c r="K794">
        <f t="shared" ref="K794" si="2352">SUMPRODUCT(($C$7:$C$18=$C794)*($D$6:$H$6=$D794)*($D$7:$H$18))</f>
        <v>1</v>
      </c>
      <c r="L794">
        <f t="shared" ref="L794" si="2353">SUMPRODUCT(($C$19:$C$23=$D794)*($I$6:$O$6=$E794)*($I$19:$O$23))</f>
        <v>1</v>
      </c>
      <c r="M794">
        <f t="shared" ref="M794" si="2354">SUMPRODUCT(($C$24:$C$30=$E794)*($P$6:$AI$6=$F794)*($P$24:$AI$30))</f>
        <v>0</v>
      </c>
      <c r="N794">
        <f t="shared" ref="N794" si="2355">SUMPRODUCT(($C$31:$C$50=$F794)*($AJ$6:$AM$6=$G794)*($AJ$31:$AM$50))</f>
        <v>1</v>
      </c>
      <c r="O794">
        <f t="shared" ref="O794" si="2356">K794+L794+M794+N794</f>
        <v>3</v>
      </c>
      <c r="P794" t="str">
        <f t="shared" ref="P794" si="2357">CONCATENATE(C794,"-",J794)</f>
        <v>Medium centralized electrolysis-Levelized cost</v>
      </c>
      <c r="Q794" t="str">
        <f t="shared" ref="Q794" si="2358">CONCATENATE(D794,"-",J794)</f>
        <v>Central gas storage-Levelized cost</v>
      </c>
      <c r="R794" t="str">
        <f t="shared" ref="R794" si="2359">CONCATENATE(E794,"-",J794)</f>
        <v>Methanation-Levelized cost</v>
      </c>
      <c r="S794" t="str">
        <f t="shared" ref="S794" si="2360">CONCATENATE(F794,"-",J794)</f>
        <v>Prime power natural gas fuel cell-Levelized cost</v>
      </c>
      <c r="T794">
        <f ca="1">IF(timePeriod="2020-30",(VLOOKUP($P794,'TA database'!$I$8:$J$79,2,FALSE)/VLOOKUP($D794,'Merit calculation'!$B$48:$I$52,5,FALSE)/VLOOKUP($E794,'Merit calculation'!$B$67:$I$73,5,FALSE)/VLOOKUP($F794,'Merit calculation'!$B$90:$I$103,5,FALSE)/energyContentH2),(VLOOKUP($P794,'TA database'!$I$8:$J$79,2,FALSE)/VLOOKUP($D794,'Merit calculation'!$B$48:$I$52,7,FALSE)/VLOOKUP($E794,'Merit calculation'!$B$67:$I$73,7,FALSE)/VLOOKUP($F794,'Merit calculation'!$B$90:$I$103,7,FALSE)/energyContentH2))</f>
        <v>4.4075058522289517E-2</v>
      </c>
      <c r="U794">
        <f ca="1">IF(timePeriod="2020-30",(VLOOKUP($Q794,'TA database'!$I$86:$J$105,2,FALSE)/VLOOKUP($E794,'Merit calculation'!$B$67:$I$73,5,FALSE)/VLOOKUP($F794,'Merit calculation'!$B$90:$I$104,5,FALSE)/energyContentH2),VLOOKUP($Q794,'TA database'!$I$86:$J$105,2,FALSE)/VLOOKUP($E794,'Merit calculation'!$B$67:$I$73,7,FALSE)/VLOOKUP($F794,'Merit calculation'!$B$90:$I$104,7,FALSE)/energyContentH2)</f>
        <v>1.3895404133039296E-3</v>
      </c>
      <c r="V794">
        <f ca="1">IF(timePeriod="2020-30",(VLOOKUP($R794,'TA database'!$I$112:$J$139,2,FALSE)/VLOOKUP($F794,'Merit calculation'!$B$90:$I$104,5,FALSE)/energyContentH2),(VLOOKUP($R794,'TA database'!$I$112:$J$139,2,FALSE)/VLOOKUP($F794,'Merit calculation'!$B$90:$I$104,7,FALSE)/energyContentH2))</f>
        <v>2.4119440514383122E-2</v>
      </c>
      <c r="W794">
        <f>IFERROR(VLOOKUP($S794,'TA database'!$I$146:$J$193,2,FALSE),0)</f>
        <v>0</v>
      </c>
      <c r="X794">
        <f ca="1">IFERROR(VLOOKUP($S794,'TA database'!$I$200:$J$271,2,FALSE),0)</f>
        <v>5.1494071531421985E-2</v>
      </c>
      <c r="Y794">
        <f t="shared" ref="Y794" ca="1" si="2361">IF($W794=0,T794*3.6+U794*3.6+V794*3.6+X794,T794+U794+V794+W794)</f>
        <v>0.30199661355133767</v>
      </c>
      <c r="Z794" t="str">
        <f t="shared" ref="Z794" si="2362">CONCATENATE(AG794,"   →   ",AH794,"   →   ",AI794,"   →   ",AJ794)</f>
        <v>ELCTRLYZ_MED_C   →   C_GAS_STRG   →   METHANATION   →   NG_FC_PWR</v>
      </c>
      <c r="AA794" t="str">
        <f t="shared" ref="AA794" si="2363">G794</f>
        <v>Onsite / Back-up power</v>
      </c>
      <c r="AB794" t="str">
        <f t="shared" ref="AB794" si="2364">J794</f>
        <v>Levelized cost</v>
      </c>
      <c r="AC794">
        <f t="shared" ref="AC794" ca="1" si="2365">Y794</f>
        <v>0.30199661355133767</v>
      </c>
      <c r="AD794">
        <v>735</v>
      </c>
      <c r="AE794" t="str">
        <f>IF(AND(ISNUMBER(SEARCH(O794,4)),ISNUMBER(SEARCH('(4) FCH pathway assessment'!$B$16,AB794)),ISNUMBER(SEARCH('(4) FCH pathway assessment'!$B$10,AA794))),AD794,"")</f>
        <v/>
      </c>
      <c r="AF794" t="str">
        <f t="shared" si="2239"/>
        <v/>
      </c>
      <c r="AG794" t="str">
        <f>VLOOKUP(C794,Assumptions!$B$116:$C$162,2,FALSE)</f>
        <v>ELCTRLYZ_MED_C</v>
      </c>
      <c r="AH794" t="str">
        <f>VLOOKUP(D794,Assumptions!$B$116:$C$162,2,FALSE)</f>
        <v>C_GAS_STRG</v>
      </c>
      <c r="AI794" t="str">
        <f>VLOOKUP(E794,Assumptions!$B$116:$C$162,2,FALSE)</f>
        <v>METHANATION</v>
      </c>
      <c r="AJ794" t="str">
        <f>VLOOKUP(F794,Assumptions!$B$116:$C$162,2,FALSE)</f>
        <v>NG_FC_PWR</v>
      </c>
    </row>
    <row r="795" spans="2:36" x14ac:dyDescent="0.25">
      <c r="B795" t="s">
        <v>127</v>
      </c>
      <c r="C795" t="s">
        <v>57</v>
      </c>
      <c r="D795" t="s">
        <v>62</v>
      </c>
      <c r="E795" t="s">
        <v>65</v>
      </c>
      <c r="F795" t="s">
        <v>165</v>
      </c>
      <c r="G795" t="s">
        <v>126</v>
      </c>
      <c r="H795" t="s">
        <v>433</v>
      </c>
      <c r="I795" t="s">
        <v>32</v>
      </c>
      <c r="J795" t="s">
        <v>72</v>
      </c>
      <c r="K795">
        <f t="shared" ref="K795:K796" si="2366">SUMPRODUCT(($C$7:$C$18=$C795)*($D$6:$H$6=$D795)*($D$7:$H$18))</f>
        <v>1</v>
      </c>
      <c r="L795">
        <f t="shared" ref="L795:L796" si="2367">SUMPRODUCT(($C$19:$C$23=$D795)*($I$6:$O$6=$E795)*($I$19:$O$23))</f>
        <v>0</v>
      </c>
      <c r="M795">
        <f t="shared" ref="M795:M796" si="2368">SUMPRODUCT(($C$24:$C$30=$E795)*($P$6:$AI$6=$F795)*($P$24:$AI$30))</f>
        <v>0</v>
      </c>
      <c r="N795">
        <f t="shared" ref="N795:N796" si="2369">SUMPRODUCT(($C$31:$C$50=$F795)*($AJ$6:$AM$6=$G795)*($AJ$31:$AM$50))</f>
        <v>1</v>
      </c>
      <c r="O795">
        <f t="shared" ref="O795:O796" si="2370">K795+L795+M795+N795</f>
        <v>2</v>
      </c>
      <c r="P795" t="str">
        <f t="shared" ref="P795:P796" si="2371">CONCATENATE(C795,"-",J795)</f>
        <v>Large centralized natural gas steam reforming-Levelized cost</v>
      </c>
      <c r="Q795" t="str">
        <f t="shared" ref="Q795:Q796" si="2372">CONCATENATE(D795,"-",J795)</f>
        <v>Underground storage-Levelized cost</v>
      </c>
      <c r="R795" t="str">
        <f t="shared" ref="R795:R796" si="2373">CONCATENATE(E795,"-",J795)</f>
        <v>Methanation-Levelized cost</v>
      </c>
      <c r="S795" t="str">
        <f t="shared" ref="S795:S796" si="2374">CONCATENATE(F795,"-",J795)</f>
        <v>Prime power natural gas fuel cell-Levelized cost</v>
      </c>
      <c r="T795">
        <f ca="1">IF(timePeriod="2020-30",(VLOOKUP($P795,'TA database'!$I$8:$J$79,2,FALSE)/VLOOKUP($D795,'Merit calculation'!$B$48:$I$52,5,FALSE)/VLOOKUP($E795,'Merit calculation'!$B$67:$I$73,5,FALSE)/VLOOKUP($F795,'Merit calculation'!$B$90:$I$103,5,FALSE)/energyContentH2),(VLOOKUP($P795,'TA database'!$I$8:$J$79,2,FALSE)/VLOOKUP($D795,'Merit calculation'!$B$48:$I$52,7,FALSE)/VLOOKUP($E795,'Merit calculation'!$B$67:$I$73,7,FALSE)/VLOOKUP($F795,'Merit calculation'!$B$90:$I$103,7,FALSE)/energyContentH2))</f>
        <v>9.6675080315090201E-2</v>
      </c>
      <c r="U795">
        <f ca="1">IF(timePeriod="2020-30",(VLOOKUP($Q795,'TA database'!$I$86:$J$105,2,FALSE)/VLOOKUP($E795,'Merit calculation'!$B$67:$I$73,5,FALSE)/VLOOKUP($F795,'Merit calculation'!$B$90:$I$104,5,FALSE)/energyContentH2),VLOOKUP($Q795,'TA database'!$I$86:$J$105,2,FALSE)/VLOOKUP($E795,'Merit calculation'!$B$67:$I$73,7,FALSE)/VLOOKUP($F795,'Merit calculation'!$B$90:$I$104,7,FALSE)/energyContentH2)</f>
        <v>2.7676442799963046E-4</v>
      </c>
      <c r="V795">
        <f ca="1">IF(timePeriod="2020-30",(VLOOKUP($R795,'TA database'!$I$112:$J$139,2,FALSE)/VLOOKUP($F795,'Merit calculation'!$B$90:$I$104,5,FALSE)/energyContentH2),(VLOOKUP($R795,'TA database'!$I$112:$J$139,2,FALSE)/VLOOKUP($F795,'Merit calculation'!$B$90:$I$104,7,FALSE)/energyContentH2))</f>
        <v>2.4119440514383122E-2</v>
      </c>
      <c r="W795">
        <f>IFERROR(VLOOKUP($S795,'TA database'!$I$146:$J$193,2,FALSE),0)</f>
        <v>0</v>
      </c>
      <c r="X795">
        <f ca="1">IFERROR(VLOOKUP($S795,'TA database'!$I$200:$J$271,2,FALSE),0)</f>
        <v>5.1494071531421985E-2</v>
      </c>
      <c r="Y795">
        <f t="shared" ref="Y795" ca="1" si="2375">IF($W795=0,T795*3.6+U795*3.6+V795*3.6+X795,T795+U795+V795+W795)</f>
        <v>0.48735069845832463</v>
      </c>
      <c r="Z795" t="str">
        <f t="shared" ref="Z795:Z796" si="2376">CONCATENATE(AG795,"   →   ",AH795,"   →   ",AI795,"   →   ",AJ795)</f>
        <v>NG_SR_LRG_C   →   C_UNDRGRND_STRG   →   METHANATION   →   NG_FC_PWR</v>
      </c>
      <c r="AA795" t="str">
        <f t="shared" ref="AA795:AA796" si="2377">G795</f>
        <v>Onsite / Back-up power</v>
      </c>
      <c r="AB795" t="str">
        <f t="shared" ref="AB795:AB796" si="2378">J795</f>
        <v>Levelized cost</v>
      </c>
      <c r="AC795">
        <f t="shared" ref="AC795:AC796" ca="1" si="2379">Y795</f>
        <v>0.48735069845832463</v>
      </c>
      <c r="AD795">
        <v>736</v>
      </c>
      <c r="AE795" t="str">
        <f>IF(AND(ISNUMBER(SEARCH(O795,4)),ISNUMBER(SEARCH('(4) FCH pathway assessment'!$B$16,AB795)),ISNUMBER(SEARCH('(4) FCH pathway assessment'!$B$10,AA795))),AD795,"")</f>
        <v/>
      </c>
      <c r="AF795" t="str">
        <f t="shared" si="2239"/>
        <v/>
      </c>
      <c r="AG795" t="str">
        <f>VLOOKUP(C795,Assumptions!$B$116:$C$162,2,FALSE)</f>
        <v>NG_SR_LRG_C</v>
      </c>
      <c r="AH795" t="str">
        <f>VLOOKUP(D795,Assumptions!$B$116:$C$162,2,FALSE)</f>
        <v>C_UNDRGRND_STRG</v>
      </c>
      <c r="AI795" t="str">
        <f>VLOOKUP(E795,Assumptions!$B$116:$C$162,2,FALSE)</f>
        <v>METHANATION</v>
      </c>
      <c r="AJ795" t="str">
        <f>VLOOKUP(F795,Assumptions!$B$116:$C$162,2,FALSE)</f>
        <v>NG_FC_PWR</v>
      </c>
    </row>
    <row r="796" spans="2:36" x14ac:dyDescent="0.25">
      <c r="B796" t="s">
        <v>127</v>
      </c>
      <c r="C796" t="s">
        <v>58</v>
      </c>
      <c r="D796" t="s">
        <v>155</v>
      </c>
      <c r="E796" t="s">
        <v>65</v>
      </c>
      <c r="F796" t="s">
        <v>165</v>
      </c>
      <c r="G796" t="s">
        <v>126</v>
      </c>
      <c r="H796" t="s">
        <v>433</v>
      </c>
      <c r="I796" t="s">
        <v>32</v>
      </c>
      <c r="J796" t="s">
        <v>72</v>
      </c>
      <c r="K796">
        <f t="shared" si="2366"/>
        <v>1</v>
      </c>
      <c r="L796">
        <f t="shared" si="2367"/>
        <v>1</v>
      </c>
      <c r="M796">
        <f t="shared" si="2368"/>
        <v>0</v>
      </c>
      <c r="N796">
        <f t="shared" si="2369"/>
        <v>1</v>
      </c>
      <c r="O796">
        <f t="shared" si="2370"/>
        <v>3</v>
      </c>
      <c r="P796" t="str">
        <f t="shared" si="2371"/>
        <v>Small centralized natural gas steam reforming-Levelized cost</v>
      </c>
      <c r="Q796" t="str">
        <f t="shared" si="2372"/>
        <v>Central gas storage-Levelized cost</v>
      </c>
      <c r="R796" t="str">
        <f t="shared" si="2373"/>
        <v>Methanation-Levelized cost</v>
      </c>
      <c r="S796" t="str">
        <f t="shared" si="2374"/>
        <v>Prime power natural gas fuel cell-Levelized cost</v>
      </c>
      <c r="T796">
        <f ca="1">IF(timePeriod="2020-30",(VLOOKUP($P796,'TA database'!$I$8:$J$79,2,FALSE)/VLOOKUP($D796,'Merit calculation'!$B$48:$I$52,5,FALSE)/VLOOKUP($E796,'Merit calculation'!$B$67:$I$73,5,FALSE)/VLOOKUP($F796,'Merit calculation'!$B$90:$I$103,5,FALSE)/energyContentH2),(VLOOKUP($P796,'TA database'!$I$8:$J$79,2,FALSE)/VLOOKUP($D796,'Merit calculation'!$B$48:$I$52,7,FALSE)/VLOOKUP($E796,'Merit calculation'!$B$67:$I$73,7,FALSE)/VLOOKUP($F796,'Merit calculation'!$B$90:$I$103,7,FALSE)/energyContentH2))</f>
        <v>9.9209530980766278E-2</v>
      </c>
      <c r="U796">
        <f ca="1">IF(timePeriod="2020-30",(VLOOKUP($Q796,'TA database'!$I$86:$J$105,2,FALSE)/VLOOKUP($E796,'Merit calculation'!$B$67:$I$73,5,FALSE)/VLOOKUP($F796,'Merit calculation'!$B$90:$I$104,5,FALSE)/energyContentH2),VLOOKUP($Q796,'TA database'!$I$86:$J$105,2,FALSE)/VLOOKUP($E796,'Merit calculation'!$B$67:$I$73,7,FALSE)/VLOOKUP($F796,'Merit calculation'!$B$90:$I$104,7,FALSE)/energyContentH2)</f>
        <v>1.3895404133039296E-3</v>
      </c>
      <c r="V796">
        <f ca="1">IF(timePeriod="2020-30",(VLOOKUP($R796,'TA database'!$I$112:$J$139,2,FALSE)/VLOOKUP($F796,'Merit calculation'!$B$90:$I$104,5,FALSE)/energyContentH2),(VLOOKUP($R796,'TA database'!$I$112:$J$139,2,FALSE)/VLOOKUP($F796,'Merit calculation'!$B$90:$I$104,7,FALSE)/energyContentH2))</f>
        <v>2.4119440514383122E-2</v>
      </c>
      <c r="W796">
        <f>IFERROR(VLOOKUP($S796,'TA database'!$I$146:$J$193,2,FALSE),0)</f>
        <v>0</v>
      </c>
      <c r="X796">
        <f ca="1">IFERROR(VLOOKUP($S796,'TA database'!$I$200:$J$271,2,FALSE),0)</f>
        <v>5.1494071531421985E-2</v>
      </c>
      <c r="Y796">
        <f t="shared" ref="Y796" ca="1" si="2380">IF($W796=0,T796*3.6+U796*3.6+V796*3.6+X796,T796+U796+V796+W796)</f>
        <v>0.50048071440185393</v>
      </c>
      <c r="Z796" t="str">
        <f t="shared" si="2376"/>
        <v>NG_SR_SML_C   →   C_GAS_STRG   →   METHANATION   →   NG_FC_PWR</v>
      </c>
      <c r="AA796" t="str">
        <f t="shared" si="2377"/>
        <v>Onsite / Back-up power</v>
      </c>
      <c r="AB796" t="str">
        <f t="shared" si="2378"/>
        <v>Levelized cost</v>
      </c>
      <c r="AC796">
        <f t="shared" ca="1" si="2379"/>
        <v>0.50048071440185393</v>
      </c>
      <c r="AD796">
        <v>737</v>
      </c>
      <c r="AE796" t="str">
        <f>IF(AND(ISNUMBER(SEARCH(O796,4)),ISNUMBER(SEARCH('(4) FCH pathway assessment'!$B$16,AB796)),ISNUMBER(SEARCH('(4) FCH pathway assessment'!$B$10,AA796))),AD796,"")</f>
        <v/>
      </c>
      <c r="AF796" t="str">
        <f t="shared" si="2239"/>
        <v/>
      </c>
      <c r="AG796" t="str">
        <f>VLOOKUP(C796,Assumptions!$B$116:$C$162,2,FALSE)</f>
        <v>NG_SR_SML_C</v>
      </c>
      <c r="AH796" t="str">
        <f>VLOOKUP(D796,Assumptions!$B$116:$C$162,2,FALSE)</f>
        <v>C_GAS_STRG</v>
      </c>
      <c r="AI796" t="str">
        <f>VLOOKUP(E796,Assumptions!$B$116:$C$162,2,FALSE)</f>
        <v>METHANATION</v>
      </c>
      <c r="AJ796" t="str">
        <f>VLOOKUP(F796,Assumptions!$B$116:$C$162,2,FALSE)</f>
        <v>NG_FC_PWR</v>
      </c>
    </row>
    <row r="797" spans="2:36" x14ac:dyDescent="0.25">
      <c r="B797" t="s">
        <v>127</v>
      </c>
      <c r="C797" t="s">
        <v>174</v>
      </c>
      <c r="D797" s="61" t="s">
        <v>177</v>
      </c>
      <c r="E797" t="s">
        <v>180</v>
      </c>
      <c r="F797" t="s">
        <v>165</v>
      </c>
      <c r="G797" t="s">
        <v>126</v>
      </c>
      <c r="H797" t="s">
        <v>433</v>
      </c>
      <c r="I797" t="s">
        <v>32</v>
      </c>
      <c r="J797" t="s">
        <v>72</v>
      </c>
      <c r="K797">
        <f t="shared" ref="K797:K801" si="2381">SUMPRODUCT(($C$7:$C$18=$C797)*($D$6:$H$6=$D797)*($D$7:$H$18))</f>
        <v>1</v>
      </c>
      <c r="L797">
        <f t="shared" ref="L797:L801" si="2382">SUMPRODUCT(($C$19:$C$23=$D797)*($I$6:$O$6=$E797)*($I$19:$O$23))</f>
        <v>1</v>
      </c>
      <c r="M797">
        <f t="shared" ref="M797:M801" si="2383">SUMPRODUCT(($C$24:$C$30=$E797)*($P$6:$AI$6=$F797)*($P$24:$AI$30))</f>
        <v>1</v>
      </c>
      <c r="N797">
        <f t="shared" ref="N797:N801" si="2384">SUMPRODUCT(($C$31:$C$50=$F797)*($AJ$6:$AM$6=$G797)*($AJ$31:$AM$50))</f>
        <v>1</v>
      </c>
      <c r="O797">
        <f t="shared" ref="O797:O801" si="2385">K797+L797+M797+N797</f>
        <v>4</v>
      </c>
      <c r="P797" t="str">
        <f t="shared" ref="P797:P801" si="2386">CONCATENATE(C797,"-",J797)</f>
        <v>Natural gas production-Levelized cost</v>
      </c>
      <c r="Q797" t="str">
        <f t="shared" ref="Q797:Q801" si="2387">CONCATENATE(D797,"-",J797)</f>
        <v>Natural gas storage-Levelized cost</v>
      </c>
      <c r="R797" t="str">
        <f t="shared" ref="R797:R801" si="2388">CONCATENATE(E797,"-",J797)</f>
        <v>Natural gas transport-Levelized cost</v>
      </c>
      <c r="S797" t="str">
        <f t="shared" ref="S797:S801" si="2389">CONCATENATE(F797,"-",J797)</f>
        <v>Prime power natural gas fuel cell-Levelized cost</v>
      </c>
      <c r="T797">
        <f ca="1">IF(timePeriod="2020-30",(VLOOKUP($P797,'TA database'!$I$8:$J$79,2,FALSE)/VLOOKUP($D797,'Merit calculation'!$B$48:$I$52,5,FALSE)/VLOOKUP($E797,'Merit calculation'!$B$67:$I$73,5,FALSE)/VLOOKUP($F797,'Merit calculation'!$B$90:$I$103,5,FALSE)/energyContentH2),(VLOOKUP($P797,'TA database'!$I$8:$J$79,2,FALSE)/VLOOKUP($D797,'Merit calculation'!$B$48:$I$52,7,FALSE)/VLOOKUP($E797,'Merit calculation'!$B$67:$I$73,7,FALSE)/VLOOKUP($F797,'Merit calculation'!$B$90:$I$103,7,FALSE)/energyContentH2))</f>
        <v>0</v>
      </c>
      <c r="U797">
        <f ca="1">IF(timePeriod="2020-30",(VLOOKUP($Q797,'TA database'!$I$86:$J$105,2,FALSE)/VLOOKUP($E797,'Merit calculation'!$B$67:$I$73,5,FALSE)/VLOOKUP($F797,'Merit calculation'!$B$90:$I$104,5,FALSE)/energyContentH2),VLOOKUP($Q797,'TA database'!$I$86:$J$105,2,FALSE)/VLOOKUP($E797,'Merit calculation'!$B$67:$I$73,7,FALSE)/VLOOKUP($F797,'Merit calculation'!$B$90:$I$104,7,FALSE)/energyContentH2)</f>
        <v>0</v>
      </c>
      <c r="V797">
        <f ca="1">IF(timePeriod="2020-30",(VLOOKUP($R797,'TA database'!$I$112:$J$139,2,FALSE)/VLOOKUP($F797,'Merit calculation'!$B$90:$I$104,5,FALSE)/energyContentH2),(VLOOKUP($R797,'TA database'!$I$112:$J$139,2,FALSE)/VLOOKUP($F797,'Merit calculation'!$B$90:$I$104,7,FALSE)/energyContentH2))</f>
        <v>6.3829787234042548E-2</v>
      </c>
      <c r="W797">
        <f>IFERROR(VLOOKUP($S797,'TA database'!$I$146:$J$193,2,FALSE),0)</f>
        <v>0</v>
      </c>
      <c r="X797">
        <f ca="1">IFERROR(VLOOKUP($S797,'TA database'!$I$200:$J$271,2,FALSE),0)</f>
        <v>5.1494071531421985E-2</v>
      </c>
      <c r="Y797">
        <f t="shared" ref="Y797:Y805" ca="1" si="2390">IF($W797=0,T797*3.6+U797*3.6+V797*3.6+X797,T797+U797+V797+W797)</f>
        <v>0.28128130557397518</v>
      </c>
      <c r="Z797" t="str">
        <f t="shared" ref="Z797:Z801" si="2391">CONCATENATE(AG797,"   →   ",AH797,"   →   ",AI797,"   →   ",AJ797)</f>
        <v>[NG_PROD]   →   [NG_STRG]   →   [NG_TRNSP]   →   NG_FC_PWR</v>
      </c>
      <c r="AA797" t="str">
        <f t="shared" ref="AA797:AA801" si="2392">G797</f>
        <v>Onsite / Back-up power</v>
      </c>
      <c r="AB797" t="str">
        <f t="shared" ref="AB797:AB801" si="2393">J797</f>
        <v>Levelized cost</v>
      </c>
      <c r="AC797">
        <f t="shared" ref="AC797:AC801" ca="1" si="2394">Y797</f>
        <v>0.28128130557397518</v>
      </c>
      <c r="AD797">
        <v>738</v>
      </c>
      <c r="AE797" t="str">
        <f>IF(AND(ISNUMBER(SEARCH(O797,4)),ISNUMBER(SEARCH('(4) FCH pathway assessment'!$B$16,AB797)),ISNUMBER(SEARCH('(4) FCH pathway assessment'!$B$10,AA797))),AD797,"")</f>
        <v/>
      </c>
      <c r="AF797" t="str">
        <f t="shared" si="2239"/>
        <v/>
      </c>
      <c r="AG797" t="str">
        <f>VLOOKUP(C797,Assumptions!$B$116:$C$162,2,FALSE)</f>
        <v>[NG_PROD]</v>
      </c>
      <c r="AH797" t="str">
        <f>VLOOKUP(D797,Assumptions!$B$116:$C$162,2,FALSE)</f>
        <v>[NG_STRG]</v>
      </c>
      <c r="AI797" t="str">
        <f>VLOOKUP(E797,Assumptions!$B$116:$C$162,2,FALSE)</f>
        <v>[NG_TRNSP]</v>
      </c>
      <c r="AJ797" t="str">
        <f>VLOOKUP(F797,Assumptions!$B$116:$C$162,2,FALSE)</f>
        <v>NG_FC_PWR</v>
      </c>
    </row>
    <row r="798" spans="2:36" x14ac:dyDescent="0.25">
      <c r="B798" t="s">
        <v>117</v>
      </c>
      <c r="C798" t="s">
        <v>53</v>
      </c>
      <c r="D798" t="s">
        <v>155</v>
      </c>
      <c r="E798" t="s">
        <v>157</v>
      </c>
      <c r="F798" t="s">
        <v>552</v>
      </c>
      <c r="G798" t="s">
        <v>132</v>
      </c>
      <c r="H798" t="s">
        <v>434</v>
      </c>
      <c r="I798" t="s">
        <v>32</v>
      </c>
      <c r="J798" t="s">
        <v>72</v>
      </c>
      <c r="K798">
        <f t="shared" si="2381"/>
        <v>0</v>
      </c>
      <c r="L798">
        <f t="shared" si="2382"/>
        <v>1</v>
      </c>
      <c r="M798">
        <f t="shared" si="2383"/>
        <v>0</v>
      </c>
      <c r="N798">
        <f t="shared" si="2384"/>
        <v>1</v>
      </c>
      <c r="O798">
        <f t="shared" si="2385"/>
        <v>2</v>
      </c>
      <c r="P798" t="str">
        <f t="shared" si="2386"/>
        <v>Medium centralized biomass gasification-Levelized cost</v>
      </c>
      <c r="Q798" t="str">
        <f t="shared" si="2387"/>
        <v>Central gas storage-Levelized cost</v>
      </c>
      <c r="R798" t="str">
        <f t="shared" si="2388"/>
        <v>Blending in natural gas pipeline-Levelized cost</v>
      </c>
      <c r="S798" t="str">
        <f t="shared" si="2389"/>
        <v>District-CHP with H2 fuel cell (heat)-Levelized cost</v>
      </c>
      <c r="T798">
        <f ca="1">IF(timePeriod="2020-30",(VLOOKUP($P798,'TA database'!$I$8:$J$79,2,FALSE)/VLOOKUP($D798,'Merit calculation'!$B$48:$I$52,5,FALSE)/VLOOKUP($E798,'Merit calculation'!$B$67:$I$73,5,FALSE)/VLOOKUP($F798,'Merit calculation'!$B$90:$I$103,5,FALSE)/energyContentH2),(VLOOKUP($P798,'TA database'!$I$8:$J$79,2,FALSE)/VLOOKUP($D798,'Merit calculation'!$B$48:$I$52,7,FALSE)/VLOOKUP($E798,'Merit calculation'!$B$67:$I$73,7,FALSE)/VLOOKUP($F798,'Merit calculation'!$B$90:$I$103,7,FALSE)/energyContentH2))</f>
        <v>1.4037142818259015E-2</v>
      </c>
      <c r="U798">
        <f ca="1">IF(timePeriod="2020-30",(VLOOKUP($Q798,'TA database'!$I$86:$J$105,2,FALSE)/VLOOKUP($E798,'Merit calculation'!$B$67:$I$73,5,FALSE)/VLOOKUP($F798,'Merit calculation'!$B$90:$I$104,5,FALSE)/energyContentH2),VLOOKUP($Q798,'TA database'!$I$86:$J$105,2,FALSE)/VLOOKUP($E798,'Merit calculation'!$B$67:$I$73,7,FALSE)/VLOOKUP($F798,'Merit calculation'!$B$90:$I$104,7,FALSE)/energyContentH2)</f>
        <v>6.9440084450063454E-4</v>
      </c>
      <c r="V798">
        <f ca="1">IF(timePeriod="2020-30",(VLOOKUP($R798,'TA database'!$I$112:$J$139,2,FALSE)/VLOOKUP($F798,'Merit calculation'!$B$90:$I$104,5,FALSE)/energyContentH2),(VLOOKUP($R798,'TA database'!$I$112:$J$139,2,FALSE)/VLOOKUP($F798,'Merit calculation'!$B$90:$I$104,7,FALSE)/energyContentH2))</f>
        <v>1.9900144905361811E-3</v>
      </c>
      <c r="W798">
        <f ca="1">IFERROR(VLOOKUP($S798,'TA database'!$I$146:$J$193,2,FALSE),0)</f>
        <v>1.7801086338426392E-2</v>
      </c>
      <c r="X798">
        <f>IFERROR(VLOOKUP($S798,'TA database'!$I$200:$J$271,2,FALSE),0)</f>
        <v>0</v>
      </c>
      <c r="Y798">
        <f t="shared" ca="1" si="2390"/>
        <v>3.4522644491722224E-2</v>
      </c>
      <c r="Z798" t="str">
        <f t="shared" si="2391"/>
        <v>BIO_GSF_MED_C   →   C_GAS_STRG   →   H2_BLND_NG_P   →   H2_FC_DCHP_HEAT</v>
      </c>
      <c r="AA798" t="str">
        <f t="shared" si="2392"/>
        <v>Building heat</v>
      </c>
      <c r="AB798" t="str">
        <f t="shared" si="2393"/>
        <v>Levelized cost</v>
      </c>
      <c r="AC798">
        <f t="shared" ca="1" si="2394"/>
        <v>3.4522644491722224E-2</v>
      </c>
      <c r="AD798">
        <v>739</v>
      </c>
      <c r="AE798" t="str">
        <f>IF(AND(ISNUMBER(SEARCH(O798,4)),ISNUMBER(SEARCH('(4) FCH pathway assessment'!$B$16,AB798)),ISNUMBER(SEARCH('(4) FCH pathway assessment'!$B$10,AA798))),AD798,"")</f>
        <v/>
      </c>
      <c r="AF798" t="str">
        <f t="shared" si="2239"/>
        <v/>
      </c>
      <c r="AG798" t="str">
        <f>VLOOKUP(C798,Assumptions!$B$116:$C$162,2,FALSE)</f>
        <v>BIO_GSF_MED_C</v>
      </c>
      <c r="AH798" t="str">
        <f>VLOOKUP(D798,Assumptions!$B$116:$C$162,2,FALSE)</f>
        <v>C_GAS_STRG</v>
      </c>
      <c r="AI798" t="str">
        <f>VLOOKUP(E798,Assumptions!$B$116:$C$162,2,FALSE)</f>
        <v>H2_BLND_NG_P</v>
      </c>
      <c r="AJ798" t="str">
        <f>VLOOKUP(F798,Assumptions!$B$116:$C$162,2,FALSE)</f>
        <v>H2_FC_DCHP_HEAT</v>
      </c>
    </row>
    <row r="799" spans="2:36" x14ac:dyDescent="0.25">
      <c r="B799" t="s">
        <v>117</v>
      </c>
      <c r="C799" t="s">
        <v>53</v>
      </c>
      <c r="D799" t="s">
        <v>155</v>
      </c>
      <c r="E799" t="s">
        <v>122</v>
      </c>
      <c r="F799" t="s">
        <v>552</v>
      </c>
      <c r="G799" t="s">
        <v>132</v>
      </c>
      <c r="H799" t="s">
        <v>434</v>
      </c>
      <c r="I799" t="s">
        <v>32</v>
      </c>
      <c r="J799" t="s">
        <v>72</v>
      </c>
      <c r="K799">
        <f t="shared" si="2381"/>
        <v>0</v>
      </c>
      <c r="L799">
        <f t="shared" si="2382"/>
        <v>1</v>
      </c>
      <c r="M799">
        <f t="shared" si="2383"/>
        <v>1</v>
      </c>
      <c r="N799">
        <f t="shared" si="2384"/>
        <v>1</v>
      </c>
      <c r="O799">
        <f t="shared" si="2385"/>
        <v>3</v>
      </c>
      <c r="P799" t="str">
        <f t="shared" si="2386"/>
        <v>Medium centralized biomass gasification-Levelized cost</v>
      </c>
      <c r="Q799" t="str">
        <f t="shared" si="2387"/>
        <v>Central gas storage-Levelized cost</v>
      </c>
      <c r="R799" t="str">
        <f t="shared" si="2388"/>
        <v>Hydrogen transmission &amp; distribution pipeline-Levelized cost</v>
      </c>
      <c r="S799" t="str">
        <f t="shared" si="2389"/>
        <v>District-CHP with H2 fuel cell (heat)-Levelized cost</v>
      </c>
      <c r="T799">
        <f ca="1">IF(timePeriod="2020-30",(VLOOKUP($P799,'TA database'!$I$8:$J$79,2,FALSE)/VLOOKUP($D799,'Merit calculation'!$B$48:$I$52,5,FALSE)/VLOOKUP($E799,'Merit calculation'!$B$67:$I$73,5,FALSE)/VLOOKUP($F799,'Merit calculation'!$B$90:$I$103,5,FALSE)/energyContentH2),(VLOOKUP($P799,'TA database'!$I$8:$J$79,2,FALSE)/VLOOKUP($D799,'Merit calculation'!$B$48:$I$52,7,FALSE)/VLOOKUP($E799,'Merit calculation'!$B$67:$I$73,7,FALSE)/VLOOKUP($F799,'Merit calculation'!$B$90:$I$103,7,FALSE)/energyContentH2))</f>
        <v>1.4037142818259015E-2</v>
      </c>
      <c r="U799">
        <f ca="1">IF(timePeriod="2020-30",(VLOOKUP($Q799,'TA database'!$I$86:$J$105,2,FALSE)/VLOOKUP($E799,'Merit calculation'!$B$67:$I$73,5,FALSE)/VLOOKUP($F799,'Merit calculation'!$B$90:$I$104,5,FALSE)/energyContentH2),VLOOKUP($Q799,'TA database'!$I$86:$J$105,2,FALSE)/VLOOKUP($E799,'Merit calculation'!$B$67:$I$73,7,FALSE)/VLOOKUP($F799,'Merit calculation'!$B$90:$I$104,7,FALSE)/energyContentH2)</f>
        <v>6.9440084450063454E-4</v>
      </c>
      <c r="V799">
        <f ca="1">IF(timePeriod="2020-30",(VLOOKUP($R799,'TA database'!$I$112:$J$139,2,FALSE)/VLOOKUP($F799,'Merit calculation'!$B$90:$I$104,5,FALSE)/energyContentH2),(VLOOKUP($R799,'TA database'!$I$112:$J$139,2,FALSE)/VLOOKUP($F799,'Merit calculation'!$B$90:$I$104,7,FALSE)/energyContentH2))</f>
        <v>3.7025224863029226E-3</v>
      </c>
      <c r="W799">
        <f ca="1">IFERROR(VLOOKUP($S799,'TA database'!$I$146:$J$193,2,FALSE),0)</f>
        <v>1.7801086338426392E-2</v>
      </c>
      <c r="X799">
        <f>IFERROR(VLOOKUP($S799,'TA database'!$I$200:$J$271,2,FALSE),0)</f>
        <v>0</v>
      </c>
      <c r="Y799">
        <f t="shared" ca="1" si="2390"/>
        <v>3.6235152487488959E-2</v>
      </c>
      <c r="Z799" t="str">
        <f t="shared" si="2391"/>
        <v>BIO_GSF_MED_C   →   C_GAS_STRG   →   H2_T&amp;D_P   →   H2_FC_DCHP_HEAT</v>
      </c>
      <c r="AA799" t="str">
        <f t="shared" si="2392"/>
        <v>Building heat</v>
      </c>
      <c r="AB799" t="str">
        <f t="shared" si="2393"/>
        <v>Levelized cost</v>
      </c>
      <c r="AC799">
        <f t="shared" ca="1" si="2394"/>
        <v>3.6235152487488959E-2</v>
      </c>
      <c r="AD799">
        <v>740</v>
      </c>
      <c r="AE799" t="str">
        <f>IF(AND(ISNUMBER(SEARCH(O799,4)),ISNUMBER(SEARCH('(4) FCH pathway assessment'!$B$16,AB799)),ISNUMBER(SEARCH('(4) FCH pathway assessment'!$B$10,AA799))),AD799,"")</f>
        <v/>
      </c>
      <c r="AF799" t="str">
        <f t="shared" si="2239"/>
        <v/>
      </c>
      <c r="AG799" t="str">
        <f>VLOOKUP(C799,Assumptions!$B$116:$C$162,2,FALSE)</f>
        <v>BIO_GSF_MED_C</v>
      </c>
      <c r="AH799" t="str">
        <f>VLOOKUP(D799,Assumptions!$B$116:$C$162,2,FALSE)</f>
        <v>C_GAS_STRG</v>
      </c>
      <c r="AI799" t="str">
        <f>VLOOKUP(E799,Assumptions!$B$116:$C$162,2,FALSE)</f>
        <v>H2_T&amp;D_P</v>
      </c>
      <c r="AJ799" t="str">
        <f>VLOOKUP(F799,Assumptions!$B$116:$C$162,2,FALSE)</f>
        <v>H2_FC_DCHP_HEAT</v>
      </c>
    </row>
    <row r="800" spans="2:36" x14ac:dyDescent="0.25">
      <c r="B800" t="s">
        <v>117</v>
      </c>
      <c r="C800" t="s">
        <v>53</v>
      </c>
      <c r="D800" t="s">
        <v>155</v>
      </c>
      <c r="E800" t="s">
        <v>116</v>
      </c>
      <c r="F800" t="s">
        <v>552</v>
      </c>
      <c r="G800" t="s">
        <v>132</v>
      </c>
      <c r="H800" t="s">
        <v>434</v>
      </c>
      <c r="I800" t="s">
        <v>32</v>
      </c>
      <c r="J800" t="s">
        <v>72</v>
      </c>
      <c r="K800">
        <f t="shared" si="2381"/>
        <v>0</v>
      </c>
      <c r="L800">
        <f t="shared" si="2382"/>
        <v>1</v>
      </c>
      <c r="M800">
        <f t="shared" si="2383"/>
        <v>1</v>
      </c>
      <c r="N800">
        <f t="shared" si="2384"/>
        <v>1</v>
      </c>
      <c r="O800">
        <f t="shared" si="2385"/>
        <v>3</v>
      </c>
      <c r="P800" t="str">
        <f t="shared" si="2386"/>
        <v>Medium centralized biomass gasification-Levelized cost</v>
      </c>
      <c r="Q800" t="str">
        <f t="shared" si="2387"/>
        <v>Central gas storage-Levelized cost</v>
      </c>
      <c r="R800" t="str">
        <f t="shared" si="2388"/>
        <v>Liquid hydrogen truck-Levelized cost</v>
      </c>
      <c r="S800" t="str">
        <f t="shared" si="2389"/>
        <v>District-CHP with H2 fuel cell (heat)-Levelized cost</v>
      </c>
      <c r="T800">
        <f ca="1">IF(timePeriod="2020-30",(VLOOKUP($P800,'TA database'!$I$8:$J$79,2,FALSE)/VLOOKUP($D800,'Merit calculation'!$B$48:$I$52,5,FALSE)/VLOOKUP($E800,'Merit calculation'!$B$67:$I$73,5,FALSE)/VLOOKUP($F800,'Merit calculation'!$B$90:$I$103,5,FALSE)/energyContentH2),(VLOOKUP($P800,'TA database'!$I$8:$J$79,2,FALSE)/VLOOKUP($D800,'Merit calculation'!$B$48:$I$52,7,FALSE)/VLOOKUP($E800,'Merit calculation'!$B$67:$I$73,7,FALSE)/VLOOKUP($F800,'Merit calculation'!$B$90:$I$103,7,FALSE)/energyContentH2))</f>
        <v>1.6215602555515081E-2</v>
      </c>
      <c r="U800">
        <f ca="1">IF(timePeriod="2020-30",(VLOOKUP($Q800,'TA database'!$I$86:$J$105,2,FALSE)/VLOOKUP($E800,'Merit calculation'!$B$67:$I$73,5,FALSE)/VLOOKUP($F800,'Merit calculation'!$B$90:$I$104,5,FALSE)/energyContentH2),VLOOKUP($Q800,'TA database'!$I$86:$J$105,2,FALSE)/VLOOKUP($E800,'Merit calculation'!$B$67:$I$73,7,FALSE)/VLOOKUP($F800,'Merit calculation'!$B$90:$I$104,7,FALSE)/energyContentH2)</f>
        <v>8.0216666984320693E-4</v>
      </c>
      <c r="V800">
        <f ca="1">IF(timePeriod="2020-30",(VLOOKUP($R800,'TA database'!$I$112:$J$139,2,FALSE)/VLOOKUP($F800,'Merit calculation'!$B$90:$I$104,5,FALSE)/energyContentH2),(VLOOKUP($R800,'TA database'!$I$112:$J$139,2,FALSE)/VLOOKUP($F800,'Merit calculation'!$B$90:$I$104,7,FALSE)/energyContentH2))</f>
        <v>2.4500662962100454E-2</v>
      </c>
      <c r="W800">
        <f ca="1">IFERROR(VLOOKUP($S800,'TA database'!$I$146:$J$193,2,FALSE),0)</f>
        <v>1.7801086338426392E-2</v>
      </c>
      <c r="X800">
        <f>IFERROR(VLOOKUP($S800,'TA database'!$I$200:$J$271,2,FALSE),0)</f>
        <v>0</v>
      </c>
      <c r="Y800">
        <f t="shared" ca="1" si="2390"/>
        <v>5.9319518525885136E-2</v>
      </c>
      <c r="Z800" t="str">
        <f t="shared" si="2391"/>
        <v>BIO_GSF_MED_C   →   C_GAS_STRG   →   LQ_TRUCK   →   H2_FC_DCHP_HEAT</v>
      </c>
      <c r="AA800" t="str">
        <f t="shared" si="2392"/>
        <v>Building heat</v>
      </c>
      <c r="AB800" t="str">
        <f t="shared" si="2393"/>
        <v>Levelized cost</v>
      </c>
      <c r="AC800">
        <f t="shared" ca="1" si="2394"/>
        <v>5.9319518525885136E-2</v>
      </c>
      <c r="AD800">
        <v>741</v>
      </c>
      <c r="AE800" t="str">
        <f>IF(AND(ISNUMBER(SEARCH(O800,4)),ISNUMBER(SEARCH('(4) FCH pathway assessment'!$B$16,AB800)),ISNUMBER(SEARCH('(4) FCH pathway assessment'!$B$10,AA800))),AD800,"")</f>
        <v/>
      </c>
      <c r="AF800" t="str">
        <f t="shared" si="2239"/>
        <v/>
      </c>
      <c r="AG800" t="str">
        <f>VLOOKUP(C800,Assumptions!$B$116:$C$162,2,FALSE)</f>
        <v>BIO_GSF_MED_C</v>
      </c>
      <c r="AH800" t="str">
        <f>VLOOKUP(D800,Assumptions!$B$116:$C$162,2,FALSE)</f>
        <v>C_GAS_STRG</v>
      </c>
      <c r="AI800" t="str">
        <f>VLOOKUP(E800,Assumptions!$B$116:$C$162,2,FALSE)</f>
        <v>LQ_TRUCK</v>
      </c>
      <c r="AJ800" t="str">
        <f>VLOOKUP(F800,Assumptions!$B$116:$C$162,2,FALSE)</f>
        <v>H2_FC_DCHP_HEAT</v>
      </c>
    </row>
    <row r="801" spans="2:36" x14ac:dyDescent="0.25">
      <c r="B801" t="s">
        <v>117</v>
      </c>
      <c r="C801" t="s">
        <v>53</v>
      </c>
      <c r="D801" t="s">
        <v>155</v>
      </c>
      <c r="E801" t="s">
        <v>66</v>
      </c>
      <c r="F801" t="s">
        <v>552</v>
      </c>
      <c r="G801" t="s">
        <v>132</v>
      </c>
      <c r="H801" t="s">
        <v>434</v>
      </c>
      <c r="I801" t="s">
        <v>32</v>
      </c>
      <c r="J801" t="s">
        <v>72</v>
      </c>
      <c r="K801">
        <f t="shared" si="2381"/>
        <v>0</v>
      </c>
      <c r="L801">
        <f t="shared" si="2382"/>
        <v>1</v>
      </c>
      <c r="M801">
        <f t="shared" si="2383"/>
        <v>1</v>
      </c>
      <c r="N801">
        <f t="shared" si="2384"/>
        <v>1</v>
      </c>
      <c r="O801">
        <f t="shared" si="2385"/>
        <v>3</v>
      </c>
      <c r="P801" t="str">
        <f t="shared" si="2386"/>
        <v>Medium centralized biomass gasification-Levelized cost</v>
      </c>
      <c r="Q801" t="str">
        <f t="shared" si="2387"/>
        <v>Central gas storage-Levelized cost</v>
      </c>
      <c r="R801" t="str">
        <f t="shared" si="2388"/>
        <v>Onsite-Levelized cost</v>
      </c>
      <c r="S801" t="str">
        <f t="shared" si="2389"/>
        <v>District-CHP with H2 fuel cell (heat)-Levelized cost</v>
      </c>
      <c r="T801">
        <f ca="1">IF(timePeriod="2020-30",(VLOOKUP($P801,'TA database'!$I$8:$J$79,2,FALSE)/VLOOKUP($D801,'Merit calculation'!$B$48:$I$52,5,FALSE)/VLOOKUP($E801,'Merit calculation'!$B$67:$I$73,5,FALSE)/VLOOKUP($F801,'Merit calculation'!$B$90:$I$103,5,FALSE)/energyContentH2),(VLOOKUP($P801,'TA database'!$I$8:$J$79,2,FALSE)/VLOOKUP($D801,'Merit calculation'!$B$48:$I$52,7,FALSE)/VLOOKUP($E801,'Merit calculation'!$B$67:$I$73,7,FALSE)/VLOOKUP($F801,'Merit calculation'!$B$90:$I$103,7,FALSE)/energyContentH2))</f>
        <v>1.3896771390076423E-2</v>
      </c>
      <c r="U801">
        <f ca="1">IF(timePeriod="2020-30",(VLOOKUP($Q801,'TA database'!$I$86:$J$105,2,FALSE)/VLOOKUP($E801,'Merit calculation'!$B$67:$I$73,5,FALSE)/VLOOKUP($F801,'Merit calculation'!$B$90:$I$104,5,FALSE)/energyContentH2),VLOOKUP($Q801,'TA database'!$I$86:$J$105,2,FALSE)/VLOOKUP($E801,'Merit calculation'!$B$67:$I$73,7,FALSE)/VLOOKUP($F801,'Merit calculation'!$B$90:$I$104,7,FALSE)/energyContentH2)</f>
        <v>6.874568360556284E-4</v>
      </c>
      <c r="V801">
        <f ca="1">IF(timePeriod="2020-30",(VLOOKUP($R801,'TA database'!$I$112:$J$139,2,FALSE)/VLOOKUP($F801,'Merit calculation'!$B$90:$I$104,5,FALSE)/energyContentH2),(VLOOKUP($R801,'TA database'!$I$112:$J$139,2,FALSE)/VLOOKUP($F801,'Merit calculation'!$B$90:$I$104,7,FALSE)/energyContentH2))</f>
        <v>0</v>
      </c>
      <c r="W801">
        <f ca="1">IFERROR(VLOOKUP($S801,'TA database'!$I$146:$J$193,2,FALSE),0)</f>
        <v>1.7801086338426392E-2</v>
      </c>
      <c r="X801">
        <f>IFERROR(VLOOKUP($S801,'TA database'!$I$200:$J$271,2,FALSE),0)</f>
        <v>0</v>
      </c>
      <c r="Y801">
        <f t="shared" ca="1" si="2390"/>
        <v>3.238531456455844E-2</v>
      </c>
      <c r="Z801" t="str">
        <f t="shared" si="2391"/>
        <v>BIO_GSF_MED_C   →   C_GAS_STRG   →   ONSITE_USE   →   H2_FC_DCHP_HEAT</v>
      </c>
      <c r="AA801" t="str">
        <f t="shared" si="2392"/>
        <v>Building heat</v>
      </c>
      <c r="AB801" t="str">
        <f t="shared" si="2393"/>
        <v>Levelized cost</v>
      </c>
      <c r="AC801">
        <f t="shared" ca="1" si="2394"/>
        <v>3.238531456455844E-2</v>
      </c>
      <c r="AD801">
        <v>742</v>
      </c>
      <c r="AE801" t="str">
        <f>IF(AND(ISNUMBER(SEARCH(O801,4)),ISNUMBER(SEARCH('(4) FCH pathway assessment'!$B$16,AB801)),ISNUMBER(SEARCH('(4) FCH pathway assessment'!$B$10,AA801))),AD801,"")</f>
        <v/>
      </c>
      <c r="AF801" t="str">
        <f t="shared" si="2239"/>
        <v/>
      </c>
      <c r="AG801" t="str">
        <f>VLOOKUP(C801,Assumptions!$B$116:$C$162,2,FALSE)</f>
        <v>BIO_GSF_MED_C</v>
      </c>
      <c r="AH801" t="str">
        <f>VLOOKUP(D801,Assumptions!$B$116:$C$162,2,FALSE)</f>
        <v>C_GAS_STRG</v>
      </c>
      <c r="AI801" t="str">
        <f>VLOOKUP(E801,Assumptions!$B$116:$C$162,2,FALSE)</f>
        <v>ONSITE_USE</v>
      </c>
      <c r="AJ801" t="str">
        <f>VLOOKUP(F801,Assumptions!$B$116:$C$162,2,FALSE)</f>
        <v>H2_FC_DCHP_HEAT</v>
      </c>
    </row>
    <row r="802" spans="2:36" x14ac:dyDescent="0.25">
      <c r="B802" t="s">
        <v>117</v>
      </c>
      <c r="C802" t="s">
        <v>54</v>
      </c>
      <c r="D802" t="s">
        <v>155</v>
      </c>
      <c r="E802" t="s">
        <v>157</v>
      </c>
      <c r="F802" t="s">
        <v>552</v>
      </c>
      <c r="G802" t="s">
        <v>132</v>
      </c>
      <c r="H802" t="s">
        <v>434</v>
      </c>
      <c r="I802" t="s">
        <v>32</v>
      </c>
      <c r="J802" t="s">
        <v>72</v>
      </c>
      <c r="K802">
        <f t="shared" ref="K802:K805" si="2395">SUMPRODUCT(($C$7:$C$18=$C802)*($D$6:$H$6=$D802)*($D$7:$H$18))</f>
        <v>0</v>
      </c>
      <c r="L802">
        <f t="shared" ref="L802:L805" si="2396">SUMPRODUCT(($C$19:$C$23=$D802)*($I$6:$O$6=$E802)*($I$19:$O$23))</f>
        <v>1</v>
      </c>
      <c r="M802">
        <f t="shared" ref="M802:M805" si="2397">SUMPRODUCT(($C$24:$C$30=$E802)*($P$6:$AI$6=$F802)*($P$24:$AI$30))</f>
        <v>0</v>
      </c>
      <c r="N802">
        <f t="shared" ref="N802:N805" si="2398">SUMPRODUCT(($C$31:$C$50=$F802)*($AJ$6:$AM$6=$G802)*($AJ$31:$AM$50))</f>
        <v>1</v>
      </c>
      <c r="O802">
        <f t="shared" ref="O802:O805" si="2399">K802+L802+M802+N802</f>
        <v>2</v>
      </c>
      <c r="P802" t="str">
        <f t="shared" ref="P802:P805" si="2400">CONCATENATE(C802,"-",J802)</f>
        <v>Medium centralized biomass gasification w/ CCS-Levelized cost</v>
      </c>
      <c r="Q802" t="str">
        <f t="shared" ref="Q802:Q805" si="2401">CONCATENATE(D802,"-",J802)</f>
        <v>Central gas storage-Levelized cost</v>
      </c>
      <c r="R802" t="str">
        <f t="shared" ref="R802:R805" si="2402">CONCATENATE(E802,"-",J802)</f>
        <v>Blending in natural gas pipeline-Levelized cost</v>
      </c>
      <c r="S802" t="str">
        <f t="shared" ref="S802:S805" si="2403">CONCATENATE(F802,"-",J802)</f>
        <v>District-CHP with H2 fuel cell (heat)-Levelized cost</v>
      </c>
      <c r="T802">
        <f ca="1">IF(timePeriod="2020-30",(VLOOKUP($P802,'TA database'!$I$8:$J$79,2,FALSE)/VLOOKUP($D802,'Merit calculation'!$B$48:$I$52,5,FALSE)/VLOOKUP($E802,'Merit calculation'!$B$67:$I$73,5,FALSE)/VLOOKUP($F802,'Merit calculation'!$B$90:$I$103,5,FALSE)/energyContentH2),(VLOOKUP($P802,'TA database'!$I$8:$J$79,2,FALSE)/VLOOKUP($D802,'Merit calculation'!$B$48:$I$52,7,FALSE)/VLOOKUP($E802,'Merit calculation'!$B$67:$I$73,7,FALSE)/VLOOKUP($F802,'Merit calculation'!$B$90:$I$103,7,FALSE)/energyContentH2))</f>
        <v>8.7671440478947794E-3</v>
      </c>
      <c r="U802">
        <f ca="1">IF(timePeriod="2020-30",(VLOOKUP($Q802,'TA database'!$I$86:$J$105,2,FALSE)/VLOOKUP($E802,'Merit calculation'!$B$67:$I$73,5,FALSE)/VLOOKUP($F802,'Merit calculation'!$B$90:$I$104,5,FALSE)/energyContentH2),VLOOKUP($Q802,'TA database'!$I$86:$J$105,2,FALSE)/VLOOKUP($E802,'Merit calculation'!$B$67:$I$73,7,FALSE)/VLOOKUP($F802,'Merit calculation'!$B$90:$I$104,7,FALSE)/energyContentH2)</f>
        <v>6.9440084450063454E-4</v>
      </c>
      <c r="V802">
        <f ca="1">IF(timePeriod="2020-30",(VLOOKUP($R802,'TA database'!$I$112:$J$139,2,FALSE)/VLOOKUP($F802,'Merit calculation'!$B$90:$I$104,5,FALSE)/energyContentH2),(VLOOKUP($R802,'TA database'!$I$112:$J$139,2,FALSE)/VLOOKUP($F802,'Merit calculation'!$B$90:$I$104,7,FALSE)/energyContentH2))</f>
        <v>1.9900144905361811E-3</v>
      </c>
      <c r="W802">
        <f ca="1">IFERROR(VLOOKUP($S802,'TA database'!$I$146:$J$193,2,FALSE),0)</f>
        <v>1.7801086338426392E-2</v>
      </c>
      <c r="X802">
        <f>IFERROR(VLOOKUP($S802,'TA database'!$I$200:$J$271,2,FALSE),0)</f>
        <v>0</v>
      </c>
      <c r="Y802">
        <f t="shared" ca="1" si="2390"/>
        <v>2.9252645721357988E-2</v>
      </c>
      <c r="Z802" t="str">
        <f t="shared" ref="Z802:Z805" si="2404">CONCATENATE(AG802,"   →   ",AH802,"   →   ",AI802,"   →   ",AJ802)</f>
        <v>BIO_GSF_CCS_MED_C   →   C_GAS_STRG   →   H2_BLND_NG_P   →   H2_FC_DCHP_HEAT</v>
      </c>
      <c r="AA802" t="str">
        <f t="shared" ref="AA802:AA805" si="2405">G802</f>
        <v>Building heat</v>
      </c>
      <c r="AB802" t="str">
        <f t="shared" ref="AB802:AB805" si="2406">J802</f>
        <v>Levelized cost</v>
      </c>
      <c r="AC802">
        <f t="shared" ref="AC802:AC805" ca="1" si="2407">Y802</f>
        <v>2.9252645721357988E-2</v>
      </c>
      <c r="AD802">
        <v>743</v>
      </c>
      <c r="AE802" t="str">
        <f>IF(AND(ISNUMBER(SEARCH(O802,4)),ISNUMBER(SEARCH('(4) FCH pathway assessment'!$B$16,AB802)),ISNUMBER(SEARCH('(4) FCH pathway assessment'!$B$10,AA802))),AD802,"")</f>
        <v/>
      </c>
      <c r="AF802" t="str">
        <f t="shared" si="2239"/>
        <v/>
      </c>
      <c r="AG802" t="str">
        <f>VLOOKUP(C802,Assumptions!$B$116:$C$162,2,FALSE)</f>
        <v>BIO_GSF_CCS_MED_C</v>
      </c>
      <c r="AH802" t="str">
        <f>VLOOKUP(D802,Assumptions!$B$116:$C$162,2,FALSE)</f>
        <v>C_GAS_STRG</v>
      </c>
      <c r="AI802" t="str">
        <f>VLOOKUP(E802,Assumptions!$B$116:$C$162,2,FALSE)</f>
        <v>H2_BLND_NG_P</v>
      </c>
      <c r="AJ802" t="str">
        <f>VLOOKUP(F802,Assumptions!$B$116:$C$162,2,FALSE)</f>
        <v>H2_FC_DCHP_HEAT</v>
      </c>
    </row>
    <row r="803" spans="2:36" x14ac:dyDescent="0.25">
      <c r="B803" t="s">
        <v>117</v>
      </c>
      <c r="C803" t="s">
        <v>54</v>
      </c>
      <c r="D803" t="s">
        <v>155</v>
      </c>
      <c r="E803" t="s">
        <v>122</v>
      </c>
      <c r="F803" t="s">
        <v>552</v>
      </c>
      <c r="G803" t="s">
        <v>132</v>
      </c>
      <c r="H803" t="s">
        <v>434</v>
      </c>
      <c r="I803" t="s">
        <v>32</v>
      </c>
      <c r="J803" t="s">
        <v>72</v>
      </c>
      <c r="K803">
        <f t="shared" si="2395"/>
        <v>0</v>
      </c>
      <c r="L803">
        <f t="shared" si="2396"/>
        <v>1</v>
      </c>
      <c r="M803">
        <f t="shared" si="2397"/>
        <v>1</v>
      </c>
      <c r="N803">
        <f t="shared" si="2398"/>
        <v>1</v>
      </c>
      <c r="O803">
        <f t="shared" si="2399"/>
        <v>3</v>
      </c>
      <c r="P803" t="str">
        <f t="shared" si="2400"/>
        <v>Medium centralized biomass gasification w/ CCS-Levelized cost</v>
      </c>
      <c r="Q803" t="str">
        <f t="shared" si="2401"/>
        <v>Central gas storage-Levelized cost</v>
      </c>
      <c r="R803" t="str">
        <f t="shared" si="2402"/>
        <v>Hydrogen transmission &amp; distribution pipeline-Levelized cost</v>
      </c>
      <c r="S803" t="str">
        <f t="shared" si="2403"/>
        <v>District-CHP with H2 fuel cell (heat)-Levelized cost</v>
      </c>
      <c r="T803">
        <f ca="1">IF(timePeriod="2020-30",(VLOOKUP($P803,'TA database'!$I$8:$J$79,2,FALSE)/VLOOKUP($D803,'Merit calculation'!$B$48:$I$52,5,FALSE)/VLOOKUP($E803,'Merit calculation'!$B$67:$I$73,5,FALSE)/VLOOKUP($F803,'Merit calculation'!$B$90:$I$103,5,FALSE)/energyContentH2),(VLOOKUP($P803,'TA database'!$I$8:$J$79,2,FALSE)/VLOOKUP($D803,'Merit calculation'!$B$48:$I$52,7,FALSE)/VLOOKUP($E803,'Merit calculation'!$B$67:$I$73,7,FALSE)/VLOOKUP($F803,'Merit calculation'!$B$90:$I$103,7,FALSE)/energyContentH2))</f>
        <v>8.7671440478947794E-3</v>
      </c>
      <c r="U803">
        <f ca="1">IF(timePeriod="2020-30",(VLOOKUP($Q803,'TA database'!$I$86:$J$105,2,FALSE)/VLOOKUP($E803,'Merit calculation'!$B$67:$I$73,5,FALSE)/VLOOKUP($F803,'Merit calculation'!$B$90:$I$104,5,FALSE)/energyContentH2),VLOOKUP($Q803,'TA database'!$I$86:$J$105,2,FALSE)/VLOOKUP($E803,'Merit calculation'!$B$67:$I$73,7,FALSE)/VLOOKUP($F803,'Merit calculation'!$B$90:$I$104,7,FALSE)/energyContentH2)</f>
        <v>6.9440084450063454E-4</v>
      </c>
      <c r="V803">
        <f ca="1">IF(timePeriod="2020-30",(VLOOKUP($R803,'TA database'!$I$112:$J$139,2,FALSE)/VLOOKUP($F803,'Merit calculation'!$B$90:$I$104,5,FALSE)/energyContentH2),(VLOOKUP($R803,'TA database'!$I$112:$J$139,2,FALSE)/VLOOKUP($F803,'Merit calculation'!$B$90:$I$104,7,FALSE)/energyContentH2))</f>
        <v>3.7025224863029226E-3</v>
      </c>
      <c r="W803">
        <f ca="1">IFERROR(VLOOKUP($S803,'TA database'!$I$146:$J$193,2,FALSE),0)</f>
        <v>1.7801086338426392E-2</v>
      </c>
      <c r="X803">
        <f>IFERROR(VLOOKUP($S803,'TA database'!$I$200:$J$271,2,FALSE),0)</f>
        <v>0</v>
      </c>
      <c r="Y803">
        <f t="shared" ca="1" si="2390"/>
        <v>3.096515371712473E-2</v>
      </c>
      <c r="Z803" t="str">
        <f t="shared" si="2404"/>
        <v>BIO_GSF_CCS_MED_C   →   C_GAS_STRG   →   H2_T&amp;D_P   →   H2_FC_DCHP_HEAT</v>
      </c>
      <c r="AA803" t="str">
        <f t="shared" si="2405"/>
        <v>Building heat</v>
      </c>
      <c r="AB803" t="str">
        <f t="shared" si="2406"/>
        <v>Levelized cost</v>
      </c>
      <c r="AC803">
        <f t="shared" ca="1" si="2407"/>
        <v>3.096515371712473E-2</v>
      </c>
      <c r="AD803">
        <v>744</v>
      </c>
      <c r="AE803" t="str">
        <f>IF(AND(ISNUMBER(SEARCH(O803,4)),ISNUMBER(SEARCH('(4) FCH pathway assessment'!$B$16,AB803)),ISNUMBER(SEARCH('(4) FCH pathway assessment'!$B$10,AA803))),AD803,"")</f>
        <v/>
      </c>
      <c r="AF803" t="str">
        <f t="shared" si="2239"/>
        <v/>
      </c>
      <c r="AG803" t="str">
        <f>VLOOKUP(C803,Assumptions!$B$116:$C$162,2,FALSE)</f>
        <v>BIO_GSF_CCS_MED_C</v>
      </c>
      <c r="AH803" t="str">
        <f>VLOOKUP(D803,Assumptions!$B$116:$C$162,2,FALSE)</f>
        <v>C_GAS_STRG</v>
      </c>
      <c r="AI803" t="str">
        <f>VLOOKUP(E803,Assumptions!$B$116:$C$162,2,FALSE)</f>
        <v>H2_T&amp;D_P</v>
      </c>
      <c r="AJ803" t="str">
        <f>VLOOKUP(F803,Assumptions!$B$116:$C$162,2,FALSE)</f>
        <v>H2_FC_DCHP_HEAT</v>
      </c>
    </row>
    <row r="804" spans="2:36" x14ac:dyDescent="0.25">
      <c r="B804" t="s">
        <v>117</v>
      </c>
      <c r="C804" t="s">
        <v>54</v>
      </c>
      <c r="D804" t="s">
        <v>155</v>
      </c>
      <c r="E804" t="s">
        <v>116</v>
      </c>
      <c r="F804" t="s">
        <v>552</v>
      </c>
      <c r="G804" t="s">
        <v>132</v>
      </c>
      <c r="H804" t="s">
        <v>434</v>
      </c>
      <c r="I804" t="s">
        <v>32</v>
      </c>
      <c r="J804" t="s">
        <v>72</v>
      </c>
      <c r="K804">
        <f t="shared" si="2395"/>
        <v>0</v>
      </c>
      <c r="L804">
        <f t="shared" si="2396"/>
        <v>1</v>
      </c>
      <c r="M804">
        <f t="shared" si="2397"/>
        <v>1</v>
      </c>
      <c r="N804">
        <f t="shared" si="2398"/>
        <v>1</v>
      </c>
      <c r="O804">
        <f t="shared" si="2399"/>
        <v>3</v>
      </c>
      <c r="P804" t="str">
        <f t="shared" si="2400"/>
        <v>Medium centralized biomass gasification w/ CCS-Levelized cost</v>
      </c>
      <c r="Q804" t="str">
        <f t="shared" si="2401"/>
        <v>Central gas storage-Levelized cost</v>
      </c>
      <c r="R804" t="str">
        <f t="shared" si="2402"/>
        <v>Liquid hydrogen truck-Levelized cost</v>
      </c>
      <c r="S804" t="str">
        <f t="shared" si="2403"/>
        <v>District-CHP with H2 fuel cell (heat)-Levelized cost</v>
      </c>
      <c r="T804">
        <f ca="1">IF(timePeriod="2020-30",(VLOOKUP($P804,'TA database'!$I$8:$J$79,2,FALSE)/VLOOKUP($D804,'Merit calculation'!$B$48:$I$52,5,FALSE)/VLOOKUP($E804,'Merit calculation'!$B$67:$I$73,5,FALSE)/VLOOKUP($F804,'Merit calculation'!$B$90:$I$103,5,FALSE)/energyContentH2),(VLOOKUP($P804,'TA database'!$I$8:$J$79,2,FALSE)/VLOOKUP($D804,'Merit calculation'!$B$48:$I$52,7,FALSE)/VLOOKUP($E804,'Merit calculation'!$B$67:$I$73,7,FALSE)/VLOOKUP($F804,'Merit calculation'!$B$90:$I$103,7,FALSE)/energyContentH2))</f>
        <v>1.0127739331873782E-2</v>
      </c>
      <c r="U804">
        <f ca="1">IF(timePeriod="2020-30",(VLOOKUP($Q804,'TA database'!$I$86:$J$105,2,FALSE)/VLOOKUP($E804,'Merit calculation'!$B$67:$I$73,5,FALSE)/VLOOKUP($F804,'Merit calculation'!$B$90:$I$104,5,FALSE)/energyContentH2),VLOOKUP($Q804,'TA database'!$I$86:$J$105,2,FALSE)/VLOOKUP($E804,'Merit calculation'!$B$67:$I$73,7,FALSE)/VLOOKUP($F804,'Merit calculation'!$B$90:$I$104,7,FALSE)/energyContentH2)</f>
        <v>8.0216666984320693E-4</v>
      </c>
      <c r="V804">
        <f ca="1">IF(timePeriod="2020-30",(VLOOKUP($R804,'TA database'!$I$112:$J$139,2,FALSE)/VLOOKUP($F804,'Merit calculation'!$B$90:$I$104,5,FALSE)/energyContentH2),(VLOOKUP($R804,'TA database'!$I$112:$J$139,2,FALSE)/VLOOKUP($F804,'Merit calculation'!$B$90:$I$104,7,FALSE)/energyContentH2))</f>
        <v>2.4500662962100454E-2</v>
      </c>
      <c r="W804">
        <f ca="1">IFERROR(VLOOKUP($S804,'TA database'!$I$146:$J$193,2,FALSE),0)</f>
        <v>1.7801086338426392E-2</v>
      </c>
      <c r="X804">
        <f>IFERROR(VLOOKUP($S804,'TA database'!$I$200:$J$271,2,FALSE),0)</f>
        <v>0</v>
      </c>
      <c r="Y804">
        <f t="shared" ca="1" si="2390"/>
        <v>5.3231655302243837E-2</v>
      </c>
      <c r="Z804" t="str">
        <f t="shared" si="2404"/>
        <v>BIO_GSF_CCS_MED_C   →   C_GAS_STRG   →   LQ_TRUCK   →   H2_FC_DCHP_HEAT</v>
      </c>
      <c r="AA804" t="str">
        <f t="shared" si="2405"/>
        <v>Building heat</v>
      </c>
      <c r="AB804" t="str">
        <f t="shared" si="2406"/>
        <v>Levelized cost</v>
      </c>
      <c r="AC804">
        <f t="shared" ca="1" si="2407"/>
        <v>5.3231655302243837E-2</v>
      </c>
      <c r="AD804">
        <v>745</v>
      </c>
      <c r="AE804" t="str">
        <f>IF(AND(ISNUMBER(SEARCH(O804,4)),ISNUMBER(SEARCH('(4) FCH pathway assessment'!$B$16,AB804)),ISNUMBER(SEARCH('(4) FCH pathway assessment'!$B$10,AA804))),AD804,"")</f>
        <v/>
      </c>
      <c r="AF804" t="str">
        <f t="shared" si="2239"/>
        <v/>
      </c>
      <c r="AG804" t="str">
        <f>VLOOKUP(C804,Assumptions!$B$116:$C$162,2,FALSE)</f>
        <v>BIO_GSF_CCS_MED_C</v>
      </c>
      <c r="AH804" t="str">
        <f>VLOOKUP(D804,Assumptions!$B$116:$C$162,2,FALSE)</f>
        <v>C_GAS_STRG</v>
      </c>
      <c r="AI804" t="str">
        <f>VLOOKUP(E804,Assumptions!$B$116:$C$162,2,FALSE)</f>
        <v>LQ_TRUCK</v>
      </c>
      <c r="AJ804" t="str">
        <f>VLOOKUP(F804,Assumptions!$B$116:$C$162,2,FALSE)</f>
        <v>H2_FC_DCHP_HEAT</v>
      </c>
    </row>
    <row r="805" spans="2:36" x14ac:dyDescent="0.25">
      <c r="B805" t="s">
        <v>117</v>
      </c>
      <c r="C805" t="s">
        <v>54</v>
      </c>
      <c r="D805" t="s">
        <v>155</v>
      </c>
      <c r="E805" t="s">
        <v>66</v>
      </c>
      <c r="F805" t="s">
        <v>552</v>
      </c>
      <c r="G805" t="s">
        <v>132</v>
      </c>
      <c r="H805" t="s">
        <v>434</v>
      </c>
      <c r="I805" t="s">
        <v>32</v>
      </c>
      <c r="J805" t="s">
        <v>72</v>
      </c>
      <c r="K805">
        <f t="shared" si="2395"/>
        <v>0</v>
      </c>
      <c r="L805">
        <f t="shared" si="2396"/>
        <v>1</v>
      </c>
      <c r="M805">
        <f t="shared" si="2397"/>
        <v>1</v>
      </c>
      <c r="N805">
        <f t="shared" si="2398"/>
        <v>1</v>
      </c>
      <c r="O805">
        <f t="shared" si="2399"/>
        <v>3</v>
      </c>
      <c r="P805" t="str">
        <f t="shared" si="2400"/>
        <v>Medium centralized biomass gasification w/ CCS-Levelized cost</v>
      </c>
      <c r="Q805" t="str">
        <f t="shared" si="2401"/>
        <v>Central gas storage-Levelized cost</v>
      </c>
      <c r="R805" t="str">
        <f t="shared" si="2402"/>
        <v>Onsite-Levelized cost</v>
      </c>
      <c r="S805" t="str">
        <f t="shared" si="2403"/>
        <v>District-CHP with H2 fuel cell (heat)-Levelized cost</v>
      </c>
      <c r="T805">
        <f ca="1">IF(timePeriod="2020-30",(VLOOKUP($P805,'TA database'!$I$8:$J$79,2,FALSE)/VLOOKUP($D805,'Merit calculation'!$B$48:$I$52,5,FALSE)/VLOOKUP($E805,'Merit calculation'!$B$67:$I$73,5,FALSE)/VLOOKUP($F805,'Merit calculation'!$B$90:$I$103,5,FALSE)/energyContentH2),(VLOOKUP($P805,'TA database'!$I$8:$J$79,2,FALSE)/VLOOKUP($D805,'Merit calculation'!$B$48:$I$52,7,FALSE)/VLOOKUP($E805,'Merit calculation'!$B$67:$I$73,7,FALSE)/VLOOKUP($F805,'Merit calculation'!$B$90:$I$103,7,FALSE)/energyContentH2))</f>
        <v>8.6794726074158318E-3</v>
      </c>
      <c r="U805">
        <f ca="1">IF(timePeriod="2020-30",(VLOOKUP($Q805,'TA database'!$I$86:$J$105,2,FALSE)/VLOOKUP($E805,'Merit calculation'!$B$67:$I$73,5,FALSE)/VLOOKUP($F805,'Merit calculation'!$B$90:$I$104,5,FALSE)/energyContentH2),VLOOKUP($Q805,'TA database'!$I$86:$J$105,2,FALSE)/VLOOKUP($E805,'Merit calculation'!$B$67:$I$73,7,FALSE)/VLOOKUP($F805,'Merit calculation'!$B$90:$I$104,7,FALSE)/energyContentH2)</f>
        <v>6.874568360556284E-4</v>
      </c>
      <c r="V805">
        <f ca="1">IF(timePeriod="2020-30",(VLOOKUP($R805,'TA database'!$I$112:$J$139,2,FALSE)/VLOOKUP($F805,'Merit calculation'!$B$90:$I$104,5,FALSE)/energyContentH2),(VLOOKUP($R805,'TA database'!$I$112:$J$139,2,FALSE)/VLOOKUP($F805,'Merit calculation'!$B$90:$I$104,7,FALSE)/energyContentH2))</f>
        <v>0</v>
      </c>
      <c r="W805">
        <f ca="1">IFERROR(VLOOKUP($S805,'TA database'!$I$146:$J$193,2,FALSE),0)</f>
        <v>1.7801086338426392E-2</v>
      </c>
      <c r="X805">
        <f>IFERROR(VLOOKUP($S805,'TA database'!$I$200:$J$271,2,FALSE),0)</f>
        <v>0</v>
      </c>
      <c r="Y805">
        <f t="shared" ca="1" si="2390"/>
        <v>2.7168015781897852E-2</v>
      </c>
      <c r="Z805" t="str">
        <f t="shared" si="2404"/>
        <v>BIO_GSF_CCS_MED_C   →   C_GAS_STRG   →   ONSITE_USE   →   H2_FC_DCHP_HEAT</v>
      </c>
      <c r="AA805" t="str">
        <f t="shared" si="2405"/>
        <v>Building heat</v>
      </c>
      <c r="AB805" t="str">
        <f t="shared" si="2406"/>
        <v>Levelized cost</v>
      </c>
      <c r="AC805">
        <f t="shared" ca="1" si="2407"/>
        <v>2.7168015781897852E-2</v>
      </c>
      <c r="AD805">
        <v>746</v>
      </c>
      <c r="AE805" t="str">
        <f>IF(AND(ISNUMBER(SEARCH(O805,4)),ISNUMBER(SEARCH('(4) FCH pathway assessment'!$B$16,AB805)),ISNUMBER(SEARCH('(4) FCH pathway assessment'!$B$10,AA805))),AD805,"")</f>
        <v/>
      </c>
      <c r="AF805" t="str">
        <f t="shared" si="2239"/>
        <v/>
      </c>
      <c r="AG805" t="str">
        <f>VLOOKUP(C805,Assumptions!$B$116:$C$162,2,FALSE)</f>
        <v>BIO_GSF_CCS_MED_C</v>
      </c>
      <c r="AH805" t="str">
        <f>VLOOKUP(D805,Assumptions!$B$116:$C$162,2,FALSE)</f>
        <v>C_GAS_STRG</v>
      </c>
      <c r="AI805" t="str">
        <f>VLOOKUP(E805,Assumptions!$B$116:$C$162,2,FALSE)</f>
        <v>ONSITE_USE</v>
      </c>
      <c r="AJ805" t="str">
        <f>VLOOKUP(F805,Assumptions!$B$116:$C$162,2,FALSE)</f>
        <v>H2_FC_DCHP_HEAT</v>
      </c>
    </row>
    <row r="806" spans="2:36" x14ac:dyDescent="0.25">
      <c r="B806" t="s">
        <v>117</v>
      </c>
      <c r="C806" t="s">
        <v>55</v>
      </c>
      <c r="D806" s="60" t="s">
        <v>130</v>
      </c>
      <c r="E806" t="s">
        <v>66</v>
      </c>
      <c r="F806" t="s">
        <v>552</v>
      </c>
      <c r="G806" t="s">
        <v>132</v>
      </c>
      <c r="H806" t="s">
        <v>434</v>
      </c>
      <c r="I806" t="s">
        <v>32</v>
      </c>
      <c r="J806" t="s">
        <v>72</v>
      </c>
      <c r="K806">
        <f t="shared" ref="K806:K816" si="2408">SUMPRODUCT(($C$7:$C$18=$C806)*($D$6:$H$6=$D806)*($D$7:$H$18))</f>
        <v>0</v>
      </c>
      <c r="L806">
        <f t="shared" ref="L806:L816" si="2409">SUMPRODUCT(($C$19:$C$23=$D806)*($I$6:$O$6=$E806)*($I$19:$O$23))</f>
        <v>1</v>
      </c>
      <c r="M806">
        <f t="shared" ref="M806:M816" si="2410">SUMPRODUCT(($C$24:$C$30=$E806)*($P$6:$AI$6=$F806)*($P$24:$AI$30))</f>
        <v>1</v>
      </c>
      <c r="N806">
        <f t="shared" ref="N806:N816" si="2411">SUMPRODUCT(($C$31:$C$50=$F806)*($AJ$6:$AM$6=$G806)*($AJ$31:$AM$50))</f>
        <v>1</v>
      </c>
      <c r="O806">
        <f t="shared" ref="O806:O815" si="2412">K806+L806+M806+N806</f>
        <v>3</v>
      </c>
      <c r="P806" t="str">
        <f t="shared" ref="P806:P816" si="2413">CONCATENATE(C806,"-",J806)</f>
        <v>Small decentralized biomass gasification-Levelized cost</v>
      </c>
      <c r="Q806" t="str">
        <f t="shared" ref="Q806:Q816" si="2414">CONCATENATE(D806,"-",J806)</f>
        <v>Distributed gas storage-Levelized cost</v>
      </c>
      <c r="R806" t="str">
        <f t="shared" ref="R806:R816" si="2415">CONCATENATE(E806,"-",J806)</f>
        <v>Onsite-Levelized cost</v>
      </c>
      <c r="S806" t="str">
        <f t="shared" ref="S806:S816" si="2416">CONCATENATE(F806,"-",J806)</f>
        <v>District-CHP with H2 fuel cell (heat)-Levelized cost</v>
      </c>
      <c r="T806">
        <f ca="1">IF(timePeriod="2020-30",(VLOOKUP($P806,'TA database'!$I$8:$J$79,2,FALSE)/VLOOKUP($D806,'Merit calculation'!$B$48:$I$52,5,FALSE)/VLOOKUP($E806,'Merit calculation'!$B$67:$I$73,5,FALSE)/VLOOKUP($F806,'Merit calculation'!$B$90:$I$103,5,FALSE)/energyContentH2),(VLOOKUP($P806,'TA database'!$I$8:$J$79,2,FALSE)/VLOOKUP($D806,'Merit calculation'!$B$48:$I$52,7,FALSE)/VLOOKUP($E806,'Merit calculation'!$B$67:$I$73,7,FALSE)/VLOOKUP($F806,'Merit calculation'!$B$90:$I$103,7,FALSE)/energyContentH2))</f>
        <v>2.2393041150492374E-2</v>
      </c>
      <c r="U806">
        <f ca="1">IF(timePeriod="2020-30",(VLOOKUP($Q806,'TA database'!$I$86:$J$105,2,FALSE)/VLOOKUP($E806,'Merit calculation'!$B$67:$I$73,5,FALSE)/VLOOKUP($F806,'Merit calculation'!$B$90:$I$104,5,FALSE)/energyContentH2),VLOOKUP($Q806,'TA database'!$I$86:$J$105,2,FALSE)/VLOOKUP($E806,'Merit calculation'!$B$67:$I$73,7,FALSE)/VLOOKUP($F806,'Merit calculation'!$B$90:$I$104,7,FALSE)/energyContentH2)</f>
        <v>1.2221454863211171E-3</v>
      </c>
      <c r="V806">
        <f ca="1">IF(timePeriod="2020-30",(VLOOKUP($R806,'TA database'!$I$112:$J$139,2,FALSE)/VLOOKUP($F806,'Merit calculation'!$B$90:$I$104,5,FALSE)/energyContentH2),(VLOOKUP($R806,'TA database'!$I$112:$J$139,2,FALSE)/VLOOKUP($F806,'Merit calculation'!$B$90:$I$104,7,FALSE)/energyContentH2))</f>
        <v>0</v>
      </c>
      <c r="W806">
        <f ca="1">IFERROR(VLOOKUP($S806,'TA database'!$I$146:$J$193,2,FALSE),0)</f>
        <v>1.7801086338426392E-2</v>
      </c>
      <c r="X806">
        <f>IFERROR(VLOOKUP($S806,'TA database'!$I$200:$J$271,2,FALSE),0)</f>
        <v>0</v>
      </c>
      <c r="Y806">
        <f t="shared" ref="Y806:Y810" ca="1" si="2417">IF($W806=0,T806*3.6+U806*3.6+V806*3.6+X806,T806+U806+V806+W806)</f>
        <v>4.1416272975239879E-2</v>
      </c>
      <c r="Z806" t="str">
        <f t="shared" ref="Z806:Z815" si="2418">CONCATENATE(AG806,"   →   ",AH806,"   →   ",AI806,"   →   ",AJ806)</f>
        <v>BIO_GSF_SML_D   →   D_GAS_STRG   →   ONSITE_USE   →   H2_FC_DCHP_HEAT</v>
      </c>
      <c r="AA806" t="str">
        <f t="shared" ref="AA806:AA815" si="2419">G806</f>
        <v>Building heat</v>
      </c>
      <c r="AB806" t="str">
        <f t="shared" ref="AB806:AB815" si="2420">J806</f>
        <v>Levelized cost</v>
      </c>
      <c r="AC806">
        <f t="shared" ref="AC806:AC815" ca="1" si="2421">Y806</f>
        <v>4.1416272975239879E-2</v>
      </c>
      <c r="AD806">
        <v>747</v>
      </c>
      <c r="AE806" t="str">
        <f>IF(AND(ISNUMBER(SEARCH(O806,4)),ISNUMBER(SEARCH('(4) FCH pathway assessment'!$B$16,AB806)),ISNUMBER(SEARCH('(4) FCH pathway assessment'!$B$10,AA806))),AD806,"")</f>
        <v/>
      </c>
      <c r="AF806" t="str">
        <f t="shared" si="2239"/>
        <v/>
      </c>
      <c r="AG806" t="str">
        <f>VLOOKUP(C806,Assumptions!$B$116:$C$162,2,FALSE)</f>
        <v>BIO_GSF_SML_D</v>
      </c>
      <c r="AH806" t="str">
        <f>VLOOKUP(D806,Assumptions!$B$116:$C$162,2,FALSE)</f>
        <v>D_GAS_STRG</v>
      </c>
      <c r="AI806" t="str">
        <f>VLOOKUP(E806,Assumptions!$B$116:$C$162,2,FALSE)</f>
        <v>ONSITE_USE</v>
      </c>
      <c r="AJ806" t="str">
        <f>VLOOKUP(F806,Assumptions!$B$116:$C$162,2,FALSE)</f>
        <v>H2_FC_DCHP_HEAT</v>
      </c>
    </row>
    <row r="807" spans="2:36" x14ac:dyDescent="0.25">
      <c r="B807" t="s">
        <v>117</v>
      </c>
      <c r="C807" t="s">
        <v>56</v>
      </c>
      <c r="D807" t="s">
        <v>62</v>
      </c>
      <c r="E807" t="s">
        <v>157</v>
      </c>
      <c r="F807" t="s">
        <v>552</v>
      </c>
      <c r="G807" t="s">
        <v>132</v>
      </c>
      <c r="H807" t="s">
        <v>434</v>
      </c>
      <c r="I807" t="s">
        <v>32</v>
      </c>
      <c r="J807" t="s">
        <v>72</v>
      </c>
      <c r="K807">
        <f t="shared" si="2408"/>
        <v>0</v>
      </c>
      <c r="L807">
        <f t="shared" si="2409"/>
        <v>0</v>
      </c>
      <c r="M807">
        <f t="shared" si="2410"/>
        <v>0</v>
      </c>
      <c r="N807">
        <f t="shared" si="2411"/>
        <v>1</v>
      </c>
      <c r="O807">
        <f t="shared" si="2412"/>
        <v>1</v>
      </c>
      <c r="P807" t="str">
        <f t="shared" si="2413"/>
        <v>Large centralized biomass steam reforming -Levelized cost</v>
      </c>
      <c r="Q807" t="str">
        <f t="shared" si="2414"/>
        <v>Underground storage-Levelized cost</v>
      </c>
      <c r="R807" t="str">
        <f t="shared" si="2415"/>
        <v>Blending in natural gas pipeline-Levelized cost</v>
      </c>
      <c r="S807" t="str">
        <f t="shared" si="2416"/>
        <v>District-CHP with H2 fuel cell (heat)-Levelized cost</v>
      </c>
      <c r="T807">
        <f ca="1">IF(timePeriod="2020-30",(VLOOKUP($P807,'TA database'!$I$8:$J$79,2,FALSE)/VLOOKUP($D807,'Merit calculation'!$B$48:$I$52,5,FALSE)/VLOOKUP($E807,'Merit calculation'!$B$67:$I$73,5,FALSE)/VLOOKUP($F807,'Merit calculation'!$B$90:$I$103,5,FALSE)/energyContentH2),(VLOOKUP($P807,'TA database'!$I$8:$J$79,2,FALSE)/VLOOKUP($D807,'Merit calculation'!$B$48:$I$52,7,FALSE)/VLOOKUP($E807,'Merit calculation'!$B$67:$I$73,7,FALSE)/VLOOKUP($F807,'Merit calculation'!$B$90:$I$103,7,FALSE)/energyContentH2))</f>
        <v>9.8156989405035651E-3</v>
      </c>
      <c r="U807">
        <f ca="1">IF(timePeriod="2020-30",(VLOOKUP($Q807,'TA database'!$I$86:$J$105,2,FALSE)/VLOOKUP($E807,'Merit calculation'!$B$67:$I$73,5,FALSE)/VLOOKUP($F807,'Merit calculation'!$B$90:$I$104,5,FALSE)/energyContentH2),VLOOKUP($Q807,'TA database'!$I$86:$J$105,2,FALSE)/VLOOKUP($E807,'Merit calculation'!$B$67:$I$73,7,FALSE)/VLOOKUP($F807,'Merit calculation'!$B$90:$I$104,7,FALSE)/energyContentH2)</f>
        <v>1.3830864557131986E-4</v>
      </c>
      <c r="V807">
        <f ca="1">IF(timePeriod="2020-30",(VLOOKUP($R807,'TA database'!$I$112:$J$139,2,FALSE)/VLOOKUP($F807,'Merit calculation'!$B$90:$I$104,5,FALSE)/energyContentH2),(VLOOKUP($R807,'TA database'!$I$112:$J$139,2,FALSE)/VLOOKUP($F807,'Merit calculation'!$B$90:$I$104,7,FALSE)/energyContentH2))</f>
        <v>1.9900144905361811E-3</v>
      </c>
      <c r="W807">
        <f ca="1">IFERROR(VLOOKUP($S807,'TA database'!$I$146:$J$193,2,FALSE),0)</f>
        <v>1.7801086338426392E-2</v>
      </c>
      <c r="X807">
        <f>IFERROR(VLOOKUP($S807,'TA database'!$I$200:$J$271,2,FALSE),0)</f>
        <v>0</v>
      </c>
      <c r="Y807">
        <f t="shared" ca="1" si="2417"/>
        <v>2.9745108415037459E-2</v>
      </c>
      <c r="Z807" t="str">
        <f t="shared" si="2418"/>
        <v>BIO_SR_LRG_C   →   C_UNDRGRND_STRG   →   H2_BLND_NG_P   →   H2_FC_DCHP_HEAT</v>
      </c>
      <c r="AA807" t="str">
        <f t="shared" si="2419"/>
        <v>Building heat</v>
      </c>
      <c r="AB807" t="str">
        <f t="shared" si="2420"/>
        <v>Levelized cost</v>
      </c>
      <c r="AC807">
        <f t="shared" ca="1" si="2421"/>
        <v>2.9745108415037459E-2</v>
      </c>
      <c r="AD807">
        <v>748</v>
      </c>
      <c r="AE807" t="str">
        <f>IF(AND(ISNUMBER(SEARCH(O807,4)),ISNUMBER(SEARCH('(4) FCH pathway assessment'!$B$16,AB807)),ISNUMBER(SEARCH('(4) FCH pathway assessment'!$B$10,AA807))),AD807,"")</f>
        <v/>
      </c>
      <c r="AF807" t="str">
        <f t="shared" si="2239"/>
        <v/>
      </c>
      <c r="AG807" t="str">
        <f>VLOOKUP(C807,Assumptions!$B$116:$C$162,2,FALSE)</f>
        <v>BIO_SR_LRG_C</v>
      </c>
      <c r="AH807" t="str">
        <f>VLOOKUP(D807,Assumptions!$B$116:$C$162,2,FALSE)</f>
        <v>C_UNDRGRND_STRG</v>
      </c>
      <c r="AI807" t="str">
        <f>VLOOKUP(E807,Assumptions!$B$116:$C$162,2,FALSE)</f>
        <v>H2_BLND_NG_P</v>
      </c>
      <c r="AJ807" t="str">
        <f>VLOOKUP(F807,Assumptions!$B$116:$C$162,2,FALSE)</f>
        <v>H2_FC_DCHP_HEAT</v>
      </c>
    </row>
    <row r="808" spans="2:36" x14ac:dyDescent="0.25">
      <c r="B808" t="s">
        <v>117</v>
      </c>
      <c r="C808" t="s">
        <v>56</v>
      </c>
      <c r="D808" t="s">
        <v>62</v>
      </c>
      <c r="E808" t="s">
        <v>122</v>
      </c>
      <c r="F808" t="s">
        <v>552</v>
      </c>
      <c r="G808" t="s">
        <v>132</v>
      </c>
      <c r="H808" t="s">
        <v>434</v>
      </c>
      <c r="I808" t="s">
        <v>32</v>
      </c>
      <c r="J808" t="s">
        <v>72</v>
      </c>
      <c r="K808">
        <f t="shared" si="2408"/>
        <v>0</v>
      </c>
      <c r="L808">
        <f t="shared" si="2409"/>
        <v>0</v>
      </c>
      <c r="M808">
        <f t="shared" si="2410"/>
        <v>1</v>
      </c>
      <c r="N808">
        <f t="shared" si="2411"/>
        <v>1</v>
      </c>
      <c r="O808">
        <f t="shared" si="2412"/>
        <v>2</v>
      </c>
      <c r="P808" t="str">
        <f t="shared" si="2413"/>
        <v>Large centralized biomass steam reforming -Levelized cost</v>
      </c>
      <c r="Q808" t="str">
        <f t="shared" si="2414"/>
        <v>Underground storage-Levelized cost</v>
      </c>
      <c r="R808" t="str">
        <f t="shared" si="2415"/>
        <v>Hydrogen transmission &amp; distribution pipeline-Levelized cost</v>
      </c>
      <c r="S808" t="str">
        <f t="shared" si="2416"/>
        <v>District-CHP with H2 fuel cell (heat)-Levelized cost</v>
      </c>
      <c r="T808">
        <f ca="1">IF(timePeriod="2020-30",(VLOOKUP($P808,'TA database'!$I$8:$J$79,2,FALSE)/VLOOKUP($D808,'Merit calculation'!$B$48:$I$52,5,FALSE)/VLOOKUP($E808,'Merit calculation'!$B$67:$I$73,5,FALSE)/VLOOKUP($F808,'Merit calculation'!$B$90:$I$103,5,FALSE)/energyContentH2),(VLOOKUP($P808,'TA database'!$I$8:$J$79,2,FALSE)/VLOOKUP($D808,'Merit calculation'!$B$48:$I$52,7,FALSE)/VLOOKUP($E808,'Merit calculation'!$B$67:$I$73,7,FALSE)/VLOOKUP($F808,'Merit calculation'!$B$90:$I$103,7,FALSE)/energyContentH2))</f>
        <v>9.8156989405035651E-3</v>
      </c>
      <c r="U808">
        <f ca="1">IF(timePeriod="2020-30",(VLOOKUP($Q808,'TA database'!$I$86:$J$105,2,FALSE)/VLOOKUP($E808,'Merit calculation'!$B$67:$I$73,5,FALSE)/VLOOKUP($F808,'Merit calculation'!$B$90:$I$104,5,FALSE)/energyContentH2),VLOOKUP($Q808,'TA database'!$I$86:$J$105,2,FALSE)/VLOOKUP($E808,'Merit calculation'!$B$67:$I$73,7,FALSE)/VLOOKUP($F808,'Merit calculation'!$B$90:$I$104,7,FALSE)/energyContentH2)</f>
        <v>1.3830864557131986E-4</v>
      </c>
      <c r="V808">
        <f ca="1">IF(timePeriod="2020-30",(VLOOKUP($R808,'TA database'!$I$112:$J$139,2,FALSE)/VLOOKUP($F808,'Merit calculation'!$B$90:$I$104,5,FALSE)/energyContentH2),(VLOOKUP($R808,'TA database'!$I$112:$J$139,2,FALSE)/VLOOKUP($F808,'Merit calculation'!$B$90:$I$104,7,FALSE)/energyContentH2))</f>
        <v>3.7025224863029226E-3</v>
      </c>
      <c r="W808">
        <f ca="1">IFERROR(VLOOKUP($S808,'TA database'!$I$146:$J$193,2,FALSE),0)</f>
        <v>1.7801086338426392E-2</v>
      </c>
      <c r="X808">
        <f>IFERROR(VLOOKUP($S808,'TA database'!$I$200:$J$271,2,FALSE),0)</f>
        <v>0</v>
      </c>
      <c r="Y808">
        <f t="shared" ca="1" si="2417"/>
        <v>3.1457616410804204E-2</v>
      </c>
      <c r="Z808" t="str">
        <f t="shared" si="2418"/>
        <v>BIO_SR_LRG_C   →   C_UNDRGRND_STRG   →   H2_T&amp;D_P   →   H2_FC_DCHP_HEAT</v>
      </c>
      <c r="AA808" t="str">
        <f t="shared" si="2419"/>
        <v>Building heat</v>
      </c>
      <c r="AB808" t="str">
        <f t="shared" si="2420"/>
        <v>Levelized cost</v>
      </c>
      <c r="AC808">
        <f t="shared" ca="1" si="2421"/>
        <v>3.1457616410804204E-2</v>
      </c>
      <c r="AD808">
        <v>749</v>
      </c>
      <c r="AE808" t="str">
        <f>IF(AND(ISNUMBER(SEARCH(O808,4)),ISNUMBER(SEARCH('(4) FCH pathway assessment'!$B$16,AB808)),ISNUMBER(SEARCH('(4) FCH pathway assessment'!$B$10,AA808))),AD808,"")</f>
        <v/>
      </c>
      <c r="AF808" t="str">
        <f t="shared" si="2239"/>
        <v/>
      </c>
      <c r="AG808" t="str">
        <f>VLOOKUP(C808,Assumptions!$B$116:$C$162,2,FALSE)</f>
        <v>BIO_SR_LRG_C</v>
      </c>
      <c r="AH808" t="str">
        <f>VLOOKUP(D808,Assumptions!$B$116:$C$162,2,FALSE)</f>
        <v>C_UNDRGRND_STRG</v>
      </c>
      <c r="AI808" t="str">
        <f>VLOOKUP(E808,Assumptions!$B$116:$C$162,2,FALSE)</f>
        <v>H2_T&amp;D_P</v>
      </c>
      <c r="AJ808" t="str">
        <f>VLOOKUP(F808,Assumptions!$B$116:$C$162,2,FALSE)</f>
        <v>H2_FC_DCHP_HEAT</v>
      </c>
    </row>
    <row r="809" spans="2:36" x14ac:dyDescent="0.25">
      <c r="B809" t="s">
        <v>117</v>
      </c>
      <c r="C809" t="s">
        <v>56</v>
      </c>
      <c r="D809" t="s">
        <v>62</v>
      </c>
      <c r="E809" t="s">
        <v>116</v>
      </c>
      <c r="F809" t="s">
        <v>552</v>
      </c>
      <c r="G809" t="s">
        <v>132</v>
      </c>
      <c r="H809" t="s">
        <v>434</v>
      </c>
      <c r="I809" t="s">
        <v>32</v>
      </c>
      <c r="J809" t="s">
        <v>72</v>
      </c>
      <c r="K809">
        <f t="shared" si="2408"/>
        <v>0</v>
      </c>
      <c r="L809">
        <f t="shared" si="2409"/>
        <v>0</v>
      </c>
      <c r="M809">
        <f t="shared" si="2410"/>
        <v>1</v>
      </c>
      <c r="N809">
        <f t="shared" si="2411"/>
        <v>1</v>
      </c>
      <c r="O809">
        <f t="shared" si="2412"/>
        <v>2</v>
      </c>
      <c r="P809" t="str">
        <f t="shared" si="2413"/>
        <v>Large centralized biomass steam reforming -Levelized cost</v>
      </c>
      <c r="Q809" t="str">
        <f t="shared" si="2414"/>
        <v>Underground storage-Levelized cost</v>
      </c>
      <c r="R809" t="str">
        <f t="shared" si="2415"/>
        <v>Liquid hydrogen truck-Levelized cost</v>
      </c>
      <c r="S809" t="str">
        <f t="shared" si="2416"/>
        <v>District-CHP with H2 fuel cell (heat)-Levelized cost</v>
      </c>
      <c r="T809">
        <f ca="1">IF(timePeriod="2020-30",(VLOOKUP($P809,'TA database'!$I$8:$J$79,2,FALSE)/VLOOKUP($D809,'Merit calculation'!$B$48:$I$52,5,FALSE)/VLOOKUP($E809,'Merit calculation'!$B$67:$I$73,5,FALSE)/VLOOKUP($F809,'Merit calculation'!$B$90:$I$103,5,FALSE)/energyContentH2),(VLOOKUP($P809,'TA database'!$I$8:$J$79,2,FALSE)/VLOOKUP($D809,'Merit calculation'!$B$48:$I$52,7,FALSE)/VLOOKUP($E809,'Merit calculation'!$B$67:$I$73,7,FALSE)/VLOOKUP($F809,'Merit calculation'!$B$90:$I$103,7,FALSE)/energyContentH2))</f>
        <v>1.13390221133005E-2</v>
      </c>
      <c r="U809">
        <f ca="1">IF(timePeriod="2020-30",(VLOOKUP($Q809,'TA database'!$I$86:$J$105,2,FALSE)/VLOOKUP($E809,'Merit calculation'!$B$67:$I$73,5,FALSE)/VLOOKUP($F809,'Merit calculation'!$B$90:$I$104,5,FALSE)/energyContentH2),VLOOKUP($Q809,'TA database'!$I$86:$J$105,2,FALSE)/VLOOKUP($E809,'Merit calculation'!$B$67:$I$73,7,FALSE)/VLOOKUP($F809,'Merit calculation'!$B$90:$I$104,7,FALSE)/energyContentH2)</f>
        <v>1.5977311448728902E-4</v>
      </c>
      <c r="V809">
        <f ca="1">IF(timePeriod="2020-30",(VLOOKUP($R809,'TA database'!$I$112:$J$139,2,FALSE)/VLOOKUP($F809,'Merit calculation'!$B$90:$I$104,5,FALSE)/energyContentH2),(VLOOKUP($R809,'TA database'!$I$112:$J$139,2,FALSE)/VLOOKUP($F809,'Merit calculation'!$B$90:$I$104,7,FALSE)/energyContentH2))</f>
        <v>2.4500662962100454E-2</v>
      </c>
      <c r="W809">
        <f ca="1">IFERROR(VLOOKUP($S809,'TA database'!$I$146:$J$193,2,FALSE),0)</f>
        <v>1.7801086338426392E-2</v>
      </c>
      <c r="X809">
        <f>IFERROR(VLOOKUP($S809,'TA database'!$I$200:$J$271,2,FALSE),0)</f>
        <v>0</v>
      </c>
      <c r="Y809">
        <f t="shared" ca="1" si="2417"/>
        <v>5.3800544528314634E-2</v>
      </c>
      <c r="Z809" t="str">
        <f t="shared" si="2418"/>
        <v>BIO_SR_LRG_C   →   C_UNDRGRND_STRG   →   LQ_TRUCK   →   H2_FC_DCHP_HEAT</v>
      </c>
      <c r="AA809" t="str">
        <f t="shared" si="2419"/>
        <v>Building heat</v>
      </c>
      <c r="AB809" t="str">
        <f t="shared" si="2420"/>
        <v>Levelized cost</v>
      </c>
      <c r="AC809">
        <f t="shared" ca="1" si="2421"/>
        <v>5.3800544528314634E-2</v>
      </c>
      <c r="AD809">
        <v>750</v>
      </c>
      <c r="AE809" t="str">
        <f>IF(AND(ISNUMBER(SEARCH(O809,4)),ISNUMBER(SEARCH('(4) FCH pathway assessment'!$B$16,AB809)),ISNUMBER(SEARCH('(4) FCH pathway assessment'!$B$10,AA809))),AD809,"")</f>
        <v/>
      </c>
      <c r="AF809" t="str">
        <f t="shared" si="2239"/>
        <v/>
      </c>
      <c r="AG809" t="str">
        <f>VLOOKUP(C809,Assumptions!$B$116:$C$162,2,FALSE)</f>
        <v>BIO_SR_LRG_C</v>
      </c>
      <c r="AH809" t="str">
        <f>VLOOKUP(D809,Assumptions!$B$116:$C$162,2,FALSE)</f>
        <v>C_UNDRGRND_STRG</v>
      </c>
      <c r="AI809" t="str">
        <f>VLOOKUP(E809,Assumptions!$B$116:$C$162,2,FALSE)</f>
        <v>LQ_TRUCK</v>
      </c>
      <c r="AJ809" t="str">
        <f>VLOOKUP(F809,Assumptions!$B$116:$C$162,2,FALSE)</f>
        <v>H2_FC_DCHP_HEAT</v>
      </c>
    </row>
    <row r="810" spans="2:36" x14ac:dyDescent="0.25">
      <c r="B810" t="s">
        <v>117</v>
      </c>
      <c r="C810" t="s">
        <v>56</v>
      </c>
      <c r="D810" t="s">
        <v>62</v>
      </c>
      <c r="E810" t="s">
        <v>66</v>
      </c>
      <c r="F810" t="s">
        <v>552</v>
      </c>
      <c r="G810" t="s">
        <v>132</v>
      </c>
      <c r="H810" t="s">
        <v>434</v>
      </c>
      <c r="I810" t="s">
        <v>32</v>
      </c>
      <c r="J810" t="s">
        <v>72</v>
      </c>
      <c r="K810">
        <f t="shared" si="2408"/>
        <v>0</v>
      </c>
      <c r="L810">
        <f t="shared" si="2409"/>
        <v>0</v>
      </c>
      <c r="M810">
        <f t="shared" si="2410"/>
        <v>1</v>
      </c>
      <c r="N810">
        <f t="shared" si="2411"/>
        <v>1</v>
      </c>
      <c r="O810">
        <f t="shared" si="2412"/>
        <v>2</v>
      </c>
      <c r="P810" t="str">
        <f t="shared" si="2413"/>
        <v>Large centralized biomass steam reforming -Levelized cost</v>
      </c>
      <c r="Q810" t="str">
        <f t="shared" si="2414"/>
        <v>Underground storage-Levelized cost</v>
      </c>
      <c r="R810" t="str">
        <f t="shared" si="2415"/>
        <v>Onsite-Levelized cost</v>
      </c>
      <c r="S810" t="str">
        <f t="shared" si="2416"/>
        <v>District-CHP with H2 fuel cell (heat)-Levelized cost</v>
      </c>
      <c r="T810">
        <f ca="1">IF(timePeriod="2020-30",(VLOOKUP($P810,'TA database'!$I$8:$J$79,2,FALSE)/VLOOKUP($D810,'Merit calculation'!$B$48:$I$52,5,FALSE)/VLOOKUP($E810,'Merit calculation'!$B$67:$I$73,5,FALSE)/VLOOKUP($F810,'Merit calculation'!$B$90:$I$103,5,FALSE)/energyContentH2),(VLOOKUP($P810,'TA database'!$I$8:$J$79,2,FALSE)/VLOOKUP($D810,'Merit calculation'!$B$48:$I$52,7,FALSE)/VLOOKUP($E810,'Merit calculation'!$B$67:$I$73,7,FALSE)/VLOOKUP($F810,'Merit calculation'!$B$90:$I$103,7,FALSE)/energyContentH2))</f>
        <v>9.7175419510985277E-3</v>
      </c>
      <c r="U810">
        <f ca="1">IF(timePeriod="2020-30",(VLOOKUP($Q810,'TA database'!$I$86:$J$105,2,FALSE)/VLOOKUP($E810,'Merit calculation'!$B$67:$I$73,5,FALSE)/VLOOKUP($F810,'Merit calculation'!$B$90:$I$104,5,FALSE)/energyContentH2),VLOOKUP($Q810,'TA database'!$I$86:$J$105,2,FALSE)/VLOOKUP($E810,'Merit calculation'!$B$67:$I$73,7,FALSE)/VLOOKUP($F810,'Merit calculation'!$B$90:$I$104,7,FALSE)/energyContentH2)</f>
        <v>1.3692555911560666E-4</v>
      </c>
      <c r="V810">
        <f ca="1">IF(timePeriod="2020-30",(VLOOKUP($R810,'TA database'!$I$112:$J$139,2,FALSE)/VLOOKUP($F810,'Merit calculation'!$B$90:$I$104,5,FALSE)/energyContentH2),(VLOOKUP($R810,'TA database'!$I$112:$J$139,2,FALSE)/VLOOKUP($F810,'Merit calculation'!$B$90:$I$104,7,FALSE)/energyContentH2))</f>
        <v>0</v>
      </c>
      <c r="W810">
        <f ca="1">IFERROR(VLOOKUP($S810,'TA database'!$I$146:$J$193,2,FALSE),0)</f>
        <v>1.7801086338426392E-2</v>
      </c>
      <c r="X810">
        <f>IFERROR(VLOOKUP($S810,'TA database'!$I$200:$J$271,2,FALSE),0)</f>
        <v>0</v>
      </c>
      <c r="Y810">
        <f t="shared" ca="1" si="2417"/>
        <v>2.7655553848640525E-2</v>
      </c>
      <c r="Z810" t="str">
        <f t="shared" si="2418"/>
        <v>BIO_SR_LRG_C   →   C_UNDRGRND_STRG   →   ONSITE_USE   →   H2_FC_DCHP_HEAT</v>
      </c>
      <c r="AA810" t="str">
        <f t="shared" si="2419"/>
        <v>Building heat</v>
      </c>
      <c r="AB810" t="str">
        <f t="shared" si="2420"/>
        <v>Levelized cost</v>
      </c>
      <c r="AC810">
        <f t="shared" ca="1" si="2421"/>
        <v>2.7655553848640525E-2</v>
      </c>
      <c r="AD810">
        <v>751</v>
      </c>
      <c r="AE810" t="str">
        <f>IF(AND(ISNUMBER(SEARCH(O810,4)),ISNUMBER(SEARCH('(4) FCH pathway assessment'!$B$16,AB810)),ISNUMBER(SEARCH('(4) FCH pathway assessment'!$B$10,AA810))),AD810,"")</f>
        <v/>
      </c>
      <c r="AF810" t="str">
        <f t="shared" si="2239"/>
        <v/>
      </c>
      <c r="AG810" t="str">
        <f>VLOOKUP(C810,Assumptions!$B$116:$C$162,2,FALSE)</f>
        <v>BIO_SR_LRG_C</v>
      </c>
      <c r="AH810" t="str">
        <f>VLOOKUP(D810,Assumptions!$B$116:$C$162,2,FALSE)</f>
        <v>C_UNDRGRND_STRG</v>
      </c>
      <c r="AI810" t="str">
        <f>VLOOKUP(E810,Assumptions!$B$116:$C$162,2,FALSE)</f>
        <v>ONSITE_USE</v>
      </c>
      <c r="AJ810" t="str">
        <f>VLOOKUP(F810,Assumptions!$B$116:$C$162,2,FALSE)</f>
        <v>H2_FC_DCHP_HEAT</v>
      </c>
    </row>
    <row r="811" spans="2:36" x14ac:dyDescent="0.25">
      <c r="B811" t="s">
        <v>117</v>
      </c>
      <c r="C811" t="s">
        <v>56</v>
      </c>
      <c r="D811" s="61" t="s">
        <v>63</v>
      </c>
      <c r="E811" t="s">
        <v>122</v>
      </c>
      <c r="F811" t="s">
        <v>552</v>
      </c>
      <c r="G811" t="s">
        <v>132</v>
      </c>
      <c r="H811" t="s">
        <v>434</v>
      </c>
      <c r="I811" t="s">
        <v>32</v>
      </c>
      <c r="J811" t="s">
        <v>72</v>
      </c>
      <c r="K811">
        <f t="shared" si="2408"/>
        <v>0</v>
      </c>
      <c r="L811">
        <f t="shared" si="2409"/>
        <v>1</v>
      </c>
      <c r="M811">
        <f t="shared" si="2410"/>
        <v>1</v>
      </c>
      <c r="N811">
        <f t="shared" si="2411"/>
        <v>1</v>
      </c>
      <c r="O811">
        <f t="shared" si="2412"/>
        <v>3</v>
      </c>
      <c r="P811" t="str">
        <f t="shared" si="2413"/>
        <v>Large centralized biomass steam reforming -Levelized cost</v>
      </c>
      <c r="Q811" t="str">
        <f t="shared" si="2414"/>
        <v>No storage-Levelized cost</v>
      </c>
      <c r="R811" t="str">
        <f t="shared" si="2415"/>
        <v>Hydrogen transmission &amp; distribution pipeline-Levelized cost</v>
      </c>
      <c r="S811" t="str">
        <f t="shared" si="2416"/>
        <v>District-CHP with H2 fuel cell (heat)-Levelized cost</v>
      </c>
      <c r="T811">
        <f ca="1">IF(timePeriod="2020-30",(VLOOKUP($P811,'TA database'!$I$8:$J$79,2,FALSE)/VLOOKUP($D811,'Merit calculation'!$B$48:$I$52,5,FALSE)/VLOOKUP($E811,'Merit calculation'!$B$67:$I$73,5,FALSE)/VLOOKUP($F811,'Merit calculation'!$B$90:$I$103,5,FALSE)/energyContentH2),(VLOOKUP($P811,'TA database'!$I$8:$J$79,2,FALSE)/VLOOKUP($D811,'Merit calculation'!$B$48:$I$52,7,FALSE)/VLOOKUP($E811,'Merit calculation'!$B$67:$I$73,7,FALSE)/VLOOKUP($F811,'Merit calculation'!$B$90:$I$103,7,FALSE)/energyContentH2))</f>
        <v>9.7175419510985277E-3</v>
      </c>
      <c r="U811">
        <f ca="1">IF(timePeriod="2020-30",(VLOOKUP($Q811,'TA database'!$I$86:$J$105,2,FALSE)/VLOOKUP($E811,'Merit calculation'!$B$67:$I$73,5,FALSE)/VLOOKUP($F811,'Merit calculation'!$B$90:$I$104,5,FALSE)/energyContentH2),VLOOKUP($Q811,'TA database'!$I$86:$J$105,2,FALSE)/VLOOKUP($E811,'Merit calculation'!$B$67:$I$73,7,FALSE)/VLOOKUP($F811,'Merit calculation'!$B$90:$I$104,7,FALSE)/energyContentH2)</f>
        <v>0</v>
      </c>
      <c r="V811">
        <f ca="1">IF(timePeriod="2020-30",(VLOOKUP($R811,'TA database'!$I$112:$J$139,2,FALSE)/VLOOKUP($F811,'Merit calculation'!$B$90:$I$104,5,FALSE)/energyContentH2),(VLOOKUP($R811,'TA database'!$I$112:$J$139,2,FALSE)/VLOOKUP($F811,'Merit calculation'!$B$90:$I$104,7,FALSE)/energyContentH2))</f>
        <v>3.7025224863029226E-3</v>
      </c>
      <c r="W811">
        <f ca="1">IFERROR(VLOOKUP($S811,'TA database'!$I$146:$J$193,2,FALSE),0)</f>
        <v>1.7801086338426392E-2</v>
      </c>
      <c r="X811">
        <f>IFERROR(VLOOKUP($S811,'TA database'!$I$200:$J$271,2,FALSE),0)</f>
        <v>0</v>
      </c>
      <c r="Y811">
        <f t="shared" ref="Y811:Y823" ca="1" si="2422">IF($W811=0,T811*3.6+U811*3.6+V811*3.6+X811,T811+U811+V811+W811)</f>
        <v>3.1221150775827843E-2</v>
      </c>
      <c r="Z811" t="str">
        <f t="shared" si="2418"/>
        <v>BIO_SR_LRG_C   →   NO_STRG   →   H2_T&amp;D_P   →   H2_FC_DCHP_HEAT</v>
      </c>
      <c r="AA811" t="str">
        <f t="shared" si="2419"/>
        <v>Building heat</v>
      </c>
      <c r="AB811" t="str">
        <f t="shared" si="2420"/>
        <v>Levelized cost</v>
      </c>
      <c r="AC811">
        <f t="shared" ca="1" si="2421"/>
        <v>3.1221150775827843E-2</v>
      </c>
      <c r="AD811">
        <v>752</v>
      </c>
      <c r="AE811" t="str">
        <f>IF(AND(ISNUMBER(SEARCH(O811,4)),ISNUMBER(SEARCH('(4) FCH pathway assessment'!$B$16,AB811)),ISNUMBER(SEARCH('(4) FCH pathway assessment'!$B$10,AA811))),AD811,"")</f>
        <v/>
      </c>
      <c r="AF811" t="str">
        <f t="shared" si="2239"/>
        <v/>
      </c>
      <c r="AG811" t="str">
        <f>VLOOKUP(C811,Assumptions!$B$116:$C$162,2,FALSE)</f>
        <v>BIO_SR_LRG_C</v>
      </c>
      <c r="AH811" t="str">
        <f>VLOOKUP(D811,Assumptions!$B$116:$C$162,2,FALSE)</f>
        <v>NO_STRG</v>
      </c>
      <c r="AI811" t="str">
        <f>VLOOKUP(E811,Assumptions!$B$116:$C$162,2,FALSE)</f>
        <v>H2_T&amp;D_P</v>
      </c>
      <c r="AJ811" t="str">
        <f>VLOOKUP(F811,Assumptions!$B$116:$C$162,2,FALSE)</f>
        <v>H2_FC_DCHP_HEAT</v>
      </c>
    </row>
    <row r="812" spans="2:36" x14ac:dyDescent="0.25">
      <c r="B812" t="s">
        <v>112</v>
      </c>
      <c r="C812" t="s">
        <v>49</v>
      </c>
      <c r="D812" t="s">
        <v>62</v>
      </c>
      <c r="E812" t="s">
        <v>157</v>
      </c>
      <c r="F812" t="s">
        <v>552</v>
      </c>
      <c r="G812" t="s">
        <v>132</v>
      </c>
      <c r="H812" t="s">
        <v>434</v>
      </c>
      <c r="I812" t="s">
        <v>32</v>
      </c>
      <c r="J812" t="s">
        <v>72</v>
      </c>
      <c r="K812">
        <f t="shared" si="2408"/>
        <v>1</v>
      </c>
      <c r="L812">
        <f t="shared" si="2409"/>
        <v>0</v>
      </c>
      <c r="M812">
        <f t="shared" si="2410"/>
        <v>0</v>
      </c>
      <c r="N812">
        <f t="shared" si="2411"/>
        <v>1</v>
      </c>
      <c r="O812">
        <f t="shared" si="2412"/>
        <v>2</v>
      </c>
      <c r="P812" t="str">
        <f t="shared" si="2413"/>
        <v>Large centralized electrolysis-Levelized cost</v>
      </c>
      <c r="Q812" t="str">
        <f t="shared" si="2414"/>
        <v>Underground storage-Levelized cost</v>
      </c>
      <c r="R812" t="str">
        <f t="shared" si="2415"/>
        <v>Blending in natural gas pipeline-Levelized cost</v>
      </c>
      <c r="S812" t="str">
        <f t="shared" si="2416"/>
        <v>District-CHP with H2 fuel cell (heat)-Levelized cost</v>
      </c>
      <c r="T812">
        <f ca="1">IF(timePeriod="2020-30",(VLOOKUP($P812,'TA database'!$I$8:$J$79,2,FALSE)/VLOOKUP($D812,'Merit calculation'!$B$48:$I$52,5,FALSE)/VLOOKUP($E812,'Merit calculation'!$B$67:$I$73,5,FALSE)/VLOOKUP($F812,'Merit calculation'!$B$90:$I$103,5,FALSE)/energyContentH2),(VLOOKUP($P812,'TA database'!$I$8:$J$79,2,FALSE)/VLOOKUP($D812,'Merit calculation'!$B$48:$I$52,7,FALSE)/VLOOKUP($E812,'Merit calculation'!$B$67:$I$73,7,FALSE)/VLOOKUP($F812,'Merit calculation'!$B$90:$I$103,7,FALSE)/energyContentH2))</f>
        <v>2.0929999003248788E-2</v>
      </c>
      <c r="U812">
        <f ca="1">IF(timePeriod="2020-30",(VLOOKUP($Q812,'TA database'!$I$86:$J$105,2,FALSE)/VLOOKUP($E812,'Merit calculation'!$B$67:$I$73,5,FALSE)/VLOOKUP($F812,'Merit calculation'!$B$90:$I$104,5,FALSE)/energyContentH2),VLOOKUP($Q812,'TA database'!$I$86:$J$105,2,FALSE)/VLOOKUP($E812,'Merit calculation'!$B$67:$I$73,7,FALSE)/VLOOKUP($F812,'Merit calculation'!$B$90:$I$104,7,FALSE)/energyContentH2)</f>
        <v>1.3830864557131986E-4</v>
      </c>
      <c r="V812">
        <f ca="1">IF(timePeriod="2020-30",(VLOOKUP($R812,'TA database'!$I$112:$J$139,2,FALSE)/VLOOKUP($F812,'Merit calculation'!$B$90:$I$104,5,FALSE)/energyContentH2),(VLOOKUP($R812,'TA database'!$I$112:$J$139,2,FALSE)/VLOOKUP($F812,'Merit calculation'!$B$90:$I$104,7,FALSE)/energyContentH2))</f>
        <v>1.9900144905361811E-3</v>
      </c>
      <c r="W812">
        <f ca="1">IFERROR(VLOOKUP($S812,'TA database'!$I$146:$J$193,2,FALSE),0)</f>
        <v>1.7801086338426392E-2</v>
      </c>
      <c r="X812">
        <f>IFERROR(VLOOKUP($S812,'TA database'!$I$200:$J$271,2,FALSE),0)</f>
        <v>0</v>
      </c>
      <c r="Y812">
        <f t="shared" ca="1" si="2422"/>
        <v>4.0859408477782681E-2</v>
      </c>
      <c r="Z812" t="str">
        <f t="shared" si="2418"/>
        <v>ELCTRLYZ_LRG_C   →   C_UNDRGRND_STRG   →   H2_BLND_NG_P   →   H2_FC_DCHP_HEAT</v>
      </c>
      <c r="AA812" t="str">
        <f t="shared" si="2419"/>
        <v>Building heat</v>
      </c>
      <c r="AB812" t="str">
        <f t="shared" si="2420"/>
        <v>Levelized cost</v>
      </c>
      <c r="AC812">
        <f t="shared" ca="1" si="2421"/>
        <v>4.0859408477782681E-2</v>
      </c>
      <c r="AD812">
        <v>753</v>
      </c>
      <c r="AE812" t="str">
        <f>IF(AND(ISNUMBER(SEARCH(O812,4)),ISNUMBER(SEARCH('(4) FCH pathway assessment'!$B$16,AB812)),ISNUMBER(SEARCH('(4) FCH pathway assessment'!$B$10,AA812))),AD812,"")</f>
        <v/>
      </c>
      <c r="AF812" t="str">
        <f t="shared" si="2239"/>
        <v/>
      </c>
      <c r="AG812" t="str">
        <f>VLOOKUP(C812,Assumptions!$B$116:$C$162,2,FALSE)</f>
        <v>ELCTRLYZ_LRG_C</v>
      </c>
      <c r="AH812" t="str">
        <f>VLOOKUP(D812,Assumptions!$B$116:$C$162,2,FALSE)</f>
        <v>C_UNDRGRND_STRG</v>
      </c>
      <c r="AI812" t="str">
        <f>VLOOKUP(E812,Assumptions!$B$116:$C$162,2,FALSE)</f>
        <v>H2_BLND_NG_P</v>
      </c>
      <c r="AJ812" t="str">
        <f>VLOOKUP(F812,Assumptions!$B$116:$C$162,2,FALSE)</f>
        <v>H2_FC_DCHP_HEAT</v>
      </c>
    </row>
    <row r="813" spans="2:36" x14ac:dyDescent="0.25">
      <c r="B813" t="s">
        <v>112</v>
      </c>
      <c r="C813" t="s">
        <v>49</v>
      </c>
      <c r="D813" t="s">
        <v>62</v>
      </c>
      <c r="E813" t="s">
        <v>122</v>
      </c>
      <c r="F813" t="s">
        <v>552</v>
      </c>
      <c r="G813" t="s">
        <v>132</v>
      </c>
      <c r="H813" t="s">
        <v>434</v>
      </c>
      <c r="I813" t="s">
        <v>32</v>
      </c>
      <c r="J813" t="s">
        <v>72</v>
      </c>
      <c r="K813">
        <f t="shared" si="2408"/>
        <v>1</v>
      </c>
      <c r="L813">
        <f t="shared" si="2409"/>
        <v>0</v>
      </c>
      <c r="M813">
        <f t="shared" si="2410"/>
        <v>1</v>
      </c>
      <c r="N813">
        <f t="shared" si="2411"/>
        <v>1</v>
      </c>
      <c r="O813">
        <f t="shared" si="2412"/>
        <v>3</v>
      </c>
      <c r="P813" t="str">
        <f t="shared" si="2413"/>
        <v>Large centralized electrolysis-Levelized cost</v>
      </c>
      <c r="Q813" t="str">
        <f t="shared" si="2414"/>
        <v>Underground storage-Levelized cost</v>
      </c>
      <c r="R813" t="str">
        <f t="shared" si="2415"/>
        <v>Hydrogen transmission &amp; distribution pipeline-Levelized cost</v>
      </c>
      <c r="S813" t="str">
        <f t="shared" si="2416"/>
        <v>District-CHP with H2 fuel cell (heat)-Levelized cost</v>
      </c>
      <c r="T813">
        <f ca="1">IF(timePeriod="2020-30",(VLOOKUP($P813,'TA database'!$I$8:$J$79,2,FALSE)/VLOOKUP($D813,'Merit calculation'!$B$48:$I$52,5,FALSE)/VLOOKUP($E813,'Merit calculation'!$B$67:$I$73,5,FALSE)/VLOOKUP($F813,'Merit calculation'!$B$90:$I$103,5,FALSE)/energyContentH2),(VLOOKUP($P813,'TA database'!$I$8:$J$79,2,FALSE)/VLOOKUP($D813,'Merit calculation'!$B$48:$I$52,7,FALSE)/VLOOKUP($E813,'Merit calculation'!$B$67:$I$73,7,FALSE)/VLOOKUP($F813,'Merit calculation'!$B$90:$I$103,7,FALSE)/energyContentH2))</f>
        <v>2.0929999003248788E-2</v>
      </c>
      <c r="U813">
        <f ca="1">IF(timePeriod="2020-30",(VLOOKUP($Q813,'TA database'!$I$86:$J$105,2,FALSE)/VLOOKUP($E813,'Merit calculation'!$B$67:$I$73,5,FALSE)/VLOOKUP($F813,'Merit calculation'!$B$90:$I$104,5,FALSE)/energyContentH2),VLOOKUP($Q813,'TA database'!$I$86:$J$105,2,FALSE)/VLOOKUP($E813,'Merit calculation'!$B$67:$I$73,7,FALSE)/VLOOKUP($F813,'Merit calculation'!$B$90:$I$104,7,FALSE)/energyContentH2)</f>
        <v>1.3830864557131986E-4</v>
      </c>
      <c r="V813">
        <f ca="1">IF(timePeriod="2020-30",(VLOOKUP($R813,'TA database'!$I$112:$J$139,2,FALSE)/VLOOKUP($F813,'Merit calculation'!$B$90:$I$104,5,FALSE)/energyContentH2),(VLOOKUP($R813,'TA database'!$I$112:$J$139,2,FALSE)/VLOOKUP($F813,'Merit calculation'!$B$90:$I$104,7,FALSE)/energyContentH2))</f>
        <v>3.7025224863029226E-3</v>
      </c>
      <c r="W813">
        <f ca="1">IFERROR(VLOOKUP($S813,'TA database'!$I$146:$J$193,2,FALSE),0)</f>
        <v>1.7801086338426392E-2</v>
      </c>
      <c r="X813">
        <f>IFERROR(VLOOKUP($S813,'TA database'!$I$200:$J$271,2,FALSE),0)</f>
        <v>0</v>
      </c>
      <c r="Y813">
        <f t="shared" ca="1" si="2422"/>
        <v>4.2571916473549423E-2</v>
      </c>
      <c r="Z813" t="str">
        <f t="shared" si="2418"/>
        <v>ELCTRLYZ_LRG_C   →   C_UNDRGRND_STRG   →   H2_T&amp;D_P   →   H2_FC_DCHP_HEAT</v>
      </c>
      <c r="AA813" t="str">
        <f t="shared" si="2419"/>
        <v>Building heat</v>
      </c>
      <c r="AB813" t="str">
        <f t="shared" si="2420"/>
        <v>Levelized cost</v>
      </c>
      <c r="AC813">
        <f t="shared" ca="1" si="2421"/>
        <v>4.2571916473549423E-2</v>
      </c>
      <c r="AD813">
        <v>754</v>
      </c>
      <c r="AE813" t="str">
        <f>IF(AND(ISNUMBER(SEARCH(O813,4)),ISNUMBER(SEARCH('(4) FCH pathway assessment'!$B$16,AB813)),ISNUMBER(SEARCH('(4) FCH pathway assessment'!$B$10,AA813))),AD813,"")</f>
        <v/>
      </c>
      <c r="AF813" t="str">
        <f t="shared" si="2239"/>
        <v/>
      </c>
      <c r="AG813" t="str">
        <f>VLOOKUP(C813,Assumptions!$B$116:$C$162,2,FALSE)</f>
        <v>ELCTRLYZ_LRG_C</v>
      </c>
      <c r="AH813" t="str">
        <f>VLOOKUP(D813,Assumptions!$B$116:$C$162,2,FALSE)</f>
        <v>C_UNDRGRND_STRG</v>
      </c>
      <c r="AI813" t="str">
        <f>VLOOKUP(E813,Assumptions!$B$116:$C$162,2,FALSE)</f>
        <v>H2_T&amp;D_P</v>
      </c>
      <c r="AJ813" t="str">
        <f>VLOOKUP(F813,Assumptions!$B$116:$C$162,2,FALSE)</f>
        <v>H2_FC_DCHP_HEAT</v>
      </c>
    </row>
    <row r="814" spans="2:36" x14ac:dyDescent="0.25">
      <c r="B814" t="s">
        <v>112</v>
      </c>
      <c r="C814" t="s">
        <v>49</v>
      </c>
      <c r="D814" t="s">
        <v>62</v>
      </c>
      <c r="E814" t="s">
        <v>116</v>
      </c>
      <c r="F814" t="s">
        <v>552</v>
      </c>
      <c r="G814" t="s">
        <v>132</v>
      </c>
      <c r="H814" t="s">
        <v>434</v>
      </c>
      <c r="I814" t="s">
        <v>32</v>
      </c>
      <c r="J814" t="s">
        <v>72</v>
      </c>
      <c r="K814">
        <f t="shared" si="2408"/>
        <v>1</v>
      </c>
      <c r="L814">
        <f t="shared" si="2409"/>
        <v>0</v>
      </c>
      <c r="M814">
        <f t="shared" si="2410"/>
        <v>1</v>
      </c>
      <c r="N814">
        <f t="shared" si="2411"/>
        <v>1</v>
      </c>
      <c r="O814">
        <f t="shared" si="2412"/>
        <v>3</v>
      </c>
      <c r="P814" t="str">
        <f t="shared" si="2413"/>
        <v>Large centralized electrolysis-Levelized cost</v>
      </c>
      <c r="Q814" t="str">
        <f t="shared" si="2414"/>
        <v>Underground storage-Levelized cost</v>
      </c>
      <c r="R814" t="str">
        <f t="shared" si="2415"/>
        <v>Liquid hydrogen truck-Levelized cost</v>
      </c>
      <c r="S814" t="str">
        <f t="shared" si="2416"/>
        <v>District-CHP with H2 fuel cell (heat)-Levelized cost</v>
      </c>
      <c r="T814">
        <f ca="1">IF(timePeriod="2020-30",(VLOOKUP($P814,'TA database'!$I$8:$J$79,2,FALSE)/VLOOKUP($D814,'Merit calculation'!$B$48:$I$52,5,FALSE)/VLOOKUP($E814,'Merit calculation'!$B$67:$I$73,5,FALSE)/VLOOKUP($F814,'Merit calculation'!$B$90:$I$103,5,FALSE)/energyContentH2),(VLOOKUP($P814,'TA database'!$I$8:$J$79,2,FALSE)/VLOOKUP($D814,'Merit calculation'!$B$48:$I$52,7,FALSE)/VLOOKUP($E814,'Merit calculation'!$B$67:$I$73,7,FALSE)/VLOOKUP($F814,'Merit calculation'!$B$90:$I$103,7,FALSE)/energyContentH2))</f>
        <v>2.4178178545176551E-2</v>
      </c>
      <c r="U814">
        <f ca="1">IF(timePeriod="2020-30",(VLOOKUP($Q814,'TA database'!$I$86:$J$105,2,FALSE)/VLOOKUP($E814,'Merit calculation'!$B$67:$I$73,5,FALSE)/VLOOKUP($F814,'Merit calculation'!$B$90:$I$104,5,FALSE)/energyContentH2),VLOOKUP($Q814,'TA database'!$I$86:$J$105,2,FALSE)/VLOOKUP($E814,'Merit calculation'!$B$67:$I$73,7,FALSE)/VLOOKUP($F814,'Merit calculation'!$B$90:$I$104,7,FALSE)/energyContentH2)</f>
        <v>1.5977311448728902E-4</v>
      </c>
      <c r="V814">
        <f ca="1">IF(timePeriod="2020-30",(VLOOKUP($R814,'TA database'!$I$112:$J$139,2,FALSE)/VLOOKUP($F814,'Merit calculation'!$B$90:$I$104,5,FALSE)/energyContentH2),(VLOOKUP($R814,'TA database'!$I$112:$J$139,2,FALSE)/VLOOKUP($F814,'Merit calculation'!$B$90:$I$104,7,FALSE)/energyContentH2))</f>
        <v>2.4500662962100454E-2</v>
      </c>
      <c r="W814">
        <f ca="1">IFERROR(VLOOKUP($S814,'TA database'!$I$146:$J$193,2,FALSE),0)</f>
        <v>1.7801086338426392E-2</v>
      </c>
      <c r="X814">
        <f>IFERROR(VLOOKUP($S814,'TA database'!$I$200:$J$271,2,FALSE),0)</f>
        <v>0</v>
      </c>
      <c r="Y814">
        <f t="shared" ca="1" si="2422"/>
        <v>6.6639700960190687E-2</v>
      </c>
      <c r="Z814" t="str">
        <f t="shared" si="2418"/>
        <v>ELCTRLYZ_LRG_C   →   C_UNDRGRND_STRG   →   LQ_TRUCK   →   H2_FC_DCHP_HEAT</v>
      </c>
      <c r="AA814" t="str">
        <f t="shared" si="2419"/>
        <v>Building heat</v>
      </c>
      <c r="AB814" t="str">
        <f t="shared" si="2420"/>
        <v>Levelized cost</v>
      </c>
      <c r="AC814">
        <f t="shared" ca="1" si="2421"/>
        <v>6.6639700960190687E-2</v>
      </c>
      <c r="AD814">
        <v>755</v>
      </c>
      <c r="AE814" t="str">
        <f>IF(AND(ISNUMBER(SEARCH(O814,4)),ISNUMBER(SEARCH('(4) FCH pathway assessment'!$B$16,AB814)),ISNUMBER(SEARCH('(4) FCH pathway assessment'!$B$10,AA814))),AD814,"")</f>
        <v/>
      </c>
      <c r="AF814" t="str">
        <f t="shared" si="2239"/>
        <v/>
      </c>
      <c r="AG814" t="str">
        <f>VLOOKUP(C814,Assumptions!$B$116:$C$162,2,FALSE)</f>
        <v>ELCTRLYZ_LRG_C</v>
      </c>
      <c r="AH814" t="str">
        <f>VLOOKUP(D814,Assumptions!$B$116:$C$162,2,FALSE)</f>
        <v>C_UNDRGRND_STRG</v>
      </c>
      <c r="AI814" t="str">
        <f>VLOOKUP(E814,Assumptions!$B$116:$C$162,2,FALSE)</f>
        <v>LQ_TRUCK</v>
      </c>
      <c r="AJ814" t="str">
        <f>VLOOKUP(F814,Assumptions!$B$116:$C$162,2,FALSE)</f>
        <v>H2_FC_DCHP_HEAT</v>
      </c>
    </row>
    <row r="815" spans="2:36" x14ac:dyDescent="0.25">
      <c r="B815" t="s">
        <v>112</v>
      </c>
      <c r="C815" t="s">
        <v>49</v>
      </c>
      <c r="D815" t="s">
        <v>62</v>
      </c>
      <c r="E815" t="s">
        <v>66</v>
      </c>
      <c r="F815" t="s">
        <v>552</v>
      </c>
      <c r="G815" t="s">
        <v>132</v>
      </c>
      <c r="H815" t="s">
        <v>434</v>
      </c>
      <c r="I815" t="s">
        <v>32</v>
      </c>
      <c r="J815" t="s">
        <v>72</v>
      </c>
      <c r="K815">
        <f t="shared" si="2408"/>
        <v>1</v>
      </c>
      <c r="L815">
        <f t="shared" si="2409"/>
        <v>0</v>
      </c>
      <c r="M815">
        <f t="shared" si="2410"/>
        <v>1</v>
      </c>
      <c r="N815">
        <f t="shared" si="2411"/>
        <v>1</v>
      </c>
      <c r="O815">
        <f t="shared" si="2412"/>
        <v>3</v>
      </c>
      <c r="P815" t="str">
        <f t="shared" si="2413"/>
        <v>Large centralized electrolysis-Levelized cost</v>
      </c>
      <c r="Q815" t="str">
        <f t="shared" si="2414"/>
        <v>Underground storage-Levelized cost</v>
      </c>
      <c r="R815" t="str">
        <f t="shared" si="2415"/>
        <v>Onsite-Levelized cost</v>
      </c>
      <c r="S815" t="str">
        <f t="shared" si="2416"/>
        <v>District-CHP with H2 fuel cell (heat)-Levelized cost</v>
      </c>
      <c r="T815">
        <f ca="1">IF(timePeriod="2020-30",(VLOOKUP($P815,'TA database'!$I$8:$J$79,2,FALSE)/VLOOKUP($D815,'Merit calculation'!$B$48:$I$52,5,FALSE)/VLOOKUP($E815,'Merit calculation'!$B$67:$I$73,5,FALSE)/VLOOKUP($F815,'Merit calculation'!$B$90:$I$103,5,FALSE)/energyContentH2),(VLOOKUP($P815,'TA database'!$I$8:$J$79,2,FALSE)/VLOOKUP($D815,'Merit calculation'!$B$48:$I$52,7,FALSE)/VLOOKUP($E815,'Merit calculation'!$B$67:$I$73,7,FALSE)/VLOOKUP($F815,'Merit calculation'!$B$90:$I$103,7,FALSE)/energyContentH2))</f>
        <v>2.0720699013216302E-2</v>
      </c>
      <c r="U815">
        <f ca="1">IF(timePeriod="2020-30",(VLOOKUP($Q815,'TA database'!$I$86:$J$105,2,FALSE)/VLOOKUP($E815,'Merit calculation'!$B$67:$I$73,5,FALSE)/VLOOKUP($F815,'Merit calculation'!$B$90:$I$104,5,FALSE)/energyContentH2),VLOOKUP($Q815,'TA database'!$I$86:$J$105,2,FALSE)/VLOOKUP($E815,'Merit calculation'!$B$67:$I$73,7,FALSE)/VLOOKUP($F815,'Merit calculation'!$B$90:$I$104,7,FALSE)/energyContentH2)</f>
        <v>1.3692555911560666E-4</v>
      </c>
      <c r="V815">
        <f ca="1">IF(timePeriod="2020-30",(VLOOKUP($R815,'TA database'!$I$112:$J$139,2,FALSE)/VLOOKUP($F815,'Merit calculation'!$B$90:$I$104,5,FALSE)/energyContentH2),(VLOOKUP($R815,'TA database'!$I$112:$J$139,2,FALSE)/VLOOKUP($F815,'Merit calculation'!$B$90:$I$104,7,FALSE)/energyContentH2))</f>
        <v>0</v>
      </c>
      <c r="W815">
        <f ca="1">IFERROR(VLOOKUP($S815,'TA database'!$I$146:$J$193,2,FALSE),0)</f>
        <v>1.7801086338426392E-2</v>
      </c>
      <c r="X815">
        <f>IFERROR(VLOOKUP($S815,'TA database'!$I$200:$J$271,2,FALSE),0)</f>
        <v>0</v>
      </c>
      <c r="Y815">
        <f t="shared" ca="1" si="2422"/>
        <v>3.8658710910758301E-2</v>
      </c>
      <c r="Z815" t="str">
        <f t="shared" si="2418"/>
        <v>ELCTRLYZ_LRG_C   →   C_UNDRGRND_STRG   →   ONSITE_USE   →   H2_FC_DCHP_HEAT</v>
      </c>
      <c r="AA815" t="str">
        <f t="shared" si="2419"/>
        <v>Building heat</v>
      </c>
      <c r="AB815" t="str">
        <f t="shared" si="2420"/>
        <v>Levelized cost</v>
      </c>
      <c r="AC815">
        <f t="shared" ca="1" si="2421"/>
        <v>3.8658710910758301E-2</v>
      </c>
      <c r="AD815">
        <v>756</v>
      </c>
      <c r="AE815" t="str">
        <f>IF(AND(ISNUMBER(SEARCH(O815,4)),ISNUMBER(SEARCH('(4) FCH pathway assessment'!$B$16,AB815)),ISNUMBER(SEARCH('(4) FCH pathway assessment'!$B$10,AA815))),AD815,"")</f>
        <v/>
      </c>
      <c r="AF815" t="str">
        <f t="shared" si="2239"/>
        <v/>
      </c>
      <c r="AG815" t="str">
        <f>VLOOKUP(C815,Assumptions!$B$116:$C$162,2,FALSE)</f>
        <v>ELCTRLYZ_LRG_C</v>
      </c>
      <c r="AH815" t="str">
        <f>VLOOKUP(D815,Assumptions!$B$116:$C$162,2,FALSE)</f>
        <v>C_UNDRGRND_STRG</v>
      </c>
      <c r="AI815" t="str">
        <f>VLOOKUP(E815,Assumptions!$B$116:$C$162,2,FALSE)</f>
        <v>ONSITE_USE</v>
      </c>
      <c r="AJ815" t="str">
        <f>VLOOKUP(F815,Assumptions!$B$116:$C$162,2,FALSE)</f>
        <v>H2_FC_DCHP_HEAT</v>
      </c>
    </row>
    <row r="816" spans="2:36" x14ac:dyDescent="0.25">
      <c r="B816" t="s">
        <v>112</v>
      </c>
      <c r="C816" t="s">
        <v>49</v>
      </c>
      <c r="D816" t="s">
        <v>155</v>
      </c>
      <c r="E816" t="s">
        <v>157</v>
      </c>
      <c r="F816" t="s">
        <v>552</v>
      </c>
      <c r="G816" t="s">
        <v>132</v>
      </c>
      <c r="H816" t="s">
        <v>434</v>
      </c>
      <c r="I816" t="s">
        <v>32</v>
      </c>
      <c r="J816" t="s">
        <v>72</v>
      </c>
      <c r="K816">
        <f t="shared" si="2408"/>
        <v>1</v>
      </c>
      <c r="L816">
        <f t="shared" si="2409"/>
        <v>1</v>
      </c>
      <c r="M816">
        <f t="shared" si="2410"/>
        <v>0</v>
      </c>
      <c r="N816">
        <f t="shared" si="2411"/>
        <v>1</v>
      </c>
      <c r="O816">
        <f t="shared" ref="O816:O823" si="2423">K816+L816+M816+N816</f>
        <v>3</v>
      </c>
      <c r="P816" t="str">
        <f t="shared" si="2413"/>
        <v>Large centralized electrolysis-Levelized cost</v>
      </c>
      <c r="Q816" t="str">
        <f t="shared" si="2414"/>
        <v>Central gas storage-Levelized cost</v>
      </c>
      <c r="R816" t="str">
        <f t="shared" si="2415"/>
        <v>Blending in natural gas pipeline-Levelized cost</v>
      </c>
      <c r="S816" t="str">
        <f t="shared" si="2416"/>
        <v>District-CHP with H2 fuel cell (heat)-Levelized cost</v>
      </c>
      <c r="T816">
        <f ca="1">IF(timePeriod="2020-30",(VLOOKUP($P816,'TA database'!$I$8:$J$79,2,FALSE)/VLOOKUP($D816,'Merit calculation'!$B$48:$I$52,5,FALSE)/VLOOKUP($E816,'Merit calculation'!$B$67:$I$73,5,FALSE)/VLOOKUP($F816,'Merit calculation'!$B$90:$I$103,5,FALSE)/energyContentH2),(VLOOKUP($P816,'TA database'!$I$8:$J$79,2,FALSE)/VLOOKUP($D816,'Merit calculation'!$B$48:$I$52,7,FALSE)/VLOOKUP($E816,'Merit calculation'!$B$67:$I$73,7,FALSE)/VLOOKUP($F816,'Merit calculation'!$B$90:$I$103,7,FALSE)/energyContentH2))</f>
        <v>2.1143570421649285E-2</v>
      </c>
      <c r="U816">
        <f ca="1">IF(timePeriod="2020-30",(VLOOKUP($Q816,'TA database'!$I$86:$J$105,2,FALSE)/VLOOKUP($E816,'Merit calculation'!$B$67:$I$73,5,FALSE)/VLOOKUP($F816,'Merit calculation'!$B$90:$I$104,5,FALSE)/energyContentH2),VLOOKUP($Q816,'TA database'!$I$86:$J$105,2,FALSE)/VLOOKUP($E816,'Merit calculation'!$B$67:$I$73,7,FALSE)/VLOOKUP($F816,'Merit calculation'!$B$90:$I$104,7,FALSE)/energyContentH2)</f>
        <v>6.9440084450063454E-4</v>
      </c>
      <c r="V816">
        <f ca="1">IF(timePeriod="2020-30",(VLOOKUP($R816,'TA database'!$I$112:$J$139,2,FALSE)/VLOOKUP($F816,'Merit calculation'!$B$90:$I$104,5,FALSE)/energyContentH2),(VLOOKUP($R816,'TA database'!$I$112:$J$139,2,FALSE)/VLOOKUP($F816,'Merit calculation'!$B$90:$I$104,7,FALSE)/energyContentH2))</f>
        <v>1.9900144905361811E-3</v>
      </c>
      <c r="W816">
        <f ca="1">IFERROR(VLOOKUP($S816,'TA database'!$I$146:$J$193,2,FALSE),0)</f>
        <v>1.7801086338426392E-2</v>
      </c>
      <c r="X816">
        <f>IFERROR(VLOOKUP($S816,'TA database'!$I$200:$J$271,2,FALSE),0)</f>
        <v>0</v>
      </c>
      <c r="Y816">
        <f t="shared" ca="1" si="2422"/>
        <v>4.162907209511249E-2</v>
      </c>
      <c r="Z816" t="str">
        <f t="shared" ref="Z816:Z823" si="2424">CONCATENATE(AG816,"   →   ",AH816,"   →   ",AI816,"   →   ",AJ816)</f>
        <v>ELCTRLYZ_LRG_C   →   C_GAS_STRG   →   H2_BLND_NG_P   →   H2_FC_DCHP_HEAT</v>
      </c>
      <c r="AA816" t="str">
        <f t="shared" ref="AA816:AA823" si="2425">G816</f>
        <v>Building heat</v>
      </c>
      <c r="AB816" t="str">
        <f t="shared" ref="AB816:AB823" si="2426">J816</f>
        <v>Levelized cost</v>
      </c>
      <c r="AC816">
        <f t="shared" ref="AC816:AC823" ca="1" si="2427">Y816</f>
        <v>4.162907209511249E-2</v>
      </c>
      <c r="AD816">
        <v>757</v>
      </c>
      <c r="AE816" t="str">
        <f>IF(AND(ISNUMBER(SEARCH(O816,4)),ISNUMBER(SEARCH('(4) FCH pathway assessment'!$B$16,AB816)),ISNUMBER(SEARCH('(4) FCH pathway assessment'!$B$10,AA816))),AD816,"")</f>
        <v/>
      </c>
      <c r="AF816" t="str">
        <f t="shared" si="2239"/>
        <v/>
      </c>
      <c r="AG816" t="str">
        <f>VLOOKUP(C816,Assumptions!$B$116:$C$162,2,FALSE)</f>
        <v>ELCTRLYZ_LRG_C</v>
      </c>
      <c r="AH816" t="str">
        <f>VLOOKUP(D816,Assumptions!$B$116:$C$162,2,FALSE)</f>
        <v>C_GAS_STRG</v>
      </c>
      <c r="AI816" t="str">
        <f>VLOOKUP(E816,Assumptions!$B$116:$C$162,2,FALSE)</f>
        <v>H2_BLND_NG_P</v>
      </c>
      <c r="AJ816" t="str">
        <f>VLOOKUP(F816,Assumptions!$B$116:$C$162,2,FALSE)</f>
        <v>H2_FC_DCHP_HEAT</v>
      </c>
    </row>
    <row r="817" spans="2:36" x14ac:dyDescent="0.25">
      <c r="B817" t="s">
        <v>112</v>
      </c>
      <c r="C817" t="s">
        <v>49</v>
      </c>
      <c r="D817" t="s">
        <v>155</v>
      </c>
      <c r="E817" t="s">
        <v>122</v>
      </c>
      <c r="F817" t="s">
        <v>552</v>
      </c>
      <c r="G817" t="s">
        <v>132</v>
      </c>
      <c r="H817" t="s">
        <v>434</v>
      </c>
      <c r="I817" t="s">
        <v>32</v>
      </c>
      <c r="J817" t="s">
        <v>72</v>
      </c>
      <c r="K817">
        <f t="shared" ref="K817:K823" si="2428">SUMPRODUCT(($C$7:$C$18=$C817)*($D$6:$H$6=$D817)*($D$7:$H$18))</f>
        <v>1</v>
      </c>
      <c r="L817">
        <f t="shared" ref="L817:L823" si="2429">SUMPRODUCT(($C$19:$C$23=$D817)*($I$6:$O$6=$E817)*($I$19:$O$23))</f>
        <v>1</v>
      </c>
      <c r="M817">
        <f t="shared" ref="M817:M823" si="2430">SUMPRODUCT(($C$24:$C$30=$E817)*($P$6:$AI$6=$F817)*($P$24:$AI$30))</f>
        <v>1</v>
      </c>
      <c r="N817">
        <f t="shared" ref="N817:N823" si="2431">SUMPRODUCT(($C$31:$C$50=$F817)*($AJ$6:$AM$6=$G817)*($AJ$31:$AM$50))</f>
        <v>1</v>
      </c>
      <c r="O817">
        <f t="shared" si="2423"/>
        <v>4</v>
      </c>
      <c r="P817" t="str">
        <f t="shared" ref="P817:P823" si="2432">CONCATENATE(C817,"-",J817)</f>
        <v>Large centralized electrolysis-Levelized cost</v>
      </c>
      <c r="Q817" t="str">
        <f t="shared" ref="Q817:Q823" si="2433">CONCATENATE(D817,"-",J817)</f>
        <v>Central gas storage-Levelized cost</v>
      </c>
      <c r="R817" t="str">
        <f t="shared" ref="R817:R823" si="2434">CONCATENATE(E817,"-",J817)</f>
        <v>Hydrogen transmission &amp; distribution pipeline-Levelized cost</v>
      </c>
      <c r="S817" t="str">
        <f t="shared" ref="S817:S823" si="2435">CONCATENATE(F817,"-",J817)</f>
        <v>District-CHP with H2 fuel cell (heat)-Levelized cost</v>
      </c>
      <c r="T817">
        <f ca="1">IF(timePeriod="2020-30",(VLOOKUP($P817,'TA database'!$I$8:$J$79,2,FALSE)/VLOOKUP($D817,'Merit calculation'!$B$48:$I$52,5,FALSE)/VLOOKUP($E817,'Merit calculation'!$B$67:$I$73,5,FALSE)/VLOOKUP($F817,'Merit calculation'!$B$90:$I$103,5,FALSE)/energyContentH2),(VLOOKUP($P817,'TA database'!$I$8:$J$79,2,FALSE)/VLOOKUP($D817,'Merit calculation'!$B$48:$I$52,7,FALSE)/VLOOKUP($E817,'Merit calculation'!$B$67:$I$73,7,FALSE)/VLOOKUP($F817,'Merit calculation'!$B$90:$I$103,7,FALSE)/energyContentH2))</f>
        <v>2.1143570421649285E-2</v>
      </c>
      <c r="U817">
        <f ca="1">IF(timePeriod="2020-30",(VLOOKUP($Q817,'TA database'!$I$86:$J$105,2,FALSE)/VLOOKUP($E817,'Merit calculation'!$B$67:$I$73,5,FALSE)/VLOOKUP($F817,'Merit calculation'!$B$90:$I$104,5,FALSE)/energyContentH2),VLOOKUP($Q817,'TA database'!$I$86:$J$105,2,FALSE)/VLOOKUP($E817,'Merit calculation'!$B$67:$I$73,7,FALSE)/VLOOKUP($F817,'Merit calculation'!$B$90:$I$104,7,FALSE)/energyContentH2)</f>
        <v>6.9440084450063454E-4</v>
      </c>
      <c r="V817">
        <f ca="1">IF(timePeriod="2020-30",(VLOOKUP($R817,'TA database'!$I$112:$J$139,2,FALSE)/VLOOKUP($F817,'Merit calculation'!$B$90:$I$104,5,FALSE)/energyContentH2),(VLOOKUP($R817,'TA database'!$I$112:$J$139,2,FALSE)/VLOOKUP($F817,'Merit calculation'!$B$90:$I$104,7,FALSE)/energyContentH2))</f>
        <v>3.7025224863029226E-3</v>
      </c>
      <c r="W817">
        <f ca="1">IFERROR(VLOOKUP($S817,'TA database'!$I$146:$J$193,2,FALSE),0)</f>
        <v>1.7801086338426392E-2</v>
      </c>
      <c r="X817">
        <f>IFERROR(VLOOKUP($S817,'TA database'!$I$200:$J$271,2,FALSE),0)</f>
        <v>0</v>
      </c>
      <c r="Y817">
        <f t="shared" ca="1" si="2422"/>
        <v>4.3341580090879232E-2</v>
      </c>
      <c r="Z817" t="str">
        <f t="shared" si="2424"/>
        <v>ELCTRLYZ_LRG_C   →   C_GAS_STRG   →   H2_T&amp;D_P   →   H2_FC_DCHP_HEAT</v>
      </c>
      <c r="AA817" t="str">
        <f t="shared" si="2425"/>
        <v>Building heat</v>
      </c>
      <c r="AB817" t="str">
        <f t="shared" si="2426"/>
        <v>Levelized cost</v>
      </c>
      <c r="AC817">
        <f t="shared" ca="1" si="2427"/>
        <v>4.3341580090879232E-2</v>
      </c>
      <c r="AD817">
        <v>758</v>
      </c>
      <c r="AE817" t="str">
        <f>IF(AND(ISNUMBER(SEARCH(O817,4)),ISNUMBER(SEARCH('(4) FCH pathway assessment'!$B$16,AB817)),ISNUMBER(SEARCH('(4) FCH pathway assessment'!$B$10,AA817))),AD817,"")</f>
        <v/>
      </c>
      <c r="AF817" t="str">
        <f t="shared" si="2239"/>
        <v/>
      </c>
      <c r="AG817" t="str">
        <f>VLOOKUP(C817,Assumptions!$B$116:$C$162,2,FALSE)</f>
        <v>ELCTRLYZ_LRG_C</v>
      </c>
      <c r="AH817" t="str">
        <f>VLOOKUP(D817,Assumptions!$B$116:$C$162,2,FALSE)</f>
        <v>C_GAS_STRG</v>
      </c>
      <c r="AI817" t="str">
        <f>VLOOKUP(E817,Assumptions!$B$116:$C$162,2,FALSE)</f>
        <v>H2_T&amp;D_P</v>
      </c>
      <c r="AJ817" t="str">
        <f>VLOOKUP(F817,Assumptions!$B$116:$C$162,2,FALSE)</f>
        <v>H2_FC_DCHP_HEAT</v>
      </c>
    </row>
    <row r="818" spans="2:36" x14ac:dyDescent="0.25">
      <c r="B818" t="s">
        <v>112</v>
      </c>
      <c r="C818" t="s">
        <v>49</v>
      </c>
      <c r="D818" t="s">
        <v>155</v>
      </c>
      <c r="E818" t="s">
        <v>116</v>
      </c>
      <c r="F818" t="s">
        <v>552</v>
      </c>
      <c r="G818" t="s">
        <v>132</v>
      </c>
      <c r="H818" t="s">
        <v>434</v>
      </c>
      <c r="I818" t="s">
        <v>32</v>
      </c>
      <c r="J818" t="s">
        <v>72</v>
      </c>
      <c r="K818">
        <f t="shared" si="2428"/>
        <v>1</v>
      </c>
      <c r="L818">
        <f t="shared" si="2429"/>
        <v>1</v>
      </c>
      <c r="M818">
        <f t="shared" si="2430"/>
        <v>1</v>
      </c>
      <c r="N818">
        <f t="shared" si="2431"/>
        <v>1</v>
      </c>
      <c r="O818">
        <f t="shared" si="2423"/>
        <v>4</v>
      </c>
      <c r="P818" t="str">
        <f t="shared" si="2432"/>
        <v>Large centralized electrolysis-Levelized cost</v>
      </c>
      <c r="Q818" t="str">
        <f t="shared" si="2433"/>
        <v>Central gas storage-Levelized cost</v>
      </c>
      <c r="R818" t="str">
        <f t="shared" si="2434"/>
        <v>Liquid hydrogen truck-Levelized cost</v>
      </c>
      <c r="S818" t="str">
        <f t="shared" si="2435"/>
        <v>District-CHP with H2 fuel cell (heat)-Levelized cost</v>
      </c>
      <c r="T818">
        <f ca="1">IF(timePeriod="2020-30",(VLOOKUP($P818,'TA database'!$I$8:$J$79,2,FALSE)/VLOOKUP($D818,'Merit calculation'!$B$48:$I$52,5,FALSE)/VLOOKUP($E818,'Merit calculation'!$B$67:$I$73,5,FALSE)/VLOOKUP($F818,'Merit calculation'!$B$90:$I$103,5,FALSE)/energyContentH2),(VLOOKUP($P818,'TA database'!$I$8:$J$79,2,FALSE)/VLOOKUP($D818,'Merit calculation'!$B$48:$I$52,7,FALSE)/VLOOKUP($E818,'Merit calculation'!$B$67:$I$73,7,FALSE)/VLOOKUP($F818,'Merit calculation'!$B$90:$I$103,7,FALSE)/energyContentH2))</f>
        <v>2.4424894652780395E-2</v>
      </c>
      <c r="U818">
        <f ca="1">IF(timePeriod="2020-30",(VLOOKUP($Q818,'TA database'!$I$86:$J$105,2,FALSE)/VLOOKUP($E818,'Merit calculation'!$B$67:$I$73,5,FALSE)/VLOOKUP($F818,'Merit calculation'!$B$90:$I$104,5,FALSE)/energyContentH2),VLOOKUP($Q818,'TA database'!$I$86:$J$105,2,FALSE)/VLOOKUP($E818,'Merit calculation'!$B$67:$I$73,7,FALSE)/VLOOKUP($F818,'Merit calculation'!$B$90:$I$104,7,FALSE)/energyContentH2)</f>
        <v>8.0216666984320693E-4</v>
      </c>
      <c r="V818">
        <f ca="1">IF(timePeriod="2020-30",(VLOOKUP($R818,'TA database'!$I$112:$J$139,2,FALSE)/VLOOKUP($F818,'Merit calculation'!$B$90:$I$104,5,FALSE)/energyContentH2),(VLOOKUP($R818,'TA database'!$I$112:$J$139,2,FALSE)/VLOOKUP($F818,'Merit calculation'!$B$90:$I$104,7,FALSE)/energyContentH2))</f>
        <v>2.4500662962100454E-2</v>
      </c>
      <c r="W818">
        <f ca="1">IFERROR(VLOOKUP($S818,'TA database'!$I$146:$J$193,2,FALSE),0)</f>
        <v>1.7801086338426392E-2</v>
      </c>
      <c r="X818">
        <f>IFERROR(VLOOKUP($S818,'TA database'!$I$200:$J$271,2,FALSE),0)</f>
        <v>0</v>
      </c>
      <c r="Y818">
        <f t="shared" ca="1" si="2422"/>
        <v>6.7528810623150443E-2</v>
      </c>
      <c r="Z818" t="str">
        <f t="shared" si="2424"/>
        <v>ELCTRLYZ_LRG_C   →   C_GAS_STRG   →   LQ_TRUCK   →   H2_FC_DCHP_HEAT</v>
      </c>
      <c r="AA818" t="str">
        <f t="shared" si="2425"/>
        <v>Building heat</v>
      </c>
      <c r="AB818" t="str">
        <f t="shared" si="2426"/>
        <v>Levelized cost</v>
      </c>
      <c r="AC818">
        <f t="shared" ca="1" si="2427"/>
        <v>6.7528810623150443E-2</v>
      </c>
      <c r="AD818">
        <v>759</v>
      </c>
      <c r="AE818" t="str">
        <f>IF(AND(ISNUMBER(SEARCH(O818,4)),ISNUMBER(SEARCH('(4) FCH pathway assessment'!$B$16,AB818)),ISNUMBER(SEARCH('(4) FCH pathway assessment'!$B$10,AA818))),AD818,"")</f>
        <v/>
      </c>
      <c r="AF818" t="str">
        <f t="shared" si="2239"/>
        <v/>
      </c>
      <c r="AG818" t="str">
        <f>VLOOKUP(C818,Assumptions!$B$116:$C$162,2,FALSE)</f>
        <v>ELCTRLYZ_LRG_C</v>
      </c>
      <c r="AH818" t="str">
        <f>VLOOKUP(D818,Assumptions!$B$116:$C$162,2,FALSE)</f>
        <v>C_GAS_STRG</v>
      </c>
      <c r="AI818" t="str">
        <f>VLOOKUP(E818,Assumptions!$B$116:$C$162,2,FALSE)</f>
        <v>LQ_TRUCK</v>
      </c>
      <c r="AJ818" t="str">
        <f>VLOOKUP(F818,Assumptions!$B$116:$C$162,2,FALSE)</f>
        <v>H2_FC_DCHP_HEAT</v>
      </c>
    </row>
    <row r="819" spans="2:36" x14ac:dyDescent="0.25">
      <c r="B819" t="s">
        <v>112</v>
      </c>
      <c r="C819" t="s">
        <v>49</v>
      </c>
      <c r="D819" t="s">
        <v>155</v>
      </c>
      <c r="E819" t="s">
        <v>66</v>
      </c>
      <c r="F819" t="s">
        <v>552</v>
      </c>
      <c r="G819" t="s">
        <v>132</v>
      </c>
      <c r="H819" t="s">
        <v>434</v>
      </c>
      <c r="I819" t="s">
        <v>32</v>
      </c>
      <c r="J819" t="s">
        <v>72</v>
      </c>
      <c r="K819">
        <f t="shared" si="2428"/>
        <v>1</v>
      </c>
      <c r="L819">
        <f t="shared" si="2429"/>
        <v>1</v>
      </c>
      <c r="M819">
        <f t="shared" si="2430"/>
        <v>1</v>
      </c>
      <c r="N819">
        <f t="shared" si="2431"/>
        <v>1</v>
      </c>
      <c r="O819">
        <f t="shared" si="2423"/>
        <v>4</v>
      </c>
      <c r="P819" t="str">
        <f t="shared" si="2432"/>
        <v>Large centralized electrolysis-Levelized cost</v>
      </c>
      <c r="Q819" t="str">
        <f t="shared" si="2433"/>
        <v>Central gas storage-Levelized cost</v>
      </c>
      <c r="R819" t="str">
        <f t="shared" si="2434"/>
        <v>Onsite-Levelized cost</v>
      </c>
      <c r="S819" t="str">
        <f t="shared" si="2435"/>
        <v>District-CHP with H2 fuel cell (heat)-Levelized cost</v>
      </c>
      <c r="T819">
        <f ca="1">IF(timePeriod="2020-30",(VLOOKUP($P819,'TA database'!$I$8:$J$79,2,FALSE)/VLOOKUP($D819,'Merit calculation'!$B$48:$I$52,5,FALSE)/VLOOKUP($E819,'Merit calculation'!$B$67:$I$73,5,FALSE)/VLOOKUP($F819,'Merit calculation'!$B$90:$I$103,5,FALSE)/energyContentH2),(VLOOKUP($P819,'TA database'!$I$8:$J$79,2,FALSE)/VLOOKUP($D819,'Merit calculation'!$B$48:$I$52,7,FALSE)/VLOOKUP($E819,'Merit calculation'!$B$67:$I$73,7,FALSE)/VLOOKUP($F819,'Merit calculation'!$B$90:$I$103,7,FALSE)/energyContentH2))</f>
        <v>2.0932134717432792E-2</v>
      </c>
      <c r="U819">
        <f ca="1">IF(timePeriod="2020-30",(VLOOKUP($Q819,'TA database'!$I$86:$J$105,2,FALSE)/VLOOKUP($E819,'Merit calculation'!$B$67:$I$73,5,FALSE)/VLOOKUP($F819,'Merit calculation'!$B$90:$I$104,5,FALSE)/energyContentH2),VLOOKUP($Q819,'TA database'!$I$86:$J$105,2,FALSE)/VLOOKUP($E819,'Merit calculation'!$B$67:$I$73,7,FALSE)/VLOOKUP($F819,'Merit calculation'!$B$90:$I$104,7,FALSE)/energyContentH2)</f>
        <v>6.874568360556284E-4</v>
      </c>
      <c r="V819">
        <f ca="1">IF(timePeriod="2020-30",(VLOOKUP($R819,'TA database'!$I$112:$J$139,2,FALSE)/VLOOKUP($F819,'Merit calculation'!$B$90:$I$104,5,FALSE)/energyContentH2),(VLOOKUP($R819,'TA database'!$I$112:$J$139,2,FALSE)/VLOOKUP($F819,'Merit calculation'!$B$90:$I$104,7,FALSE)/energyContentH2))</f>
        <v>0</v>
      </c>
      <c r="W819">
        <f ca="1">IFERROR(VLOOKUP($S819,'TA database'!$I$146:$J$193,2,FALSE),0)</f>
        <v>1.7801086338426392E-2</v>
      </c>
      <c r="X819">
        <f>IFERROR(VLOOKUP($S819,'TA database'!$I$200:$J$271,2,FALSE),0)</f>
        <v>0</v>
      </c>
      <c r="Y819">
        <f t="shared" ca="1" si="2422"/>
        <v>3.9420677891914807E-2</v>
      </c>
      <c r="Z819" t="str">
        <f t="shared" si="2424"/>
        <v>ELCTRLYZ_LRG_C   →   C_GAS_STRG   →   ONSITE_USE   →   H2_FC_DCHP_HEAT</v>
      </c>
      <c r="AA819" t="str">
        <f t="shared" si="2425"/>
        <v>Building heat</v>
      </c>
      <c r="AB819" t="str">
        <f t="shared" si="2426"/>
        <v>Levelized cost</v>
      </c>
      <c r="AC819">
        <f t="shared" ca="1" si="2427"/>
        <v>3.9420677891914807E-2</v>
      </c>
      <c r="AD819">
        <v>760</v>
      </c>
      <c r="AE819" t="str">
        <f>IF(AND(ISNUMBER(SEARCH(O819,4)),ISNUMBER(SEARCH('(4) FCH pathway assessment'!$B$16,AB819)),ISNUMBER(SEARCH('(4) FCH pathway assessment'!$B$10,AA819))),AD819,"")</f>
        <v/>
      </c>
      <c r="AF819" t="str">
        <f t="shared" si="2239"/>
        <v/>
      </c>
      <c r="AG819" t="str">
        <f>VLOOKUP(C819,Assumptions!$B$116:$C$162,2,FALSE)</f>
        <v>ELCTRLYZ_LRG_C</v>
      </c>
      <c r="AH819" t="str">
        <f>VLOOKUP(D819,Assumptions!$B$116:$C$162,2,FALSE)</f>
        <v>C_GAS_STRG</v>
      </c>
      <c r="AI819" t="str">
        <f>VLOOKUP(E819,Assumptions!$B$116:$C$162,2,FALSE)</f>
        <v>ONSITE_USE</v>
      </c>
      <c r="AJ819" t="str">
        <f>VLOOKUP(F819,Assumptions!$B$116:$C$162,2,FALSE)</f>
        <v>H2_FC_DCHP_HEAT</v>
      </c>
    </row>
    <row r="820" spans="2:36" x14ac:dyDescent="0.25">
      <c r="B820" t="s">
        <v>112</v>
      </c>
      <c r="C820" t="s">
        <v>51</v>
      </c>
      <c r="D820" t="s">
        <v>155</v>
      </c>
      <c r="E820" t="s">
        <v>157</v>
      </c>
      <c r="F820" t="s">
        <v>552</v>
      </c>
      <c r="G820" t="s">
        <v>132</v>
      </c>
      <c r="H820" t="s">
        <v>434</v>
      </c>
      <c r="I820" t="s">
        <v>32</v>
      </c>
      <c r="J820" t="s">
        <v>72</v>
      </c>
      <c r="K820">
        <f t="shared" si="2428"/>
        <v>1</v>
      </c>
      <c r="L820">
        <f t="shared" si="2429"/>
        <v>1</v>
      </c>
      <c r="M820">
        <f t="shared" si="2430"/>
        <v>0</v>
      </c>
      <c r="N820">
        <f t="shared" si="2431"/>
        <v>1</v>
      </c>
      <c r="O820">
        <f t="shared" si="2423"/>
        <v>3</v>
      </c>
      <c r="P820" t="str">
        <f t="shared" si="2432"/>
        <v>Medium centralized electrolysis-Levelized cost</v>
      </c>
      <c r="Q820" t="str">
        <f t="shared" si="2433"/>
        <v>Central gas storage-Levelized cost</v>
      </c>
      <c r="R820" t="str">
        <f t="shared" si="2434"/>
        <v>Blending in natural gas pipeline-Levelized cost</v>
      </c>
      <c r="S820" t="str">
        <f t="shared" si="2435"/>
        <v>District-CHP with H2 fuel cell (heat)-Levelized cost</v>
      </c>
      <c r="T820">
        <f ca="1">IF(timePeriod="2020-30",(VLOOKUP($P820,'TA database'!$I$8:$J$79,2,FALSE)/VLOOKUP($D820,'Merit calculation'!$B$48:$I$52,5,FALSE)/VLOOKUP($E820,'Merit calculation'!$B$67:$I$73,5,FALSE)/VLOOKUP($F820,'Merit calculation'!$B$90:$I$103,5,FALSE)/energyContentH2),(VLOOKUP($P820,'TA database'!$I$8:$J$79,2,FALSE)/VLOOKUP($D820,'Merit calculation'!$B$48:$I$52,7,FALSE)/VLOOKUP($E820,'Merit calculation'!$B$67:$I$73,7,FALSE)/VLOOKUP($F820,'Merit calculation'!$B$90:$I$103,7,FALSE)/energyContentH2))</f>
        <v>2.2025813402951695E-2</v>
      </c>
      <c r="U820">
        <f ca="1">IF(timePeriod="2020-30",(VLOOKUP($Q820,'TA database'!$I$86:$J$105,2,FALSE)/VLOOKUP($E820,'Merit calculation'!$B$67:$I$73,5,FALSE)/VLOOKUP($F820,'Merit calculation'!$B$90:$I$104,5,FALSE)/energyContentH2),VLOOKUP($Q820,'TA database'!$I$86:$J$105,2,FALSE)/VLOOKUP($E820,'Merit calculation'!$B$67:$I$73,7,FALSE)/VLOOKUP($F820,'Merit calculation'!$B$90:$I$104,7,FALSE)/energyContentH2)</f>
        <v>6.9440084450063454E-4</v>
      </c>
      <c r="V820">
        <f ca="1">IF(timePeriod="2020-30",(VLOOKUP($R820,'TA database'!$I$112:$J$139,2,FALSE)/VLOOKUP($F820,'Merit calculation'!$B$90:$I$104,5,FALSE)/energyContentH2),(VLOOKUP($R820,'TA database'!$I$112:$J$139,2,FALSE)/VLOOKUP($F820,'Merit calculation'!$B$90:$I$104,7,FALSE)/energyContentH2))</f>
        <v>1.9900144905361811E-3</v>
      </c>
      <c r="W820">
        <f ca="1">IFERROR(VLOOKUP($S820,'TA database'!$I$146:$J$193,2,FALSE),0)</f>
        <v>1.7801086338426392E-2</v>
      </c>
      <c r="X820">
        <f>IFERROR(VLOOKUP($S820,'TA database'!$I$200:$J$271,2,FALSE),0)</f>
        <v>0</v>
      </c>
      <c r="Y820">
        <f t="shared" ca="1" si="2422"/>
        <v>4.2511315076414903E-2</v>
      </c>
      <c r="Z820" t="str">
        <f t="shared" si="2424"/>
        <v>ELCTRLYZ_MED_C   →   C_GAS_STRG   →   H2_BLND_NG_P   →   H2_FC_DCHP_HEAT</v>
      </c>
      <c r="AA820" t="str">
        <f t="shared" si="2425"/>
        <v>Building heat</v>
      </c>
      <c r="AB820" t="str">
        <f t="shared" si="2426"/>
        <v>Levelized cost</v>
      </c>
      <c r="AC820">
        <f t="shared" ca="1" si="2427"/>
        <v>4.2511315076414903E-2</v>
      </c>
      <c r="AD820">
        <v>761</v>
      </c>
      <c r="AE820" t="str">
        <f>IF(AND(ISNUMBER(SEARCH(O820,4)),ISNUMBER(SEARCH('(4) FCH pathway assessment'!$B$16,AB820)),ISNUMBER(SEARCH('(4) FCH pathway assessment'!$B$10,AA820))),AD820,"")</f>
        <v/>
      </c>
      <c r="AF820" t="str">
        <f t="shared" si="2239"/>
        <v/>
      </c>
      <c r="AG820" t="str">
        <f>VLOOKUP(C820,Assumptions!$B$116:$C$162,2,FALSE)</f>
        <v>ELCTRLYZ_MED_C</v>
      </c>
      <c r="AH820" t="str">
        <f>VLOOKUP(D820,Assumptions!$B$116:$C$162,2,FALSE)</f>
        <v>C_GAS_STRG</v>
      </c>
      <c r="AI820" t="str">
        <f>VLOOKUP(E820,Assumptions!$B$116:$C$162,2,FALSE)</f>
        <v>H2_BLND_NG_P</v>
      </c>
      <c r="AJ820" t="str">
        <f>VLOOKUP(F820,Assumptions!$B$116:$C$162,2,FALSE)</f>
        <v>H2_FC_DCHP_HEAT</v>
      </c>
    </row>
    <row r="821" spans="2:36" x14ac:dyDescent="0.25">
      <c r="B821" t="s">
        <v>112</v>
      </c>
      <c r="C821" t="s">
        <v>51</v>
      </c>
      <c r="D821" t="s">
        <v>155</v>
      </c>
      <c r="E821" t="s">
        <v>122</v>
      </c>
      <c r="F821" t="s">
        <v>552</v>
      </c>
      <c r="G821" t="s">
        <v>132</v>
      </c>
      <c r="H821" t="s">
        <v>434</v>
      </c>
      <c r="I821" t="s">
        <v>32</v>
      </c>
      <c r="J821" t="s">
        <v>72</v>
      </c>
      <c r="K821">
        <f t="shared" si="2428"/>
        <v>1</v>
      </c>
      <c r="L821">
        <f t="shared" si="2429"/>
        <v>1</v>
      </c>
      <c r="M821">
        <f t="shared" si="2430"/>
        <v>1</v>
      </c>
      <c r="N821">
        <f t="shared" si="2431"/>
        <v>1</v>
      </c>
      <c r="O821">
        <f t="shared" si="2423"/>
        <v>4</v>
      </c>
      <c r="P821" t="str">
        <f t="shared" si="2432"/>
        <v>Medium centralized electrolysis-Levelized cost</v>
      </c>
      <c r="Q821" t="str">
        <f t="shared" si="2433"/>
        <v>Central gas storage-Levelized cost</v>
      </c>
      <c r="R821" t="str">
        <f t="shared" si="2434"/>
        <v>Hydrogen transmission &amp; distribution pipeline-Levelized cost</v>
      </c>
      <c r="S821" t="str">
        <f t="shared" si="2435"/>
        <v>District-CHP with H2 fuel cell (heat)-Levelized cost</v>
      </c>
      <c r="T821">
        <f ca="1">IF(timePeriod="2020-30",(VLOOKUP($P821,'TA database'!$I$8:$J$79,2,FALSE)/VLOOKUP($D821,'Merit calculation'!$B$48:$I$52,5,FALSE)/VLOOKUP($E821,'Merit calculation'!$B$67:$I$73,5,FALSE)/VLOOKUP($F821,'Merit calculation'!$B$90:$I$103,5,FALSE)/energyContentH2),(VLOOKUP($P821,'TA database'!$I$8:$J$79,2,FALSE)/VLOOKUP($D821,'Merit calculation'!$B$48:$I$52,7,FALSE)/VLOOKUP($E821,'Merit calculation'!$B$67:$I$73,7,FALSE)/VLOOKUP($F821,'Merit calculation'!$B$90:$I$103,7,FALSE)/energyContentH2))</f>
        <v>2.2025813402951695E-2</v>
      </c>
      <c r="U821">
        <f ca="1">IF(timePeriod="2020-30",(VLOOKUP($Q821,'TA database'!$I$86:$J$105,2,FALSE)/VLOOKUP($E821,'Merit calculation'!$B$67:$I$73,5,FALSE)/VLOOKUP($F821,'Merit calculation'!$B$90:$I$104,5,FALSE)/energyContentH2),VLOOKUP($Q821,'TA database'!$I$86:$J$105,2,FALSE)/VLOOKUP($E821,'Merit calculation'!$B$67:$I$73,7,FALSE)/VLOOKUP($F821,'Merit calculation'!$B$90:$I$104,7,FALSE)/energyContentH2)</f>
        <v>6.9440084450063454E-4</v>
      </c>
      <c r="V821">
        <f ca="1">IF(timePeriod="2020-30",(VLOOKUP($R821,'TA database'!$I$112:$J$139,2,FALSE)/VLOOKUP($F821,'Merit calculation'!$B$90:$I$104,5,FALSE)/energyContentH2),(VLOOKUP($R821,'TA database'!$I$112:$J$139,2,FALSE)/VLOOKUP($F821,'Merit calculation'!$B$90:$I$104,7,FALSE)/energyContentH2))</f>
        <v>3.7025224863029226E-3</v>
      </c>
      <c r="W821">
        <f ca="1">IFERROR(VLOOKUP($S821,'TA database'!$I$146:$J$193,2,FALSE),0)</f>
        <v>1.7801086338426392E-2</v>
      </c>
      <c r="X821">
        <f>IFERROR(VLOOKUP($S821,'TA database'!$I$200:$J$271,2,FALSE),0)</f>
        <v>0</v>
      </c>
      <c r="Y821">
        <f t="shared" ca="1" si="2422"/>
        <v>4.4223823072181645E-2</v>
      </c>
      <c r="Z821" t="str">
        <f t="shared" si="2424"/>
        <v>ELCTRLYZ_MED_C   →   C_GAS_STRG   →   H2_T&amp;D_P   →   H2_FC_DCHP_HEAT</v>
      </c>
      <c r="AA821" t="str">
        <f t="shared" si="2425"/>
        <v>Building heat</v>
      </c>
      <c r="AB821" t="str">
        <f t="shared" si="2426"/>
        <v>Levelized cost</v>
      </c>
      <c r="AC821">
        <f t="shared" ca="1" si="2427"/>
        <v>4.4223823072181645E-2</v>
      </c>
      <c r="AD821">
        <v>762</v>
      </c>
      <c r="AE821" t="str">
        <f>IF(AND(ISNUMBER(SEARCH(O821,4)),ISNUMBER(SEARCH('(4) FCH pathway assessment'!$B$16,AB821)),ISNUMBER(SEARCH('(4) FCH pathway assessment'!$B$10,AA821))),AD821,"")</f>
        <v/>
      </c>
      <c r="AF821" t="str">
        <f t="shared" si="2239"/>
        <v/>
      </c>
      <c r="AG821" t="str">
        <f>VLOOKUP(C821,Assumptions!$B$116:$C$162,2,FALSE)</f>
        <v>ELCTRLYZ_MED_C</v>
      </c>
      <c r="AH821" t="str">
        <f>VLOOKUP(D821,Assumptions!$B$116:$C$162,2,FALSE)</f>
        <v>C_GAS_STRG</v>
      </c>
      <c r="AI821" t="str">
        <f>VLOOKUP(E821,Assumptions!$B$116:$C$162,2,FALSE)</f>
        <v>H2_T&amp;D_P</v>
      </c>
      <c r="AJ821" t="str">
        <f>VLOOKUP(F821,Assumptions!$B$116:$C$162,2,FALSE)</f>
        <v>H2_FC_DCHP_HEAT</v>
      </c>
    </row>
    <row r="822" spans="2:36" x14ac:dyDescent="0.25">
      <c r="B822" t="s">
        <v>112</v>
      </c>
      <c r="C822" t="s">
        <v>51</v>
      </c>
      <c r="D822" t="s">
        <v>155</v>
      </c>
      <c r="E822" t="s">
        <v>116</v>
      </c>
      <c r="F822" t="s">
        <v>552</v>
      </c>
      <c r="G822" t="s">
        <v>132</v>
      </c>
      <c r="H822" t="s">
        <v>434</v>
      </c>
      <c r="I822" t="s">
        <v>32</v>
      </c>
      <c r="J822" t="s">
        <v>72</v>
      </c>
      <c r="K822">
        <f t="shared" si="2428"/>
        <v>1</v>
      </c>
      <c r="L822">
        <f t="shared" si="2429"/>
        <v>1</v>
      </c>
      <c r="M822">
        <f t="shared" si="2430"/>
        <v>1</v>
      </c>
      <c r="N822">
        <f t="shared" si="2431"/>
        <v>1</v>
      </c>
      <c r="O822">
        <f t="shared" si="2423"/>
        <v>4</v>
      </c>
      <c r="P822" t="str">
        <f t="shared" si="2432"/>
        <v>Medium centralized electrolysis-Levelized cost</v>
      </c>
      <c r="Q822" t="str">
        <f t="shared" si="2433"/>
        <v>Central gas storage-Levelized cost</v>
      </c>
      <c r="R822" t="str">
        <f t="shared" si="2434"/>
        <v>Liquid hydrogen truck-Levelized cost</v>
      </c>
      <c r="S822" t="str">
        <f t="shared" si="2435"/>
        <v>District-CHP with H2 fuel cell (heat)-Levelized cost</v>
      </c>
      <c r="T822">
        <f ca="1">IF(timePeriod="2020-30",(VLOOKUP($P822,'TA database'!$I$8:$J$79,2,FALSE)/VLOOKUP($D822,'Merit calculation'!$B$48:$I$52,5,FALSE)/VLOOKUP($E822,'Merit calculation'!$B$67:$I$73,5,FALSE)/VLOOKUP($F822,'Merit calculation'!$B$90:$I$103,5,FALSE)/energyContentH2),(VLOOKUP($P822,'TA database'!$I$8:$J$79,2,FALSE)/VLOOKUP($D822,'Merit calculation'!$B$48:$I$52,7,FALSE)/VLOOKUP($E822,'Merit calculation'!$B$67:$I$73,7,FALSE)/VLOOKUP($F822,'Merit calculation'!$B$90:$I$103,7,FALSE)/energyContentH2))</f>
        <v>2.5444055156268585E-2</v>
      </c>
      <c r="U822">
        <f ca="1">IF(timePeriod="2020-30",(VLOOKUP($Q822,'TA database'!$I$86:$J$105,2,FALSE)/VLOOKUP($E822,'Merit calculation'!$B$67:$I$73,5,FALSE)/VLOOKUP($F822,'Merit calculation'!$B$90:$I$104,5,FALSE)/energyContentH2),VLOOKUP($Q822,'TA database'!$I$86:$J$105,2,FALSE)/VLOOKUP($E822,'Merit calculation'!$B$67:$I$73,7,FALSE)/VLOOKUP($F822,'Merit calculation'!$B$90:$I$104,7,FALSE)/energyContentH2)</f>
        <v>8.0216666984320693E-4</v>
      </c>
      <c r="V822">
        <f ca="1">IF(timePeriod="2020-30",(VLOOKUP($R822,'TA database'!$I$112:$J$139,2,FALSE)/VLOOKUP($F822,'Merit calculation'!$B$90:$I$104,5,FALSE)/energyContentH2),(VLOOKUP($R822,'TA database'!$I$112:$J$139,2,FALSE)/VLOOKUP($F822,'Merit calculation'!$B$90:$I$104,7,FALSE)/energyContentH2))</f>
        <v>2.4500662962100454E-2</v>
      </c>
      <c r="W822">
        <f ca="1">IFERROR(VLOOKUP($S822,'TA database'!$I$146:$J$193,2,FALSE),0)</f>
        <v>1.7801086338426392E-2</v>
      </c>
      <c r="X822">
        <f>IFERROR(VLOOKUP($S822,'TA database'!$I$200:$J$271,2,FALSE),0)</f>
        <v>0</v>
      </c>
      <c r="Y822">
        <f t="shared" ca="1" si="2422"/>
        <v>6.8547971126638629E-2</v>
      </c>
      <c r="Z822" t="str">
        <f t="shared" si="2424"/>
        <v>ELCTRLYZ_MED_C   →   C_GAS_STRG   →   LQ_TRUCK   →   H2_FC_DCHP_HEAT</v>
      </c>
      <c r="AA822" t="str">
        <f t="shared" si="2425"/>
        <v>Building heat</v>
      </c>
      <c r="AB822" t="str">
        <f t="shared" si="2426"/>
        <v>Levelized cost</v>
      </c>
      <c r="AC822">
        <f t="shared" ca="1" si="2427"/>
        <v>6.8547971126638629E-2</v>
      </c>
      <c r="AD822">
        <v>763</v>
      </c>
      <c r="AE822" t="str">
        <f>IF(AND(ISNUMBER(SEARCH(O822,4)),ISNUMBER(SEARCH('(4) FCH pathway assessment'!$B$16,AB822)),ISNUMBER(SEARCH('(4) FCH pathway assessment'!$B$10,AA822))),AD822,"")</f>
        <v/>
      </c>
      <c r="AF822" t="str">
        <f t="shared" si="2239"/>
        <v/>
      </c>
      <c r="AG822" t="str">
        <f>VLOOKUP(C822,Assumptions!$B$116:$C$162,2,FALSE)</f>
        <v>ELCTRLYZ_MED_C</v>
      </c>
      <c r="AH822" t="str">
        <f>VLOOKUP(D822,Assumptions!$B$116:$C$162,2,FALSE)</f>
        <v>C_GAS_STRG</v>
      </c>
      <c r="AI822" t="str">
        <f>VLOOKUP(E822,Assumptions!$B$116:$C$162,2,FALSE)</f>
        <v>LQ_TRUCK</v>
      </c>
      <c r="AJ822" t="str">
        <f>VLOOKUP(F822,Assumptions!$B$116:$C$162,2,FALSE)</f>
        <v>H2_FC_DCHP_HEAT</v>
      </c>
    </row>
    <row r="823" spans="2:36" x14ac:dyDescent="0.25">
      <c r="B823" t="s">
        <v>112</v>
      </c>
      <c r="C823" t="s">
        <v>51</v>
      </c>
      <c r="D823" t="s">
        <v>155</v>
      </c>
      <c r="E823" t="s">
        <v>66</v>
      </c>
      <c r="F823" t="s">
        <v>552</v>
      </c>
      <c r="G823" t="s">
        <v>132</v>
      </c>
      <c r="H823" t="s">
        <v>434</v>
      </c>
      <c r="I823" t="s">
        <v>32</v>
      </c>
      <c r="J823" t="s">
        <v>72</v>
      </c>
      <c r="K823">
        <f t="shared" si="2428"/>
        <v>1</v>
      </c>
      <c r="L823">
        <f t="shared" si="2429"/>
        <v>1</v>
      </c>
      <c r="M823">
        <f t="shared" si="2430"/>
        <v>1</v>
      </c>
      <c r="N823">
        <f t="shared" si="2431"/>
        <v>1</v>
      </c>
      <c r="O823">
        <f t="shared" si="2423"/>
        <v>4</v>
      </c>
      <c r="P823" t="str">
        <f t="shared" si="2432"/>
        <v>Medium centralized electrolysis-Levelized cost</v>
      </c>
      <c r="Q823" t="str">
        <f t="shared" si="2433"/>
        <v>Central gas storage-Levelized cost</v>
      </c>
      <c r="R823" t="str">
        <f t="shared" si="2434"/>
        <v>Onsite-Levelized cost</v>
      </c>
      <c r="S823" t="str">
        <f t="shared" si="2435"/>
        <v>District-CHP with H2 fuel cell (heat)-Levelized cost</v>
      </c>
      <c r="T823">
        <f ca="1">IF(timePeriod="2020-30",(VLOOKUP($P823,'TA database'!$I$8:$J$79,2,FALSE)/VLOOKUP($D823,'Merit calculation'!$B$48:$I$52,5,FALSE)/VLOOKUP($E823,'Merit calculation'!$B$67:$I$73,5,FALSE)/VLOOKUP($F823,'Merit calculation'!$B$90:$I$103,5,FALSE)/energyContentH2),(VLOOKUP($P823,'TA database'!$I$8:$J$79,2,FALSE)/VLOOKUP($D823,'Merit calculation'!$B$48:$I$52,7,FALSE)/VLOOKUP($E823,'Merit calculation'!$B$67:$I$73,7,FALSE)/VLOOKUP($F823,'Merit calculation'!$B$90:$I$103,7,FALSE)/energyContentH2))</f>
        <v>2.180555526892218E-2</v>
      </c>
      <c r="U823">
        <f ca="1">IF(timePeriod="2020-30",(VLOOKUP($Q823,'TA database'!$I$86:$J$105,2,FALSE)/VLOOKUP($E823,'Merit calculation'!$B$67:$I$73,5,FALSE)/VLOOKUP($F823,'Merit calculation'!$B$90:$I$104,5,FALSE)/energyContentH2),VLOOKUP($Q823,'TA database'!$I$86:$J$105,2,FALSE)/VLOOKUP($E823,'Merit calculation'!$B$67:$I$73,7,FALSE)/VLOOKUP($F823,'Merit calculation'!$B$90:$I$104,7,FALSE)/energyContentH2)</f>
        <v>6.874568360556284E-4</v>
      </c>
      <c r="V823">
        <f ca="1">IF(timePeriod="2020-30",(VLOOKUP($R823,'TA database'!$I$112:$J$139,2,FALSE)/VLOOKUP($F823,'Merit calculation'!$B$90:$I$104,5,FALSE)/energyContentH2),(VLOOKUP($R823,'TA database'!$I$112:$J$139,2,FALSE)/VLOOKUP($F823,'Merit calculation'!$B$90:$I$104,7,FALSE)/energyContentH2))</f>
        <v>0</v>
      </c>
      <c r="W823">
        <f ca="1">IFERROR(VLOOKUP($S823,'TA database'!$I$146:$J$193,2,FALSE),0)</f>
        <v>1.7801086338426392E-2</v>
      </c>
      <c r="X823">
        <f>IFERROR(VLOOKUP($S823,'TA database'!$I$200:$J$271,2,FALSE),0)</f>
        <v>0</v>
      </c>
      <c r="Y823">
        <f t="shared" ca="1" si="2422"/>
        <v>4.0294098443404203E-2</v>
      </c>
      <c r="Z823" t="str">
        <f t="shared" si="2424"/>
        <v>ELCTRLYZ_MED_C   →   C_GAS_STRG   →   ONSITE_USE   →   H2_FC_DCHP_HEAT</v>
      </c>
      <c r="AA823" t="str">
        <f t="shared" si="2425"/>
        <v>Building heat</v>
      </c>
      <c r="AB823" t="str">
        <f t="shared" si="2426"/>
        <v>Levelized cost</v>
      </c>
      <c r="AC823">
        <f t="shared" ca="1" si="2427"/>
        <v>4.0294098443404203E-2</v>
      </c>
      <c r="AD823">
        <v>764</v>
      </c>
      <c r="AE823" t="str">
        <f>IF(AND(ISNUMBER(SEARCH(O823,4)),ISNUMBER(SEARCH('(4) FCH pathway assessment'!$B$16,AB823)),ISNUMBER(SEARCH('(4) FCH pathway assessment'!$B$10,AA823))),AD823,"")</f>
        <v/>
      </c>
      <c r="AF823" t="str">
        <f t="shared" si="2239"/>
        <v/>
      </c>
      <c r="AG823" t="str">
        <f>VLOOKUP(C823,Assumptions!$B$116:$C$162,2,FALSE)</f>
        <v>ELCTRLYZ_MED_C</v>
      </c>
      <c r="AH823" t="str">
        <f>VLOOKUP(D823,Assumptions!$B$116:$C$162,2,FALSE)</f>
        <v>C_GAS_STRG</v>
      </c>
      <c r="AI823" t="str">
        <f>VLOOKUP(E823,Assumptions!$B$116:$C$162,2,FALSE)</f>
        <v>ONSITE_USE</v>
      </c>
      <c r="AJ823" t="str">
        <f>VLOOKUP(F823,Assumptions!$B$116:$C$162,2,FALSE)</f>
        <v>H2_FC_DCHP_HEAT</v>
      </c>
    </row>
    <row r="824" spans="2:36" x14ac:dyDescent="0.25">
      <c r="B824" t="s">
        <v>112</v>
      </c>
      <c r="C824" t="s">
        <v>52</v>
      </c>
      <c r="D824" s="60" t="s">
        <v>130</v>
      </c>
      <c r="E824" t="s">
        <v>66</v>
      </c>
      <c r="F824" t="s">
        <v>552</v>
      </c>
      <c r="G824" t="s">
        <v>132</v>
      </c>
      <c r="H824" t="s">
        <v>434</v>
      </c>
      <c r="I824" t="s">
        <v>32</v>
      </c>
      <c r="J824" t="s">
        <v>72</v>
      </c>
      <c r="K824">
        <f t="shared" ref="K824:K829" si="2436">SUMPRODUCT(($C$7:$C$18=$C824)*($D$6:$H$6=$D824)*($D$7:$H$18))</f>
        <v>1</v>
      </c>
      <c r="L824">
        <f t="shared" ref="L824:L829" si="2437">SUMPRODUCT(($C$19:$C$23=$D824)*($I$6:$O$6=$E824)*($I$19:$O$23))</f>
        <v>1</v>
      </c>
      <c r="M824">
        <f t="shared" ref="M824:M829" si="2438">SUMPRODUCT(($C$24:$C$30=$E824)*($P$6:$AI$6=$F824)*($P$24:$AI$30))</f>
        <v>1</v>
      </c>
      <c r="N824">
        <f t="shared" ref="N824:N829" si="2439">SUMPRODUCT(($C$31:$C$50=$F824)*($AJ$6:$AM$6=$G824)*($AJ$31:$AM$50))</f>
        <v>1</v>
      </c>
      <c r="O824">
        <f t="shared" ref="O824:O829" si="2440">K824+L824+M824+N824</f>
        <v>4</v>
      </c>
      <c r="P824" t="str">
        <f t="shared" ref="P824:P829" si="2441">CONCATENATE(C824,"-",J824)</f>
        <v>Small decentralized electrolysis-Levelized cost</v>
      </c>
      <c r="Q824" t="str">
        <f t="shared" ref="Q824:Q829" si="2442">CONCATENATE(D824,"-",J824)</f>
        <v>Distributed gas storage-Levelized cost</v>
      </c>
      <c r="R824" t="str">
        <f t="shared" ref="R824:R829" si="2443">CONCATENATE(E824,"-",J824)</f>
        <v>Onsite-Levelized cost</v>
      </c>
      <c r="S824" t="str">
        <f t="shared" ref="S824:S829" si="2444">CONCATENATE(F824,"-",J824)</f>
        <v>District-CHP with H2 fuel cell (heat)-Levelized cost</v>
      </c>
      <c r="T824">
        <f ca="1">IF(timePeriod="2020-30",(VLOOKUP($P824,'TA database'!$I$8:$J$79,2,FALSE)/VLOOKUP($D824,'Merit calculation'!$B$48:$I$52,5,FALSE)/VLOOKUP($E824,'Merit calculation'!$B$67:$I$73,5,FALSE)/VLOOKUP($F824,'Merit calculation'!$B$90:$I$103,5,FALSE)/energyContentH2),(VLOOKUP($P824,'TA database'!$I$8:$J$79,2,FALSE)/VLOOKUP($D824,'Merit calculation'!$B$48:$I$52,7,FALSE)/VLOOKUP($E824,'Merit calculation'!$B$67:$I$73,7,FALSE)/VLOOKUP($F824,'Merit calculation'!$B$90:$I$103,7,FALSE)/energyContentH2))</f>
        <v>2.4361602174479965E-2</v>
      </c>
      <c r="U824">
        <f ca="1">IF(timePeriod="2020-30",(VLOOKUP($Q824,'TA database'!$I$86:$J$105,2,FALSE)/VLOOKUP($E824,'Merit calculation'!$B$67:$I$73,5,FALSE)/VLOOKUP($F824,'Merit calculation'!$B$90:$I$104,5,FALSE)/energyContentH2),VLOOKUP($Q824,'TA database'!$I$86:$J$105,2,FALSE)/VLOOKUP($E824,'Merit calculation'!$B$67:$I$73,7,FALSE)/VLOOKUP($F824,'Merit calculation'!$B$90:$I$104,7,FALSE)/energyContentH2)</f>
        <v>1.2221454863211171E-3</v>
      </c>
      <c r="V824">
        <f ca="1">IF(timePeriod="2020-30",(VLOOKUP($R824,'TA database'!$I$112:$J$139,2,FALSE)/VLOOKUP($F824,'Merit calculation'!$B$90:$I$104,5,FALSE)/energyContentH2),(VLOOKUP($R824,'TA database'!$I$112:$J$139,2,FALSE)/VLOOKUP($F824,'Merit calculation'!$B$90:$I$104,7,FALSE)/energyContentH2))</f>
        <v>0</v>
      </c>
      <c r="W824">
        <f ca="1">IFERROR(VLOOKUP($S824,'TA database'!$I$146:$J$193,2,FALSE),0)</f>
        <v>1.7801086338426392E-2</v>
      </c>
      <c r="X824">
        <f>IFERROR(VLOOKUP($S824,'TA database'!$I$200:$J$271,2,FALSE),0)</f>
        <v>0</v>
      </c>
      <c r="Y824">
        <f t="shared" ref="Y824:Y828" ca="1" si="2445">IF($W824=0,T824*3.6+U824*3.6+V824*3.6+X824,T824+U824+V824+W824)</f>
        <v>4.3384833999227476E-2</v>
      </c>
      <c r="Z824" t="str">
        <f t="shared" ref="Z824:Z829" si="2446">CONCATENATE(AG824,"   →   ",AH824,"   →   ",AI824,"   →   ",AJ824)</f>
        <v>ELCTRLYZ_SML_D   →   D_GAS_STRG   →   ONSITE_USE   →   H2_FC_DCHP_HEAT</v>
      </c>
      <c r="AA824" t="str">
        <f t="shared" ref="AA824:AA829" si="2447">G824</f>
        <v>Building heat</v>
      </c>
      <c r="AB824" t="str">
        <f t="shared" ref="AB824:AB829" si="2448">J824</f>
        <v>Levelized cost</v>
      </c>
      <c r="AC824">
        <f t="shared" ref="AC824:AC829" ca="1" si="2449">Y824</f>
        <v>4.3384833999227476E-2</v>
      </c>
      <c r="AD824">
        <v>765</v>
      </c>
      <c r="AE824" t="str">
        <f>IF(AND(ISNUMBER(SEARCH(O824,4)),ISNUMBER(SEARCH('(4) FCH pathway assessment'!$B$16,AB824)),ISNUMBER(SEARCH('(4) FCH pathway assessment'!$B$10,AA824))),AD824,"")</f>
        <v/>
      </c>
      <c r="AF824" t="str">
        <f t="shared" si="2239"/>
        <v/>
      </c>
      <c r="AG824" t="str">
        <f>VLOOKUP(C824,Assumptions!$B$116:$C$162,2,FALSE)</f>
        <v>ELCTRLYZ_SML_D</v>
      </c>
      <c r="AH824" t="str">
        <f>VLOOKUP(D824,Assumptions!$B$116:$C$162,2,FALSE)</f>
        <v>D_GAS_STRG</v>
      </c>
      <c r="AI824" t="str">
        <f>VLOOKUP(E824,Assumptions!$B$116:$C$162,2,FALSE)</f>
        <v>ONSITE_USE</v>
      </c>
      <c r="AJ824" t="str">
        <f>VLOOKUP(F824,Assumptions!$B$116:$C$162,2,FALSE)</f>
        <v>H2_FC_DCHP_HEAT</v>
      </c>
    </row>
    <row r="825" spans="2:36" x14ac:dyDescent="0.25">
      <c r="B825" t="s">
        <v>127</v>
      </c>
      <c r="C825" t="s">
        <v>57</v>
      </c>
      <c r="D825" t="s">
        <v>62</v>
      </c>
      <c r="E825" t="s">
        <v>157</v>
      </c>
      <c r="F825" t="s">
        <v>552</v>
      </c>
      <c r="G825" t="s">
        <v>132</v>
      </c>
      <c r="H825" t="s">
        <v>434</v>
      </c>
      <c r="I825" t="s">
        <v>32</v>
      </c>
      <c r="J825" t="s">
        <v>72</v>
      </c>
      <c r="K825">
        <f t="shared" si="2436"/>
        <v>1</v>
      </c>
      <c r="L825">
        <f t="shared" si="2437"/>
        <v>0</v>
      </c>
      <c r="M825">
        <f t="shared" si="2438"/>
        <v>0</v>
      </c>
      <c r="N825">
        <f t="shared" si="2439"/>
        <v>1</v>
      </c>
      <c r="O825">
        <f t="shared" si="2440"/>
        <v>2</v>
      </c>
      <c r="P825" t="str">
        <f t="shared" si="2441"/>
        <v>Large centralized natural gas steam reforming-Levelized cost</v>
      </c>
      <c r="Q825" t="str">
        <f t="shared" si="2442"/>
        <v>Underground storage-Levelized cost</v>
      </c>
      <c r="R825" t="str">
        <f t="shared" si="2443"/>
        <v>Blending in natural gas pipeline-Levelized cost</v>
      </c>
      <c r="S825" t="str">
        <f t="shared" si="2444"/>
        <v>District-CHP with H2 fuel cell (heat)-Levelized cost</v>
      </c>
      <c r="T825">
        <f ca="1">IF(timePeriod="2020-30",(VLOOKUP($P825,'TA database'!$I$8:$J$79,2,FALSE)/VLOOKUP($D825,'Merit calculation'!$B$48:$I$52,5,FALSE)/VLOOKUP($E825,'Merit calculation'!$B$67:$I$73,5,FALSE)/VLOOKUP($F825,'Merit calculation'!$B$90:$I$103,5,FALSE)/energyContentH2),(VLOOKUP($P825,'TA database'!$I$8:$J$79,2,FALSE)/VLOOKUP($D825,'Merit calculation'!$B$48:$I$52,7,FALSE)/VLOOKUP($E825,'Merit calculation'!$B$67:$I$73,7,FALSE)/VLOOKUP($F825,'Merit calculation'!$B$90:$I$103,7,FALSE)/energyContentH2))</f>
        <v>4.8311842369050929E-2</v>
      </c>
      <c r="U825">
        <f ca="1">IF(timePeriod="2020-30",(VLOOKUP($Q825,'TA database'!$I$86:$J$105,2,FALSE)/VLOOKUP($E825,'Merit calculation'!$B$67:$I$73,5,FALSE)/VLOOKUP($F825,'Merit calculation'!$B$90:$I$104,5,FALSE)/energyContentH2),VLOOKUP($Q825,'TA database'!$I$86:$J$105,2,FALSE)/VLOOKUP($E825,'Merit calculation'!$B$67:$I$73,7,FALSE)/VLOOKUP($F825,'Merit calculation'!$B$90:$I$104,7,FALSE)/energyContentH2)</f>
        <v>1.3830864557131986E-4</v>
      </c>
      <c r="V825">
        <f ca="1">IF(timePeriod="2020-30",(VLOOKUP($R825,'TA database'!$I$112:$J$139,2,FALSE)/VLOOKUP($F825,'Merit calculation'!$B$90:$I$104,5,FALSE)/energyContentH2),(VLOOKUP($R825,'TA database'!$I$112:$J$139,2,FALSE)/VLOOKUP($F825,'Merit calculation'!$B$90:$I$104,7,FALSE)/energyContentH2))</f>
        <v>1.9900144905361811E-3</v>
      </c>
      <c r="W825">
        <f ca="1">IFERROR(VLOOKUP($S825,'TA database'!$I$146:$J$193,2,FALSE),0)</f>
        <v>1.7801086338426392E-2</v>
      </c>
      <c r="X825">
        <f>IFERROR(VLOOKUP($S825,'TA database'!$I$200:$J$271,2,FALSE),0)</f>
        <v>0</v>
      </c>
      <c r="Y825">
        <f t="shared" ca="1" si="2445"/>
        <v>6.8241251843584816E-2</v>
      </c>
      <c r="Z825" t="str">
        <f t="shared" si="2446"/>
        <v>NG_SR_LRG_C   →   C_UNDRGRND_STRG   →   H2_BLND_NG_P   →   H2_FC_DCHP_HEAT</v>
      </c>
      <c r="AA825" t="str">
        <f t="shared" si="2447"/>
        <v>Building heat</v>
      </c>
      <c r="AB825" t="str">
        <f t="shared" si="2448"/>
        <v>Levelized cost</v>
      </c>
      <c r="AC825">
        <f t="shared" ca="1" si="2449"/>
        <v>6.8241251843584816E-2</v>
      </c>
      <c r="AD825">
        <v>766</v>
      </c>
      <c r="AE825" t="str">
        <f>IF(AND(ISNUMBER(SEARCH(O825,4)),ISNUMBER(SEARCH('(4) FCH pathway assessment'!$B$16,AB825)),ISNUMBER(SEARCH('(4) FCH pathway assessment'!$B$10,AA825))),AD825,"")</f>
        <v/>
      </c>
      <c r="AF825" t="str">
        <f t="shared" si="2239"/>
        <v/>
      </c>
      <c r="AG825" t="str">
        <f>VLOOKUP(C825,Assumptions!$B$116:$C$162,2,FALSE)</f>
        <v>NG_SR_LRG_C</v>
      </c>
      <c r="AH825" t="str">
        <f>VLOOKUP(D825,Assumptions!$B$116:$C$162,2,FALSE)</f>
        <v>C_UNDRGRND_STRG</v>
      </c>
      <c r="AI825" t="str">
        <f>VLOOKUP(E825,Assumptions!$B$116:$C$162,2,FALSE)</f>
        <v>H2_BLND_NG_P</v>
      </c>
      <c r="AJ825" t="str">
        <f>VLOOKUP(F825,Assumptions!$B$116:$C$162,2,FALSE)</f>
        <v>H2_FC_DCHP_HEAT</v>
      </c>
    </row>
    <row r="826" spans="2:36" x14ac:dyDescent="0.25">
      <c r="B826" t="s">
        <v>127</v>
      </c>
      <c r="C826" t="s">
        <v>57</v>
      </c>
      <c r="D826" t="s">
        <v>62</v>
      </c>
      <c r="E826" t="s">
        <v>122</v>
      </c>
      <c r="F826" t="s">
        <v>552</v>
      </c>
      <c r="G826" t="s">
        <v>132</v>
      </c>
      <c r="H826" t="s">
        <v>434</v>
      </c>
      <c r="I826" t="s">
        <v>32</v>
      </c>
      <c r="J826" t="s">
        <v>72</v>
      </c>
      <c r="K826">
        <f t="shared" si="2436"/>
        <v>1</v>
      </c>
      <c r="L826">
        <f t="shared" si="2437"/>
        <v>0</v>
      </c>
      <c r="M826">
        <f t="shared" si="2438"/>
        <v>1</v>
      </c>
      <c r="N826">
        <f t="shared" si="2439"/>
        <v>1</v>
      </c>
      <c r="O826">
        <f t="shared" si="2440"/>
        <v>3</v>
      </c>
      <c r="P826" t="str">
        <f t="shared" si="2441"/>
        <v>Large centralized natural gas steam reforming-Levelized cost</v>
      </c>
      <c r="Q826" t="str">
        <f t="shared" si="2442"/>
        <v>Underground storage-Levelized cost</v>
      </c>
      <c r="R826" t="str">
        <f t="shared" si="2443"/>
        <v>Hydrogen transmission &amp; distribution pipeline-Levelized cost</v>
      </c>
      <c r="S826" t="str">
        <f t="shared" si="2444"/>
        <v>District-CHP with H2 fuel cell (heat)-Levelized cost</v>
      </c>
      <c r="T826">
        <f ca="1">IF(timePeriod="2020-30",(VLOOKUP($P826,'TA database'!$I$8:$J$79,2,FALSE)/VLOOKUP($D826,'Merit calculation'!$B$48:$I$52,5,FALSE)/VLOOKUP($E826,'Merit calculation'!$B$67:$I$73,5,FALSE)/VLOOKUP($F826,'Merit calculation'!$B$90:$I$103,5,FALSE)/energyContentH2),(VLOOKUP($P826,'TA database'!$I$8:$J$79,2,FALSE)/VLOOKUP($D826,'Merit calculation'!$B$48:$I$52,7,FALSE)/VLOOKUP($E826,'Merit calculation'!$B$67:$I$73,7,FALSE)/VLOOKUP($F826,'Merit calculation'!$B$90:$I$103,7,FALSE)/energyContentH2))</f>
        <v>4.8311842369050929E-2</v>
      </c>
      <c r="U826">
        <f ca="1">IF(timePeriod="2020-30",(VLOOKUP($Q826,'TA database'!$I$86:$J$105,2,FALSE)/VLOOKUP($E826,'Merit calculation'!$B$67:$I$73,5,FALSE)/VLOOKUP($F826,'Merit calculation'!$B$90:$I$104,5,FALSE)/energyContentH2),VLOOKUP($Q826,'TA database'!$I$86:$J$105,2,FALSE)/VLOOKUP($E826,'Merit calculation'!$B$67:$I$73,7,FALSE)/VLOOKUP($F826,'Merit calculation'!$B$90:$I$104,7,FALSE)/energyContentH2)</f>
        <v>1.3830864557131986E-4</v>
      </c>
      <c r="V826">
        <f ca="1">IF(timePeriod="2020-30",(VLOOKUP($R826,'TA database'!$I$112:$J$139,2,FALSE)/VLOOKUP($F826,'Merit calculation'!$B$90:$I$104,5,FALSE)/energyContentH2),(VLOOKUP($R826,'TA database'!$I$112:$J$139,2,FALSE)/VLOOKUP($F826,'Merit calculation'!$B$90:$I$104,7,FALSE)/energyContentH2))</f>
        <v>3.7025224863029226E-3</v>
      </c>
      <c r="W826">
        <f ca="1">IFERROR(VLOOKUP($S826,'TA database'!$I$146:$J$193,2,FALSE),0)</f>
        <v>1.7801086338426392E-2</v>
      </c>
      <c r="X826">
        <f>IFERROR(VLOOKUP($S826,'TA database'!$I$200:$J$271,2,FALSE),0)</f>
        <v>0</v>
      </c>
      <c r="Y826">
        <f t="shared" ca="1" si="2445"/>
        <v>6.9953759839351565E-2</v>
      </c>
      <c r="Z826" t="str">
        <f t="shared" si="2446"/>
        <v>NG_SR_LRG_C   →   C_UNDRGRND_STRG   →   H2_T&amp;D_P   →   H2_FC_DCHP_HEAT</v>
      </c>
      <c r="AA826" t="str">
        <f t="shared" si="2447"/>
        <v>Building heat</v>
      </c>
      <c r="AB826" t="str">
        <f t="shared" si="2448"/>
        <v>Levelized cost</v>
      </c>
      <c r="AC826">
        <f t="shared" ca="1" si="2449"/>
        <v>6.9953759839351565E-2</v>
      </c>
      <c r="AD826">
        <v>767</v>
      </c>
      <c r="AE826" t="str">
        <f>IF(AND(ISNUMBER(SEARCH(O826,4)),ISNUMBER(SEARCH('(4) FCH pathway assessment'!$B$16,AB826)),ISNUMBER(SEARCH('(4) FCH pathway assessment'!$B$10,AA826))),AD826,"")</f>
        <v/>
      </c>
      <c r="AF826" t="str">
        <f t="shared" si="2239"/>
        <v/>
      </c>
      <c r="AG826" t="str">
        <f>VLOOKUP(C826,Assumptions!$B$116:$C$162,2,FALSE)</f>
        <v>NG_SR_LRG_C</v>
      </c>
      <c r="AH826" t="str">
        <f>VLOOKUP(D826,Assumptions!$B$116:$C$162,2,FALSE)</f>
        <v>C_UNDRGRND_STRG</v>
      </c>
      <c r="AI826" t="str">
        <f>VLOOKUP(E826,Assumptions!$B$116:$C$162,2,FALSE)</f>
        <v>H2_T&amp;D_P</v>
      </c>
      <c r="AJ826" t="str">
        <f>VLOOKUP(F826,Assumptions!$B$116:$C$162,2,FALSE)</f>
        <v>H2_FC_DCHP_HEAT</v>
      </c>
    </row>
    <row r="827" spans="2:36" x14ac:dyDescent="0.25">
      <c r="B827" t="s">
        <v>127</v>
      </c>
      <c r="C827" t="s">
        <v>57</v>
      </c>
      <c r="D827" t="s">
        <v>62</v>
      </c>
      <c r="E827" t="s">
        <v>116</v>
      </c>
      <c r="F827" t="s">
        <v>552</v>
      </c>
      <c r="G827" t="s">
        <v>132</v>
      </c>
      <c r="H827" t="s">
        <v>434</v>
      </c>
      <c r="I827" t="s">
        <v>32</v>
      </c>
      <c r="J827" t="s">
        <v>72</v>
      </c>
      <c r="K827">
        <f t="shared" si="2436"/>
        <v>1</v>
      </c>
      <c r="L827">
        <f t="shared" si="2437"/>
        <v>0</v>
      </c>
      <c r="M827">
        <f t="shared" si="2438"/>
        <v>1</v>
      </c>
      <c r="N827">
        <f t="shared" si="2439"/>
        <v>1</v>
      </c>
      <c r="O827">
        <f t="shared" si="2440"/>
        <v>3</v>
      </c>
      <c r="P827" t="str">
        <f t="shared" si="2441"/>
        <v>Large centralized natural gas steam reforming-Levelized cost</v>
      </c>
      <c r="Q827" t="str">
        <f t="shared" si="2442"/>
        <v>Underground storage-Levelized cost</v>
      </c>
      <c r="R827" t="str">
        <f t="shared" si="2443"/>
        <v>Liquid hydrogen truck-Levelized cost</v>
      </c>
      <c r="S827" t="str">
        <f t="shared" si="2444"/>
        <v>District-CHP with H2 fuel cell (heat)-Levelized cost</v>
      </c>
      <c r="T827">
        <f ca="1">IF(timePeriod="2020-30",(VLOOKUP($P827,'TA database'!$I$8:$J$79,2,FALSE)/VLOOKUP($D827,'Merit calculation'!$B$48:$I$52,5,FALSE)/VLOOKUP($E827,'Merit calculation'!$B$67:$I$73,5,FALSE)/VLOOKUP($F827,'Merit calculation'!$B$90:$I$103,5,FALSE)/energyContentH2),(VLOOKUP($P827,'TA database'!$I$8:$J$79,2,FALSE)/VLOOKUP($D827,'Merit calculation'!$B$48:$I$52,7,FALSE)/VLOOKUP($E827,'Merit calculation'!$B$67:$I$73,7,FALSE)/VLOOKUP($F827,'Merit calculation'!$B$90:$I$103,7,FALSE)/energyContentH2))</f>
        <v>5.5809479516173183E-2</v>
      </c>
      <c r="U827">
        <f ca="1">IF(timePeriod="2020-30",(VLOOKUP($Q827,'TA database'!$I$86:$J$105,2,FALSE)/VLOOKUP($E827,'Merit calculation'!$B$67:$I$73,5,FALSE)/VLOOKUP($F827,'Merit calculation'!$B$90:$I$104,5,FALSE)/energyContentH2),VLOOKUP($Q827,'TA database'!$I$86:$J$105,2,FALSE)/VLOOKUP($E827,'Merit calculation'!$B$67:$I$73,7,FALSE)/VLOOKUP($F827,'Merit calculation'!$B$90:$I$104,7,FALSE)/energyContentH2)</f>
        <v>1.5977311448728902E-4</v>
      </c>
      <c r="V827">
        <f ca="1">IF(timePeriod="2020-30",(VLOOKUP($R827,'TA database'!$I$112:$J$139,2,FALSE)/VLOOKUP($F827,'Merit calculation'!$B$90:$I$104,5,FALSE)/energyContentH2),(VLOOKUP($R827,'TA database'!$I$112:$J$139,2,FALSE)/VLOOKUP($F827,'Merit calculation'!$B$90:$I$104,7,FALSE)/energyContentH2))</f>
        <v>2.4500662962100454E-2</v>
      </c>
      <c r="W827">
        <f ca="1">IFERROR(VLOOKUP($S827,'TA database'!$I$146:$J$193,2,FALSE),0)</f>
        <v>1.7801086338426392E-2</v>
      </c>
      <c r="X827">
        <f>IFERROR(VLOOKUP($S827,'TA database'!$I$200:$J$271,2,FALSE),0)</f>
        <v>0</v>
      </c>
      <c r="Y827">
        <f t="shared" ca="1" si="2445"/>
        <v>9.8271001931187318E-2</v>
      </c>
      <c r="Z827" t="str">
        <f t="shared" si="2446"/>
        <v>NG_SR_LRG_C   →   C_UNDRGRND_STRG   →   LQ_TRUCK   →   H2_FC_DCHP_HEAT</v>
      </c>
      <c r="AA827" t="str">
        <f t="shared" si="2447"/>
        <v>Building heat</v>
      </c>
      <c r="AB827" t="str">
        <f t="shared" si="2448"/>
        <v>Levelized cost</v>
      </c>
      <c r="AC827">
        <f t="shared" ca="1" si="2449"/>
        <v>9.8271001931187318E-2</v>
      </c>
      <c r="AD827">
        <v>768</v>
      </c>
      <c r="AE827" t="str">
        <f>IF(AND(ISNUMBER(SEARCH(O827,4)),ISNUMBER(SEARCH('(4) FCH pathway assessment'!$B$16,AB827)),ISNUMBER(SEARCH('(4) FCH pathway assessment'!$B$10,AA827))),AD827,"")</f>
        <v/>
      </c>
      <c r="AF827" t="str">
        <f t="shared" si="2239"/>
        <v/>
      </c>
      <c r="AG827" t="str">
        <f>VLOOKUP(C827,Assumptions!$B$116:$C$162,2,FALSE)</f>
        <v>NG_SR_LRG_C</v>
      </c>
      <c r="AH827" t="str">
        <f>VLOOKUP(D827,Assumptions!$B$116:$C$162,2,FALSE)</f>
        <v>C_UNDRGRND_STRG</v>
      </c>
      <c r="AI827" t="str">
        <f>VLOOKUP(E827,Assumptions!$B$116:$C$162,2,FALSE)</f>
        <v>LQ_TRUCK</v>
      </c>
      <c r="AJ827" t="str">
        <f>VLOOKUP(F827,Assumptions!$B$116:$C$162,2,FALSE)</f>
        <v>H2_FC_DCHP_HEAT</v>
      </c>
    </row>
    <row r="828" spans="2:36" x14ac:dyDescent="0.25">
      <c r="B828" t="s">
        <v>127</v>
      </c>
      <c r="C828" t="s">
        <v>57</v>
      </c>
      <c r="D828" t="s">
        <v>62</v>
      </c>
      <c r="E828" t="s">
        <v>66</v>
      </c>
      <c r="F828" t="s">
        <v>552</v>
      </c>
      <c r="G828" t="s">
        <v>132</v>
      </c>
      <c r="H828" t="s">
        <v>434</v>
      </c>
      <c r="I828" t="s">
        <v>32</v>
      </c>
      <c r="J828" t="s">
        <v>72</v>
      </c>
      <c r="K828">
        <f t="shared" si="2436"/>
        <v>1</v>
      </c>
      <c r="L828">
        <f t="shared" si="2437"/>
        <v>0</v>
      </c>
      <c r="M828">
        <f t="shared" si="2438"/>
        <v>1</v>
      </c>
      <c r="N828">
        <f t="shared" si="2439"/>
        <v>1</v>
      </c>
      <c r="O828">
        <f t="shared" si="2440"/>
        <v>3</v>
      </c>
      <c r="P828" t="str">
        <f t="shared" si="2441"/>
        <v>Large centralized natural gas steam reforming-Levelized cost</v>
      </c>
      <c r="Q828" t="str">
        <f t="shared" si="2442"/>
        <v>Underground storage-Levelized cost</v>
      </c>
      <c r="R828" t="str">
        <f t="shared" si="2443"/>
        <v>Onsite-Levelized cost</v>
      </c>
      <c r="S828" t="str">
        <f t="shared" si="2444"/>
        <v>District-CHP with H2 fuel cell (heat)-Levelized cost</v>
      </c>
      <c r="T828">
        <f ca="1">IF(timePeriod="2020-30",(VLOOKUP($P828,'TA database'!$I$8:$J$79,2,FALSE)/VLOOKUP($D828,'Merit calculation'!$B$48:$I$52,5,FALSE)/VLOOKUP($E828,'Merit calculation'!$B$67:$I$73,5,FALSE)/VLOOKUP($F828,'Merit calculation'!$B$90:$I$103,5,FALSE)/energyContentH2),(VLOOKUP($P828,'TA database'!$I$8:$J$79,2,FALSE)/VLOOKUP($D828,'Merit calculation'!$B$48:$I$52,7,FALSE)/VLOOKUP($E828,'Merit calculation'!$B$67:$I$73,7,FALSE)/VLOOKUP($F828,'Merit calculation'!$B$90:$I$103,7,FALSE)/energyContentH2))</f>
        <v>4.7828723945360418E-2</v>
      </c>
      <c r="U828">
        <f ca="1">IF(timePeriod="2020-30",(VLOOKUP($Q828,'TA database'!$I$86:$J$105,2,FALSE)/VLOOKUP($E828,'Merit calculation'!$B$67:$I$73,5,FALSE)/VLOOKUP($F828,'Merit calculation'!$B$90:$I$104,5,FALSE)/energyContentH2),VLOOKUP($Q828,'TA database'!$I$86:$J$105,2,FALSE)/VLOOKUP($E828,'Merit calculation'!$B$67:$I$73,7,FALSE)/VLOOKUP($F828,'Merit calculation'!$B$90:$I$104,7,FALSE)/energyContentH2)</f>
        <v>1.3692555911560666E-4</v>
      </c>
      <c r="V828">
        <f ca="1">IF(timePeriod="2020-30",(VLOOKUP($R828,'TA database'!$I$112:$J$139,2,FALSE)/VLOOKUP($F828,'Merit calculation'!$B$90:$I$104,5,FALSE)/energyContentH2),(VLOOKUP($R828,'TA database'!$I$112:$J$139,2,FALSE)/VLOOKUP($F828,'Merit calculation'!$B$90:$I$104,7,FALSE)/energyContentH2))</f>
        <v>0</v>
      </c>
      <c r="W828">
        <f ca="1">IFERROR(VLOOKUP($S828,'TA database'!$I$146:$J$193,2,FALSE),0)</f>
        <v>1.7801086338426392E-2</v>
      </c>
      <c r="X828">
        <f>IFERROR(VLOOKUP($S828,'TA database'!$I$200:$J$271,2,FALSE),0)</f>
        <v>0</v>
      </c>
      <c r="Y828">
        <f t="shared" ca="1" si="2445"/>
        <v>6.5766735842902407E-2</v>
      </c>
      <c r="Z828" t="str">
        <f t="shared" si="2446"/>
        <v>NG_SR_LRG_C   →   C_UNDRGRND_STRG   →   ONSITE_USE   →   H2_FC_DCHP_HEAT</v>
      </c>
      <c r="AA828" t="str">
        <f t="shared" si="2447"/>
        <v>Building heat</v>
      </c>
      <c r="AB828" t="str">
        <f t="shared" si="2448"/>
        <v>Levelized cost</v>
      </c>
      <c r="AC828">
        <f t="shared" ca="1" si="2449"/>
        <v>6.5766735842902407E-2</v>
      </c>
      <c r="AD828">
        <v>769</v>
      </c>
      <c r="AE828" t="str">
        <f>IF(AND(ISNUMBER(SEARCH(O828,4)),ISNUMBER(SEARCH('(4) FCH pathway assessment'!$B$16,AB828)),ISNUMBER(SEARCH('(4) FCH pathway assessment'!$B$10,AA828))),AD828,"")</f>
        <v/>
      </c>
      <c r="AF828" t="str">
        <f t="shared" ref="AF828:AF891" si="2450">IFERROR(SMALL($AE$60:$AE$1991,AD828),"")</f>
        <v/>
      </c>
      <c r="AG828" t="str">
        <f>VLOOKUP(C828,Assumptions!$B$116:$C$162,2,FALSE)</f>
        <v>NG_SR_LRG_C</v>
      </c>
      <c r="AH828" t="str">
        <f>VLOOKUP(D828,Assumptions!$B$116:$C$162,2,FALSE)</f>
        <v>C_UNDRGRND_STRG</v>
      </c>
      <c r="AI828" t="str">
        <f>VLOOKUP(E828,Assumptions!$B$116:$C$162,2,FALSE)</f>
        <v>ONSITE_USE</v>
      </c>
      <c r="AJ828" t="str">
        <f>VLOOKUP(F828,Assumptions!$B$116:$C$162,2,FALSE)</f>
        <v>H2_FC_DCHP_HEAT</v>
      </c>
    </row>
    <row r="829" spans="2:36" x14ac:dyDescent="0.25">
      <c r="B829" t="s">
        <v>127</v>
      </c>
      <c r="C829" t="s">
        <v>57</v>
      </c>
      <c r="D829" s="61" t="s">
        <v>63</v>
      </c>
      <c r="E829" t="s">
        <v>122</v>
      </c>
      <c r="F829" t="s">
        <v>552</v>
      </c>
      <c r="G829" t="s">
        <v>132</v>
      </c>
      <c r="H829" t="s">
        <v>434</v>
      </c>
      <c r="I829" t="s">
        <v>32</v>
      </c>
      <c r="J829" t="s">
        <v>72</v>
      </c>
      <c r="K829">
        <f t="shared" si="2436"/>
        <v>1</v>
      </c>
      <c r="L829">
        <f t="shared" si="2437"/>
        <v>1</v>
      </c>
      <c r="M829">
        <f t="shared" si="2438"/>
        <v>1</v>
      </c>
      <c r="N829">
        <f t="shared" si="2439"/>
        <v>1</v>
      </c>
      <c r="O829">
        <f t="shared" si="2440"/>
        <v>4</v>
      </c>
      <c r="P829" t="str">
        <f t="shared" si="2441"/>
        <v>Large centralized natural gas steam reforming-Levelized cost</v>
      </c>
      <c r="Q829" t="str">
        <f t="shared" si="2442"/>
        <v>No storage-Levelized cost</v>
      </c>
      <c r="R829" t="str">
        <f t="shared" si="2443"/>
        <v>Hydrogen transmission &amp; distribution pipeline-Levelized cost</v>
      </c>
      <c r="S829" t="str">
        <f t="shared" si="2444"/>
        <v>District-CHP with H2 fuel cell (heat)-Levelized cost</v>
      </c>
      <c r="T829">
        <f ca="1">IF(timePeriod="2020-30",(VLOOKUP($P829,'TA database'!$I$8:$J$79,2,FALSE)/VLOOKUP($D829,'Merit calculation'!$B$48:$I$52,5,FALSE)/VLOOKUP($E829,'Merit calculation'!$B$67:$I$73,5,FALSE)/VLOOKUP($F829,'Merit calculation'!$B$90:$I$103,5,FALSE)/energyContentH2),(VLOOKUP($P829,'TA database'!$I$8:$J$79,2,FALSE)/VLOOKUP($D829,'Merit calculation'!$B$48:$I$52,7,FALSE)/VLOOKUP($E829,'Merit calculation'!$B$67:$I$73,7,FALSE)/VLOOKUP($F829,'Merit calculation'!$B$90:$I$103,7,FALSE)/energyContentH2))</f>
        <v>4.7828723945360418E-2</v>
      </c>
      <c r="U829">
        <f ca="1">IF(timePeriod="2020-30",(VLOOKUP($Q829,'TA database'!$I$86:$J$105,2,FALSE)/VLOOKUP($E829,'Merit calculation'!$B$67:$I$73,5,FALSE)/VLOOKUP($F829,'Merit calculation'!$B$90:$I$104,5,FALSE)/energyContentH2),VLOOKUP($Q829,'TA database'!$I$86:$J$105,2,FALSE)/VLOOKUP($E829,'Merit calculation'!$B$67:$I$73,7,FALSE)/VLOOKUP($F829,'Merit calculation'!$B$90:$I$104,7,FALSE)/energyContentH2)</f>
        <v>0</v>
      </c>
      <c r="V829">
        <f ca="1">IF(timePeriod="2020-30",(VLOOKUP($R829,'TA database'!$I$112:$J$139,2,FALSE)/VLOOKUP($F829,'Merit calculation'!$B$90:$I$104,5,FALSE)/energyContentH2),(VLOOKUP($R829,'TA database'!$I$112:$J$139,2,FALSE)/VLOOKUP($F829,'Merit calculation'!$B$90:$I$104,7,FALSE)/energyContentH2))</f>
        <v>3.7025224863029226E-3</v>
      </c>
      <c r="W829">
        <f ca="1">IFERROR(VLOOKUP($S829,'TA database'!$I$146:$J$193,2,FALSE),0)</f>
        <v>1.7801086338426392E-2</v>
      </c>
      <c r="X829">
        <f>IFERROR(VLOOKUP($S829,'TA database'!$I$200:$J$271,2,FALSE),0)</f>
        <v>0</v>
      </c>
      <c r="Y829">
        <f t="shared" ref="Y829:Y833" ca="1" si="2451">IF($W829=0,T829*3.6+U829*3.6+V829*3.6+X829,T829+U829+V829+W829)</f>
        <v>6.9332332770089738E-2</v>
      </c>
      <c r="Z829" t="str">
        <f t="shared" si="2446"/>
        <v>NG_SR_LRG_C   →   NO_STRG   →   H2_T&amp;D_P   →   H2_FC_DCHP_HEAT</v>
      </c>
      <c r="AA829" t="str">
        <f t="shared" si="2447"/>
        <v>Building heat</v>
      </c>
      <c r="AB829" t="str">
        <f t="shared" si="2448"/>
        <v>Levelized cost</v>
      </c>
      <c r="AC829">
        <f t="shared" ca="1" si="2449"/>
        <v>6.9332332770089738E-2</v>
      </c>
      <c r="AD829">
        <v>770</v>
      </c>
      <c r="AE829" t="str">
        <f>IF(AND(ISNUMBER(SEARCH(O829,4)),ISNUMBER(SEARCH('(4) FCH pathway assessment'!$B$16,AB829)),ISNUMBER(SEARCH('(4) FCH pathway assessment'!$B$10,AA829))),AD829,"")</f>
        <v/>
      </c>
      <c r="AF829" t="str">
        <f t="shared" si="2450"/>
        <v/>
      </c>
      <c r="AG829" t="str">
        <f>VLOOKUP(C829,Assumptions!$B$116:$C$162,2,FALSE)</f>
        <v>NG_SR_LRG_C</v>
      </c>
      <c r="AH829" t="str">
        <f>VLOOKUP(D829,Assumptions!$B$116:$C$162,2,FALSE)</f>
        <v>NO_STRG</v>
      </c>
      <c r="AI829" t="str">
        <f>VLOOKUP(E829,Assumptions!$B$116:$C$162,2,FALSE)</f>
        <v>H2_T&amp;D_P</v>
      </c>
      <c r="AJ829" t="str">
        <f>VLOOKUP(F829,Assumptions!$B$116:$C$162,2,FALSE)</f>
        <v>H2_FC_DCHP_HEAT</v>
      </c>
    </row>
    <row r="830" spans="2:36" x14ac:dyDescent="0.25">
      <c r="B830" t="s">
        <v>127</v>
      </c>
      <c r="C830" t="s">
        <v>58</v>
      </c>
      <c r="D830" t="s">
        <v>155</v>
      </c>
      <c r="E830" t="s">
        <v>157</v>
      </c>
      <c r="F830" t="s">
        <v>552</v>
      </c>
      <c r="G830" t="s">
        <v>132</v>
      </c>
      <c r="H830" t="s">
        <v>434</v>
      </c>
      <c r="I830" t="s">
        <v>32</v>
      </c>
      <c r="J830" t="s">
        <v>72</v>
      </c>
      <c r="K830">
        <f t="shared" ref="K830:K834" si="2452">SUMPRODUCT(($C$7:$C$18=$C830)*($D$6:$H$6=$D830)*($D$7:$H$18))</f>
        <v>1</v>
      </c>
      <c r="L830">
        <f t="shared" ref="L830:L834" si="2453">SUMPRODUCT(($C$19:$C$23=$D830)*($I$6:$O$6=$E830)*($I$19:$O$23))</f>
        <v>1</v>
      </c>
      <c r="M830">
        <f t="shared" ref="M830:M834" si="2454">SUMPRODUCT(($C$24:$C$30=$E830)*($P$6:$AI$6=$F830)*($P$24:$AI$30))</f>
        <v>0</v>
      </c>
      <c r="N830">
        <f t="shared" ref="N830:N834" si="2455">SUMPRODUCT(($C$31:$C$50=$F830)*($AJ$6:$AM$6=$G830)*($AJ$31:$AM$50))</f>
        <v>1</v>
      </c>
      <c r="O830">
        <f t="shared" ref="O830:O834" si="2456">K830+L830+M830+N830</f>
        <v>3</v>
      </c>
      <c r="P830" t="str">
        <f t="shared" ref="P830:P834" si="2457">CONCATENATE(C830,"-",J830)</f>
        <v>Small centralized natural gas steam reforming-Levelized cost</v>
      </c>
      <c r="Q830" t="str">
        <f t="shared" ref="Q830:Q834" si="2458">CONCATENATE(D830,"-",J830)</f>
        <v>Central gas storage-Levelized cost</v>
      </c>
      <c r="R830" t="str">
        <f t="shared" ref="R830:R834" si="2459">CONCATENATE(E830,"-",J830)</f>
        <v>Blending in natural gas pipeline-Levelized cost</v>
      </c>
      <c r="S830" t="str">
        <f t="shared" ref="S830:S834" si="2460">CONCATENATE(F830,"-",J830)</f>
        <v>District-CHP with H2 fuel cell (heat)-Levelized cost</v>
      </c>
      <c r="T830">
        <f ca="1">IF(timePeriod="2020-30",(VLOOKUP($P830,'TA database'!$I$8:$J$79,2,FALSE)/VLOOKUP($D830,'Merit calculation'!$B$48:$I$52,5,FALSE)/VLOOKUP($E830,'Merit calculation'!$B$67:$I$73,5,FALSE)/VLOOKUP($F830,'Merit calculation'!$B$90:$I$103,5,FALSE)/energyContentH2),(VLOOKUP($P830,'TA database'!$I$8:$J$79,2,FALSE)/VLOOKUP($D830,'Merit calculation'!$B$48:$I$52,7,FALSE)/VLOOKUP($E830,'Merit calculation'!$B$67:$I$73,7,FALSE)/VLOOKUP($F830,'Merit calculation'!$B$90:$I$103,7,FALSE)/energyContentH2))</f>
        <v>4.9578394004210685E-2</v>
      </c>
      <c r="U830">
        <f ca="1">IF(timePeriod="2020-30",(VLOOKUP($Q830,'TA database'!$I$86:$J$105,2,FALSE)/VLOOKUP($E830,'Merit calculation'!$B$67:$I$73,5,FALSE)/VLOOKUP($F830,'Merit calculation'!$B$90:$I$104,5,FALSE)/energyContentH2),VLOOKUP($Q830,'TA database'!$I$86:$J$105,2,FALSE)/VLOOKUP($E830,'Merit calculation'!$B$67:$I$73,7,FALSE)/VLOOKUP($F830,'Merit calculation'!$B$90:$I$104,7,FALSE)/energyContentH2)</f>
        <v>6.9440084450063454E-4</v>
      </c>
      <c r="V830">
        <f ca="1">IF(timePeriod="2020-30",(VLOOKUP($R830,'TA database'!$I$112:$J$139,2,FALSE)/VLOOKUP($F830,'Merit calculation'!$B$90:$I$104,5,FALSE)/energyContentH2),(VLOOKUP($R830,'TA database'!$I$112:$J$139,2,FALSE)/VLOOKUP($F830,'Merit calculation'!$B$90:$I$104,7,FALSE)/energyContentH2))</f>
        <v>1.9900144905361811E-3</v>
      </c>
      <c r="W830">
        <f ca="1">IFERROR(VLOOKUP($S830,'TA database'!$I$146:$J$193,2,FALSE),0)</f>
        <v>1.7801086338426392E-2</v>
      </c>
      <c r="X830">
        <f>IFERROR(VLOOKUP($S830,'TA database'!$I$200:$J$271,2,FALSE),0)</f>
        <v>0</v>
      </c>
      <c r="Y830">
        <f t="shared" ca="1" si="2451"/>
        <v>7.006389567767389E-2</v>
      </c>
      <c r="Z830" t="str">
        <f t="shared" ref="Z830:Z834" si="2461">CONCATENATE(AG830,"   →   ",AH830,"   →   ",AI830,"   →   ",AJ830)</f>
        <v>NG_SR_SML_C   →   C_GAS_STRG   →   H2_BLND_NG_P   →   H2_FC_DCHP_HEAT</v>
      </c>
      <c r="AA830" t="str">
        <f t="shared" ref="AA830:AA834" si="2462">G830</f>
        <v>Building heat</v>
      </c>
      <c r="AB830" t="str">
        <f t="shared" ref="AB830:AB834" si="2463">J830</f>
        <v>Levelized cost</v>
      </c>
      <c r="AC830">
        <f t="shared" ref="AC830:AC834" ca="1" si="2464">Y830</f>
        <v>7.006389567767389E-2</v>
      </c>
      <c r="AD830">
        <v>771</v>
      </c>
      <c r="AE830" t="str">
        <f>IF(AND(ISNUMBER(SEARCH(O830,4)),ISNUMBER(SEARCH('(4) FCH pathway assessment'!$B$16,AB830)),ISNUMBER(SEARCH('(4) FCH pathway assessment'!$B$10,AA830))),AD830,"")</f>
        <v/>
      </c>
      <c r="AF830" t="str">
        <f t="shared" si="2450"/>
        <v/>
      </c>
      <c r="AG830" t="str">
        <f>VLOOKUP(C830,Assumptions!$B$116:$C$162,2,FALSE)</f>
        <v>NG_SR_SML_C</v>
      </c>
      <c r="AH830" t="str">
        <f>VLOOKUP(D830,Assumptions!$B$116:$C$162,2,FALSE)</f>
        <v>C_GAS_STRG</v>
      </c>
      <c r="AI830" t="str">
        <f>VLOOKUP(E830,Assumptions!$B$116:$C$162,2,FALSE)</f>
        <v>H2_BLND_NG_P</v>
      </c>
      <c r="AJ830" t="str">
        <f>VLOOKUP(F830,Assumptions!$B$116:$C$162,2,FALSE)</f>
        <v>H2_FC_DCHP_HEAT</v>
      </c>
    </row>
    <row r="831" spans="2:36" x14ac:dyDescent="0.25">
      <c r="B831" t="s">
        <v>127</v>
      </c>
      <c r="C831" t="s">
        <v>58</v>
      </c>
      <c r="D831" t="s">
        <v>155</v>
      </c>
      <c r="E831" t="s">
        <v>122</v>
      </c>
      <c r="F831" t="s">
        <v>552</v>
      </c>
      <c r="G831" t="s">
        <v>132</v>
      </c>
      <c r="H831" t="s">
        <v>434</v>
      </c>
      <c r="I831" t="s">
        <v>32</v>
      </c>
      <c r="J831" t="s">
        <v>72</v>
      </c>
      <c r="K831">
        <f t="shared" si="2452"/>
        <v>1</v>
      </c>
      <c r="L831">
        <f t="shared" si="2453"/>
        <v>1</v>
      </c>
      <c r="M831">
        <f t="shared" si="2454"/>
        <v>1</v>
      </c>
      <c r="N831">
        <f t="shared" si="2455"/>
        <v>1</v>
      </c>
      <c r="O831">
        <f t="shared" si="2456"/>
        <v>4</v>
      </c>
      <c r="P831" t="str">
        <f t="shared" si="2457"/>
        <v>Small centralized natural gas steam reforming-Levelized cost</v>
      </c>
      <c r="Q831" t="str">
        <f t="shared" si="2458"/>
        <v>Central gas storage-Levelized cost</v>
      </c>
      <c r="R831" t="str">
        <f t="shared" si="2459"/>
        <v>Hydrogen transmission &amp; distribution pipeline-Levelized cost</v>
      </c>
      <c r="S831" t="str">
        <f t="shared" si="2460"/>
        <v>District-CHP with H2 fuel cell (heat)-Levelized cost</v>
      </c>
      <c r="T831">
        <f ca="1">IF(timePeriod="2020-30",(VLOOKUP($P831,'TA database'!$I$8:$J$79,2,FALSE)/VLOOKUP($D831,'Merit calculation'!$B$48:$I$52,5,FALSE)/VLOOKUP($E831,'Merit calculation'!$B$67:$I$73,5,FALSE)/VLOOKUP($F831,'Merit calculation'!$B$90:$I$103,5,FALSE)/energyContentH2),(VLOOKUP($P831,'TA database'!$I$8:$J$79,2,FALSE)/VLOOKUP($D831,'Merit calculation'!$B$48:$I$52,7,FALSE)/VLOOKUP($E831,'Merit calculation'!$B$67:$I$73,7,FALSE)/VLOOKUP($F831,'Merit calculation'!$B$90:$I$103,7,FALSE)/energyContentH2))</f>
        <v>4.9578394004210685E-2</v>
      </c>
      <c r="U831">
        <f ca="1">IF(timePeriod="2020-30",(VLOOKUP($Q831,'TA database'!$I$86:$J$105,2,FALSE)/VLOOKUP($E831,'Merit calculation'!$B$67:$I$73,5,FALSE)/VLOOKUP($F831,'Merit calculation'!$B$90:$I$104,5,FALSE)/energyContentH2),VLOOKUP($Q831,'TA database'!$I$86:$J$105,2,FALSE)/VLOOKUP($E831,'Merit calculation'!$B$67:$I$73,7,FALSE)/VLOOKUP($F831,'Merit calculation'!$B$90:$I$104,7,FALSE)/energyContentH2)</f>
        <v>6.9440084450063454E-4</v>
      </c>
      <c r="V831">
        <f ca="1">IF(timePeriod="2020-30",(VLOOKUP($R831,'TA database'!$I$112:$J$139,2,FALSE)/VLOOKUP($F831,'Merit calculation'!$B$90:$I$104,5,FALSE)/energyContentH2),(VLOOKUP($R831,'TA database'!$I$112:$J$139,2,FALSE)/VLOOKUP($F831,'Merit calculation'!$B$90:$I$104,7,FALSE)/energyContentH2))</f>
        <v>3.7025224863029226E-3</v>
      </c>
      <c r="W831">
        <f ca="1">IFERROR(VLOOKUP($S831,'TA database'!$I$146:$J$193,2,FALSE),0)</f>
        <v>1.7801086338426392E-2</v>
      </c>
      <c r="X831">
        <f>IFERROR(VLOOKUP($S831,'TA database'!$I$200:$J$271,2,FALSE),0)</f>
        <v>0</v>
      </c>
      <c r="Y831">
        <f t="shared" ca="1" si="2451"/>
        <v>7.1776403673440625E-2</v>
      </c>
      <c r="Z831" t="str">
        <f t="shared" si="2461"/>
        <v>NG_SR_SML_C   →   C_GAS_STRG   →   H2_T&amp;D_P   →   H2_FC_DCHP_HEAT</v>
      </c>
      <c r="AA831" t="str">
        <f t="shared" si="2462"/>
        <v>Building heat</v>
      </c>
      <c r="AB831" t="str">
        <f t="shared" si="2463"/>
        <v>Levelized cost</v>
      </c>
      <c r="AC831">
        <f t="shared" ca="1" si="2464"/>
        <v>7.1776403673440625E-2</v>
      </c>
      <c r="AD831">
        <v>772</v>
      </c>
      <c r="AE831" t="str">
        <f>IF(AND(ISNUMBER(SEARCH(O831,4)),ISNUMBER(SEARCH('(4) FCH pathway assessment'!$B$16,AB831)),ISNUMBER(SEARCH('(4) FCH pathway assessment'!$B$10,AA831))),AD831,"")</f>
        <v/>
      </c>
      <c r="AF831" t="str">
        <f t="shared" si="2450"/>
        <v/>
      </c>
      <c r="AG831" t="str">
        <f>VLOOKUP(C831,Assumptions!$B$116:$C$162,2,FALSE)</f>
        <v>NG_SR_SML_C</v>
      </c>
      <c r="AH831" t="str">
        <f>VLOOKUP(D831,Assumptions!$B$116:$C$162,2,FALSE)</f>
        <v>C_GAS_STRG</v>
      </c>
      <c r="AI831" t="str">
        <f>VLOOKUP(E831,Assumptions!$B$116:$C$162,2,FALSE)</f>
        <v>H2_T&amp;D_P</v>
      </c>
      <c r="AJ831" t="str">
        <f>VLOOKUP(F831,Assumptions!$B$116:$C$162,2,FALSE)</f>
        <v>H2_FC_DCHP_HEAT</v>
      </c>
    </row>
    <row r="832" spans="2:36" x14ac:dyDescent="0.25">
      <c r="B832" t="s">
        <v>127</v>
      </c>
      <c r="C832" t="s">
        <v>58</v>
      </c>
      <c r="D832" t="s">
        <v>155</v>
      </c>
      <c r="E832" t="s">
        <v>116</v>
      </c>
      <c r="F832" t="s">
        <v>552</v>
      </c>
      <c r="G832" t="s">
        <v>132</v>
      </c>
      <c r="H832" t="s">
        <v>434</v>
      </c>
      <c r="I832" t="s">
        <v>32</v>
      </c>
      <c r="J832" t="s">
        <v>72</v>
      </c>
      <c r="K832">
        <f t="shared" si="2452"/>
        <v>1</v>
      </c>
      <c r="L832">
        <f t="shared" si="2453"/>
        <v>1</v>
      </c>
      <c r="M832">
        <f t="shared" si="2454"/>
        <v>1</v>
      </c>
      <c r="N832">
        <f t="shared" si="2455"/>
        <v>1</v>
      </c>
      <c r="O832">
        <f t="shared" si="2456"/>
        <v>4</v>
      </c>
      <c r="P832" t="str">
        <f t="shared" si="2457"/>
        <v>Small centralized natural gas steam reforming-Levelized cost</v>
      </c>
      <c r="Q832" t="str">
        <f t="shared" si="2458"/>
        <v>Central gas storage-Levelized cost</v>
      </c>
      <c r="R832" t="str">
        <f t="shared" si="2459"/>
        <v>Liquid hydrogen truck-Levelized cost</v>
      </c>
      <c r="S832" t="str">
        <f t="shared" si="2460"/>
        <v>District-CHP with H2 fuel cell (heat)-Levelized cost</v>
      </c>
      <c r="T832">
        <f ca="1">IF(timePeriod="2020-30",(VLOOKUP($P832,'TA database'!$I$8:$J$79,2,FALSE)/VLOOKUP($D832,'Merit calculation'!$B$48:$I$52,5,FALSE)/VLOOKUP($E832,'Merit calculation'!$B$67:$I$73,5,FALSE)/VLOOKUP($F832,'Merit calculation'!$B$90:$I$103,5,FALSE)/energyContentH2),(VLOOKUP($P832,'TA database'!$I$8:$J$79,2,FALSE)/VLOOKUP($D832,'Merit calculation'!$B$48:$I$52,7,FALSE)/VLOOKUP($E832,'Merit calculation'!$B$67:$I$73,7,FALSE)/VLOOKUP($F832,'Merit calculation'!$B$90:$I$103,7,FALSE)/energyContentH2))</f>
        <v>5.7272590506614443E-2</v>
      </c>
      <c r="U832">
        <f ca="1">IF(timePeriod="2020-30",(VLOOKUP($Q832,'TA database'!$I$86:$J$105,2,FALSE)/VLOOKUP($E832,'Merit calculation'!$B$67:$I$73,5,FALSE)/VLOOKUP($F832,'Merit calculation'!$B$90:$I$104,5,FALSE)/energyContentH2),VLOOKUP($Q832,'TA database'!$I$86:$J$105,2,FALSE)/VLOOKUP($E832,'Merit calculation'!$B$67:$I$73,7,FALSE)/VLOOKUP($F832,'Merit calculation'!$B$90:$I$104,7,FALSE)/energyContentH2)</f>
        <v>8.0216666984320693E-4</v>
      </c>
      <c r="V832">
        <f ca="1">IF(timePeriod="2020-30",(VLOOKUP($R832,'TA database'!$I$112:$J$139,2,FALSE)/VLOOKUP($F832,'Merit calculation'!$B$90:$I$104,5,FALSE)/energyContentH2),(VLOOKUP($R832,'TA database'!$I$112:$J$139,2,FALSE)/VLOOKUP($F832,'Merit calculation'!$B$90:$I$104,7,FALSE)/energyContentH2))</f>
        <v>2.4500662962100454E-2</v>
      </c>
      <c r="W832">
        <f ca="1">IFERROR(VLOOKUP($S832,'TA database'!$I$146:$J$193,2,FALSE),0)</f>
        <v>1.7801086338426392E-2</v>
      </c>
      <c r="X832">
        <f>IFERROR(VLOOKUP($S832,'TA database'!$I$200:$J$271,2,FALSE),0)</f>
        <v>0</v>
      </c>
      <c r="Y832">
        <f t="shared" ca="1" si="2451"/>
        <v>0.1003765064769845</v>
      </c>
      <c r="Z832" t="str">
        <f t="shared" si="2461"/>
        <v>NG_SR_SML_C   →   C_GAS_STRG   →   LQ_TRUCK   →   H2_FC_DCHP_HEAT</v>
      </c>
      <c r="AA832" t="str">
        <f t="shared" si="2462"/>
        <v>Building heat</v>
      </c>
      <c r="AB832" t="str">
        <f t="shared" si="2463"/>
        <v>Levelized cost</v>
      </c>
      <c r="AC832">
        <f t="shared" ca="1" si="2464"/>
        <v>0.1003765064769845</v>
      </c>
      <c r="AD832">
        <v>773</v>
      </c>
      <c r="AE832" t="str">
        <f>IF(AND(ISNUMBER(SEARCH(O832,4)),ISNUMBER(SEARCH('(4) FCH pathway assessment'!$B$16,AB832)),ISNUMBER(SEARCH('(4) FCH pathway assessment'!$B$10,AA832))),AD832,"")</f>
        <v/>
      </c>
      <c r="AF832" t="str">
        <f t="shared" si="2450"/>
        <v/>
      </c>
      <c r="AG832" t="str">
        <f>VLOOKUP(C832,Assumptions!$B$116:$C$162,2,FALSE)</f>
        <v>NG_SR_SML_C</v>
      </c>
      <c r="AH832" t="str">
        <f>VLOOKUP(D832,Assumptions!$B$116:$C$162,2,FALSE)</f>
        <v>C_GAS_STRG</v>
      </c>
      <c r="AI832" t="str">
        <f>VLOOKUP(E832,Assumptions!$B$116:$C$162,2,FALSE)</f>
        <v>LQ_TRUCK</v>
      </c>
      <c r="AJ832" t="str">
        <f>VLOOKUP(F832,Assumptions!$B$116:$C$162,2,FALSE)</f>
        <v>H2_FC_DCHP_HEAT</v>
      </c>
    </row>
    <row r="833" spans="2:36" x14ac:dyDescent="0.25">
      <c r="B833" t="s">
        <v>127</v>
      </c>
      <c r="C833" t="s">
        <v>58</v>
      </c>
      <c r="D833" t="s">
        <v>155</v>
      </c>
      <c r="E833" t="s">
        <v>66</v>
      </c>
      <c r="F833" t="s">
        <v>552</v>
      </c>
      <c r="G833" t="s">
        <v>132</v>
      </c>
      <c r="H833" t="s">
        <v>434</v>
      </c>
      <c r="I833" t="s">
        <v>32</v>
      </c>
      <c r="J833" t="s">
        <v>72</v>
      </c>
      <c r="K833">
        <f t="shared" si="2452"/>
        <v>1</v>
      </c>
      <c r="L833">
        <f t="shared" si="2453"/>
        <v>1</v>
      </c>
      <c r="M833">
        <f t="shared" si="2454"/>
        <v>1</v>
      </c>
      <c r="N833">
        <f t="shared" si="2455"/>
        <v>1</v>
      </c>
      <c r="O833">
        <f t="shared" si="2456"/>
        <v>4</v>
      </c>
      <c r="P833" t="str">
        <f t="shared" si="2457"/>
        <v>Small centralized natural gas steam reforming-Levelized cost</v>
      </c>
      <c r="Q833" t="str">
        <f t="shared" si="2458"/>
        <v>Central gas storage-Levelized cost</v>
      </c>
      <c r="R833" t="str">
        <f t="shared" si="2459"/>
        <v>Onsite-Levelized cost</v>
      </c>
      <c r="S833" t="str">
        <f t="shared" si="2460"/>
        <v>District-CHP with H2 fuel cell (heat)-Levelized cost</v>
      </c>
      <c r="T833">
        <f ca="1">IF(timePeriod="2020-30",(VLOOKUP($P833,'TA database'!$I$8:$J$79,2,FALSE)/VLOOKUP($D833,'Merit calculation'!$B$48:$I$52,5,FALSE)/VLOOKUP($E833,'Merit calculation'!$B$67:$I$73,5,FALSE)/VLOOKUP($F833,'Merit calculation'!$B$90:$I$103,5,FALSE)/energyContentH2),(VLOOKUP($P833,'TA database'!$I$8:$J$79,2,FALSE)/VLOOKUP($D833,'Merit calculation'!$B$48:$I$52,7,FALSE)/VLOOKUP($E833,'Merit calculation'!$B$67:$I$73,7,FALSE)/VLOOKUP($F833,'Merit calculation'!$B$90:$I$103,7,FALSE)/energyContentH2))</f>
        <v>4.9082610064168579E-2</v>
      </c>
      <c r="U833">
        <f ca="1">IF(timePeriod="2020-30",(VLOOKUP($Q833,'TA database'!$I$86:$J$105,2,FALSE)/VLOOKUP($E833,'Merit calculation'!$B$67:$I$73,5,FALSE)/VLOOKUP($F833,'Merit calculation'!$B$90:$I$104,5,FALSE)/energyContentH2),VLOOKUP($Q833,'TA database'!$I$86:$J$105,2,FALSE)/VLOOKUP($E833,'Merit calculation'!$B$67:$I$73,7,FALSE)/VLOOKUP($F833,'Merit calculation'!$B$90:$I$104,7,FALSE)/energyContentH2)</f>
        <v>6.874568360556284E-4</v>
      </c>
      <c r="V833">
        <f ca="1">IF(timePeriod="2020-30",(VLOOKUP($R833,'TA database'!$I$112:$J$139,2,FALSE)/VLOOKUP($F833,'Merit calculation'!$B$90:$I$104,5,FALSE)/energyContentH2),(VLOOKUP($R833,'TA database'!$I$112:$J$139,2,FALSE)/VLOOKUP($F833,'Merit calculation'!$B$90:$I$104,7,FALSE)/energyContentH2))</f>
        <v>0</v>
      </c>
      <c r="W833">
        <f ca="1">IFERROR(VLOOKUP($S833,'TA database'!$I$146:$J$193,2,FALSE),0)</f>
        <v>1.7801086338426392E-2</v>
      </c>
      <c r="X833">
        <f>IFERROR(VLOOKUP($S833,'TA database'!$I$200:$J$271,2,FALSE),0)</f>
        <v>0</v>
      </c>
      <c r="Y833">
        <f t="shared" ca="1" si="2451"/>
        <v>6.7571153238650594E-2</v>
      </c>
      <c r="Z833" t="str">
        <f t="shared" si="2461"/>
        <v>NG_SR_SML_C   →   C_GAS_STRG   →   ONSITE_USE   →   H2_FC_DCHP_HEAT</v>
      </c>
      <c r="AA833" t="str">
        <f t="shared" si="2462"/>
        <v>Building heat</v>
      </c>
      <c r="AB833" t="str">
        <f t="shared" si="2463"/>
        <v>Levelized cost</v>
      </c>
      <c r="AC833">
        <f t="shared" ca="1" si="2464"/>
        <v>6.7571153238650594E-2</v>
      </c>
      <c r="AD833">
        <v>774</v>
      </c>
      <c r="AE833" t="str">
        <f>IF(AND(ISNUMBER(SEARCH(O833,4)),ISNUMBER(SEARCH('(4) FCH pathway assessment'!$B$16,AB833)),ISNUMBER(SEARCH('(4) FCH pathway assessment'!$B$10,AA833))),AD833,"")</f>
        <v/>
      </c>
      <c r="AF833" t="str">
        <f t="shared" si="2450"/>
        <v/>
      </c>
      <c r="AG833" t="str">
        <f>VLOOKUP(C833,Assumptions!$B$116:$C$162,2,FALSE)</f>
        <v>NG_SR_SML_C</v>
      </c>
      <c r="AH833" t="str">
        <f>VLOOKUP(D833,Assumptions!$B$116:$C$162,2,FALSE)</f>
        <v>C_GAS_STRG</v>
      </c>
      <c r="AI833" t="str">
        <f>VLOOKUP(E833,Assumptions!$B$116:$C$162,2,FALSE)</f>
        <v>ONSITE_USE</v>
      </c>
      <c r="AJ833" t="str">
        <f>VLOOKUP(F833,Assumptions!$B$116:$C$162,2,FALSE)</f>
        <v>H2_FC_DCHP_HEAT</v>
      </c>
    </row>
    <row r="834" spans="2:36" x14ac:dyDescent="0.25">
      <c r="B834" t="s">
        <v>127</v>
      </c>
      <c r="C834" t="s">
        <v>59</v>
      </c>
      <c r="D834" s="60" t="s">
        <v>130</v>
      </c>
      <c r="E834" t="s">
        <v>66</v>
      </c>
      <c r="F834" t="s">
        <v>552</v>
      </c>
      <c r="G834" t="s">
        <v>132</v>
      </c>
      <c r="H834" t="s">
        <v>434</v>
      </c>
      <c r="I834" t="s">
        <v>32</v>
      </c>
      <c r="J834" t="s">
        <v>72</v>
      </c>
      <c r="K834">
        <f t="shared" si="2452"/>
        <v>1</v>
      </c>
      <c r="L834">
        <f t="shared" si="2453"/>
        <v>1</v>
      </c>
      <c r="M834">
        <f t="shared" si="2454"/>
        <v>1</v>
      </c>
      <c r="N834">
        <f t="shared" si="2455"/>
        <v>1</v>
      </c>
      <c r="O834">
        <f t="shared" si="2456"/>
        <v>4</v>
      </c>
      <c r="P834" t="str">
        <f t="shared" si="2457"/>
        <v>Medium decentralized natural gas steam reforming-Levelized cost</v>
      </c>
      <c r="Q834" t="str">
        <f t="shared" si="2458"/>
        <v>Distributed gas storage-Levelized cost</v>
      </c>
      <c r="R834" t="str">
        <f t="shared" si="2459"/>
        <v>Onsite-Levelized cost</v>
      </c>
      <c r="S834" t="str">
        <f t="shared" si="2460"/>
        <v>District-CHP with H2 fuel cell (heat)-Levelized cost</v>
      </c>
      <c r="T834">
        <f ca="1">IF(timePeriod="2020-30",(VLOOKUP($P834,'TA database'!$I$8:$J$79,2,FALSE)/VLOOKUP($D834,'Merit calculation'!$B$48:$I$52,5,FALSE)/VLOOKUP($E834,'Merit calculation'!$B$67:$I$73,5,FALSE)/VLOOKUP($F834,'Merit calculation'!$B$90:$I$103,5,FALSE)/energyContentH2),(VLOOKUP($P834,'TA database'!$I$8:$J$79,2,FALSE)/VLOOKUP($D834,'Merit calculation'!$B$48:$I$52,7,FALSE)/VLOOKUP($E834,'Merit calculation'!$B$67:$I$73,7,FALSE)/VLOOKUP($F834,'Merit calculation'!$B$90:$I$103,7,FALSE)/energyContentH2))</f>
        <v>5.224991824935072E-2</v>
      </c>
      <c r="U834">
        <f ca="1">IF(timePeriod="2020-30",(VLOOKUP($Q834,'TA database'!$I$86:$J$105,2,FALSE)/VLOOKUP($E834,'Merit calculation'!$B$67:$I$73,5,FALSE)/VLOOKUP($F834,'Merit calculation'!$B$90:$I$104,5,FALSE)/energyContentH2),VLOOKUP($Q834,'TA database'!$I$86:$J$105,2,FALSE)/VLOOKUP($E834,'Merit calculation'!$B$67:$I$73,7,FALSE)/VLOOKUP($F834,'Merit calculation'!$B$90:$I$104,7,FALSE)/energyContentH2)</f>
        <v>1.2221454863211171E-3</v>
      </c>
      <c r="V834">
        <f ca="1">IF(timePeriod="2020-30",(VLOOKUP($R834,'TA database'!$I$112:$J$139,2,FALSE)/VLOOKUP($F834,'Merit calculation'!$B$90:$I$104,5,FALSE)/energyContentH2),(VLOOKUP($R834,'TA database'!$I$112:$J$139,2,FALSE)/VLOOKUP($F834,'Merit calculation'!$B$90:$I$104,7,FALSE)/energyContentH2))</f>
        <v>0</v>
      </c>
      <c r="W834">
        <f ca="1">IFERROR(VLOOKUP($S834,'TA database'!$I$146:$J$193,2,FALSE),0)</f>
        <v>1.7801086338426392E-2</v>
      </c>
      <c r="X834">
        <f>IFERROR(VLOOKUP($S834,'TA database'!$I$200:$J$271,2,FALSE),0)</f>
        <v>0</v>
      </c>
      <c r="Y834">
        <f t="shared" ref="Y834:Y835" ca="1" si="2465">IF($W834=0,T834*3.6+U834*3.6+V834*3.6+X834,T834+U834+V834+W834)</f>
        <v>7.1273150074098235E-2</v>
      </c>
      <c r="Z834" t="str">
        <f t="shared" si="2461"/>
        <v>NG_SR_MED_D   →   D_GAS_STRG   →   ONSITE_USE   →   H2_FC_DCHP_HEAT</v>
      </c>
      <c r="AA834" t="str">
        <f t="shared" si="2462"/>
        <v>Building heat</v>
      </c>
      <c r="AB834" t="str">
        <f t="shared" si="2463"/>
        <v>Levelized cost</v>
      </c>
      <c r="AC834">
        <f t="shared" ca="1" si="2464"/>
        <v>7.1273150074098235E-2</v>
      </c>
      <c r="AD834">
        <v>775</v>
      </c>
      <c r="AE834" t="str">
        <f>IF(AND(ISNUMBER(SEARCH(O834,4)),ISNUMBER(SEARCH('(4) FCH pathway assessment'!$B$16,AB834)),ISNUMBER(SEARCH('(4) FCH pathway assessment'!$B$10,AA834))),AD834,"")</f>
        <v/>
      </c>
      <c r="AF834" t="str">
        <f t="shared" si="2450"/>
        <v/>
      </c>
      <c r="AG834" t="str">
        <f>VLOOKUP(C834,Assumptions!$B$116:$C$162,2,FALSE)</f>
        <v>NG_SR_MED_D</v>
      </c>
      <c r="AH834" t="str">
        <f>VLOOKUP(D834,Assumptions!$B$116:$C$162,2,FALSE)</f>
        <v>D_GAS_STRG</v>
      </c>
      <c r="AI834" t="str">
        <f>VLOOKUP(E834,Assumptions!$B$116:$C$162,2,FALSE)</f>
        <v>ONSITE_USE</v>
      </c>
      <c r="AJ834" t="str">
        <f>VLOOKUP(F834,Assumptions!$B$116:$C$162,2,FALSE)</f>
        <v>H2_FC_DCHP_HEAT</v>
      </c>
    </row>
    <row r="835" spans="2:36" x14ac:dyDescent="0.25">
      <c r="B835" t="s">
        <v>127</v>
      </c>
      <c r="C835" t="s">
        <v>60</v>
      </c>
      <c r="D835" s="60" t="s">
        <v>130</v>
      </c>
      <c r="E835" t="s">
        <v>66</v>
      </c>
      <c r="F835" t="s">
        <v>552</v>
      </c>
      <c r="G835" t="s">
        <v>132</v>
      </c>
      <c r="H835" t="s">
        <v>434</v>
      </c>
      <c r="I835" t="s">
        <v>32</v>
      </c>
      <c r="J835" t="s">
        <v>72</v>
      </c>
      <c r="K835">
        <f t="shared" ref="K835" si="2466">SUMPRODUCT(($C$7:$C$18=$C835)*($D$6:$H$6=$D835)*($D$7:$H$18))</f>
        <v>1</v>
      </c>
      <c r="L835">
        <f t="shared" ref="L835" si="2467">SUMPRODUCT(($C$19:$C$23=$D835)*($I$6:$O$6=$E835)*($I$19:$O$23))</f>
        <v>1</v>
      </c>
      <c r="M835">
        <f t="shared" ref="M835" si="2468">SUMPRODUCT(($C$24:$C$30=$E835)*($P$6:$AI$6=$F835)*($P$24:$AI$30))</f>
        <v>1</v>
      </c>
      <c r="N835">
        <f t="shared" ref="N835" si="2469">SUMPRODUCT(($C$31:$C$50=$F835)*($AJ$6:$AM$6=$G835)*($AJ$31:$AM$50))</f>
        <v>1</v>
      </c>
      <c r="O835">
        <f t="shared" ref="O835" si="2470">K835+L835+M835+N835</f>
        <v>4</v>
      </c>
      <c r="P835" t="str">
        <f t="shared" ref="P835" si="2471">CONCATENATE(C835,"-",J835)</f>
        <v>Small decentralized natural gas steam reforming-Levelized cost</v>
      </c>
      <c r="Q835" t="str">
        <f t="shared" ref="Q835" si="2472">CONCATENATE(D835,"-",J835)</f>
        <v>Distributed gas storage-Levelized cost</v>
      </c>
      <c r="R835" t="str">
        <f t="shared" ref="R835" si="2473">CONCATENATE(E835,"-",J835)</f>
        <v>Onsite-Levelized cost</v>
      </c>
      <c r="S835" t="str">
        <f t="shared" ref="S835" si="2474">CONCATENATE(F835,"-",J835)</f>
        <v>District-CHP with H2 fuel cell (heat)-Levelized cost</v>
      </c>
      <c r="T835">
        <f ca="1">IF(timePeriod="2020-30",(VLOOKUP($P835,'TA database'!$I$8:$J$79,2,FALSE)/VLOOKUP($D835,'Merit calculation'!$B$48:$I$52,5,FALSE)/VLOOKUP($E835,'Merit calculation'!$B$67:$I$73,5,FALSE)/VLOOKUP($F835,'Merit calculation'!$B$90:$I$103,5,FALSE)/energyContentH2),(VLOOKUP($P835,'TA database'!$I$8:$J$79,2,FALSE)/VLOOKUP($D835,'Merit calculation'!$B$48:$I$52,7,FALSE)/VLOOKUP($E835,'Merit calculation'!$B$67:$I$73,7,FALSE)/VLOOKUP($F835,'Merit calculation'!$B$90:$I$103,7,FALSE)/energyContentH2))</f>
        <v>5.540848525409299E-2</v>
      </c>
      <c r="U835">
        <f ca="1">IF(timePeriod="2020-30",(VLOOKUP($Q835,'TA database'!$I$86:$J$105,2,FALSE)/VLOOKUP($E835,'Merit calculation'!$B$67:$I$73,5,FALSE)/VLOOKUP($F835,'Merit calculation'!$B$90:$I$104,5,FALSE)/energyContentH2),VLOOKUP($Q835,'TA database'!$I$86:$J$105,2,FALSE)/VLOOKUP($E835,'Merit calculation'!$B$67:$I$73,7,FALSE)/VLOOKUP($F835,'Merit calculation'!$B$90:$I$104,7,FALSE)/energyContentH2)</f>
        <v>1.2221454863211171E-3</v>
      </c>
      <c r="V835">
        <f ca="1">IF(timePeriod="2020-30",(VLOOKUP($R835,'TA database'!$I$112:$J$139,2,FALSE)/VLOOKUP($F835,'Merit calculation'!$B$90:$I$104,5,FALSE)/energyContentH2),(VLOOKUP($R835,'TA database'!$I$112:$J$139,2,FALSE)/VLOOKUP($F835,'Merit calculation'!$B$90:$I$104,7,FALSE)/energyContentH2))</f>
        <v>0</v>
      </c>
      <c r="W835">
        <f ca="1">IFERROR(VLOOKUP($S835,'TA database'!$I$146:$J$193,2,FALSE),0)</f>
        <v>1.7801086338426392E-2</v>
      </c>
      <c r="X835">
        <f>IFERROR(VLOOKUP($S835,'TA database'!$I$200:$J$271,2,FALSE),0)</f>
        <v>0</v>
      </c>
      <c r="Y835">
        <f t="shared" ca="1" si="2465"/>
        <v>7.4431717078840498E-2</v>
      </c>
      <c r="Z835" t="str">
        <f t="shared" ref="Z835" si="2475">CONCATENATE(AG835,"   →   ",AH835,"   →   ",AI835,"   →   ",AJ835)</f>
        <v>NG_SR_SML_D   →   D_GAS_STRG   →   ONSITE_USE   →   H2_FC_DCHP_HEAT</v>
      </c>
      <c r="AA835" t="str">
        <f t="shared" ref="AA835" si="2476">G835</f>
        <v>Building heat</v>
      </c>
      <c r="AB835" t="str">
        <f t="shared" ref="AB835" si="2477">J835</f>
        <v>Levelized cost</v>
      </c>
      <c r="AC835">
        <f t="shared" ref="AC835" ca="1" si="2478">Y835</f>
        <v>7.4431717078840498E-2</v>
      </c>
      <c r="AD835">
        <v>776</v>
      </c>
      <c r="AE835" t="str">
        <f>IF(AND(ISNUMBER(SEARCH(O835,4)),ISNUMBER(SEARCH('(4) FCH pathway assessment'!$B$16,AB835)),ISNUMBER(SEARCH('(4) FCH pathway assessment'!$B$10,AA835))),AD835,"")</f>
        <v/>
      </c>
      <c r="AF835" t="str">
        <f t="shared" si="2450"/>
        <v/>
      </c>
      <c r="AG835" t="str">
        <f>VLOOKUP(C835,Assumptions!$B$116:$C$162,2,FALSE)</f>
        <v>NG_SR_SML_D</v>
      </c>
      <c r="AH835" t="str">
        <f>VLOOKUP(D835,Assumptions!$B$116:$C$162,2,FALSE)</f>
        <v>D_GAS_STRG</v>
      </c>
      <c r="AI835" t="str">
        <f>VLOOKUP(E835,Assumptions!$B$116:$C$162,2,FALSE)</f>
        <v>ONSITE_USE</v>
      </c>
      <c r="AJ835" t="str">
        <f>VLOOKUP(F835,Assumptions!$B$116:$C$162,2,FALSE)</f>
        <v>H2_FC_DCHP_HEAT</v>
      </c>
    </row>
    <row r="836" spans="2:36" x14ac:dyDescent="0.25">
      <c r="B836" t="s">
        <v>117</v>
      </c>
      <c r="C836" t="s">
        <v>53</v>
      </c>
      <c r="D836" t="s">
        <v>155</v>
      </c>
      <c r="E836" t="s">
        <v>157</v>
      </c>
      <c r="F836" t="s">
        <v>543</v>
      </c>
      <c r="G836" t="s">
        <v>132</v>
      </c>
      <c r="H836" t="s">
        <v>434</v>
      </c>
      <c r="I836" t="s">
        <v>32</v>
      </c>
      <c r="J836" t="s">
        <v>72</v>
      </c>
      <c r="K836">
        <f t="shared" ref="K836:K837" si="2479">SUMPRODUCT(($C$7:$C$18=$C836)*($D$6:$H$6=$D836)*($D$7:$H$18))</f>
        <v>0</v>
      </c>
      <c r="L836">
        <f t="shared" ref="L836:L837" si="2480">SUMPRODUCT(($C$19:$C$23=$D836)*($I$6:$O$6=$E836)*($I$19:$O$23))</f>
        <v>1</v>
      </c>
      <c r="M836">
        <f t="shared" ref="M836:M837" si="2481">SUMPRODUCT(($C$24:$C$30=$E836)*($P$6:$AI$6=$F836)*($P$24:$AI$30))</f>
        <v>0</v>
      </c>
      <c r="N836">
        <f t="shared" ref="N836:N837" si="2482">SUMPRODUCT(($C$31:$C$50=$F836)*($AJ$6:$AM$6=$G836)*($AJ$31:$AM$50))</f>
        <v>0</v>
      </c>
      <c r="O836">
        <f t="shared" ref="O836:O837" si="2483">K836+L836+M836+N836</f>
        <v>1</v>
      </c>
      <c r="P836" t="str">
        <f t="shared" ref="P836:P837" si="2484">CONCATENATE(C836,"-",J836)</f>
        <v>Medium centralized biomass gasification-Levelized cost</v>
      </c>
      <c r="Q836" t="str">
        <f t="shared" ref="Q836:Q837" si="2485">CONCATENATE(D836,"-",J836)</f>
        <v>Central gas storage-Levelized cost</v>
      </c>
      <c r="R836" t="str">
        <f t="shared" ref="R836:R837" si="2486">CONCATENATE(E836,"-",J836)</f>
        <v>Blending in natural gas pipeline-Levelized cost</v>
      </c>
      <c r="S836" t="str">
        <f t="shared" ref="S836:S837" si="2487">CONCATENATE(F836,"-",J836)</f>
        <v>Micro-CHP with H2 fuel cell (heat)-Levelized cost</v>
      </c>
      <c r="T836">
        <f ca="1">IF(timePeriod="2020-30",(VLOOKUP($P836,'TA database'!$I$8:$J$79,2,FALSE)/VLOOKUP($D836,'Merit calculation'!$B$48:$I$52,5,FALSE)/VLOOKUP($E836,'Merit calculation'!$B$67:$I$73,5,FALSE)/VLOOKUP($F836,'Merit calculation'!$B$90:$I$103,5,FALSE)/energyContentH2),(VLOOKUP($P836,'TA database'!$I$8:$J$79,2,FALSE)/VLOOKUP($D836,'Merit calculation'!$B$48:$I$52,7,FALSE)/VLOOKUP($E836,'Merit calculation'!$B$67:$I$73,7,FALSE)/VLOOKUP($F836,'Merit calculation'!$B$90:$I$103,7,FALSE)/energyContentH2))</f>
        <v>1.2262331657329713E-2</v>
      </c>
      <c r="U836">
        <f ca="1">IF(timePeriod="2020-30",(VLOOKUP($Q836,'TA database'!$I$86:$J$105,2,FALSE)/VLOOKUP($E836,'Merit calculation'!$B$67:$I$73,5,FALSE)/VLOOKUP($F836,'Merit calculation'!$B$90:$I$104,5,FALSE)/energyContentH2),VLOOKUP($Q836,'TA database'!$I$86:$J$105,2,FALSE)/VLOOKUP($E836,'Merit calculation'!$B$67:$I$73,7,FALSE)/VLOOKUP($F836,'Merit calculation'!$B$90:$I$104,7,FALSE)/energyContentH2)</f>
        <v>6.0660303657526706E-4</v>
      </c>
      <c r="V836">
        <f ca="1">IF(timePeriod="2020-30",(VLOOKUP($R836,'TA database'!$I$112:$J$139,2,FALSE)/VLOOKUP($F836,'Merit calculation'!$B$90:$I$104,5,FALSE)/energyContentH2),(VLOOKUP($R836,'TA database'!$I$112:$J$139,2,FALSE)/VLOOKUP($F836,'Merit calculation'!$B$90:$I$104,7,FALSE)/energyContentH2))</f>
        <v>1.7384034629971238E-3</v>
      </c>
      <c r="W836">
        <f ca="1">IFERROR(VLOOKUP($S836,'TA database'!$I$146:$J$193,2,FALSE),0)</f>
        <v>3.0801291854688804E-2</v>
      </c>
      <c r="X836">
        <f>IFERROR(VLOOKUP($S836,'TA database'!$I$200:$J$271,2,FALSE),0)</f>
        <v>0</v>
      </c>
      <c r="Y836">
        <f t="shared" ref="Y836:Y839" ca="1" si="2488">IF($W836=0,T836*3.6+U836*3.6+V836*3.6+X836,T836+U836+V836+W836)</f>
        <v>4.5408630011590907E-2</v>
      </c>
      <c r="Z836" t="str">
        <f t="shared" ref="Z836:Z837" si="2489">CONCATENATE(AG836,"   →   ",AH836,"   →   ",AI836,"   →   ",AJ836)</f>
        <v>BIO_GSF_MED_C   →   C_GAS_STRG   →   H2_BLND_NG_P   →   H2_FC_mCHP_HEAT</v>
      </c>
      <c r="AA836" t="str">
        <f t="shared" ref="AA836:AA837" si="2490">G836</f>
        <v>Building heat</v>
      </c>
      <c r="AB836" t="str">
        <f t="shared" ref="AB836:AB837" si="2491">J836</f>
        <v>Levelized cost</v>
      </c>
      <c r="AC836">
        <f t="shared" ref="AC836:AC837" ca="1" si="2492">Y836</f>
        <v>4.5408630011590907E-2</v>
      </c>
      <c r="AD836">
        <v>777</v>
      </c>
      <c r="AE836" t="str">
        <f>IF(AND(ISNUMBER(SEARCH(O836,4)),ISNUMBER(SEARCH('(4) FCH pathway assessment'!$B$16,AB836)),ISNUMBER(SEARCH('(4) FCH pathway assessment'!$B$10,AA836))),AD836,"")</f>
        <v/>
      </c>
      <c r="AF836" t="str">
        <f t="shared" si="2450"/>
        <v/>
      </c>
      <c r="AG836" t="str">
        <f>VLOOKUP(C836,Assumptions!$B$116:$C$162,2,FALSE)</f>
        <v>BIO_GSF_MED_C</v>
      </c>
      <c r="AH836" t="str">
        <f>VLOOKUP(D836,Assumptions!$B$116:$C$162,2,FALSE)</f>
        <v>C_GAS_STRG</v>
      </c>
      <c r="AI836" t="str">
        <f>VLOOKUP(E836,Assumptions!$B$116:$C$162,2,FALSE)</f>
        <v>H2_BLND_NG_P</v>
      </c>
      <c r="AJ836" t="str">
        <f>VLOOKUP(F836,Assumptions!$B$116:$C$162,2,FALSE)</f>
        <v>H2_FC_mCHP_HEAT</v>
      </c>
    </row>
    <row r="837" spans="2:36" x14ac:dyDescent="0.25">
      <c r="B837" t="s">
        <v>117</v>
      </c>
      <c r="C837" t="s">
        <v>53</v>
      </c>
      <c r="D837" t="s">
        <v>155</v>
      </c>
      <c r="E837" t="s">
        <v>122</v>
      </c>
      <c r="F837" t="s">
        <v>543</v>
      </c>
      <c r="G837" t="s">
        <v>132</v>
      </c>
      <c r="H837" t="s">
        <v>434</v>
      </c>
      <c r="I837" t="s">
        <v>32</v>
      </c>
      <c r="J837" t="s">
        <v>72</v>
      </c>
      <c r="K837">
        <f t="shared" si="2479"/>
        <v>0</v>
      </c>
      <c r="L837">
        <f t="shared" si="2480"/>
        <v>1</v>
      </c>
      <c r="M837">
        <f t="shared" si="2481"/>
        <v>1</v>
      </c>
      <c r="N837">
        <f t="shared" si="2482"/>
        <v>0</v>
      </c>
      <c r="O837">
        <f t="shared" si="2483"/>
        <v>2</v>
      </c>
      <c r="P837" t="str">
        <f t="shared" si="2484"/>
        <v>Medium centralized biomass gasification-Levelized cost</v>
      </c>
      <c r="Q837" t="str">
        <f t="shared" si="2485"/>
        <v>Central gas storage-Levelized cost</v>
      </c>
      <c r="R837" t="str">
        <f t="shared" si="2486"/>
        <v>Hydrogen transmission &amp; distribution pipeline-Levelized cost</v>
      </c>
      <c r="S837" t="str">
        <f t="shared" si="2487"/>
        <v>Micro-CHP with H2 fuel cell (heat)-Levelized cost</v>
      </c>
      <c r="T837">
        <f ca="1">IF(timePeriod="2020-30",(VLOOKUP($P837,'TA database'!$I$8:$J$79,2,FALSE)/VLOOKUP($D837,'Merit calculation'!$B$48:$I$52,5,FALSE)/VLOOKUP($E837,'Merit calculation'!$B$67:$I$73,5,FALSE)/VLOOKUP($F837,'Merit calculation'!$B$90:$I$103,5,FALSE)/energyContentH2),(VLOOKUP($P837,'TA database'!$I$8:$J$79,2,FALSE)/VLOOKUP($D837,'Merit calculation'!$B$48:$I$52,7,FALSE)/VLOOKUP($E837,'Merit calculation'!$B$67:$I$73,7,FALSE)/VLOOKUP($F837,'Merit calculation'!$B$90:$I$103,7,FALSE)/energyContentH2))</f>
        <v>1.2262331657329713E-2</v>
      </c>
      <c r="U837">
        <f ca="1">IF(timePeriod="2020-30",(VLOOKUP($Q837,'TA database'!$I$86:$J$105,2,FALSE)/VLOOKUP($E837,'Merit calculation'!$B$67:$I$73,5,FALSE)/VLOOKUP($F837,'Merit calculation'!$B$90:$I$104,5,FALSE)/energyContentH2),VLOOKUP($Q837,'TA database'!$I$86:$J$105,2,FALSE)/VLOOKUP($E837,'Merit calculation'!$B$67:$I$73,7,FALSE)/VLOOKUP($F837,'Merit calculation'!$B$90:$I$104,7,FALSE)/energyContentH2)</f>
        <v>6.0660303657526706E-4</v>
      </c>
      <c r="V837">
        <f ca="1">IF(timePeriod="2020-30",(VLOOKUP($R837,'TA database'!$I$112:$J$139,2,FALSE)/VLOOKUP($F837,'Merit calculation'!$B$90:$I$104,5,FALSE)/energyContentH2),(VLOOKUP($R837,'TA database'!$I$112:$J$139,2,FALSE)/VLOOKUP($F837,'Merit calculation'!$B$90:$I$104,7,FALSE)/energyContentH2))</f>
        <v>3.2343874592991049E-3</v>
      </c>
      <c r="W837">
        <f ca="1">IFERROR(VLOOKUP($S837,'TA database'!$I$146:$J$193,2,FALSE),0)</f>
        <v>3.0801291854688804E-2</v>
      </c>
      <c r="X837">
        <f>IFERROR(VLOOKUP($S837,'TA database'!$I$200:$J$271,2,FALSE),0)</f>
        <v>0</v>
      </c>
      <c r="Y837">
        <f t="shared" ca="1" si="2488"/>
        <v>4.6904614007892892E-2</v>
      </c>
      <c r="Z837" t="str">
        <f t="shared" si="2489"/>
        <v>BIO_GSF_MED_C   →   C_GAS_STRG   →   H2_T&amp;D_P   →   H2_FC_mCHP_HEAT</v>
      </c>
      <c r="AA837" t="str">
        <f t="shared" si="2490"/>
        <v>Building heat</v>
      </c>
      <c r="AB837" t="str">
        <f t="shared" si="2491"/>
        <v>Levelized cost</v>
      </c>
      <c r="AC837">
        <f t="shared" ca="1" si="2492"/>
        <v>4.6904614007892892E-2</v>
      </c>
      <c r="AD837">
        <v>778</v>
      </c>
      <c r="AE837" t="str">
        <f>IF(AND(ISNUMBER(SEARCH(O837,4)),ISNUMBER(SEARCH('(4) FCH pathway assessment'!$B$16,AB837)),ISNUMBER(SEARCH('(4) FCH pathway assessment'!$B$10,AA837))),AD837,"")</f>
        <v/>
      </c>
      <c r="AF837" t="str">
        <f t="shared" si="2450"/>
        <v/>
      </c>
      <c r="AG837" t="str">
        <f>VLOOKUP(C837,Assumptions!$B$116:$C$162,2,FALSE)</f>
        <v>BIO_GSF_MED_C</v>
      </c>
      <c r="AH837" t="str">
        <f>VLOOKUP(D837,Assumptions!$B$116:$C$162,2,FALSE)</f>
        <v>C_GAS_STRG</v>
      </c>
      <c r="AI837" t="str">
        <f>VLOOKUP(E837,Assumptions!$B$116:$C$162,2,FALSE)</f>
        <v>H2_T&amp;D_P</v>
      </c>
      <c r="AJ837" t="str">
        <f>VLOOKUP(F837,Assumptions!$B$116:$C$162,2,FALSE)</f>
        <v>H2_FC_mCHP_HEAT</v>
      </c>
    </row>
    <row r="838" spans="2:36" x14ac:dyDescent="0.25">
      <c r="B838" t="s">
        <v>117</v>
      </c>
      <c r="C838" t="s">
        <v>54</v>
      </c>
      <c r="D838" t="s">
        <v>155</v>
      </c>
      <c r="E838" t="s">
        <v>157</v>
      </c>
      <c r="F838" t="s">
        <v>543</v>
      </c>
      <c r="G838" t="s">
        <v>132</v>
      </c>
      <c r="H838" t="s">
        <v>434</v>
      </c>
      <c r="I838" t="s">
        <v>32</v>
      </c>
      <c r="J838" t="s">
        <v>72</v>
      </c>
      <c r="K838">
        <f t="shared" ref="K838:K839" si="2493">SUMPRODUCT(($C$7:$C$18=$C838)*($D$6:$H$6=$D838)*($D$7:$H$18))</f>
        <v>0</v>
      </c>
      <c r="L838">
        <f t="shared" ref="L838:L839" si="2494">SUMPRODUCT(($C$19:$C$23=$D838)*($I$6:$O$6=$E838)*($I$19:$O$23))</f>
        <v>1</v>
      </c>
      <c r="M838">
        <f t="shared" ref="M838:M839" si="2495">SUMPRODUCT(($C$24:$C$30=$E838)*($P$6:$AI$6=$F838)*($P$24:$AI$30))</f>
        <v>0</v>
      </c>
      <c r="N838">
        <f t="shared" ref="N838:N839" si="2496">SUMPRODUCT(($C$31:$C$50=$F838)*($AJ$6:$AM$6=$G838)*($AJ$31:$AM$50))</f>
        <v>0</v>
      </c>
      <c r="O838">
        <f t="shared" ref="O838:O839" si="2497">K838+L838+M838+N838</f>
        <v>1</v>
      </c>
      <c r="P838" t="str">
        <f t="shared" ref="P838:P839" si="2498">CONCATENATE(C838,"-",J838)</f>
        <v>Medium centralized biomass gasification w/ CCS-Levelized cost</v>
      </c>
      <c r="Q838" t="str">
        <f t="shared" ref="Q838:Q839" si="2499">CONCATENATE(D838,"-",J838)</f>
        <v>Central gas storage-Levelized cost</v>
      </c>
      <c r="R838" t="str">
        <f t="shared" ref="R838:R839" si="2500">CONCATENATE(E838,"-",J838)</f>
        <v>Blending in natural gas pipeline-Levelized cost</v>
      </c>
      <c r="S838" t="str">
        <f t="shared" ref="S838:S839" si="2501">CONCATENATE(F838,"-",J838)</f>
        <v>Micro-CHP with H2 fuel cell (heat)-Levelized cost</v>
      </c>
      <c r="T838">
        <f ca="1">IF(timePeriod="2020-30",(VLOOKUP($P838,'TA database'!$I$8:$J$79,2,FALSE)/VLOOKUP($D838,'Merit calculation'!$B$48:$I$52,5,FALSE)/VLOOKUP($E838,'Merit calculation'!$B$67:$I$73,5,FALSE)/VLOOKUP($F838,'Merit calculation'!$B$90:$I$103,5,FALSE)/energyContentH2),(VLOOKUP($P838,'TA database'!$I$8:$J$79,2,FALSE)/VLOOKUP($D838,'Merit calculation'!$B$48:$I$52,7,FALSE)/VLOOKUP($E838,'Merit calculation'!$B$67:$I$73,7,FALSE)/VLOOKUP($F838,'Merit calculation'!$B$90:$I$103,7,FALSE)/energyContentH2))</f>
        <v>7.6586545705747498E-3</v>
      </c>
      <c r="U838">
        <f ca="1">IF(timePeriod="2020-30",(VLOOKUP($Q838,'TA database'!$I$86:$J$105,2,FALSE)/VLOOKUP($E838,'Merit calculation'!$B$67:$I$73,5,FALSE)/VLOOKUP($F838,'Merit calculation'!$B$90:$I$104,5,FALSE)/energyContentH2),VLOOKUP($Q838,'TA database'!$I$86:$J$105,2,FALSE)/VLOOKUP($E838,'Merit calculation'!$B$67:$I$73,7,FALSE)/VLOOKUP($F838,'Merit calculation'!$B$90:$I$104,7,FALSE)/energyContentH2)</f>
        <v>6.0660303657526706E-4</v>
      </c>
      <c r="V838">
        <f ca="1">IF(timePeriod="2020-30",(VLOOKUP($R838,'TA database'!$I$112:$J$139,2,FALSE)/VLOOKUP($F838,'Merit calculation'!$B$90:$I$104,5,FALSE)/energyContentH2),(VLOOKUP($R838,'TA database'!$I$112:$J$139,2,FALSE)/VLOOKUP($F838,'Merit calculation'!$B$90:$I$104,7,FALSE)/energyContentH2))</f>
        <v>1.7384034629971238E-3</v>
      </c>
      <c r="W838">
        <f ca="1">IFERROR(VLOOKUP($S838,'TA database'!$I$146:$J$193,2,FALSE),0)</f>
        <v>3.0801291854688804E-2</v>
      </c>
      <c r="X838">
        <f>IFERROR(VLOOKUP($S838,'TA database'!$I$200:$J$271,2,FALSE),0)</f>
        <v>0</v>
      </c>
      <c r="Y838">
        <f t="shared" ca="1" si="2488"/>
        <v>4.0804952924835949E-2</v>
      </c>
      <c r="Z838" t="str">
        <f t="shared" ref="Z838:Z839" si="2502">CONCATENATE(AG838,"   →   ",AH838,"   →   ",AI838,"   →   ",AJ838)</f>
        <v>BIO_GSF_CCS_MED_C   →   C_GAS_STRG   →   H2_BLND_NG_P   →   H2_FC_mCHP_HEAT</v>
      </c>
      <c r="AA838" t="str">
        <f t="shared" ref="AA838:AA839" si="2503">G838</f>
        <v>Building heat</v>
      </c>
      <c r="AB838" t="str">
        <f t="shared" ref="AB838:AB839" si="2504">J838</f>
        <v>Levelized cost</v>
      </c>
      <c r="AC838">
        <f t="shared" ref="AC838:AC839" ca="1" si="2505">Y838</f>
        <v>4.0804952924835949E-2</v>
      </c>
      <c r="AD838">
        <v>779</v>
      </c>
      <c r="AE838" t="str">
        <f>IF(AND(ISNUMBER(SEARCH(O838,4)),ISNUMBER(SEARCH('(4) FCH pathway assessment'!$B$16,AB838)),ISNUMBER(SEARCH('(4) FCH pathway assessment'!$B$10,AA838))),AD838,"")</f>
        <v/>
      </c>
      <c r="AF838" t="str">
        <f t="shared" si="2450"/>
        <v/>
      </c>
      <c r="AG838" t="str">
        <f>VLOOKUP(C838,Assumptions!$B$116:$C$162,2,FALSE)</f>
        <v>BIO_GSF_CCS_MED_C</v>
      </c>
      <c r="AH838" t="str">
        <f>VLOOKUP(D838,Assumptions!$B$116:$C$162,2,FALSE)</f>
        <v>C_GAS_STRG</v>
      </c>
      <c r="AI838" t="str">
        <f>VLOOKUP(E838,Assumptions!$B$116:$C$162,2,FALSE)</f>
        <v>H2_BLND_NG_P</v>
      </c>
      <c r="AJ838" t="str">
        <f>VLOOKUP(F838,Assumptions!$B$116:$C$162,2,FALSE)</f>
        <v>H2_FC_mCHP_HEAT</v>
      </c>
    </row>
    <row r="839" spans="2:36" x14ac:dyDescent="0.25">
      <c r="B839" t="s">
        <v>117</v>
      </c>
      <c r="C839" t="s">
        <v>54</v>
      </c>
      <c r="D839" t="s">
        <v>155</v>
      </c>
      <c r="E839" t="s">
        <v>122</v>
      </c>
      <c r="F839" t="s">
        <v>543</v>
      </c>
      <c r="G839" t="s">
        <v>132</v>
      </c>
      <c r="H839" t="s">
        <v>434</v>
      </c>
      <c r="I839" t="s">
        <v>32</v>
      </c>
      <c r="J839" t="s">
        <v>72</v>
      </c>
      <c r="K839">
        <f t="shared" si="2493"/>
        <v>0</v>
      </c>
      <c r="L839">
        <f t="shared" si="2494"/>
        <v>1</v>
      </c>
      <c r="M839">
        <f t="shared" si="2495"/>
        <v>1</v>
      </c>
      <c r="N839">
        <f t="shared" si="2496"/>
        <v>0</v>
      </c>
      <c r="O839">
        <f t="shared" si="2497"/>
        <v>2</v>
      </c>
      <c r="P839" t="str">
        <f t="shared" si="2498"/>
        <v>Medium centralized biomass gasification w/ CCS-Levelized cost</v>
      </c>
      <c r="Q839" t="str">
        <f t="shared" si="2499"/>
        <v>Central gas storage-Levelized cost</v>
      </c>
      <c r="R839" t="str">
        <f t="shared" si="2500"/>
        <v>Hydrogen transmission &amp; distribution pipeline-Levelized cost</v>
      </c>
      <c r="S839" t="str">
        <f t="shared" si="2501"/>
        <v>Micro-CHP with H2 fuel cell (heat)-Levelized cost</v>
      </c>
      <c r="T839">
        <f ca="1">IF(timePeriod="2020-30",(VLOOKUP($P839,'TA database'!$I$8:$J$79,2,FALSE)/VLOOKUP($D839,'Merit calculation'!$B$48:$I$52,5,FALSE)/VLOOKUP($E839,'Merit calculation'!$B$67:$I$73,5,FALSE)/VLOOKUP($F839,'Merit calculation'!$B$90:$I$103,5,FALSE)/energyContentH2),(VLOOKUP($P839,'TA database'!$I$8:$J$79,2,FALSE)/VLOOKUP($D839,'Merit calculation'!$B$48:$I$52,7,FALSE)/VLOOKUP($E839,'Merit calculation'!$B$67:$I$73,7,FALSE)/VLOOKUP($F839,'Merit calculation'!$B$90:$I$103,7,FALSE)/energyContentH2))</f>
        <v>7.6586545705747498E-3</v>
      </c>
      <c r="U839">
        <f ca="1">IF(timePeriod="2020-30",(VLOOKUP($Q839,'TA database'!$I$86:$J$105,2,FALSE)/VLOOKUP($E839,'Merit calculation'!$B$67:$I$73,5,FALSE)/VLOOKUP($F839,'Merit calculation'!$B$90:$I$104,5,FALSE)/energyContentH2),VLOOKUP($Q839,'TA database'!$I$86:$J$105,2,FALSE)/VLOOKUP($E839,'Merit calculation'!$B$67:$I$73,7,FALSE)/VLOOKUP($F839,'Merit calculation'!$B$90:$I$104,7,FALSE)/energyContentH2)</f>
        <v>6.0660303657526706E-4</v>
      </c>
      <c r="V839">
        <f ca="1">IF(timePeriod="2020-30",(VLOOKUP($R839,'TA database'!$I$112:$J$139,2,FALSE)/VLOOKUP($F839,'Merit calculation'!$B$90:$I$104,5,FALSE)/energyContentH2),(VLOOKUP($R839,'TA database'!$I$112:$J$139,2,FALSE)/VLOOKUP($F839,'Merit calculation'!$B$90:$I$104,7,FALSE)/energyContentH2))</f>
        <v>3.2343874592991049E-3</v>
      </c>
      <c r="W839">
        <f ca="1">IFERROR(VLOOKUP($S839,'TA database'!$I$146:$J$193,2,FALSE),0)</f>
        <v>3.0801291854688804E-2</v>
      </c>
      <c r="X839">
        <f>IFERROR(VLOOKUP($S839,'TA database'!$I$200:$J$271,2,FALSE),0)</f>
        <v>0</v>
      </c>
      <c r="Y839">
        <f t="shared" ca="1" si="2488"/>
        <v>4.2300936921137927E-2</v>
      </c>
      <c r="Z839" t="str">
        <f t="shared" si="2502"/>
        <v>BIO_GSF_CCS_MED_C   →   C_GAS_STRG   →   H2_T&amp;D_P   →   H2_FC_mCHP_HEAT</v>
      </c>
      <c r="AA839" t="str">
        <f t="shared" si="2503"/>
        <v>Building heat</v>
      </c>
      <c r="AB839" t="str">
        <f t="shared" si="2504"/>
        <v>Levelized cost</v>
      </c>
      <c r="AC839">
        <f t="shared" ca="1" si="2505"/>
        <v>4.2300936921137927E-2</v>
      </c>
      <c r="AD839">
        <v>780</v>
      </c>
      <c r="AE839" t="str">
        <f>IF(AND(ISNUMBER(SEARCH(O839,4)),ISNUMBER(SEARCH('(4) FCH pathway assessment'!$B$16,AB839)),ISNUMBER(SEARCH('(4) FCH pathway assessment'!$B$10,AA839))),AD839,"")</f>
        <v/>
      </c>
      <c r="AF839" t="str">
        <f t="shared" si="2450"/>
        <v/>
      </c>
      <c r="AG839" t="str">
        <f>VLOOKUP(C839,Assumptions!$B$116:$C$162,2,FALSE)</f>
        <v>BIO_GSF_CCS_MED_C</v>
      </c>
      <c r="AH839" t="str">
        <f>VLOOKUP(D839,Assumptions!$B$116:$C$162,2,FALSE)</f>
        <v>C_GAS_STRG</v>
      </c>
      <c r="AI839" t="str">
        <f>VLOOKUP(E839,Assumptions!$B$116:$C$162,2,FALSE)</f>
        <v>H2_T&amp;D_P</v>
      </c>
      <c r="AJ839" t="str">
        <f>VLOOKUP(F839,Assumptions!$B$116:$C$162,2,FALSE)</f>
        <v>H2_FC_mCHP_HEAT</v>
      </c>
    </row>
    <row r="840" spans="2:36" x14ac:dyDescent="0.25">
      <c r="B840" t="s">
        <v>117</v>
      </c>
      <c r="C840" t="s">
        <v>55</v>
      </c>
      <c r="D840" s="60" t="s">
        <v>130</v>
      </c>
      <c r="E840" t="s">
        <v>128</v>
      </c>
      <c r="F840" t="s">
        <v>543</v>
      </c>
      <c r="G840" t="s">
        <v>132</v>
      </c>
      <c r="H840" t="s">
        <v>434</v>
      </c>
      <c r="I840" t="s">
        <v>32</v>
      </c>
      <c r="J840" t="s">
        <v>72</v>
      </c>
      <c r="K840">
        <f t="shared" ref="K840:K843" si="2506">SUMPRODUCT(($C$7:$C$18=$C840)*($D$6:$H$6=$D840)*($D$7:$H$18))</f>
        <v>0</v>
      </c>
      <c r="L840">
        <f t="shared" ref="L840:L843" si="2507">SUMPRODUCT(($C$19:$C$23=$D840)*($I$6:$O$6=$E840)*($I$19:$O$23))</f>
        <v>1</v>
      </c>
      <c r="M840">
        <f t="shared" ref="M840:M843" si="2508">SUMPRODUCT(($C$24:$C$30=$E840)*($P$6:$AI$6=$F840)*($P$24:$AI$30))</f>
        <v>1</v>
      </c>
      <c r="N840">
        <f t="shared" ref="N840:N843" si="2509">SUMPRODUCT(($C$31:$C$50=$F840)*($AJ$6:$AM$6=$G840)*($AJ$31:$AM$50))</f>
        <v>0</v>
      </c>
      <c r="O840">
        <f t="shared" ref="O840:O843" si="2510">K840+L840+M840+N840</f>
        <v>2</v>
      </c>
      <c r="P840" t="str">
        <f t="shared" ref="P840:P843" si="2511">CONCATENATE(C840,"-",J840)</f>
        <v>Small decentralized biomass gasification-Levelized cost</v>
      </c>
      <c r="Q840" t="str">
        <f t="shared" ref="Q840:Q843" si="2512">CONCATENATE(D840,"-",J840)</f>
        <v>Distributed gas storage-Levelized cost</v>
      </c>
      <c r="R840" t="str">
        <f t="shared" ref="R840:R843" si="2513">CONCATENATE(E840,"-",J840)</f>
        <v>Hydrogen distribution pipeline-Levelized cost</v>
      </c>
      <c r="S840" t="str">
        <f t="shared" ref="S840:S843" si="2514">CONCATENATE(F840,"-",J840)</f>
        <v>Micro-CHP with H2 fuel cell (heat)-Levelized cost</v>
      </c>
      <c r="T840">
        <f ca="1">IF(timePeriod="2020-30",(VLOOKUP($P840,'TA database'!$I$8:$J$79,2,FALSE)/VLOOKUP($D840,'Merit calculation'!$B$48:$I$52,5,FALSE)/VLOOKUP($E840,'Merit calculation'!$B$67:$I$73,5,FALSE)/VLOOKUP($F840,'Merit calculation'!$B$90:$I$103,5,FALSE)/energyContentH2),(VLOOKUP($P840,'TA database'!$I$8:$J$79,2,FALSE)/VLOOKUP($D840,'Merit calculation'!$B$48:$I$52,7,FALSE)/VLOOKUP($E840,'Merit calculation'!$B$67:$I$73,7,FALSE)/VLOOKUP($F840,'Merit calculation'!$B$90:$I$103,7,FALSE)/energyContentH2))</f>
        <v>1.9759330400991759E-2</v>
      </c>
      <c r="U840">
        <f ca="1">IF(timePeriod="2020-30",(VLOOKUP($Q840,'TA database'!$I$86:$J$105,2,FALSE)/VLOOKUP($E840,'Merit calculation'!$B$67:$I$73,5,FALSE)/VLOOKUP($F840,'Merit calculation'!$B$90:$I$104,5,FALSE)/energyContentH2),VLOOKUP($Q840,'TA database'!$I$86:$J$105,2,FALSE)/VLOOKUP($E840,'Merit calculation'!$B$67:$I$73,7,FALSE)/VLOOKUP($F840,'Merit calculation'!$B$90:$I$104,7,FALSE)/energyContentH2)</f>
        <v>1.0784053983560304E-3</v>
      </c>
      <c r="V840">
        <f ca="1">IF(timePeriod="2020-30",(VLOOKUP($R840,'TA database'!$I$112:$J$139,2,FALSE)/VLOOKUP($F840,'Merit calculation'!$B$90:$I$104,5,FALSE)/energyContentH2),(VLOOKUP($R840,'TA database'!$I$112:$J$139,2,FALSE)/VLOOKUP($F840,'Merit calculation'!$B$90:$I$104,7,FALSE)/energyContentH2))</f>
        <v>3.1118832062507489E-3</v>
      </c>
      <c r="W840">
        <f ca="1">IFERROR(VLOOKUP($S840,'TA database'!$I$146:$J$193,2,FALSE),0)</f>
        <v>3.0801291854688804E-2</v>
      </c>
      <c r="X840">
        <f>IFERROR(VLOOKUP($S840,'TA database'!$I$200:$J$271,2,FALSE),0)</f>
        <v>0</v>
      </c>
      <c r="Y840">
        <f t="shared" ref="Y840:Y842" ca="1" si="2515">IF($W840=0,T840*3.6+U840*3.6+V840*3.6+X840,T840+U840+V840+W840)</f>
        <v>5.4750910860287341E-2</v>
      </c>
      <c r="Z840" t="str">
        <f t="shared" ref="Z840:Z843" si="2516">CONCATENATE(AG840,"   →   ",AH840,"   →   ",AI840,"   →   ",AJ840)</f>
        <v>BIO_GSF_SML_D   →   D_GAS_STRG   →   H2_DSTRB_P   →   H2_FC_mCHP_HEAT</v>
      </c>
      <c r="AA840" t="str">
        <f t="shared" ref="AA840:AA843" si="2517">G840</f>
        <v>Building heat</v>
      </c>
      <c r="AB840" t="str">
        <f t="shared" ref="AB840:AB843" si="2518">J840</f>
        <v>Levelized cost</v>
      </c>
      <c r="AC840">
        <f t="shared" ref="AC840:AC843" ca="1" si="2519">Y840</f>
        <v>5.4750910860287341E-2</v>
      </c>
      <c r="AD840">
        <v>781</v>
      </c>
      <c r="AE840" t="str">
        <f>IF(AND(ISNUMBER(SEARCH(O840,4)),ISNUMBER(SEARCH('(4) FCH pathway assessment'!$B$16,AB840)),ISNUMBER(SEARCH('(4) FCH pathway assessment'!$B$10,AA840))),AD840,"")</f>
        <v/>
      </c>
      <c r="AF840" t="str">
        <f t="shared" si="2450"/>
        <v/>
      </c>
      <c r="AG840" t="str">
        <f>VLOOKUP(C840,Assumptions!$B$116:$C$162,2,FALSE)</f>
        <v>BIO_GSF_SML_D</v>
      </c>
      <c r="AH840" t="str">
        <f>VLOOKUP(D840,Assumptions!$B$116:$C$162,2,FALSE)</f>
        <v>D_GAS_STRG</v>
      </c>
      <c r="AI840" t="str">
        <f>VLOOKUP(E840,Assumptions!$B$116:$C$162,2,FALSE)</f>
        <v>H2_DSTRB_P</v>
      </c>
      <c r="AJ840" t="str">
        <f>VLOOKUP(F840,Assumptions!$B$116:$C$162,2,FALSE)</f>
        <v>H2_FC_mCHP_HEAT</v>
      </c>
    </row>
    <row r="841" spans="2:36" x14ac:dyDescent="0.25">
      <c r="B841" t="s">
        <v>117</v>
      </c>
      <c r="C841" t="s">
        <v>56</v>
      </c>
      <c r="D841" t="s">
        <v>62</v>
      </c>
      <c r="E841" t="s">
        <v>157</v>
      </c>
      <c r="F841" t="s">
        <v>543</v>
      </c>
      <c r="G841" t="s">
        <v>132</v>
      </c>
      <c r="H841" t="s">
        <v>434</v>
      </c>
      <c r="I841" t="s">
        <v>32</v>
      </c>
      <c r="J841" t="s">
        <v>72</v>
      </c>
      <c r="K841">
        <f t="shared" si="2506"/>
        <v>0</v>
      </c>
      <c r="L841">
        <f t="shared" si="2507"/>
        <v>0</v>
      </c>
      <c r="M841">
        <f t="shared" si="2508"/>
        <v>0</v>
      </c>
      <c r="N841">
        <f t="shared" si="2509"/>
        <v>0</v>
      </c>
      <c r="O841">
        <f t="shared" si="2510"/>
        <v>0</v>
      </c>
      <c r="P841" t="str">
        <f t="shared" si="2511"/>
        <v>Large centralized biomass steam reforming -Levelized cost</v>
      </c>
      <c r="Q841" t="str">
        <f t="shared" si="2512"/>
        <v>Underground storage-Levelized cost</v>
      </c>
      <c r="R841" t="str">
        <f t="shared" si="2513"/>
        <v>Blending in natural gas pipeline-Levelized cost</v>
      </c>
      <c r="S841" t="str">
        <f t="shared" si="2514"/>
        <v>Micro-CHP with H2 fuel cell (heat)-Levelized cost</v>
      </c>
      <c r="T841">
        <f ca="1">IF(timePeriod="2020-30",(VLOOKUP($P841,'TA database'!$I$8:$J$79,2,FALSE)/VLOOKUP($D841,'Merit calculation'!$B$48:$I$52,5,FALSE)/VLOOKUP($E841,'Merit calculation'!$B$67:$I$73,5,FALSE)/VLOOKUP($F841,'Merit calculation'!$B$90:$I$103,5,FALSE)/energyContentH2),(VLOOKUP($P841,'TA database'!$I$8:$J$79,2,FALSE)/VLOOKUP($D841,'Merit calculation'!$B$48:$I$52,7,FALSE)/VLOOKUP($E841,'Merit calculation'!$B$67:$I$73,7,FALSE)/VLOOKUP($F841,'Merit calculation'!$B$90:$I$103,7,FALSE)/energyContentH2))</f>
        <v>8.574633557221505E-3</v>
      </c>
      <c r="U841">
        <f ca="1">IF(timePeriod="2020-30",(VLOOKUP($Q841,'TA database'!$I$86:$J$105,2,FALSE)/VLOOKUP($E841,'Merit calculation'!$B$67:$I$73,5,FALSE)/VLOOKUP($F841,'Merit calculation'!$B$90:$I$104,5,FALSE)/energyContentH2),VLOOKUP($Q841,'TA database'!$I$86:$J$105,2,FALSE)/VLOOKUP($E841,'Merit calculation'!$B$67:$I$73,7,FALSE)/VLOOKUP($F841,'Merit calculation'!$B$90:$I$104,7,FALSE)/energyContentH2)</f>
        <v>1.2082134555655529E-4</v>
      </c>
      <c r="V841">
        <f ca="1">IF(timePeriod="2020-30",(VLOOKUP($R841,'TA database'!$I$112:$J$139,2,FALSE)/VLOOKUP($F841,'Merit calculation'!$B$90:$I$104,5,FALSE)/energyContentH2),(VLOOKUP($R841,'TA database'!$I$112:$J$139,2,FALSE)/VLOOKUP($F841,'Merit calculation'!$B$90:$I$104,7,FALSE)/energyContentH2))</f>
        <v>1.7384034629971238E-3</v>
      </c>
      <c r="W841">
        <f ca="1">IFERROR(VLOOKUP($S841,'TA database'!$I$146:$J$193,2,FALSE),0)</f>
        <v>3.0801291854688804E-2</v>
      </c>
      <c r="X841">
        <f>IFERROR(VLOOKUP($S841,'TA database'!$I$200:$J$271,2,FALSE),0)</f>
        <v>0</v>
      </c>
      <c r="Y841">
        <f t="shared" ca="1" si="2515"/>
        <v>4.1235150220463992E-2</v>
      </c>
      <c r="Z841" t="str">
        <f t="shared" si="2516"/>
        <v>BIO_SR_LRG_C   →   C_UNDRGRND_STRG   →   H2_BLND_NG_P   →   H2_FC_mCHP_HEAT</v>
      </c>
      <c r="AA841" t="str">
        <f t="shared" si="2517"/>
        <v>Building heat</v>
      </c>
      <c r="AB841" t="str">
        <f t="shared" si="2518"/>
        <v>Levelized cost</v>
      </c>
      <c r="AC841">
        <f t="shared" ca="1" si="2519"/>
        <v>4.1235150220463992E-2</v>
      </c>
      <c r="AD841">
        <v>782</v>
      </c>
      <c r="AE841" t="str">
        <f>IF(AND(ISNUMBER(SEARCH(O841,4)),ISNUMBER(SEARCH('(4) FCH pathway assessment'!$B$16,AB841)),ISNUMBER(SEARCH('(4) FCH pathway assessment'!$B$10,AA841))),AD841,"")</f>
        <v/>
      </c>
      <c r="AF841" t="str">
        <f t="shared" si="2450"/>
        <v/>
      </c>
      <c r="AG841" t="str">
        <f>VLOOKUP(C841,Assumptions!$B$116:$C$162,2,FALSE)</f>
        <v>BIO_SR_LRG_C</v>
      </c>
      <c r="AH841" t="str">
        <f>VLOOKUP(D841,Assumptions!$B$116:$C$162,2,FALSE)</f>
        <v>C_UNDRGRND_STRG</v>
      </c>
      <c r="AI841" t="str">
        <f>VLOOKUP(E841,Assumptions!$B$116:$C$162,2,FALSE)</f>
        <v>H2_BLND_NG_P</v>
      </c>
      <c r="AJ841" t="str">
        <f>VLOOKUP(F841,Assumptions!$B$116:$C$162,2,FALSE)</f>
        <v>H2_FC_mCHP_HEAT</v>
      </c>
    </row>
    <row r="842" spans="2:36" x14ac:dyDescent="0.25">
      <c r="B842" t="s">
        <v>117</v>
      </c>
      <c r="C842" t="s">
        <v>56</v>
      </c>
      <c r="D842" t="s">
        <v>62</v>
      </c>
      <c r="E842" t="s">
        <v>122</v>
      </c>
      <c r="F842" t="s">
        <v>543</v>
      </c>
      <c r="G842" t="s">
        <v>132</v>
      </c>
      <c r="H842" t="s">
        <v>434</v>
      </c>
      <c r="I842" t="s">
        <v>32</v>
      </c>
      <c r="J842" t="s">
        <v>72</v>
      </c>
      <c r="K842">
        <f t="shared" si="2506"/>
        <v>0</v>
      </c>
      <c r="L842">
        <f t="shared" si="2507"/>
        <v>0</v>
      </c>
      <c r="M842">
        <f t="shared" si="2508"/>
        <v>1</v>
      </c>
      <c r="N842">
        <f t="shared" si="2509"/>
        <v>0</v>
      </c>
      <c r="O842">
        <f t="shared" si="2510"/>
        <v>1</v>
      </c>
      <c r="P842" t="str">
        <f t="shared" si="2511"/>
        <v>Large centralized biomass steam reforming -Levelized cost</v>
      </c>
      <c r="Q842" t="str">
        <f t="shared" si="2512"/>
        <v>Underground storage-Levelized cost</v>
      </c>
      <c r="R842" t="str">
        <f t="shared" si="2513"/>
        <v>Hydrogen transmission &amp; distribution pipeline-Levelized cost</v>
      </c>
      <c r="S842" t="str">
        <f t="shared" si="2514"/>
        <v>Micro-CHP with H2 fuel cell (heat)-Levelized cost</v>
      </c>
      <c r="T842">
        <f ca="1">IF(timePeriod="2020-30",(VLOOKUP($P842,'TA database'!$I$8:$J$79,2,FALSE)/VLOOKUP($D842,'Merit calculation'!$B$48:$I$52,5,FALSE)/VLOOKUP($E842,'Merit calculation'!$B$67:$I$73,5,FALSE)/VLOOKUP($F842,'Merit calculation'!$B$90:$I$103,5,FALSE)/energyContentH2),(VLOOKUP($P842,'TA database'!$I$8:$J$79,2,FALSE)/VLOOKUP($D842,'Merit calculation'!$B$48:$I$52,7,FALSE)/VLOOKUP($E842,'Merit calculation'!$B$67:$I$73,7,FALSE)/VLOOKUP($F842,'Merit calculation'!$B$90:$I$103,7,FALSE)/energyContentH2))</f>
        <v>8.574633557221505E-3</v>
      </c>
      <c r="U842">
        <f ca="1">IF(timePeriod="2020-30",(VLOOKUP($Q842,'TA database'!$I$86:$J$105,2,FALSE)/VLOOKUP($E842,'Merit calculation'!$B$67:$I$73,5,FALSE)/VLOOKUP($F842,'Merit calculation'!$B$90:$I$104,5,FALSE)/energyContentH2),VLOOKUP($Q842,'TA database'!$I$86:$J$105,2,FALSE)/VLOOKUP($E842,'Merit calculation'!$B$67:$I$73,7,FALSE)/VLOOKUP($F842,'Merit calculation'!$B$90:$I$104,7,FALSE)/energyContentH2)</f>
        <v>1.2082134555655529E-4</v>
      </c>
      <c r="V842">
        <f ca="1">IF(timePeriod="2020-30",(VLOOKUP($R842,'TA database'!$I$112:$J$139,2,FALSE)/VLOOKUP($F842,'Merit calculation'!$B$90:$I$104,5,FALSE)/energyContentH2),(VLOOKUP($R842,'TA database'!$I$112:$J$139,2,FALSE)/VLOOKUP($F842,'Merit calculation'!$B$90:$I$104,7,FALSE)/energyContentH2))</f>
        <v>3.2343874592991049E-3</v>
      </c>
      <c r="W842">
        <f ca="1">IFERROR(VLOOKUP($S842,'TA database'!$I$146:$J$193,2,FALSE),0)</f>
        <v>3.0801291854688804E-2</v>
      </c>
      <c r="X842">
        <f>IFERROR(VLOOKUP($S842,'TA database'!$I$200:$J$271,2,FALSE),0)</f>
        <v>0</v>
      </c>
      <c r="Y842">
        <f t="shared" ca="1" si="2515"/>
        <v>4.273113421676597E-2</v>
      </c>
      <c r="Z842" t="str">
        <f t="shared" si="2516"/>
        <v>BIO_SR_LRG_C   →   C_UNDRGRND_STRG   →   H2_T&amp;D_P   →   H2_FC_mCHP_HEAT</v>
      </c>
      <c r="AA842" t="str">
        <f t="shared" si="2517"/>
        <v>Building heat</v>
      </c>
      <c r="AB842" t="str">
        <f t="shared" si="2518"/>
        <v>Levelized cost</v>
      </c>
      <c r="AC842">
        <f t="shared" ca="1" si="2519"/>
        <v>4.273113421676597E-2</v>
      </c>
      <c r="AD842">
        <v>783</v>
      </c>
      <c r="AE842" t="str">
        <f>IF(AND(ISNUMBER(SEARCH(O842,4)),ISNUMBER(SEARCH('(4) FCH pathway assessment'!$B$16,AB842)),ISNUMBER(SEARCH('(4) FCH pathway assessment'!$B$10,AA842))),AD842,"")</f>
        <v/>
      </c>
      <c r="AF842" t="str">
        <f t="shared" si="2450"/>
        <v/>
      </c>
      <c r="AG842" t="str">
        <f>VLOOKUP(C842,Assumptions!$B$116:$C$162,2,FALSE)</f>
        <v>BIO_SR_LRG_C</v>
      </c>
      <c r="AH842" t="str">
        <f>VLOOKUP(D842,Assumptions!$B$116:$C$162,2,FALSE)</f>
        <v>C_UNDRGRND_STRG</v>
      </c>
      <c r="AI842" t="str">
        <f>VLOOKUP(E842,Assumptions!$B$116:$C$162,2,FALSE)</f>
        <v>H2_T&amp;D_P</v>
      </c>
      <c r="AJ842" t="str">
        <f>VLOOKUP(F842,Assumptions!$B$116:$C$162,2,FALSE)</f>
        <v>H2_FC_mCHP_HEAT</v>
      </c>
    </row>
    <row r="843" spans="2:36" x14ac:dyDescent="0.25">
      <c r="B843" t="s">
        <v>117</v>
      </c>
      <c r="C843" t="s">
        <v>56</v>
      </c>
      <c r="D843" s="61" t="s">
        <v>63</v>
      </c>
      <c r="E843" t="s">
        <v>122</v>
      </c>
      <c r="F843" t="s">
        <v>543</v>
      </c>
      <c r="G843" t="s">
        <v>132</v>
      </c>
      <c r="H843" t="s">
        <v>434</v>
      </c>
      <c r="I843" t="s">
        <v>32</v>
      </c>
      <c r="J843" t="s">
        <v>72</v>
      </c>
      <c r="K843">
        <f t="shared" si="2506"/>
        <v>0</v>
      </c>
      <c r="L843">
        <f t="shared" si="2507"/>
        <v>1</v>
      </c>
      <c r="M843">
        <f t="shared" si="2508"/>
        <v>1</v>
      </c>
      <c r="N843">
        <f t="shared" si="2509"/>
        <v>0</v>
      </c>
      <c r="O843">
        <f t="shared" si="2510"/>
        <v>2</v>
      </c>
      <c r="P843" t="str">
        <f t="shared" si="2511"/>
        <v>Large centralized biomass steam reforming -Levelized cost</v>
      </c>
      <c r="Q843" t="str">
        <f t="shared" si="2512"/>
        <v>No storage-Levelized cost</v>
      </c>
      <c r="R843" t="str">
        <f t="shared" si="2513"/>
        <v>Hydrogen transmission &amp; distribution pipeline-Levelized cost</v>
      </c>
      <c r="S843" t="str">
        <f t="shared" si="2514"/>
        <v>Micro-CHP with H2 fuel cell (heat)-Levelized cost</v>
      </c>
      <c r="T843">
        <f ca="1">IF(timePeriod="2020-30",(VLOOKUP($P843,'TA database'!$I$8:$J$79,2,FALSE)/VLOOKUP($D843,'Merit calculation'!$B$48:$I$52,5,FALSE)/VLOOKUP($E843,'Merit calculation'!$B$67:$I$73,5,FALSE)/VLOOKUP($F843,'Merit calculation'!$B$90:$I$103,5,FALSE)/energyContentH2),(VLOOKUP($P843,'TA database'!$I$8:$J$79,2,FALSE)/VLOOKUP($D843,'Merit calculation'!$B$48:$I$52,7,FALSE)/VLOOKUP($E843,'Merit calculation'!$B$67:$I$73,7,FALSE)/VLOOKUP($F843,'Merit calculation'!$B$90:$I$103,7,FALSE)/energyContentH2))</f>
        <v>8.4888872216492897E-3</v>
      </c>
      <c r="U843">
        <f ca="1">IF(timePeriod="2020-30",(VLOOKUP($Q843,'TA database'!$I$86:$J$105,2,FALSE)/VLOOKUP($E843,'Merit calculation'!$B$67:$I$73,5,FALSE)/VLOOKUP($F843,'Merit calculation'!$B$90:$I$104,5,FALSE)/energyContentH2),VLOOKUP($Q843,'TA database'!$I$86:$J$105,2,FALSE)/VLOOKUP($E843,'Merit calculation'!$B$67:$I$73,7,FALSE)/VLOOKUP($F843,'Merit calculation'!$B$90:$I$104,7,FALSE)/energyContentH2)</f>
        <v>0</v>
      </c>
      <c r="V843">
        <f ca="1">IF(timePeriod="2020-30",(VLOOKUP($R843,'TA database'!$I$112:$J$139,2,FALSE)/VLOOKUP($F843,'Merit calculation'!$B$90:$I$104,5,FALSE)/energyContentH2),(VLOOKUP($R843,'TA database'!$I$112:$J$139,2,FALSE)/VLOOKUP($F843,'Merit calculation'!$B$90:$I$104,7,FALSE)/energyContentH2))</f>
        <v>3.2343874592991049E-3</v>
      </c>
      <c r="W843">
        <f ca="1">IFERROR(VLOOKUP($S843,'TA database'!$I$146:$J$193,2,FALSE),0)</f>
        <v>3.0801291854688804E-2</v>
      </c>
      <c r="X843">
        <f>IFERROR(VLOOKUP($S843,'TA database'!$I$200:$J$271,2,FALSE),0)</f>
        <v>0</v>
      </c>
      <c r="Y843">
        <f t="shared" ref="Y843:Y847" ca="1" si="2520">IF($W843=0,T843*3.6+U843*3.6+V843*3.6+X843,T843+U843+V843+W843)</f>
        <v>4.2524566535637201E-2</v>
      </c>
      <c r="Z843" t="str">
        <f t="shared" si="2516"/>
        <v>BIO_SR_LRG_C   →   NO_STRG   →   H2_T&amp;D_P   →   H2_FC_mCHP_HEAT</v>
      </c>
      <c r="AA843" t="str">
        <f t="shared" si="2517"/>
        <v>Building heat</v>
      </c>
      <c r="AB843" t="str">
        <f t="shared" si="2518"/>
        <v>Levelized cost</v>
      </c>
      <c r="AC843">
        <f t="shared" ca="1" si="2519"/>
        <v>4.2524566535637201E-2</v>
      </c>
      <c r="AD843">
        <v>784</v>
      </c>
      <c r="AE843" t="str">
        <f>IF(AND(ISNUMBER(SEARCH(O843,4)),ISNUMBER(SEARCH('(4) FCH pathway assessment'!$B$16,AB843)),ISNUMBER(SEARCH('(4) FCH pathway assessment'!$B$10,AA843))),AD843,"")</f>
        <v/>
      </c>
      <c r="AF843" t="str">
        <f t="shared" si="2450"/>
        <v/>
      </c>
      <c r="AG843" t="str">
        <f>VLOOKUP(C843,Assumptions!$B$116:$C$162,2,FALSE)</f>
        <v>BIO_SR_LRG_C</v>
      </c>
      <c r="AH843" t="str">
        <f>VLOOKUP(D843,Assumptions!$B$116:$C$162,2,FALSE)</f>
        <v>NO_STRG</v>
      </c>
      <c r="AI843" t="str">
        <f>VLOOKUP(E843,Assumptions!$B$116:$C$162,2,FALSE)</f>
        <v>H2_T&amp;D_P</v>
      </c>
      <c r="AJ843" t="str">
        <f>VLOOKUP(F843,Assumptions!$B$116:$C$162,2,FALSE)</f>
        <v>H2_FC_mCHP_HEAT</v>
      </c>
    </row>
    <row r="844" spans="2:36" x14ac:dyDescent="0.25">
      <c r="B844" t="s">
        <v>112</v>
      </c>
      <c r="C844" t="s">
        <v>49</v>
      </c>
      <c r="D844" t="s">
        <v>62</v>
      </c>
      <c r="E844" t="s">
        <v>157</v>
      </c>
      <c r="F844" t="s">
        <v>543</v>
      </c>
      <c r="G844" t="s">
        <v>132</v>
      </c>
      <c r="H844" t="s">
        <v>434</v>
      </c>
      <c r="I844" t="s">
        <v>32</v>
      </c>
      <c r="J844" t="s">
        <v>72</v>
      </c>
      <c r="K844">
        <f t="shared" ref="K844:K849" si="2521">SUMPRODUCT(($C$7:$C$18=$C844)*($D$6:$H$6=$D844)*($D$7:$H$18))</f>
        <v>1</v>
      </c>
      <c r="L844">
        <f t="shared" ref="L844:L849" si="2522">SUMPRODUCT(($C$19:$C$23=$D844)*($I$6:$O$6=$E844)*($I$19:$O$23))</f>
        <v>0</v>
      </c>
      <c r="M844">
        <f t="shared" ref="M844:M849" si="2523">SUMPRODUCT(($C$24:$C$30=$E844)*($P$6:$AI$6=$F844)*($P$24:$AI$30))</f>
        <v>0</v>
      </c>
      <c r="N844">
        <f t="shared" ref="N844:N849" si="2524">SUMPRODUCT(($C$31:$C$50=$F844)*($AJ$6:$AM$6=$G844)*($AJ$31:$AM$50))</f>
        <v>0</v>
      </c>
      <c r="O844">
        <f t="shared" ref="O844:O849" si="2525">K844+L844+M844+N844</f>
        <v>1</v>
      </c>
      <c r="P844" t="str">
        <f t="shared" ref="P844:P849" si="2526">CONCATENATE(C844,"-",J844)</f>
        <v>Large centralized electrolysis-Levelized cost</v>
      </c>
      <c r="Q844" t="str">
        <f t="shared" ref="Q844:Q849" si="2527">CONCATENATE(D844,"-",J844)</f>
        <v>Underground storage-Levelized cost</v>
      </c>
      <c r="R844" t="str">
        <f t="shared" ref="R844:R849" si="2528">CONCATENATE(E844,"-",J844)</f>
        <v>Blending in natural gas pipeline-Levelized cost</v>
      </c>
      <c r="S844" t="str">
        <f t="shared" ref="S844:S849" si="2529">CONCATENATE(F844,"-",J844)</f>
        <v>Micro-CHP with H2 fuel cell (heat)-Levelized cost</v>
      </c>
      <c r="T844">
        <f ca="1">IF(timePeriod="2020-30",(VLOOKUP($P844,'TA database'!$I$8:$J$79,2,FALSE)/VLOOKUP($D844,'Merit calculation'!$B$48:$I$52,5,FALSE)/VLOOKUP($E844,'Merit calculation'!$B$67:$I$73,5,FALSE)/VLOOKUP($F844,'Merit calculation'!$B$90:$I$103,5,FALSE)/energyContentH2),(VLOOKUP($P844,'TA database'!$I$8:$J$79,2,FALSE)/VLOOKUP($D844,'Merit calculation'!$B$48:$I$52,7,FALSE)/VLOOKUP($E844,'Merit calculation'!$B$67:$I$73,7,FALSE)/VLOOKUP($F844,'Merit calculation'!$B$90:$I$103,7,FALSE)/energyContentH2))</f>
        <v>1.8283677290194346E-2</v>
      </c>
      <c r="U844">
        <f ca="1">IF(timePeriod="2020-30",(VLOOKUP($Q844,'TA database'!$I$86:$J$105,2,FALSE)/VLOOKUP($E844,'Merit calculation'!$B$67:$I$73,5,FALSE)/VLOOKUP($F844,'Merit calculation'!$B$90:$I$104,5,FALSE)/energyContentH2),VLOOKUP($Q844,'TA database'!$I$86:$J$105,2,FALSE)/VLOOKUP($E844,'Merit calculation'!$B$67:$I$73,7,FALSE)/VLOOKUP($F844,'Merit calculation'!$B$90:$I$104,7,FALSE)/energyContentH2)</f>
        <v>1.2082134555655529E-4</v>
      </c>
      <c r="V844">
        <f ca="1">IF(timePeriod="2020-30",(VLOOKUP($R844,'TA database'!$I$112:$J$139,2,FALSE)/VLOOKUP($F844,'Merit calculation'!$B$90:$I$104,5,FALSE)/energyContentH2),(VLOOKUP($R844,'TA database'!$I$112:$J$139,2,FALSE)/VLOOKUP($F844,'Merit calculation'!$B$90:$I$104,7,FALSE)/energyContentH2))</f>
        <v>1.7384034629971238E-3</v>
      </c>
      <c r="W844">
        <f ca="1">IFERROR(VLOOKUP($S844,'TA database'!$I$146:$J$193,2,FALSE),0)</f>
        <v>3.0801291854688804E-2</v>
      </c>
      <c r="X844">
        <f>IFERROR(VLOOKUP($S844,'TA database'!$I$200:$J$271,2,FALSE),0)</f>
        <v>0</v>
      </c>
      <c r="Y844">
        <f t="shared" ca="1" si="2520"/>
        <v>5.0944193953436828E-2</v>
      </c>
      <c r="Z844" t="str">
        <f t="shared" ref="Z844:Z849" si="2530">CONCATENATE(AG844,"   →   ",AH844,"   →   ",AI844,"   →   ",AJ844)</f>
        <v>ELCTRLYZ_LRG_C   →   C_UNDRGRND_STRG   →   H2_BLND_NG_P   →   H2_FC_mCHP_HEAT</v>
      </c>
      <c r="AA844" t="str">
        <f t="shared" ref="AA844:AA849" si="2531">G844</f>
        <v>Building heat</v>
      </c>
      <c r="AB844" t="str">
        <f t="shared" ref="AB844:AB849" si="2532">J844</f>
        <v>Levelized cost</v>
      </c>
      <c r="AC844">
        <f t="shared" ref="AC844:AC849" ca="1" si="2533">Y844</f>
        <v>5.0944193953436828E-2</v>
      </c>
      <c r="AD844">
        <v>785</v>
      </c>
      <c r="AE844" t="str">
        <f>IF(AND(ISNUMBER(SEARCH(O844,4)),ISNUMBER(SEARCH('(4) FCH pathway assessment'!$B$16,AB844)),ISNUMBER(SEARCH('(4) FCH pathway assessment'!$B$10,AA844))),AD844,"")</f>
        <v/>
      </c>
      <c r="AF844" t="str">
        <f t="shared" si="2450"/>
        <v/>
      </c>
      <c r="AG844" t="str">
        <f>VLOOKUP(C844,Assumptions!$B$116:$C$162,2,FALSE)</f>
        <v>ELCTRLYZ_LRG_C</v>
      </c>
      <c r="AH844" t="str">
        <f>VLOOKUP(D844,Assumptions!$B$116:$C$162,2,FALSE)</f>
        <v>C_UNDRGRND_STRG</v>
      </c>
      <c r="AI844" t="str">
        <f>VLOOKUP(E844,Assumptions!$B$116:$C$162,2,FALSE)</f>
        <v>H2_BLND_NG_P</v>
      </c>
      <c r="AJ844" t="str">
        <f>VLOOKUP(F844,Assumptions!$B$116:$C$162,2,FALSE)</f>
        <v>H2_FC_mCHP_HEAT</v>
      </c>
    </row>
    <row r="845" spans="2:36" x14ac:dyDescent="0.25">
      <c r="B845" t="s">
        <v>112</v>
      </c>
      <c r="C845" t="s">
        <v>49</v>
      </c>
      <c r="D845" t="s">
        <v>62</v>
      </c>
      <c r="E845" t="s">
        <v>122</v>
      </c>
      <c r="F845" t="s">
        <v>543</v>
      </c>
      <c r="G845" t="s">
        <v>132</v>
      </c>
      <c r="H845" t="s">
        <v>434</v>
      </c>
      <c r="I845" t="s">
        <v>32</v>
      </c>
      <c r="J845" t="s">
        <v>72</v>
      </c>
      <c r="K845">
        <f t="shared" si="2521"/>
        <v>1</v>
      </c>
      <c r="L845">
        <f t="shared" si="2522"/>
        <v>0</v>
      </c>
      <c r="M845">
        <f t="shared" si="2523"/>
        <v>1</v>
      </c>
      <c r="N845">
        <f t="shared" si="2524"/>
        <v>0</v>
      </c>
      <c r="O845">
        <f t="shared" si="2525"/>
        <v>2</v>
      </c>
      <c r="P845" t="str">
        <f t="shared" si="2526"/>
        <v>Large centralized electrolysis-Levelized cost</v>
      </c>
      <c r="Q845" t="str">
        <f t="shared" si="2527"/>
        <v>Underground storage-Levelized cost</v>
      </c>
      <c r="R845" t="str">
        <f t="shared" si="2528"/>
        <v>Hydrogen transmission &amp; distribution pipeline-Levelized cost</v>
      </c>
      <c r="S845" t="str">
        <f t="shared" si="2529"/>
        <v>Micro-CHP with H2 fuel cell (heat)-Levelized cost</v>
      </c>
      <c r="T845">
        <f ca="1">IF(timePeriod="2020-30",(VLOOKUP($P845,'TA database'!$I$8:$J$79,2,FALSE)/VLOOKUP($D845,'Merit calculation'!$B$48:$I$52,5,FALSE)/VLOOKUP($E845,'Merit calculation'!$B$67:$I$73,5,FALSE)/VLOOKUP($F845,'Merit calculation'!$B$90:$I$103,5,FALSE)/energyContentH2),(VLOOKUP($P845,'TA database'!$I$8:$J$79,2,FALSE)/VLOOKUP($D845,'Merit calculation'!$B$48:$I$52,7,FALSE)/VLOOKUP($E845,'Merit calculation'!$B$67:$I$73,7,FALSE)/VLOOKUP($F845,'Merit calculation'!$B$90:$I$103,7,FALSE)/energyContentH2))</f>
        <v>1.8283677290194346E-2</v>
      </c>
      <c r="U845">
        <f ca="1">IF(timePeriod="2020-30",(VLOOKUP($Q845,'TA database'!$I$86:$J$105,2,FALSE)/VLOOKUP($E845,'Merit calculation'!$B$67:$I$73,5,FALSE)/VLOOKUP($F845,'Merit calculation'!$B$90:$I$104,5,FALSE)/energyContentH2),VLOOKUP($Q845,'TA database'!$I$86:$J$105,2,FALSE)/VLOOKUP($E845,'Merit calculation'!$B$67:$I$73,7,FALSE)/VLOOKUP($F845,'Merit calculation'!$B$90:$I$104,7,FALSE)/energyContentH2)</f>
        <v>1.2082134555655529E-4</v>
      </c>
      <c r="V845">
        <f ca="1">IF(timePeriod="2020-30",(VLOOKUP($R845,'TA database'!$I$112:$J$139,2,FALSE)/VLOOKUP($F845,'Merit calculation'!$B$90:$I$104,5,FALSE)/energyContentH2),(VLOOKUP($R845,'TA database'!$I$112:$J$139,2,FALSE)/VLOOKUP($F845,'Merit calculation'!$B$90:$I$104,7,FALSE)/energyContentH2))</f>
        <v>3.2343874592991049E-3</v>
      </c>
      <c r="W845">
        <f ca="1">IFERROR(VLOOKUP($S845,'TA database'!$I$146:$J$193,2,FALSE),0)</f>
        <v>3.0801291854688804E-2</v>
      </c>
      <c r="X845">
        <f>IFERROR(VLOOKUP($S845,'TA database'!$I$200:$J$271,2,FALSE),0)</f>
        <v>0</v>
      </c>
      <c r="Y845">
        <f t="shared" ca="1" si="2520"/>
        <v>5.2440177949738806E-2</v>
      </c>
      <c r="Z845" t="str">
        <f t="shared" si="2530"/>
        <v>ELCTRLYZ_LRG_C   →   C_UNDRGRND_STRG   →   H2_T&amp;D_P   →   H2_FC_mCHP_HEAT</v>
      </c>
      <c r="AA845" t="str">
        <f t="shared" si="2531"/>
        <v>Building heat</v>
      </c>
      <c r="AB845" t="str">
        <f t="shared" si="2532"/>
        <v>Levelized cost</v>
      </c>
      <c r="AC845">
        <f t="shared" ca="1" si="2533"/>
        <v>5.2440177949738806E-2</v>
      </c>
      <c r="AD845">
        <v>786</v>
      </c>
      <c r="AE845" t="str">
        <f>IF(AND(ISNUMBER(SEARCH(O845,4)),ISNUMBER(SEARCH('(4) FCH pathway assessment'!$B$16,AB845)),ISNUMBER(SEARCH('(4) FCH pathway assessment'!$B$10,AA845))),AD845,"")</f>
        <v/>
      </c>
      <c r="AF845" t="str">
        <f t="shared" si="2450"/>
        <v/>
      </c>
      <c r="AG845" t="str">
        <f>VLOOKUP(C845,Assumptions!$B$116:$C$162,2,FALSE)</f>
        <v>ELCTRLYZ_LRG_C</v>
      </c>
      <c r="AH845" t="str">
        <f>VLOOKUP(D845,Assumptions!$B$116:$C$162,2,FALSE)</f>
        <v>C_UNDRGRND_STRG</v>
      </c>
      <c r="AI845" t="str">
        <f>VLOOKUP(E845,Assumptions!$B$116:$C$162,2,FALSE)</f>
        <v>H2_T&amp;D_P</v>
      </c>
      <c r="AJ845" t="str">
        <f>VLOOKUP(F845,Assumptions!$B$116:$C$162,2,FALSE)</f>
        <v>H2_FC_mCHP_HEAT</v>
      </c>
    </row>
    <row r="846" spans="2:36" x14ac:dyDescent="0.25">
      <c r="B846" t="s">
        <v>112</v>
      </c>
      <c r="C846" t="s">
        <v>49</v>
      </c>
      <c r="D846" t="s">
        <v>155</v>
      </c>
      <c r="E846" t="s">
        <v>157</v>
      </c>
      <c r="F846" t="s">
        <v>543</v>
      </c>
      <c r="G846" t="s">
        <v>132</v>
      </c>
      <c r="H846" t="s">
        <v>434</v>
      </c>
      <c r="I846" t="s">
        <v>32</v>
      </c>
      <c r="J846" t="s">
        <v>72</v>
      </c>
      <c r="K846">
        <f t="shared" si="2521"/>
        <v>1</v>
      </c>
      <c r="L846">
        <f t="shared" si="2522"/>
        <v>1</v>
      </c>
      <c r="M846">
        <f t="shared" si="2523"/>
        <v>0</v>
      </c>
      <c r="N846">
        <f t="shared" si="2524"/>
        <v>0</v>
      </c>
      <c r="O846">
        <f t="shared" si="2525"/>
        <v>2</v>
      </c>
      <c r="P846" t="str">
        <f t="shared" si="2526"/>
        <v>Large centralized electrolysis-Levelized cost</v>
      </c>
      <c r="Q846" t="str">
        <f t="shared" si="2527"/>
        <v>Central gas storage-Levelized cost</v>
      </c>
      <c r="R846" t="str">
        <f t="shared" si="2528"/>
        <v>Blending in natural gas pipeline-Levelized cost</v>
      </c>
      <c r="S846" t="str">
        <f t="shared" si="2529"/>
        <v>Micro-CHP with H2 fuel cell (heat)-Levelized cost</v>
      </c>
      <c r="T846">
        <f ca="1">IF(timePeriod="2020-30",(VLOOKUP($P846,'TA database'!$I$8:$J$79,2,FALSE)/VLOOKUP($D846,'Merit calculation'!$B$48:$I$52,5,FALSE)/VLOOKUP($E846,'Merit calculation'!$B$67:$I$73,5,FALSE)/VLOOKUP($F846,'Merit calculation'!$B$90:$I$103,5,FALSE)/energyContentH2),(VLOOKUP($P846,'TA database'!$I$8:$J$79,2,FALSE)/VLOOKUP($D846,'Merit calculation'!$B$48:$I$52,7,FALSE)/VLOOKUP($E846,'Merit calculation'!$B$67:$I$73,7,FALSE)/VLOOKUP($F846,'Merit calculation'!$B$90:$I$103,7,FALSE)/energyContentH2))</f>
        <v>1.8470245425808572E-2</v>
      </c>
      <c r="U846">
        <f ca="1">IF(timePeriod="2020-30",(VLOOKUP($Q846,'TA database'!$I$86:$J$105,2,FALSE)/VLOOKUP($E846,'Merit calculation'!$B$67:$I$73,5,FALSE)/VLOOKUP($F846,'Merit calculation'!$B$90:$I$104,5,FALSE)/energyContentH2),VLOOKUP($Q846,'TA database'!$I$86:$J$105,2,FALSE)/VLOOKUP($E846,'Merit calculation'!$B$67:$I$73,7,FALSE)/VLOOKUP($F846,'Merit calculation'!$B$90:$I$104,7,FALSE)/energyContentH2)</f>
        <v>6.0660303657526706E-4</v>
      </c>
      <c r="V846">
        <f ca="1">IF(timePeriod="2020-30",(VLOOKUP($R846,'TA database'!$I$112:$J$139,2,FALSE)/VLOOKUP($F846,'Merit calculation'!$B$90:$I$104,5,FALSE)/energyContentH2),(VLOOKUP($R846,'TA database'!$I$112:$J$139,2,FALSE)/VLOOKUP($F846,'Merit calculation'!$B$90:$I$104,7,FALSE)/energyContentH2))</f>
        <v>1.7384034629971238E-3</v>
      </c>
      <c r="W846">
        <f ca="1">IFERROR(VLOOKUP($S846,'TA database'!$I$146:$J$193,2,FALSE),0)</f>
        <v>3.0801291854688804E-2</v>
      </c>
      <c r="X846">
        <f>IFERROR(VLOOKUP($S846,'TA database'!$I$200:$J$271,2,FALSE),0)</f>
        <v>0</v>
      </c>
      <c r="Y846">
        <f t="shared" ca="1" si="2520"/>
        <v>5.1616543780069767E-2</v>
      </c>
      <c r="Z846" t="str">
        <f t="shared" si="2530"/>
        <v>ELCTRLYZ_LRG_C   →   C_GAS_STRG   →   H2_BLND_NG_P   →   H2_FC_mCHP_HEAT</v>
      </c>
      <c r="AA846" t="str">
        <f t="shared" si="2531"/>
        <v>Building heat</v>
      </c>
      <c r="AB846" t="str">
        <f t="shared" si="2532"/>
        <v>Levelized cost</v>
      </c>
      <c r="AC846">
        <f t="shared" ca="1" si="2533"/>
        <v>5.1616543780069767E-2</v>
      </c>
      <c r="AD846">
        <v>787</v>
      </c>
      <c r="AE846" t="str">
        <f>IF(AND(ISNUMBER(SEARCH(O846,4)),ISNUMBER(SEARCH('(4) FCH pathway assessment'!$B$16,AB846)),ISNUMBER(SEARCH('(4) FCH pathway assessment'!$B$10,AA846))),AD846,"")</f>
        <v/>
      </c>
      <c r="AF846" t="str">
        <f t="shared" si="2450"/>
        <v/>
      </c>
      <c r="AG846" t="str">
        <f>VLOOKUP(C846,Assumptions!$B$116:$C$162,2,FALSE)</f>
        <v>ELCTRLYZ_LRG_C</v>
      </c>
      <c r="AH846" t="str">
        <f>VLOOKUP(D846,Assumptions!$B$116:$C$162,2,FALSE)</f>
        <v>C_GAS_STRG</v>
      </c>
      <c r="AI846" t="str">
        <f>VLOOKUP(E846,Assumptions!$B$116:$C$162,2,FALSE)</f>
        <v>H2_BLND_NG_P</v>
      </c>
      <c r="AJ846" t="str">
        <f>VLOOKUP(F846,Assumptions!$B$116:$C$162,2,FALSE)</f>
        <v>H2_FC_mCHP_HEAT</v>
      </c>
    </row>
    <row r="847" spans="2:36" x14ac:dyDescent="0.25">
      <c r="B847" t="s">
        <v>112</v>
      </c>
      <c r="C847" t="s">
        <v>49</v>
      </c>
      <c r="D847" t="s">
        <v>155</v>
      </c>
      <c r="E847" t="s">
        <v>122</v>
      </c>
      <c r="F847" t="s">
        <v>543</v>
      </c>
      <c r="G847" t="s">
        <v>132</v>
      </c>
      <c r="H847" t="s">
        <v>434</v>
      </c>
      <c r="I847" t="s">
        <v>32</v>
      </c>
      <c r="J847" t="s">
        <v>72</v>
      </c>
      <c r="K847">
        <f t="shared" si="2521"/>
        <v>1</v>
      </c>
      <c r="L847">
        <f t="shared" si="2522"/>
        <v>1</v>
      </c>
      <c r="M847">
        <f t="shared" si="2523"/>
        <v>1</v>
      </c>
      <c r="N847">
        <f t="shared" si="2524"/>
        <v>0</v>
      </c>
      <c r="O847">
        <f t="shared" si="2525"/>
        <v>3</v>
      </c>
      <c r="P847" t="str">
        <f t="shared" si="2526"/>
        <v>Large centralized electrolysis-Levelized cost</v>
      </c>
      <c r="Q847" t="str">
        <f t="shared" si="2527"/>
        <v>Central gas storage-Levelized cost</v>
      </c>
      <c r="R847" t="str">
        <f t="shared" si="2528"/>
        <v>Hydrogen transmission &amp; distribution pipeline-Levelized cost</v>
      </c>
      <c r="S847" t="str">
        <f t="shared" si="2529"/>
        <v>Micro-CHP with H2 fuel cell (heat)-Levelized cost</v>
      </c>
      <c r="T847">
        <f ca="1">IF(timePeriod="2020-30",(VLOOKUP($P847,'TA database'!$I$8:$J$79,2,FALSE)/VLOOKUP($D847,'Merit calculation'!$B$48:$I$52,5,FALSE)/VLOOKUP($E847,'Merit calculation'!$B$67:$I$73,5,FALSE)/VLOOKUP($F847,'Merit calculation'!$B$90:$I$103,5,FALSE)/energyContentH2),(VLOOKUP($P847,'TA database'!$I$8:$J$79,2,FALSE)/VLOOKUP($D847,'Merit calculation'!$B$48:$I$52,7,FALSE)/VLOOKUP($E847,'Merit calculation'!$B$67:$I$73,7,FALSE)/VLOOKUP($F847,'Merit calculation'!$B$90:$I$103,7,FALSE)/energyContentH2))</f>
        <v>1.8470245425808572E-2</v>
      </c>
      <c r="U847">
        <f ca="1">IF(timePeriod="2020-30",(VLOOKUP($Q847,'TA database'!$I$86:$J$105,2,FALSE)/VLOOKUP($E847,'Merit calculation'!$B$67:$I$73,5,FALSE)/VLOOKUP($F847,'Merit calculation'!$B$90:$I$104,5,FALSE)/energyContentH2),VLOOKUP($Q847,'TA database'!$I$86:$J$105,2,FALSE)/VLOOKUP($E847,'Merit calculation'!$B$67:$I$73,7,FALSE)/VLOOKUP($F847,'Merit calculation'!$B$90:$I$104,7,FALSE)/energyContentH2)</f>
        <v>6.0660303657526706E-4</v>
      </c>
      <c r="V847">
        <f ca="1">IF(timePeriod="2020-30",(VLOOKUP($R847,'TA database'!$I$112:$J$139,2,FALSE)/VLOOKUP($F847,'Merit calculation'!$B$90:$I$104,5,FALSE)/energyContentH2),(VLOOKUP($R847,'TA database'!$I$112:$J$139,2,FALSE)/VLOOKUP($F847,'Merit calculation'!$B$90:$I$104,7,FALSE)/energyContentH2))</f>
        <v>3.2343874592991049E-3</v>
      </c>
      <c r="W847">
        <f ca="1">IFERROR(VLOOKUP($S847,'TA database'!$I$146:$J$193,2,FALSE),0)</f>
        <v>3.0801291854688804E-2</v>
      </c>
      <c r="X847">
        <f>IFERROR(VLOOKUP($S847,'TA database'!$I$200:$J$271,2,FALSE),0)</f>
        <v>0</v>
      </c>
      <c r="Y847">
        <f t="shared" ca="1" si="2520"/>
        <v>5.3112527776371751E-2</v>
      </c>
      <c r="Z847" t="str">
        <f t="shared" si="2530"/>
        <v>ELCTRLYZ_LRG_C   →   C_GAS_STRG   →   H2_T&amp;D_P   →   H2_FC_mCHP_HEAT</v>
      </c>
      <c r="AA847" t="str">
        <f t="shared" si="2531"/>
        <v>Building heat</v>
      </c>
      <c r="AB847" t="str">
        <f t="shared" si="2532"/>
        <v>Levelized cost</v>
      </c>
      <c r="AC847">
        <f t="shared" ca="1" si="2533"/>
        <v>5.3112527776371751E-2</v>
      </c>
      <c r="AD847">
        <v>788</v>
      </c>
      <c r="AE847" t="str">
        <f>IF(AND(ISNUMBER(SEARCH(O847,4)),ISNUMBER(SEARCH('(4) FCH pathway assessment'!$B$16,AB847)),ISNUMBER(SEARCH('(4) FCH pathway assessment'!$B$10,AA847))),AD847,"")</f>
        <v/>
      </c>
      <c r="AF847" t="str">
        <f t="shared" si="2450"/>
        <v/>
      </c>
      <c r="AG847" t="str">
        <f>VLOOKUP(C847,Assumptions!$B$116:$C$162,2,FALSE)</f>
        <v>ELCTRLYZ_LRG_C</v>
      </c>
      <c r="AH847" t="str">
        <f>VLOOKUP(D847,Assumptions!$B$116:$C$162,2,FALSE)</f>
        <v>C_GAS_STRG</v>
      </c>
      <c r="AI847" t="str">
        <f>VLOOKUP(E847,Assumptions!$B$116:$C$162,2,FALSE)</f>
        <v>H2_T&amp;D_P</v>
      </c>
      <c r="AJ847" t="str">
        <f>VLOOKUP(F847,Assumptions!$B$116:$C$162,2,FALSE)</f>
        <v>H2_FC_mCHP_HEAT</v>
      </c>
    </row>
    <row r="848" spans="2:36" x14ac:dyDescent="0.25">
      <c r="B848" t="s">
        <v>112</v>
      </c>
      <c r="C848" t="s">
        <v>51</v>
      </c>
      <c r="D848" t="s">
        <v>155</v>
      </c>
      <c r="E848" t="s">
        <v>157</v>
      </c>
      <c r="F848" t="s">
        <v>543</v>
      </c>
      <c r="G848" t="s">
        <v>132</v>
      </c>
      <c r="H848" t="s">
        <v>434</v>
      </c>
      <c r="I848" t="s">
        <v>32</v>
      </c>
      <c r="J848" t="s">
        <v>72</v>
      </c>
      <c r="K848">
        <f t="shared" si="2521"/>
        <v>1</v>
      </c>
      <c r="L848">
        <f t="shared" si="2522"/>
        <v>1</v>
      </c>
      <c r="M848">
        <f t="shared" si="2523"/>
        <v>0</v>
      </c>
      <c r="N848">
        <f t="shared" si="2524"/>
        <v>0</v>
      </c>
      <c r="O848">
        <f t="shared" si="2525"/>
        <v>2</v>
      </c>
      <c r="P848" t="str">
        <f t="shared" si="2526"/>
        <v>Medium centralized electrolysis-Levelized cost</v>
      </c>
      <c r="Q848" t="str">
        <f t="shared" si="2527"/>
        <v>Central gas storage-Levelized cost</v>
      </c>
      <c r="R848" t="str">
        <f t="shared" si="2528"/>
        <v>Blending in natural gas pipeline-Levelized cost</v>
      </c>
      <c r="S848" t="str">
        <f t="shared" si="2529"/>
        <v>Micro-CHP with H2 fuel cell (heat)-Levelized cost</v>
      </c>
      <c r="T848">
        <f ca="1">IF(timePeriod="2020-30",(VLOOKUP($P848,'TA database'!$I$8:$J$79,2,FALSE)/VLOOKUP($D848,'Merit calculation'!$B$48:$I$52,5,FALSE)/VLOOKUP($E848,'Merit calculation'!$B$67:$I$73,5,FALSE)/VLOOKUP($F848,'Merit calculation'!$B$90:$I$103,5,FALSE)/energyContentH2),(VLOOKUP($P848,'TA database'!$I$8:$J$79,2,FALSE)/VLOOKUP($D848,'Merit calculation'!$B$48:$I$52,7,FALSE)/VLOOKUP($E848,'Merit calculation'!$B$67:$I$73,7,FALSE)/VLOOKUP($F848,'Merit calculation'!$B$90:$I$103,7,FALSE)/energyContentH2))</f>
        <v>1.9240940443957803E-2</v>
      </c>
      <c r="U848">
        <f ca="1">IF(timePeriod="2020-30",(VLOOKUP($Q848,'TA database'!$I$86:$J$105,2,FALSE)/VLOOKUP($E848,'Merit calculation'!$B$67:$I$73,5,FALSE)/VLOOKUP($F848,'Merit calculation'!$B$90:$I$104,5,FALSE)/energyContentH2),VLOOKUP($Q848,'TA database'!$I$86:$J$105,2,FALSE)/VLOOKUP($E848,'Merit calculation'!$B$67:$I$73,7,FALSE)/VLOOKUP($F848,'Merit calculation'!$B$90:$I$104,7,FALSE)/energyContentH2)</f>
        <v>6.0660303657526706E-4</v>
      </c>
      <c r="V848">
        <f ca="1">IF(timePeriod="2020-30",(VLOOKUP($R848,'TA database'!$I$112:$J$139,2,FALSE)/VLOOKUP($F848,'Merit calculation'!$B$90:$I$104,5,FALSE)/energyContentH2),(VLOOKUP($R848,'TA database'!$I$112:$J$139,2,FALSE)/VLOOKUP($F848,'Merit calculation'!$B$90:$I$104,7,FALSE)/energyContentH2))</f>
        <v>1.7384034629971238E-3</v>
      </c>
      <c r="W848">
        <f ca="1">IFERROR(VLOOKUP($S848,'TA database'!$I$146:$J$193,2,FALSE),0)</f>
        <v>3.0801291854688804E-2</v>
      </c>
      <c r="X848">
        <f>IFERROR(VLOOKUP($S848,'TA database'!$I$200:$J$271,2,FALSE),0)</f>
        <v>0</v>
      </c>
      <c r="Y848">
        <f t="shared" ref="Y848:Y850" ca="1" si="2534">IF($W848=0,T848*3.6+U848*3.6+V848*3.6+X848,T848+U848+V848+W848)</f>
        <v>5.2387238798218994E-2</v>
      </c>
      <c r="Z848" t="str">
        <f t="shared" si="2530"/>
        <v>ELCTRLYZ_MED_C   →   C_GAS_STRG   →   H2_BLND_NG_P   →   H2_FC_mCHP_HEAT</v>
      </c>
      <c r="AA848" t="str">
        <f t="shared" si="2531"/>
        <v>Building heat</v>
      </c>
      <c r="AB848" t="str">
        <f t="shared" si="2532"/>
        <v>Levelized cost</v>
      </c>
      <c r="AC848">
        <f t="shared" ca="1" si="2533"/>
        <v>5.2387238798218994E-2</v>
      </c>
      <c r="AD848">
        <v>789</v>
      </c>
      <c r="AE848" t="str">
        <f>IF(AND(ISNUMBER(SEARCH(O848,4)),ISNUMBER(SEARCH('(4) FCH pathway assessment'!$B$16,AB848)),ISNUMBER(SEARCH('(4) FCH pathway assessment'!$B$10,AA848))),AD848,"")</f>
        <v/>
      </c>
      <c r="AF848" t="str">
        <f t="shared" si="2450"/>
        <v/>
      </c>
      <c r="AG848" t="str">
        <f>VLOOKUP(C848,Assumptions!$B$116:$C$162,2,FALSE)</f>
        <v>ELCTRLYZ_MED_C</v>
      </c>
      <c r="AH848" t="str">
        <f>VLOOKUP(D848,Assumptions!$B$116:$C$162,2,FALSE)</f>
        <v>C_GAS_STRG</v>
      </c>
      <c r="AI848" t="str">
        <f>VLOOKUP(E848,Assumptions!$B$116:$C$162,2,FALSE)</f>
        <v>H2_BLND_NG_P</v>
      </c>
      <c r="AJ848" t="str">
        <f>VLOOKUP(F848,Assumptions!$B$116:$C$162,2,FALSE)</f>
        <v>H2_FC_mCHP_HEAT</v>
      </c>
    </row>
    <row r="849" spans="2:36" x14ac:dyDescent="0.25">
      <c r="B849" t="s">
        <v>112</v>
      </c>
      <c r="C849" t="s">
        <v>51</v>
      </c>
      <c r="D849" t="s">
        <v>155</v>
      </c>
      <c r="E849" t="s">
        <v>122</v>
      </c>
      <c r="F849" t="s">
        <v>543</v>
      </c>
      <c r="G849" t="s">
        <v>132</v>
      </c>
      <c r="H849" t="s">
        <v>434</v>
      </c>
      <c r="I849" t="s">
        <v>32</v>
      </c>
      <c r="J849" t="s">
        <v>72</v>
      </c>
      <c r="K849">
        <f t="shared" si="2521"/>
        <v>1</v>
      </c>
      <c r="L849">
        <f t="shared" si="2522"/>
        <v>1</v>
      </c>
      <c r="M849">
        <f t="shared" si="2523"/>
        <v>1</v>
      </c>
      <c r="N849">
        <f t="shared" si="2524"/>
        <v>0</v>
      </c>
      <c r="O849">
        <f t="shared" si="2525"/>
        <v>3</v>
      </c>
      <c r="P849" t="str">
        <f t="shared" si="2526"/>
        <v>Medium centralized electrolysis-Levelized cost</v>
      </c>
      <c r="Q849" t="str">
        <f t="shared" si="2527"/>
        <v>Central gas storage-Levelized cost</v>
      </c>
      <c r="R849" t="str">
        <f t="shared" si="2528"/>
        <v>Hydrogen transmission &amp; distribution pipeline-Levelized cost</v>
      </c>
      <c r="S849" t="str">
        <f t="shared" si="2529"/>
        <v>Micro-CHP with H2 fuel cell (heat)-Levelized cost</v>
      </c>
      <c r="T849">
        <f ca="1">IF(timePeriod="2020-30",(VLOOKUP($P849,'TA database'!$I$8:$J$79,2,FALSE)/VLOOKUP($D849,'Merit calculation'!$B$48:$I$52,5,FALSE)/VLOOKUP($E849,'Merit calculation'!$B$67:$I$73,5,FALSE)/VLOOKUP($F849,'Merit calculation'!$B$90:$I$103,5,FALSE)/energyContentH2),(VLOOKUP($P849,'TA database'!$I$8:$J$79,2,FALSE)/VLOOKUP($D849,'Merit calculation'!$B$48:$I$52,7,FALSE)/VLOOKUP($E849,'Merit calculation'!$B$67:$I$73,7,FALSE)/VLOOKUP($F849,'Merit calculation'!$B$90:$I$103,7,FALSE)/energyContentH2))</f>
        <v>1.9240940443957803E-2</v>
      </c>
      <c r="U849">
        <f ca="1">IF(timePeriod="2020-30",(VLOOKUP($Q849,'TA database'!$I$86:$J$105,2,FALSE)/VLOOKUP($E849,'Merit calculation'!$B$67:$I$73,5,FALSE)/VLOOKUP($F849,'Merit calculation'!$B$90:$I$104,5,FALSE)/energyContentH2),VLOOKUP($Q849,'TA database'!$I$86:$J$105,2,FALSE)/VLOOKUP($E849,'Merit calculation'!$B$67:$I$73,7,FALSE)/VLOOKUP($F849,'Merit calculation'!$B$90:$I$104,7,FALSE)/energyContentH2)</f>
        <v>6.0660303657526706E-4</v>
      </c>
      <c r="V849">
        <f ca="1">IF(timePeriod="2020-30",(VLOOKUP($R849,'TA database'!$I$112:$J$139,2,FALSE)/VLOOKUP($F849,'Merit calculation'!$B$90:$I$104,5,FALSE)/energyContentH2),(VLOOKUP($R849,'TA database'!$I$112:$J$139,2,FALSE)/VLOOKUP($F849,'Merit calculation'!$B$90:$I$104,7,FALSE)/energyContentH2))</f>
        <v>3.2343874592991049E-3</v>
      </c>
      <c r="W849">
        <f ca="1">IFERROR(VLOOKUP($S849,'TA database'!$I$146:$J$193,2,FALSE),0)</f>
        <v>3.0801291854688804E-2</v>
      </c>
      <c r="X849">
        <f>IFERROR(VLOOKUP($S849,'TA database'!$I$200:$J$271,2,FALSE),0)</f>
        <v>0</v>
      </c>
      <c r="Y849">
        <f t="shared" ca="1" si="2534"/>
        <v>5.3883222794520978E-2</v>
      </c>
      <c r="Z849" t="str">
        <f t="shared" si="2530"/>
        <v>ELCTRLYZ_MED_C   →   C_GAS_STRG   →   H2_T&amp;D_P   →   H2_FC_mCHP_HEAT</v>
      </c>
      <c r="AA849" t="str">
        <f t="shared" si="2531"/>
        <v>Building heat</v>
      </c>
      <c r="AB849" t="str">
        <f t="shared" si="2532"/>
        <v>Levelized cost</v>
      </c>
      <c r="AC849">
        <f t="shared" ca="1" si="2533"/>
        <v>5.3883222794520978E-2</v>
      </c>
      <c r="AD849">
        <v>790</v>
      </c>
      <c r="AE849" t="str">
        <f>IF(AND(ISNUMBER(SEARCH(O849,4)),ISNUMBER(SEARCH('(4) FCH pathway assessment'!$B$16,AB849)),ISNUMBER(SEARCH('(4) FCH pathway assessment'!$B$10,AA849))),AD849,"")</f>
        <v/>
      </c>
      <c r="AF849" t="str">
        <f t="shared" si="2450"/>
        <v/>
      </c>
      <c r="AG849" t="str">
        <f>VLOOKUP(C849,Assumptions!$B$116:$C$162,2,FALSE)</f>
        <v>ELCTRLYZ_MED_C</v>
      </c>
      <c r="AH849" t="str">
        <f>VLOOKUP(D849,Assumptions!$B$116:$C$162,2,FALSE)</f>
        <v>C_GAS_STRG</v>
      </c>
      <c r="AI849" t="str">
        <f>VLOOKUP(E849,Assumptions!$B$116:$C$162,2,FALSE)</f>
        <v>H2_T&amp;D_P</v>
      </c>
      <c r="AJ849" t="str">
        <f>VLOOKUP(F849,Assumptions!$B$116:$C$162,2,FALSE)</f>
        <v>H2_FC_mCHP_HEAT</v>
      </c>
    </row>
    <row r="850" spans="2:36" x14ac:dyDescent="0.25">
      <c r="B850" t="s">
        <v>112</v>
      </c>
      <c r="C850" t="s">
        <v>52</v>
      </c>
      <c r="D850" s="60" t="s">
        <v>130</v>
      </c>
      <c r="E850" t="s">
        <v>128</v>
      </c>
      <c r="F850" t="s">
        <v>543</v>
      </c>
      <c r="G850" t="s">
        <v>132</v>
      </c>
      <c r="H850" t="s">
        <v>434</v>
      </c>
      <c r="I850" t="s">
        <v>32</v>
      </c>
      <c r="J850" t="s">
        <v>72</v>
      </c>
      <c r="K850">
        <f t="shared" ref="K850:K853" si="2535">SUMPRODUCT(($C$7:$C$18=$C850)*($D$6:$H$6=$D850)*($D$7:$H$18))</f>
        <v>1</v>
      </c>
      <c r="L850">
        <f t="shared" ref="L850:L853" si="2536">SUMPRODUCT(($C$19:$C$23=$D850)*($I$6:$O$6=$E850)*($I$19:$O$23))</f>
        <v>1</v>
      </c>
      <c r="M850">
        <f t="shared" ref="M850:M853" si="2537">SUMPRODUCT(($C$24:$C$30=$E850)*($P$6:$AI$6=$F850)*($P$24:$AI$30))</f>
        <v>1</v>
      </c>
      <c r="N850">
        <f t="shared" ref="N850:N853" si="2538">SUMPRODUCT(($C$31:$C$50=$F850)*($AJ$6:$AM$6=$G850)*($AJ$31:$AM$50))</f>
        <v>0</v>
      </c>
      <c r="O850">
        <f t="shared" ref="O850:O852" si="2539">K850+L850+M850+N850</f>
        <v>3</v>
      </c>
      <c r="P850" t="str">
        <f t="shared" ref="P850:P853" si="2540">CONCATENATE(C850,"-",J850)</f>
        <v>Small decentralized electrolysis-Levelized cost</v>
      </c>
      <c r="Q850" t="str">
        <f t="shared" ref="Q850:Q853" si="2541">CONCATENATE(D850,"-",J850)</f>
        <v>Distributed gas storage-Levelized cost</v>
      </c>
      <c r="R850" t="str">
        <f t="shared" ref="R850:R853" si="2542">CONCATENATE(E850,"-",J850)</f>
        <v>Hydrogen distribution pipeline-Levelized cost</v>
      </c>
      <c r="S850" t="str">
        <f t="shared" ref="S850:S853" si="2543">CONCATENATE(F850,"-",J850)</f>
        <v>Micro-CHP with H2 fuel cell (heat)-Levelized cost</v>
      </c>
      <c r="T850">
        <f ca="1">IF(timePeriod="2020-30",(VLOOKUP($P850,'TA database'!$I$8:$J$79,2,FALSE)/VLOOKUP($D850,'Merit calculation'!$B$48:$I$52,5,FALSE)/VLOOKUP($E850,'Merit calculation'!$B$67:$I$73,5,FALSE)/VLOOKUP($F850,'Merit calculation'!$B$90:$I$103,5,FALSE)/energyContentH2),(VLOOKUP($P850,'TA database'!$I$8:$J$79,2,FALSE)/VLOOKUP($D850,'Merit calculation'!$B$48:$I$52,7,FALSE)/VLOOKUP($E850,'Merit calculation'!$B$67:$I$73,7,FALSE)/VLOOKUP($F850,'Merit calculation'!$B$90:$I$103,7,FALSE)/energyContentH2))</f>
        <v>2.1496363233025395E-2</v>
      </c>
      <c r="U850">
        <f ca="1">IF(timePeriod="2020-30",(VLOOKUP($Q850,'TA database'!$I$86:$J$105,2,FALSE)/VLOOKUP($E850,'Merit calculation'!$B$67:$I$73,5,FALSE)/VLOOKUP($F850,'Merit calculation'!$B$90:$I$104,5,FALSE)/energyContentH2),VLOOKUP($Q850,'TA database'!$I$86:$J$105,2,FALSE)/VLOOKUP($E850,'Merit calculation'!$B$67:$I$73,7,FALSE)/VLOOKUP($F850,'Merit calculation'!$B$90:$I$104,7,FALSE)/energyContentH2)</f>
        <v>1.0784053983560304E-3</v>
      </c>
      <c r="V850">
        <f ca="1">IF(timePeriod="2020-30",(VLOOKUP($R850,'TA database'!$I$112:$J$139,2,FALSE)/VLOOKUP($F850,'Merit calculation'!$B$90:$I$104,5,FALSE)/energyContentH2),(VLOOKUP($R850,'TA database'!$I$112:$J$139,2,FALSE)/VLOOKUP($F850,'Merit calculation'!$B$90:$I$104,7,FALSE)/energyContentH2))</f>
        <v>3.1118832062507489E-3</v>
      </c>
      <c r="W850">
        <f ca="1">IFERROR(VLOOKUP($S850,'TA database'!$I$146:$J$193,2,FALSE),0)</f>
        <v>3.0801291854688804E-2</v>
      </c>
      <c r="X850">
        <f>IFERROR(VLOOKUP($S850,'TA database'!$I$200:$J$271,2,FALSE),0)</f>
        <v>0</v>
      </c>
      <c r="Y850">
        <f t="shared" ca="1" si="2534"/>
        <v>5.6487943692320977E-2</v>
      </c>
      <c r="Z850" t="str">
        <f t="shared" ref="Z850:Z852" si="2544">CONCATENATE(AG850,"   →   ",AH850,"   →   ",AI850,"   →   ",AJ850)</f>
        <v>ELCTRLYZ_SML_D   →   D_GAS_STRG   →   H2_DSTRB_P   →   H2_FC_mCHP_HEAT</v>
      </c>
      <c r="AA850" t="str">
        <f t="shared" ref="AA850:AA852" si="2545">G850</f>
        <v>Building heat</v>
      </c>
      <c r="AB850" t="str">
        <f t="shared" ref="AB850:AB852" si="2546">J850</f>
        <v>Levelized cost</v>
      </c>
      <c r="AC850">
        <f t="shared" ref="AC850:AC852" ca="1" si="2547">Y850</f>
        <v>5.6487943692320977E-2</v>
      </c>
      <c r="AD850">
        <v>791</v>
      </c>
      <c r="AE850" t="str">
        <f>IF(AND(ISNUMBER(SEARCH(O850,4)),ISNUMBER(SEARCH('(4) FCH pathway assessment'!$B$16,AB850)),ISNUMBER(SEARCH('(4) FCH pathway assessment'!$B$10,AA850))),AD850,"")</f>
        <v/>
      </c>
      <c r="AF850" t="str">
        <f t="shared" si="2450"/>
        <v/>
      </c>
      <c r="AG850" t="str">
        <f>VLOOKUP(C850,Assumptions!$B$116:$C$162,2,FALSE)</f>
        <v>ELCTRLYZ_SML_D</v>
      </c>
      <c r="AH850" t="str">
        <f>VLOOKUP(D850,Assumptions!$B$116:$C$162,2,FALSE)</f>
        <v>D_GAS_STRG</v>
      </c>
      <c r="AI850" t="str">
        <f>VLOOKUP(E850,Assumptions!$B$116:$C$162,2,FALSE)</f>
        <v>H2_DSTRB_P</v>
      </c>
      <c r="AJ850" t="str">
        <f>VLOOKUP(F850,Assumptions!$B$116:$C$162,2,FALSE)</f>
        <v>H2_FC_mCHP_HEAT</v>
      </c>
    </row>
    <row r="851" spans="2:36" x14ac:dyDescent="0.25">
      <c r="B851" t="s">
        <v>127</v>
      </c>
      <c r="C851" t="s">
        <v>57</v>
      </c>
      <c r="D851" t="s">
        <v>62</v>
      </c>
      <c r="E851" t="s">
        <v>157</v>
      </c>
      <c r="F851" t="s">
        <v>543</v>
      </c>
      <c r="G851" t="s">
        <v>132</v>
      </c>
      <c r="H851" t="s">
        <v>434</v>
      </c>
      <c r="I851" t="s">
        <v>32</v>
      </c>
      <c r="J851" t="s">
        <v>72</v>
      </c>
      <c r="K851">
        <f t="shared" si="2535"/>
        <v>1</v>
      </c>
      <c r="L851">
        <f t="shared" si="2536"/>
        <v>0</v>
      </c>
      <c r="M851">
        <f t="shared" si="2537"/>
        <v>0</v>
      </c>
      <c r="N851">
        <f t="shared" si="2538"/>
        <v>0</v>
      </c>
      <c r="O851">
        <f t="shared" si="2539"/>
        <v>1</v>
      </c>
      <c r="P851" t="str">
        <f t="shared" si="2540"/>
        <v>Large centralized natural gas steam reforming-Levelized cost</v>
      </c>
      <c r="Q851" t="str">
        <f t="shared" si="2541"/>
        <v>Underground storage-Levelized cost</v>
      </c>
      <c r="R851" t="str">
        <f t="shared" si="2542"/>
        <v>Blending in natural gas pipeline-Levelized cost</v>
      </c>
      <c r="S851" t="str">
        <f t="shared" si="2543"/>
        <v>Micro-CHP with H2 fuel cell (heat)-Levelized cost</v>
      </c>
      <c r="T851">
        <f ca="1">IF(timePeriod="2020-30",(VLOOKUP($P851,'TA database'!$I$8:$J$79,2,FALSE)/VLOOKUP($D851,'Merit calculation'!$B$48:$I$52,5,FALSE)/VLOOKUP($E851,'Merit calculation'!$B$67:$I$73,5,FALSE)/VLOOKUP($F851,'Merit calculation'!$B$90:$I$103,5,FALSE)/energyContentH2),(VLOOKUP($P851,'TA database'!$I$8:$J$79,2,FALSE)/VLOOKUP($D851,'Merit calculation'!$B$48:$I$52,7,FALSE)/VLOOKUP($E851,'Merit calculation'!$B$67:$I$73,7,FALSE)/VLOOKUP($F851,'Merit calculation'!$B$90:$I$103,7,FALSE)/energyContentH2))</f>
        <v>4.2203448506297363E-2</v>
      </c>
      <c r="U851">
        <f ca="1">IF(timePeriod="2020-30",(VLOOKUP($Q851,'TA database'!$I$86:$J$105,2,FALSE)/VLOOKUP($E851,'Merit calculation'!$B$67:$I$73,5,FALSE)/VLOOKUP($F851,'Merit calculation'!$B$90:$I$104,5,FALSE)/energyContentH2),VLOOKUP($Q851,'TA database'!$I$86:$J$105,2,FALSE)/VLOOKUP($E851,'Merit calculation'!$B$67:$I$73,7,FALSE)/VLOOKUP($F851,'Merit calculation'!$B$90:$I$104,7,FALSE)/energyContentH2)</f>
        <v>1.2082134555655529E-4</v>
      </c>
      <c r="V851">
        <f ca="1">IF(timePeriod="2020-30",(VLOOKUP($R851,'TA database'!$I$112:$J$139,2,FALSE)/VLOOKUP($F851,'Merit calculation'!$B$90:$I$104,5,FALSE)/energyContentH2),(VLOOKUP($R851,'TA database'!$I$112:$J$139,2,FALSE)/VLOOKUP($F851,'Merit calculation'!$B$90:$I$104,7,FALSE)/energyContentH2))</f>
        <v>1.7384034629971238E-3</v>
      </c>
      <c r="W851">
        <f ca="1">IFERROR(VLOOKUP($S851,'TA database'!$I$146:$J$193,2,FALSE),0)</f>
        <v>3.0801291854688804E-2</v>
      </c>
      <c r="X851">
        <f>IFERROR(VLOOKUP($S851,'TA database'!$I$200:$J$271,2,FALSE),0)</f>
        <v>0</v>
      </c>
      <c r="Y851">
        <f t="shared" ref="Y851:Y855" ca="1" si="2548">IF($W851=0,T851*3.6+U851*3.6+V851*3.6+X851,T851+U851+V851+W851)</f>
        <v>7.4863965169539845E-2</v>
      </c>
      <c r="Z851" t="str">
        <f t="shared" si="2544"/>
        <v>NG_SR_LRG_C   →   C_UNDRGRND_STRG   →   H2_BLND_NG_P   →   H2_FC_mCHP_HEAT</v>
      </c>
      <c r="AA851" t="str">
        <f t="shared" si="2545"/>
        <v>Building heat</v>
      </c>
      <c r="AB851" t="str">
        <f t="shared" si="2546"/>
        <v>Levelized cost</v>
      </c>
      <c r="AC851">
        <f t="shared" ca="1" si="2547"/>
        <v>7.4863965169539845E-2</v>
      </c>
      <c r="AD851">
        <v>792</v>
      </c>
      <c r="AE851" t="str">
        <f>IF(AND(ISNUMBER(SEARCH(O851,4)),ISNUMBER(SEARCH('(4) FCH pathway assessment'!$B$16,AB851)),ISNUMBER(SEARCH('(4) FCH pathway assessment'!$B$10,AA851))),AD851,"")</f>
        <v/>
      </c>
      <c r="AF851" t="str">
        <f t="shared" si="2450"/>
        <v/>
      </c>
      <c r="AG851" t="str">
        <f>VLOOKUP(C851,Assumptions!$B$116:$C$162,2,FALSE)</f>
        <v>NG_SR_LRG_C</v>
      </c>
      <c r="AH851" t="str">
        <f>VLOOKUP(D851,Assumptions!$B$116:$C$162,2,FALSE)</f>
        <v>C_UNDRGRND_STRG</v>
      </c>
      <c r="AI851" t="str">
        <f>VLOOKUP(E851,Assumptions!$B$116:$C$162,2,FALSE)</f>
        <v>H2_BLND_NG_P</v>
      </c>
      <c r="AJ851" t="str">
        <f>VLOOKUP(F851,Assumptions!$B$116:$C$162,2,FALSE)</f>
        <v>H2_FC_mCHP_HEAT</v>
      </c>
    </row>
    <row r="852" spans="2:36" x14ac:dyDescent="0.25">
      <c r="B852" t="s">
        <v>127</v>
      </c>
      <c r="C852" t="s">
        <v>57</v>
      </c>
      <c r="D852" t="s">
        <v>62</v>
      </c>
      <c r="E852" t="s">
        <v>122</v>
      </c>
      <c r="F852" t="s">
        <v>543</v>
      </c>
      <c r="G852" t="s">
        <v>132</v>
      </c>
      <c r="H852" t="s">
        <v>434</v>
      </c>
      <c r="I852" t="s">
        <v>32</v>
      </c>
      <c r="J852" t="s">
        <v>72</v>
      </c>
      <c r="K852">
        <f t="shared" si="2535"/>
        <v>1</v>
      </c>
      <c r="L852">
        <f t="shared" si="2536"/>
        <v>0</v>
      </c>
      <c r="M852">
        <f t="shared" si="2537"/>
        <v>1</v>
      </c>
      <c r="N852">
        <f t="shared" si="2538"/>
        <v>0</v>
      </c>
      <c r="O852">
        <f t="shared" si="2539"/>
        <v>2</v>
      </c>
      <c r="P852" t="str">
        <f t="shared" si="2540"/>
        <v>Large centralized natural gas steam reforming-Levelized cost</v>
      </c>
      <c r="Q852" t="str">
        <f t="shared" si="2541"/>
        <v>Underground storage-Levelized cost</v>
      </c>
      <c r="R852" t="str">
        <f t="shared" si="2542"/>
        <v>Hydrogen transmission &amp; distribution pipeline-Levelized cost</v>
      </c>
      <c r="S852" t="str">
        <f t="shared" si="2543"/>
        <v>Micro-CHP with H2 fuel cell (heat)-Levelized cost</v>
      </c>
      <c r="T852">
        <f ca="1">IF(timePeriod="2020-30",(VLOOKUP($P852,'TA database'!$I$8:$J$79,2,FALSE)/VLOOKUP($D852,'Merit calculation'!$B$48:$I$52,5,FALSE)/VLOOKUP($E852,'Merit calculation'!$B$67:$I$73,5,FALSE)/VLOOKUP($F852,'Merit calculation'!$B$90:$I$103,5,FALSE)/energyContentH2),(VLOOKUP($P852,'TA database'!$I$8:$J$79,2,FALSE)/VLOOKUP($D852,'Merit calculation'!$B$48:$I$52,7,FALSE)/VLOOKUP($E852,'Merit calculation'!$B$67:$I$73,7,FALSE)/VLOOKUP($F852,'Merit calculation'!$B$90:$I$103,7,FALSE)/energyContentH2))</f>
        <v>4.2203448506297363E-2</v>
      </c>
      <c r="U852">
        <f ca="1">IF(timePeriod="2020-30",(VLOOKUP($Q852,'TA database'!$I$86:$J$105,2,FALSE)/VLOOKUP($E852,'Merit calculation'!$B$67:$I$73,5,FALSE)/VLOOKUP($F852,'Merit calculation'!$B$90:$I$104,5,FALSE)/energyContentH2),VLOOKUP($Q852,'TA database'!$I$86:$J$105,2,FALSE)/VLOOKUP($E852,'Merit calculation'!$B$67:$I$73,7,FALSE)/VLOOKUP($F852,'Merit calculation'!$B$90:$I$104,7,FALSE)/energyContentH2)</f>
        <v>1.2082134555655529E-4</v>
      </c>
      <c r="V852">
        <f ca="1">IF(timePeriod="2020-30",(VLOOKUP($R852,'TA database'!$I$112:$J$139,2,FALSE)/VLOOKUP($F852,'Merit calculation'!$B$90:$I$104,5,FALSE)/energyContentH2),(VLOOKUP($R852,'TA database'!$I$112:$J$139,2,FALSE)/VLOOKUP($F852,'Merit calculation'!$B$90:$I$104,7,FALSE)/energyContentH2))</f>
        <v>3.2343874592991049E-3</v>
      </c>
      <c r="W852">
        <f ca="1">IFERROR(VLOOKUP($S852,'TA database'!$I$146:$J$193,2,FALSE),0)</f>
        <v>3.0801291854688804E-2</v>
      </c>
      <c r="X852">
        <f>IFERROR(VLOOKUP($S852,'TA database'!$I$200:$J$271,2,FALSE),0)</f>
        <v>0</v>
      </c>
      <c r="Y852">
        <f t="shared" ca="1" si="2548"/>
        <v>7.6359949165841823E-2</v>
      </c>
      <c r="Z852" t="str">
        <f t="shared" si="2544"/>
        <v>NG_SR_LRG_C   →   C_UNDRGRND_STRG   →   H2_T&amp;D_P   →   H2_FC_mCHP_HEAT</v>
      </c>
      <c r="AA852" t="str">
        <f t="shared" si="2545"/>
        <v>Building heat</v>
      </c>
      <c r="AB852" t="str">
        <f t="shared" si="2546"/>
        <v>Levelized cost</v>
      </c>
      <c r="AC852">
        <f t="shared" ca="1" si="2547"/>
        <v>7.6359949165841823E-2</v>
      </c>
      <c r="AD852">
        <v>793</v>
      </c>
      <c r="AE852" t="str">
        <f>IF(AND(ISNUMBER(SEARCH(O852,4)),ISNUMBER(SEARCH('(4) FCH pathway assessment'!$B$16,AB852)),ISNUMBER(SEARCH('(4) FCH pathway assessment'!$B$10,AA852))),AD852,"")</f>
        <v/>
      </c>
      <c r="AF852" t="str">
        <f t="shared" si="2450"/>
        <v/>
      </c>
      <c r="AG852" t="str">
        <f>VLOOKUP(C852,Assumptions!$B$116:$C$162,2,FALSE)</f>
        <v>NG_SR_LRG_C</v>
      </c>
      <c r="AH852" t="str">
        <f>VLOOKUP(D852,Assumptions!$B$116:$C$162,2,FALSE)</f>
        <v>C_UNDRGRND_STRG</v>
      </c>
      <c r="AI852" t="str">
        <f>VLOOKUP(E852,Assumptions!$B$116:$C$162,2,FALSE)</f>
        <v>H2_T&amp;D_P</v>
      </c>
      <c r="AJ852" t="str">
        <f>VLOOKUP(F852,Assumptions!$B$116:$C$162,2,FALSE)</f>
        <v>H2_FC_mCHP_HEAT</v>
      </c>
    </row>
    <row r="853" spans="2:36" x14ac:dyDescent="0.25">
      <c r="B853" t="s">
        <v>127</v>
      </c>
      <c r="C853" t="s">
        <v>57</v>
      </c>
      <c r="D853" s="61" t="s">
        <v>63</v>
      </c>
      <c r="E853" t="s">
        <v>122</v>
      </c>
      <c r="F853" t="s">
        <v>543</v>
      </c>
      <c r="G853" t="s">
        <v>132</v>
      </c>
      <c r="H853" t="s">
        <v>434</v>
      </c>
      <c r="I853" t="s">
        <v>32</v>
      </c>
      <c r="J853" t="s">
        <v>72</v>
      </c>
      <c r="K853">
        <f t="shared" si="2535"/>
        <v>1</v>
      </c>
      <c r="L853">
        <f t="shared" si="2536"/>
        <v>1</v>
      </c>
      <c r="M853">
        <f t="shared" si="2537"/>
        <v>1</v>
      </c>
      <c r="N853">
        <f t="shared" si="2538"/>
        <v>0</v>
      </c>
      <c r="O853">
        <f t="shared" ref="O853:O856" si="2549">K853+L853+M853+N853</f>
        <v>3</v>
      </c>
      <c r="P853" t="str">
        <f t="shared" si="2540"/>
        <v>Large centralized natural gas steam reforming-Levelized cost</v>
      </c>
      <c r="Q853" t="str">
        <f t="shared" si="2541"/>
        <v>No storage-Levelized cost</v>
      </c>
      <c r="R853" t="str">
        <f t="shared" si="2542"/>
        <v>Hydrogen transmission &amp; distribution pipeline-Levelized cost</v>
      </c>
      <c r="S853" t="str">
        <f t="shared" si="2543"/>
        <v>Micro-CHP with H2 fuel cell (heat)-Levelized cost</v>
      </c>
      <c r="T853">
        <f ca="1">IF(timePeriod="2020-30",(VLOOKUP($P853,'TA database'!$I$8:$J$79,2,FALSE)/VLOOKUP($D853,'Merit calculation'!$B$48:$I$52,5,FALSE)/VLOOKUP($E853,'Merit calculation'!$B$67:$I$73,5,FALSE)/VLOOKUP($F853,'Merit calculation'!$B$90:$I$103,5,FALSE)/energyContentH2),(VLOOKUP($P853,'TA database'!$I$8:$J$79,2,FALSE)/VLOOKUP($D853,'Merit calculation'!$B$48:$I$52,7,FALSE)/VLOOKUP($E853,'Merit calculation'!$B$67:$I$73,7,FALSE)/VLOOKUP($F853,'Merit calculation'!$B$90:$I$103,7,FALSE)/energyContentH2))</f>
        <v>4.1781414021234385E-2</v>
      </c>
      <c r="U853">
        <f ca="1">IF(timePeriod="2020-30",(VLOOKUP($Q853,'TA database'!$I$86:$J$105,2,FALSE)/VLOOKUP($E853,'Merit calculation'!$B$67:$I$73,5,FALSE)/VLOOKUP($F853,'Merit calculation'!$B$90:$I$104,5,FALSE)/energyContentH2),VLOOKUP($Q853,'TA database'!$I$86:$J$105,2,FALSE)/VLOOKUP($E853,'Merit calculation'!$B$67:$I$73,7,FALSE)/VLOOKUP($F853,'Merit calculation'!$B$90:$I$104,7,FALSE)/energyContentH2)</f>
        <v>0</v>
      </c>
      <c r="V853">
        <f ca="1">IF(timePeriod="2020-30",(VLOOKUP($R853,'TA database'!$I$112:$J$139,2,FALSE)/VLOOKUP($F853,'Merit calculation'!$B$90:$I$104,5,FALSE)/energyContentH2),(VLOOKUP($R853,'TA database'!$I$112:$J$139,2,FALSE)/VLOOKUP($F853,'Merit calculation'!$B$90:$I$104,7,FALSE)/energyContentH2))</f>
        <v>3.2343874592991049E-3</v>
      </c>
      <c r="W853">
        <f ca="1">IFERROR(VLOOKUP($S853,'TA database'!$I$146:$J$193,2,FALSE),0)</f>
        <v>3.0801291854688804E-2</v>
      </c>
      <c r="X853">
        <f>IFERROR(VLOOKUP($S853,'TA database'!$I$200:$J$271,2,FALSE),0)</f>
        <v>0</v>
      </c>
      <c r="Y853">
        <f t="shared" ca="1" si="2548"/>
        <v>7.5817093335222296E-2</v>
      </c>
      <c r="Z853" t="str">
        <f t="shared" ref="Z853:Z856" si="2550">CONCATENATE(AG853,"   →   ",AH853,"   →   ",AI853,"   →   ",AJ853)</f>
        <v>NG_SR_LRG_C   →   NO_STRG   →   H2_T&amp;D_P   →   H2_FC_mCHP_HEAT</v>
      </c>
      <c r="AA853" t="str">
        <f t="shared" ref="AA853:AA856" si="2551">G853</f>
        <v>Building heat</v>
      </c>
      <c r="AB853" t="str">
        <f t="shared" ref="AB853:AB856" si="2552">J853</f>
        <v>Levelized cost</v>
      </c>
      <c r="AC853">
        <f t="shared" ref="AC853:AC856" ca="1" si="2553">Y853</f>
        <v>7.5817093335222296E-2</v>
      </c>
      <c r="AD853">
        <v>794</v>
      </c>
      <c r="AE853" t="str">
        <f>IF(AND(ISNUMBER(SEARCH(O853,4)),ISNUMBER(SEARCH('(4) FCH pathway assessment'!$B$16,AB853)),ISNUMBER(SEARCH('(4) FCH pathway assessment'!$B$10,AA853))),AD853,"")</f>
        <v/>
      </c>
      <c r="AF853" t="str">
        <f t="shared" si="2450"/>
        <v/>
      </c>
      <c r="AG853" t="str">
        <f>VLOOKUP(C853,Assumptions!$B$116:$C$162,2,FALSE)</f>
        <v>NG_SR_LRG_C</v>
      </c>
      <c r="AH853" t="str">
        <f>VLOOKUP(D853,Assumptions!$B$116:$C$162,2,FALSE)</f>
        <v>NO_STRG</v>
      </c>
      <c r="AI853" t="str">
        <f>VLOOKUP(E853,Assumptions!$B$116:$C$162,2,FALSE)</f>
        <v>H2_T&amp;D_P</v>
      </c>
      <c r="AJ853" t="str">
        <f>VLOOKUP(F853,Assumptions!$B$116:$C$162,2,FALSE)</f>
        <v>H2_FC_mCHP_HEAT</v>
      </c>
    </row>
    <row r="854" spans="2:36" x14ac:dyDescent="0.25">
      <c r="B854" t="s">
        <v>127</v>
      </c>
      <c r="C854" t="s">
        <v>58</v>
      </c>
      <c r="D854" t="s">
        <v>155</v>
      </c>
      <c r="E854" t="s">
        <v>157</v>
      </c>
      <c r="F854" t="s">
        <v>543</v>
      </c>
      <c r="G854" t="s">
        <v>132</v>
      </c>
      <c r="H854" t="s">
        <v>434</v>
      </c>
      <c r="I854" t="s">
        <v>32</v>
      </c>
      <c r="J854" t="s">
        <v>72</v>
      </c>
      <c r="K854">
        <f t="shared" ref="K854:K856" si="2554">SUMPRODUCT(($C$7:$C$18=$C854)*($D$6:$H$6=$D854)*($D$7:$H$18))</f>
        <v>1</v>
      </c>
      <c r="L854">
        <f t="shared" ref="L854:L856" si="2555">SUMPRODUCT(($C$19:$C$23=$D854)*($I$6:$O$6=$E854)*($I$19:$O$23))</f>
        <v>1</v>
      </c>
      <c r="M854">
        <f t="shared" ref="M854:M856" si="2556">SUMPRODUCT(($C$24:$C$30=$E854)*($P$6:$AI$6=$F854)*($P$24:$AI$30))</f>
        <v>0</v>
      </c>
      <c r="N854">
        <f t="shared" ref="N854:N856" si="2557">SUMPRODUCT(($C$31:$C$50=$F854)*($AJ$6:$AM$6=$G854)*($AJ$31:$AM$50))</f>
        <v>0</v>
      </c>
      <c r="O854">
        <f t="shared" si="2549"/>
        <v>2</v>
      </c>
      <c r="P854" t="str">
        <f t="shared" ref="P854:P856" si="2558">CONCATENATE(C854,"-",J854)</f>
        <v>Small centralized natural gas steam reforming-Levelized cost</v>
      </c>
      <c r="Q854" t="str">
        <f t="shared" ref="Q854:Q856" si="2559">CONCATENATE(D854,"-",J854)</f>
        <v>Central gas storage-Levelized cost</v>
      </c>
      <c r="R854" t="str">
        <f t="shared" ref="R854:R856" si="2560">CONCATENATE(E854,"-",J854)</f>
        <v>Blending in natural gas pipeline-Levelized cost</v>
      </c>
      <c r="S854" t="str">
        <f t="shared" ref="S854:S856" si="2561">CONCATENATE(F854,"-",J854)</f>
        <v>Micro-CHP with H2 fuel cell (heat)-Levelized cost</v>
      </c>
      <c r="T854">
        <f ca="1">IF(timePeriod="2020-30",(VLOOKUP($P854,'TA database'!$I$8:$J$79,2,FALSE)/VLOOKUP($D854,'Merit calculation'!$B$48:$I$52,5,FALSE)/VLOOKUP($E854,'Merit calculation'!$B$67:$I$73,5,FALSE)/VLOOKUP($F854,'Merit calculation'!$B$90:$I$103,5,FALSE)/energyContentH2),(VLOOKUP($P854,'TA database'!$I$8:$J$79,2,FALSE)/VLOOKUP($D854,'Merit calculation'!$B$48:$I$52,7,FALSE)/VLOOKUP($E854,'Merit calculation'!$B$67:$I$73,7,FALSE)/VLOOKUP($F854,'Merit calculation'!$B$90:$I$103,7,FALSE)/energyContentH2))</f>
        <v>4.3309861428965653E-2</v>
      </c>
      <c r="U854">
        <f ca="1">IF(timePeriod="2020-30",(VLOOKUP($Q854,'TA database'!$I$86:$J$105,2,FALSE)/VLOOKUP($E854,'Merit calculation'!$B$67:$I$73,5,FALSE)/VLOOKUP($F854,'Merit calculation'!$B$90:$I$104,5,FALSE)/energyContentH2),VLOOKUP($Q854,'TA database'!$I$86:$J$105,2,FALSE)/VLOOKUP($E854,'Merit calculation'!$B$67:$I$73,7,FALSE)/VLOOKUP($F854,'Merit calculation'!$B$90:$I$104,7,FALSE)/energyContentH2)</f>
        <v>6.0660303657526706E-4</v>
      </c>
      <c r="V854">
        <f ca="1">IF(timePeriod="2020-30",(VLOOKUP($R854,'TA database'!$I$112:$J$139,2,FALSE)/VLOOKUP($F854,'Merit calculation'!$B$90:$I$104,5,FALSE)/energyContentH2),(VLOOKUP($R854,'TA database'!$I$112:$J$139,2,FALSE)/VLOOKUP($F854,'Merit calculation'!$B$90:$I$104,7,FALSE)/energyContentH2))</f>
        <v>1.7384034629971238E-3</v>
      </c>
      <c r="W854">
        <f ca="1">IFERROR(VLOOKUP($S854,'TA database'!$I$146:$J$193,2,FALSE),0)</f>
        <v>3.0801291854688804E-2</v>
      </c>
      <c r="X854">
        <f>IFERROR(VLOOKUP($S854,'TA database'!$I$200:$J$271,2,FALSE),0)</f>
        <v>0</v>
      </c>
      <c r="Y854">
        <f t="shared" ca="1" si="2548"/>
        <v>7.6456159783226854E-2</v>
      </c>
      <c r="Z854" t="str">
        <f t="shared" si="2550"/>
        <v>NG_SR_SML_C   →   C_GAS_STRG   →   H2_BLND_NG_P   →   H2_FC_mCHP_HEAT</v>
      </c>
      <c r="AA854" t="str">
        <f t="shared" si="2551"/>
        <v>Building heat</v>
      </c>
      <c r="AB854" t="str">
        <f t="shared" si="2552"/>
        <v>Levelized cost</v>
      </c>
      <c r="AC854">
        <f t="shared" ca="1" si="2553"/>
        <v>7.6456159783226854E-2</v>
      </c>
      <c r="AD854">
        <v>795</v>
      </c>
      <c r="AE854" t="str">
        <f>IF(AND(ISNUMBER(SEARCH(O854,4)),ISNUMBER(SEARCH('(4) FCH pathway assessment'!$B$16,AB854)),ISNUMBER(SEARCH('(4) FCH pathway assessment'!$B$10,AA854))),AD854,"")</f>
        <v/>
      </c>
      <c r="AF854" t="str">
        <f t="shared" si="2450"/>
        <v/>
      </c>
      <c r="AG854" t="str">
        <f>VLOOKUP(C854,Assumptions!$B$116:$C$162,2,FALSE)</f>
        <v>NG_SR_SML_C</v>
      </c>
      <c r="AH854" t="str">
        <f>VLOOKUP(D854,Assumptions!$B$116:$C$162,2,FALSE)</f>
        <v>C_GAS_STRG</v>
      </c>
      <c r="AI854" t="str">
        <f>VLOOKUP(E854,Assumptions!$B$116:$C$162,2,FALSE)</f>
        <v>H2_BLND_NG_P</v>
      </c>
      <c r="AJ854" t="str">
        <f>VLOOKUP(F854,Assumptions!$B$116:$C$162,2,FALSE)</f>
        <v>H2_FC_mCHP_HEAT</v>
      </c>
    </row>
    <row r="855" spans="2:36" x14ac:dyDescent="0.25">
      <c r="B855" t="s">
        <v>127</v>
      </c>
      <c r="C855" t="s">
        <v>58</v>
      </c>
      <c r="D855" t="s">
        <v>155</v>
      </c>
      <c r="E855" t="s">
        <v>122</v>
      </c>
      <c r="F855" t="s">
        <v>543</v>
      </c>
      <c r="G855" t="s">
        <v>132</v>
      </c>
      <c r="H855" t="s">
        <v>434</v>
      </c>
      <c r="I855" t="s">
        <v>32</v>
      </c>
      <c r="J855" t="s">
        <v>72</v>
      </c>
      <c r="K855">
        <f t="shared" si="2554"/>
        <v>1</v>
      </c>
      <c r="L855">
        <f t="shared" si="2555"/>
        <v>1</v>
      </c>
      <c r="M855">
        <f t="shared" si="2556"/>
        <v>1</v>
      </c>
      <c r="N855">
        <f t="shared" si="2557"/>
        <v>0</v>
      </c>
      <c r="O855">
        <f t="shared" si="2549"/>
        <v>3</v>
      </c>
      <c r="P855" t="str">
        <f t="shared" si="2558"/>
        <v>Small centralized natural gas steam reforming-Levelized cost</v>
      </c>
      <c r="Q855" t="str">
        <f t="shared" si="2559"/>
        <v>Central gas storage-Levelized cost</v>
      </c>
      <c r="R855" t="str">
        <f t="shared" si="2560"/>
        <v>Hydrogen transmission &amp; distribution pipeline-Levelized cost</v>
      </c>
      <c r="S855" t="str">
        <f t="shared" si="2561"/>
        <v>Micro-CHP with H2 fuel cell (heat)-Levelized cost</v>
      </c>
      <c r="T855">
        <f ca="1">IF(timePeriod="2020-30",(VLOOKUP($P855,'TA database'!$I$8:$J$79,2,FALSE)/VLOOKUP($D855,'Merit calculation'!$B$48:$I$52,5,FALSE)/VLOOKUP($E855,'Merit calculation'!$B$67:$I$73,5,FALSE)/VLOOKUP($F855,'Merit calculation'!$B$90:$I$103,5,FALSE)/energyContentH2),(VLOOKUP($P855,'TA database'!$I$8:$J$79,2,FALSE)/VLOOKUP($D855,'Merit calculation'!$B$48:$I$52,7,FALSE)/VLOOKUP($E855,'Merit calculation'!$B$67:$I$73,7,FALSE)/VLOOKUP($F855,'Merit calculation'!$B$90:$I$103,7,FALSE)/energyContentH2))</f>
        <v>4.3309861428965653E-2</v>
      </c>
      <c r="U855">
        <f ca="1">IF(timePeriod="2020-30",(VLOOKUP($Q855,'TA database'!$I$86:$J$105,2,FALSE)/VLOOKUP($E855,'Merit calculation'!$B$67:$I$73,5,FALSE)/VLOOKUP($F855,'Merit calculation'!$B$90:$I$104,5,FALSE)/energyContentH2),VLOOKUP($Q855,'TA database'!$I$86:$J$105,2,FALSE)/VLOOKUP($E855,'Merit calculation'!$B$67:$I$73,7,FALSE)/VLOOKUP($F855,'Merit calculation'!$B$90:$I$104,7,FALSE)/energyContentH2)</f>
        <v>6.0660303657526706E-4</v>
      </c>
      <c r="V855">
        <f ca="1">IF(timePeriod="2020-30",(VLOOKUP($R855,'TA database'!$I$112:$J$139,2,FALSE)/VLOOKUP($F855,'Merit calculation'!$B$90:$I$104,5,FALSE)/energyContentH2),(VLOOKUP($R855,'TA database'!$I$112:$J$139,2,FALSE)/VLOOKUP($F855,'Merit calculation'!$B$90:$I$104,7,FALSE)/energyContentH2))</f>
        <v>3.2343874592991049E-3</v>
      </c>
      <c r="W855">
        <f ca="1">IFERROR(VLOOKUP($S855,'TA database'!$I$146:$J$193,2,FALSE),0)</f>
        <v>3.0801291854688804E-2</v>
      </c>
      <c r="X855">
        <f>IFERROR(VLOOKUP($S855,'TA database'!$I$200:$J$271,2,FALSE),0)</f>
        <v>0</v>
      </c>
      <c r="Y855">
        <f t="shared" ca="1" si="2548"/>
        <v>7.7952143779528832E-2</v>
      </c>
      <c r="Z855" t="str">
        <f t="shared" si="2550"/>
        <v>NG_SR_SML_C   →   C_GAS_STRG   →   H2_T&amp;D_P   →   H2_FC_mCHP_HEAT</v>
      </c>
      <c r="AA855" t="str">
        <f t="shared" si="2551"/>
        <v>Building heat</v>
      </c>
      <c r="AB855" t="str">
        <f t="shared" si="2552"/>
        <v>Levelized cost</v>
      </c>
      <c r="AC855">
        <f t="shared" ca="1" si="2553"/>
        <v>7.7952143779528832E-2</v>
      </c>
      <c r="AD855">
        <v>796</v>
      </c>
      <c r="AE855" t="str">
        <f>IF(AND(ISNUMBER(SEARCH(O855,4)),ISNUMBER(SEARCH('(4) FCH pathway assessment'!$B$16,AB855)),ISNUMBER(SEARCH('(4) FCH pathway assessment'!$B$10,AA855))),AD855,"")</f>
        <v/>
      </c>
      <c r="AF855" t="str">
        <f t="shared" si="2450"/>
        <v/>
      </c>
      <c r="AG855" t="str">
        <f>VLOOKUP(C855,Assumptions!$B$116:$C$162,2,FALSE)</f>
        <v>NG_SR_SML_C</v>
      </c>
      <c r="AH855" t="str">
        <f>VLOOKUP(D855,Assumptions!$B$116:$C$162,2,FALSE)</f>
        <v>C_GAS_STRG</v>
      </c>
      <c r="AI855" t="str">
        <f>VLOOKUP(E855,Assumptions!$B$116:$C$162,2,FALSE)</f>
        <v>H2_T&amp;D_P</v>
      </c>
      <c r="AJ855" t="str">
        <f>VLOOKUP(F855,Assumptions!$B$116:$C$162,2,FALSE)</f>
        <v>H2_FC_mCHP_HEAT</v>
      </c>
    </row>
    <row r="856" spans="2:36" x14ac:dyDescent="0.25">
      <c r="B856" t="s">
        <v>127</v>
      </c>
      <c r="C856" t="s">
        <v>59</v>
      </c>
      <c r="D856" s="60" t="s">
        <v>130</v>
      </c>
      <c r="E856" t="s">
        <v>128</v>
      </c>
      <c r="F856" t="s">
        <v>543</v>
      </c>
      <c r="G856" t="s">
        <v>132</v>
      </c>
      <c r="H856" t="s">
        <v>434</v>
      </c>
      <c r="I856" t="s">
        <v>32</v>
      </c>
      <c r="J856" t="s">
        <v>72</v>
      </c>
      <c r="K856">
        <f t="shared" si="2554"/>
        <v>1</v>
      </c>
      <c r="L856">
        <f t="shared" si="2555"/>
        <v>1</v>
      </c>
      <c r="M856">
        <f t="shared" si="2556"/>
        <v>1</v>
      </c>
      <c r="N856">
        <f t="shared" si="2557"/>
        <v>0</v>
      </c>
      <c r="O856">
        <f t="shared" si="2549"/>
        <v>3</v>
      </c>
      <c r="P856" t="str">
        <f t="shared" si="2558"/>
        <v>Medium decentralized natural gas steam reforming-Levelized cost</v>
      </c>
      <c r="Q856" t="str">
        <f t="shared" si="2559"/>
        <v>Distributed gas storage-Levelized cost</v>
      </c>
      <c r="R856" t="str">
        <f t="shared" si="2560"/>
        <v>Hydrogen distribution pipeline-Levelized cost</v>
      </c>
      <c r="S856" t="str">
        <f t="shared" si="2561"/>
        <v>Micro-CHP with H2 fuel cell (heat)-Levelized cost</v>
      </c>
      <c r="T856">
        <f ca="1">IF(timePeriod="2020-30",(VLOOKUP($P856,'TA database'!$I$8:$J$79,2,FALSE)/VLOOKUP($D856,'Merit calculation'!$B$48:$I$52,5,FALSE)/VLOOKUP($E856,'Merit calculation'!$B$67:$I$73,5,FALSE)/VLOOKUP($F856,'Merit calculation'!$B$90:$I$103,5,FALSE)/energyContentH2),(VLOOKUP($P856,'TA database'!$I$8:$J$79,2,FALSE)/VLOOKUP($D856,'Merit calculation'!$B$48:$I$52,7,FALSE)/VLOOKUP($E856,'Merit calculation'!$B$67:$I$73,7,FALSE)/VLOOKUP($F856,'Merit calculation'!$B$90:$I$103,7,FALSE)/energyContentH2))</f>
        <v>4.6104653279352772E-2</v>
      </c>
      <c r="U856">
        <f ca="1">IF(timePeriod="2020-30",(VLOOKUP($Q856,'TA database'!$I$86:$J$105,2,FALSE)/VLOOKUP($E856,'Merit calculation'!$B$67:$I$73,5,FALSE)/VLOOKUP($F856,'Merit calculation'!$B$90:$I$104,5,FALSE)/energyContentH2),VLOOKUP($Q856,'TA database'!$I$86:$J$105,2,FALSE)/VLOOKUP($E856,'Merit calculation'!$B$67:$I$73,7,FALSE)/VLOOKUP($F856,'Merit calculation'!$B$90:$I$104,7,FALSE)/energyContentH2)</f>
        <v>1.0784053983560304E-3</v>
      </c>
      <c r="V856">
        <f ca="1">IF(timePeriod="2020-30",(VLOOKUP($R856,'TA database'!$I$112:$J$139,2,FALSE)/VLOOKUP($F856,'Merit calculation'!$B$90:$I$104,5,FALSE)/energyContentH2),(VLOOKUP($R856,'TA database'!$I$112:$J$139,2,FALSE)/VLOOKUP($F856,'Merit calculation'!$B$90:$I$104,7,FALSE)/energyContentH2))</f>
        <v>3.1118832062507489E-3</v>
      </c>
      <c r="W856">
        <f ca="1">IFERROR(VLOOKUP($S856,'TA database'!$I$146:$J$193,2,FALSE),0)</f>
        <v>3.0801291854688804E-2</v>
      </c>
      <c r="X856">
        <f>IFERROR(VLOOKUP($S856,'TA database'!$I$200:$J$271,2,FALSE),0)</f>
        <v>0</v>
      </c>
      <c r="Y856">
        <f t="shared" ref="Y856:Y857" ca="1" si="2562">IF($W856=0,T856*3.6+U856*3.6+V856*3.6+X856,T856+U856+V856+W856)</f>
        <v>8.1096233738648354E-2</v>
      </c>
      <c r="Z856" t="str">
        <f t="shared" si="2550"/>
        <v>NG_SR_MED_D   →   D_GAS_STRG   →   H2_DSTRB_P   →   H2_FC_mCHP_HEAT</v>
      </c>
      <c r="AA856" t="str">
        <f t="shared" si="2551"/>
        <v>Building heat</v>
      </c>
      <c r="AB856" t="str">
        <f t="shared" si="2552"/>
        <v>Levelized cost</v>
      </c>
      <c r="AC856">
        <f t="shared" ca="1" si="2553"/>
        <v>8.1096233738648354E-2</v>
      </c>
      <c r="AD856">
        <v>797</v>
      </c>
      <c r="AE856" t="str">
        <f>IF(AND(ISNUMBER(SEARCH(O856,4)),ISNUMBER(SEARCH('(4) FCH pathway assessment'!$B$16,AB856)),ISNUMBER(SEARCH('(4) FCH pathway assessment'!$B$10,AA856))),AD856,"")</f>
        <v/>
      </c>
      <c r="AF856" t="str">
        <f t="shared" si="2450"/>
        <v/>
      </c>
      <c r="AG856" t="str">
        <f>VLOOKUP(C856,Assumptions!$B$116:$C$162,2,FALSE)</f>
        <v>NG_SR_MED_D</v>
      </c>
      <c r="AH856" t="str">
        <f>VLOOKUP(D856,Assumptions!$B$116:$C$162,2,FALSE)</f>
        <v>D_GAS_STRG</v>
      </c>
      <c r="AI856" t="str">
        <f>VLOOKUP(E856,Assumptions!$B$116:$C$162,2,FALSE)</f>
        <v>H2_DSTRB_P</v>
      </c>
      <c r="AJ856" t="str">
        <f>VLOOKUP(F856,Assumptions!$B$116:$C$162,2,FALSE)</f>
        <v>H2_FC_mCHP_HEAT</v>
      </c>
    </row>
    <row r="857" spans="2:36" x14ac:dyDescent="0.25">
      <c r="B857" t="s">
        <v>127</v>
      </c>
      <c r="C857" t="s">
        <v>60</v>
      </c>
      <c r="D857" s="60" t="s">
        <v>130</v>
      </c>
      <c r="E857" t="s">
        <v>128</v>
      </c>
      <c r="F857" t="s">
        <v>543</v>
      </c>
      <c r="G857" t="s">
        <v>132</v>
      </c>
      <c r="H857" t="s">
        <v>434</v>
      </c>
      <c r="I857" t="s">
        <v>32</v>
      </c>
      <c r="J857" t="s">
        <v>72</v>
      </c>
      <c r="K857">
        <f t="shared" ref="K857" si="2563">SUMPRODUCT(($C$7:$C$18=$C857)*($D$6:$H$6=$D857)*($D$7:$H$18))</f>
        <v>1</v>
      </c>
      <c r="L857">
        <f t="shared" ref="L857" si="2564">SUMPRODUCT(($C$19:$C$23=$D857)*($I$6:$O$6=$E857)*($I$19:$O$23))</f>
        <v>1</v>
      </c>
      <c r="M857">
        <f t="shared" ref="M857" si="2565">SUMPRODUCT(($C$24:$C$30=$E857)*($P$6:$AI$6=$F857)*($P$24:$AI$30))</f>
        <v>1</v>
      </c>
      <c r="N857">
        <f t="shared" ref="N857" si="2566">SUMPRODUCT(($C$31:$C$50=$F857)*($AJ$6:$AM$6=$G857)*($AJ$31:$AM$50))</f>
        <v>0</v>
      </c>
      <c r="O857">
        <f t="shared" ref="O857" si="2567">K857+L857+M857+N857</f>
        <v>3</v>
      </c>
      <c r="P857" t="str">
        <f t="shared" ref="P857" si="2568">CONCATENATE(C857,"-",J857)</f>
        <v>Small decentralized natural gas steam reforming-Levelized cost</v>
      </c>
      <c r="Q857" t="str">
        <f t="shared" ref="Q857" si="2569">CONCATENATE(D857,"-",J857)</f>
        <v>Distributed gas storage-Levelized cost</v>
      </c>
      <c r="R857" t="str">
        <f t="shared" ref="R857" si="2570">CONCATENATE(E857,"-",J857)</f>
        <v>Hydrogen distribution pipeline-Levelized cost</v>
      </c>
      <c r="S857" t="str">
        <f t="shared" ref="S857" si="2571">CONCATENATE(F857,"-",J857)</f>
        <v>Micro-CHP with H2 fuel cell (heat)-Levelized cost</v>
      </c>
      <c r="T857">
        <f ca="1">IF(timePeriod="2020-30",(VLOOKUP($P857,'TA database'!$I$8:$J$79,2,FALSE)/VLOOKUP($D857,'Merit calculation'!$B$48:$I$52,5,FALSE)/VLOOKUP($E857,'Merit calculation'!$B$67:$I$73,5,FALSE)/VLOOKUP($F857,'Merit calculation'!$B$90:$I$103,5,FALSE)/energyContentH2),(VLOOKUP($P857,'TA database'!$I$8:$J$79,2,FALSE)/VLOOKUP($D857,'Merit calculation'!$B$48:$I$52,7,FALSE)/VLOOKUP($E857,'Merit calculation'!$B$67:$I$73,7,FALSE)/VLOOKUP($F857,'Merit calculation'!$B$90:$I$103,7,FALSE)/energyContentH2))</f>
        <v>4.8891732024974655E-2</v>
      </c>
      <c r="U857">
        <f ca="1">IF(timePeriod="2020-30",(VLOOKUP($Q857,'TA database'!$I$86:$J$105,2,FALSE)/VLOOKUP($E857,'Merit calculation'!$B$67:$I$73,5,FALSE)/VLOOKUP($F857,'Merit calculation'!$B$90:$I$104,5,FALSE)/energyContentH2),VLOOKUP($Q857,'TA database'!$I$86:$J$105,2,FALSE)/VLOOKUP($E857,'Merit calculation'!$B$67:$I$73,7,FALSE)/VLOOKUP($F857,'Merit calculation'!$B$90:$I$104,7,FALSE)/energyContentH2)</f>
        <v>1.0784053983560304E-3</v>
      </c>
      <c r="V857">
        <f ca="1">IF(timePeriod="2020-30",(VLOOKUP($R857,'TA database'!$I$112:$J$139,2,FALSE)/VLOOKUP($F857,'Merit calculation'!$B$90:$I$104,5,FALSE)/energyContentH2),(VLOOKUP($R857,'TA database'!$I$112:$J$139,2,FALSE)/VLOOKUP($F857,'Merit calculation'!$B$90:$I$104,7,FALSE)/energyContentH2))</f>
        <v>3.1118832062507489E-3</v>
      </c>
      <c r="W857">
        <f ca="1">IFERROR(VLOOKUP($S857,'TA database'!$I$146:$J$193,2,FALSE),0)</f>
        <v>3.0801291854688804E-2</v>
      </c>
      <c r="X857">
        <f>IFERROR(VLOOKUP($S857,'TA database'!$I$200:$J$271,2,FALSE),0)</f>
        <v>0</v>
      </c>
      <c r="Y857">
        <f t="shared" ca="1" si="2562"/>
        <v>8.3883312484270237E-2</v>
      </c>
      <c r="Z857" t="str">
        <f t="shared" ref="Z857" si="2572">CONCATENATE(AG857,"   →   ",AH857,"   →   ",AI857,"   →   ",AJ857)</f>
        <v>NG_SR_SML_D   →   D_GAS_STRG   →   H2_DSTRB_P   →   H2_FC_mCHP_HEAT</v>
      </c>
      <c r="AA857" t="str">
        <f t="shared" ref="AA857" si="2573">G857</f>
        <v>Building heat</v>
      </c>
      <c r="AB857" t="str">
        <f t="shared" ref="AB857" si="2574">J857</f>
        <v>Levelized cost</v>
      </c>
      <c r="AC857">
        <f t="shared" ref="AC857" ca="1" si="2575">Y857</f>
        <v>8.3883312484270237E-2</v>
      </c>
      <c r="AD857">
        <v>798</v>
      </c>
      <c r="AE857" t="str">
        <f>IF(AND(ISNUMBER(SEARCH(O857,4)),ISNUMBER(SEARCH('(4) FCH pathway assessment'!$B$16,AB857)),ISNUMBER(SEARCH('(4) FCH pathway assessment'!$B$10,AA857))),AD857,"")</f>
        <v/>
      </c>
      <c r="AF857" t="str">
        <f t="shared" si="2450"/>
        <v/>
      </c>
      <c r="AG857" t="str">
        <f>VLOOKUP(C857,Assumptions!$B$116:$C$162,2,FALSE)</f>
        <v>NG_SR_SML_D</v>
      </c>
      <c r="AH857" t="str">
        <f>VLOOKUP(D857,Assumptions!$B$116:$C$162,2,FALSE)</f>
        <v>D_GAS_STRG</v>
      </c>
      <c r="AI857" t="str">
        <f>VLOOKUP(E857,Assumptions!$B$116:$C$162,2,FALSE)</f>
        <v>H2_DSTRB_P</v>
      </c>
      <c r="AJ857" t="str">
        <f>VLOOKUP(F857,Assumptions!$B$116:$C$162,2,FALSE)</f>
        <v>H2_FC_mCHP_HEAT</v>
      </c>
    </row>
    <row r="858" spans="2:36" x14ac:dyDescent="0.25">
      <c r="B858" t="s">
        <v>117</v>
      </c>
      <c r="C858" t="s">
        <v>53</v>
      </c>
      <c r="D858" t="s">
        <v>155</v>
      </c>
      <c r="E858" t="s">
        <v>65</v>
      </c>
      <c r="F858" t="s">
        <v>553</v>
      </c>
      <c r="G858" t="s">
        <v>132</v>
      </c>
      <c r="H858" t="s">
        <v>434</v>
      </c>
      <c r="I858" t="s">
        <v>32</v>
      </c>
      <c r="J858" t="s">
        <v>72</v>
      </c>
      <c r="K858">
        <f t="shared" ref="K858" si="2576">SUMPRODUCT(($C$7:$C$18=$C858)*($D$6:$H$6=$D858)*($D$7:$H$18))</f>
        <v>0</v>
      </c>
      <c r="L858">
        <f t="shared" ref="L858" si="2577">SUMPRODUCT(($C$19:$C$23=$D858)*($I$6:$O$6=$E858)*($I$19:$O$23))</f>
        <v>1</v>
      </c>
      <c r="M858">
        <f t="shared" ref="M858" si="2578">SUMPRODUCT(($C$24:$C$30=$E858)*($P$6:$AI$6=$F858)*($P$24:$AI$30))</f>
        <v>0</v>
      </c>
      <c r="N858">
        <f t="shared" ref="N858" si="2579">SUMPRODUCT(($C$31:$C$50=$F858)*($AJ$6:$AM$6=$G858)*($AJ$31:$AM$50))</f>
        <v>1</v>
      </c>
      <c r="O858">
        <f t="shared" ref="O858" si="2580">K858+L858+M858+N858</f>
        <v>2</v>
      </c>
      <c r="P858" t="str">
        <f t="shared" ref="P858" si="2581">CONCATENATE(C858,"-",J858)</f>
        <v>Medium centralized biomass gasification-Levelized cost</v>
      </c>
      <c r="Q858" t="str">
        <f t="shared" ref="Q858" si="2582">CONCATENATE(D858,"-",J858)</f>
        <v>Central gas storage-Levelized cost</v>
      </c>
      <c r="R858" t="str">
        <f t="shared" ref="R858" si="2583">CONCATENATE(E858,"-",J858)</f>
        <v>Methanation-Levelized cost</v>
      </c>
      <c r="S858" t="str">
        <f t="shared" ref="S858" si="2584">CONCATENATE(F858,"-",J858)</f>
        <v>Micro-CHP with natural gas fuel cell (heat)-Levelized cost</v>
      </c>
      <c r="T858">
        <f ca="1">IF(timePeriod="2020-30",(VLOOKUP($P858,'TA database'!$I$8:$J$79,2,FALSE)/VLOOKUP($D858,'Merit calculation'!$B$48:$I$52,5,FALSE)/VLOOKUP($E858,'Merit calculation'!$B$67:$I$73,5,FALSE)/VLOOKUP($F858,'Merit calculation'!$B$90:$I$103,5,FALSE)/energyContentH2),(VLOOKUP($P858,'TA database'!$I$8:$J$79,2,FALSE)/VLOOKUP($D858,'Merit calculation'!$B$48:$I$52,7,FALSE)/VLOOKUP($E858,'Merit calculation'!$B$67:$I$73,7,FALSE)/VLOOKUP($F858,'Merit calculation'!$B$90:$I$103,7,FALSE)/energyContentH2))</f>
        <v>1.5174635425945519E-2</v>
      </c>
      <c r="U858">
        <f ca="1">IF(timePeriod="2020-30",(VLOOKUP($Q858,'TA database'!$I$86:$J$105,2,FALSE)/VLOOKUP($E858,'Merit calculation'!$B$67:$I$73,5,FALSE)/VLOOKUP($F858,'Merit calculation'!$B$90:$I$104,5,FALSE)/energyContentH2),VLOOKUP($Q858,'TA database'!$I$86:$J$105,2,FALSE)/VLOOKUP($E858,'Merit calculation'!$B$67:$I$73,7,FALSE)/VLOOKUP($F858,'Merit calculation'!$B$90:$I$104,7,FALSE)/energyContentH2)</f>
        <v>7.5067125776189295E-4</v>
      </c>
      <c r="V858">
        <f ca="1">IF(timePeriod="2020-30",(VLOOKUP($R858,'TA database'!$I$112:$J$139,2,FALSE)/VLOOKUP($F858,'Merit calculation'!$B$90:$I$104,5,FALSE)/energyContentH2),(VLOOKUP($R858,'TA database'!$I$112:$J$139,2,FALSE)/VLOOKUP($F858,'Merit calculation'!$B$90:$I$104,7,FALSE)/energyContentH2))</f>
        <v>1.3030042576735708E-2</v>
      </c>
      <c r="W858">
        <f ca="1">IFERROR(VLOOKUP($S858,'TA database'!$I$146:$J$193,2,FALSE),0)</f>
        <v>3.0801291854688804E-2</v>
      </c>
      <c r="X858">
        <f>IFERROR(VLOOKUP($S858,'TA database'!$I$200:$J$271,2,FALSE),0)</f>
        <v>0</v>
      </c>
      <c r="Y858">
        <f t="shared" ref="Y858" ca="1" si="2585">IF($W858=0,T858*3.6+U858*3.6+V858*3.6+X858,T858+U858+V858+W858)</f>
        <v>5.9756641115131917E-2</v>
      </c>
      <c r="Z858" t="str">
        <f t="shared" ref="Z858" si="2586">CONCATENATE(AG858,"   →   ",AH858,"   →   ",AI858,"   →   ",AJ858)</f>
        <v>BIO_GSF_MED_C   →   C_GAS_STRG   →   METHANATION   →   NG_FC_mCHP_HEAT</v>
      </c>
      <c r="AA858" t="str">
        <f t="shared" ref="AA858" si="2587">G858</f>
        <v>Building heat</v>
      </c>
      <c r="AB858" t="str">
        <f t="shared" ref="AB858" si="2588">J858</f>
        <v>Levelized cost</v>
      </c>
      <c r="AC858">
        <f t="shared" ref="AC858" ca="1" si="2589">Y858</f>
        <v>5.9756641115131917E-2</v>
      </c>
      <c r="AD858">
        <v>799</v>
      </c>
      <c r="AE858" t="str">
        <f>IF(AND(ISNUMBER(SEARCH(O858,4)),ISNUMBER(SEARCH('(4) FCH pathway assessment'!$B$16,AB858)),ISNUMBER(SEARCH('(4) FCH pathway assessment'!$B$10,AA858))),AD858,"")</f>
        <v/>
      </c>
      <c r="AF858" t="str">
        <f t="shared" si="2450"/>
        <v/>
      </c>
      <c r="AG858" t="str">
        <f>VLOOKUP(C858,Assumptions!$B$116:$C$162,2,FALSE)</f>
        <v>BIO_GSF_MED_C</v>
      </c>
      <c r="AH858" t="str">
        <f>VLOOKUP(D858,Assumptions!$B$116:$C$162,2,FALSE)</f>
        <v>C_GAS_STRG</v>
      </c>
      <c r="AI858" t="str">
        <f>VLOOKUP(E858,Assumptions!$B$116:$C$162,2,FALSE)</f>
        <v>METHANATION</v>
      </c>
      <c r="AJ858" t="str">
        <f>VLOOKUP(F858,Assumptions!$B$116:$C$162,2,FALSE)</f>
        <v>NG_FC_mCHP_HEAT</v>
      </c>
    </row>
    <row r="859" spans="2:36" x14ac:dyDescent="0.25">
      <c r="B859" t="s">
        <v>117</v>
      </c>
      <c r="C859" t="s">
        <v>54</v>
      </c>
      <c r="D859" t="s">
        <v>155</v>
      </c>
      <c r="E859" t="s">
        <v>65</v>
      </c>
      <c r="F859" t="s">
        <v>553</v>
      </c>
      <c r="G859" t="s">
        <v>132</v>
      </c>
      <c r="H859" t="s">
        <v>434</v>
      </c>
      <c r="I859" t="s">
        <v>32</v>
      </c>
      <c r="J859" t="s">
        <v>72</v>
      </c>
      <c r="K859">
        <f t="shared" ref="K859" si="2590">SUMPRODUCT(($C$7:$C$18=$C859)*($D$6:$H$6=$D859)*($D$7:$H$18))</f>
        <v>0</v>
      </c>
      <c r="L859">
        <f t="shared" ref="L859" si="2591">SUMPRODUCT(($C$19:$C$23=$D859)*($I$6:$O$6=$E859)*($I$19:$O$23))</f>
        <v>1</v>
      </c>
      <c r="M859">
        <f t="shared" ref="M859" si="2592">SUMPRODUCT(($C$24:$C$30=$E859)*($P$6:$AI$6=$F859)*($P$24:$AI$30))</f>
        <v>0</v>
      </c>
      <c r="N859">
        <f t="shared" ref="N859" si="2593">SUMPRODUCT(($C$31:$C$50=$F859)*($AJ$6:$AM$6=$G859)*($AJ$31:$AM$50))</f>
        <v>1</v>
      </c>
      <c r="O859">
        <f t="shared" ref="O859" si="2594">K859+L859+M859+N859</f>
        <v>2</v>
      </c>
      <c r="P859" t="str">
        <f t="shared" ref="P859" si="2595">CONCATENATE(C859,"-",J859)</f>
        <v>Medium centralized biomass gasification w/ CCS-Levelized cost</v>
      </c>
      <c r="Q859" t="str">
        <f t="shared" ref="Q859" si="2596">CONCATENATE(D859,"-",J859)</f>
        <v>Central gas storage-Levelized cost</v>
      </c>
      <c r="R859" t="str">
        <f t="shared" ref="R859" si="2597">CONCATENATE(E859,"-",J859)</f>
        <v>Methanation-Levelized cost</v>
      </c>
      <c r="S859" t="str">
        <f t="shared" ref="S859" si="2598">CONCATENATE(F859,"-",J859)</f>
        <v>Micro-CHP with natural gas fuel cell (heat)-Levelized cost</v>
      </c>
      <c r="T859">
        <f ca="1">IF(timePeriod="2020-30",(VLOOKUP($P859,'TA database'!$I$8:$J$79,2,FALSE)/VLOOKUP($D859,'Merit calculation'!$B$48:$I$52,5,FALSE)/VLOOKUP($E859,'Merit calculation'!$B$67:$I$73,5,FALSE)/VLOOKUP($F859,'Merit calculation'!$B$90:$I$103,5,FALSE)/energyContentH2),(VLOOKUP($P859,'TA database'!$I$8:$J$79,2,FALSE)/VLOOKUP($D859,'Merit calculation'!$B$48:$I$52,7,FALSE)/VLOOKUP($E859,'Merit calculation'!$B$67:$I$73,7,FALSE)/VLOOKUP($F859,'Merit calculation'!$B$90:$I$103,7,FALSE)/energyContentH2))</f>
        <v>9.4775850310862518E-3</v>
      </c>
      <c r="U859">
        <f ca="1">IF(timePeriod="2020-30",(VLOOKUP($Q859,'TA database'!$I$86:$J$105,2,FALSE)/VLOOKUP($E859,'Merit calculation'!$B$67:$I$73,5,FALSE)/VLOOKUP($F859,'Merit calculation'!$B$90:$I$104,5,FALSE)/energyContentH2),VLOOKUP($Q859,'TA database'!$I$86:$J$105,2,FALSE)/VLOOKUP($E859,'Merit calculation'!$B$67:$I$73,7,FALSE)/VLOOKUP($F859,'Merit calculation'!$B$90:$I$104,7,FALSE)/energyContentH2)</f>
        <v>7.5067125776189295E-4</v>
      </c>
      <c r="V859">
        <f ca="1">IF(timePeriod="2020-30",(VLOOKUP($R859,'TA database'!$I$112:$J$139,2,FALSE)/VLOOKUP($F859,'Merit calculation'!$B$90:$I$104,5,FALSE)/energyContentH2),(VLOOKUP($R859,'TA database'!$I$112:$J$139,2,FALSE)/VLOOKUP($F859,'Merit calculation'!$B$90:$I$104,7,FALSE)/energyContentH2))</f>
        <v>1.3030042576735708E-2</v>
      </c>
      <c r="W859">
        <f ca="1">IFERROR(VLOOKUP($S859,'TA database'!$I$146:$J$193,2,FALSE),0)</f>
        <v>3.0801291854688804E-2</v>
      </c>
      <c r="X859">
        <f>IFERROR(VLOOKUP($S859,'TA database'!$I$200:$J$271,2,FALSE),0)</f>
        <v>0</v>
      </c>
      <c r="Y859">
        <f t="shared" ref="Y859" ca="1" si="2599">IF($W859=0,T859*3.6+U859*3.6+V859*3.6+X859,T859+U859+V859+W859)</f>
        <v>5.4059590720272652E-2</v>
      </c>
      <c r="Z859" t="str">
        <f t="shared" ref="Z859" si="2600">CONCATENATE(AG859,"   →   ",AH859,"   →   ",AI859,"   →   ",AJ859)</f>
        <v>BIO_GSF_CCS_MED_C   →   C_GAS_STRG   →   METHANATION   →   NG_FC_mCHP_HEAT</v>
      </c>
      <c r="AA859" t="str">
        <f t="shared" ref="AA859" si="2601">G859</f>
        <v>Building heat</v>
      </c>
      <c r="AB859" t="str">
        <f t="shared" ref="AB859" si="2602">J859</f>
        <v>Levelized cost</v>
      </c>
      <c r="AC859">
        <f t="shared" ref="AC859" ca="1" si="2603">Y859</f>
        <v>5.4059590720272652E-2</v>
      </c>
      <c r="AD859">
        <v>800</v>
      </c>
      <c r="AE859" t="str">
        <f>IF(AND(ISNUMBER(SEARCH(O859,4)),ISNUMBER(SEARCH('(4) FCH pathway assessment'!$B$16,AB859)),ISNUMBER(SEARCH('(4) FCH pathway assessment'!$B$10,AA859))),AD859,"")</f>
        <v/>
      </c>
      <c r="AF859" t="str">
        <f t="shared" si="2450"/>
        <v/>
      </c>
      <c r="AG859" t="str">
        <f>VLOOKUP(C859,Assumptions!$B$116:$C$162,2,FALSE)</f>
        <v>BIO_GSF_CCS_MED_C</v>
      </c>
      <c r="AH859" t="str">
        <f>VLOOKUP(D859,Assumptions!$B$116:$C$162,2,FALSE)</f>
        <v>C_GAS_STRG</v>
      </c>
      <c r="AI859" t="str">
        <f>VLOOKUP(E859,Assumptions!$B$116:$C$162,2,FALSE)</f>
        <v>METHANATION</v>
      </c>
      <c r="AJ859" t="str">
        <f>VLOOKUP(F859,Assumptions!$B$116:$C$162,2,FALSE)</f>
        <v>NG_FC_mCHP_HEAT</v>
      </c>
    </row>
    <row r="860" spans="2:36" x14ac:dyDescent="0.25">
      <c r="B860" t="s">
        <v>117</v>
      </c>
      <c r="C860" t="s">
        <v>56</v>
      </c>
      <c r="D860" t="s">
        <v>62</v>
      </c>
      <c r="E860" t="s">
        <v>65</v>
      </c>
      <c r="F860" t="s">
        <v>553</v>
      </c>
      <c r="G860" t="s">
        <v>132</v>
      </c>
      <c r="H860" t="s">
        <v>434</v>
      </c>
      <c r="I860" t="s">
        <v>32</v>
      </c>
      <c r="J860" t="s">
        <v>72</v>
      </c>
      <c r="K860">
        <f t="shared" ref="K860:K862" si="2604">SUMPRODUCT(($C$7:$C$18=$C860)*($D$6:$H$6=$D860)*($D$7:$H$18))</f>
        <v>0</v>
      </c>
      <c r="L860">
        <f t="shared" ref="L860:L862" si="2605">SUMPRODUCT(($C$19:$C$23=$D860)*($I$6:$O$6=$E860)*($I$19:$O$23))</f>
        <v>0</v>
      </c>
      <c r="M860">
        <f t="shared" ref="M860:M862" si="2606">SUMPRODUCT(($C$24:$C$30=$E860)*($P$6:$AI$6=$F860)*($P$24:$AI$30))</f>
        <v>0</v>
      </c>
      <c r="N860">
        <f t="shared" ref="N860:N862" si="2607">SUMPRODUCT(($C$31:$C$50=$F860)*($AJ$6:$AM$6=$G860)*($AJ$31:$AM$50))</f>
        <v>1</v>
      </c>
      <c r="O860">
        <f t="shared" ref="O860:O862" si="2608">K860+L860+M860+N860</f>
        <v>1</v>
      </c>
      <c r="P860" t="str">
        <f t="shared" ref="P860:P862" si="2609">CONCATENATE(C860,"-",J860)</f>
        <v>Large centralized biomass steam reforming -Levelized cost</v>
      </c>
      <c r="Q860" t="str">
        <f t="shared" ref="Q860:Q862" si="2610">CONCATENATE(D860,"-",J860)</f>
        <v>Underground storage-Levelized cost</v>
      </c>
      <c r="R860" t="str">
        <f t="shared" ref="R860:R862" si="2611">CONCATENATE(E860,"-",J860)</f>
        <v>Methanation-Levelized cost</v>
      </c>
      <c r="S860" t="str">
        <f t="shared" ref="S860:S862" si="2612">CONCATENATE(F860,"-",J860)</f>
        <v>Micro-CHP with natural gas fuel cell (heat)-Levelized cost</v>
      </c>
      <c r="T860">
        <f ca="1">IF(timePeriod="2020-30",(VLOOKUP($P860,'TA database'!$I$8:$J$79,2,FALSE)/VLOOKUP($D860,'Merit calculation'!$B$48:$I$52,5,FALSE)/VLOOKUP($E860,'Merit calculation'!$B$67:$I$73,5,FALSE)/VLOOKUP($F860,'Merit calculation'!$B$90:$I$103,5,FALSE)/energyContentH2),(VLOOKUP($P860,'TA database'!$I$8:$J$79,2,FALSE)/VLOOKUP($D860,'Merit calculation'!$B$48:$I$52,7,FALSE)/VLOOKUP($E860,'Merit calculation'!$B$67:$I$73,7,FALSE)/VLOOKUP($F860,'Merit calculation'!$B$90:$I$103,7,FALSE)/energyContentH2))</f>
        <v>1.061110902706161E-2</v>
      </c>
      <c r="U860">
        <f ca="1">IF(timePeriod="2020-30",(VLOOKUP($Q860,'TA database'!$I$86:$J$105,2,FALSE)/VLOOKUP($E860,'Merit calculation'!$B$67:$I$73,5,FALSE)/VLOOKUP($F860,'Merit calculation'!$B$90:$I$104,5,FALSE)/energyContentH2),VLOOKUP($Q860,'TA database'!$I$86:$J$105,2,FALSE)/VLOOKUP($E860,'Merit calculation'!$B$67:$I$73,7,FALSE)/VLOOKUP($F860,'Merit calculation'!$B$90:$I$104,7,FALSE)/energyContentH2)</f>
        <v>1.4951641512623716E-4</v>
      </c>
      <c r="V860">
        <f ca="1">IF(timePeriod="2020-30",(VLOOKUP($R860,'TA database'!$I$112:$J$139,2,FALSE)/VLOOKUP($F860,'Merit calculation'!$B$90:$I$104,5,FALSE)/energyContentH2),(VLOOKUP($R860,'TA database'!$I$112:$J$139,2,FALSE)/VLOOKUP($F860,'Merit calculation'!$B$90:$I$104,7,FALSE)/energyContentH2))</f>
        <v>1.3030042576735708E-2</v>
      </c>
      <c r="W860">
        <f ca="1">IFERROR(VLOOKUP($S860,'TA database'!$I$146:$J$193,2,FALSE),0)</f>
        <v>3.0801291854688804E-2</v>
      </c>
      <c r="X860">
        <f>IFERROR(VLOOKUP($S860,'TA database'!$I$200:$J$271,2,FALSE),0)</f>
        <v>0</v>
      </c>
      <c r="Y860">
        <f t="shared" ref="Y860:Y861" ca="1" si="2613">IF($W860=0,T860*3.6+U860*3.6+V860*3.6+X860,T860+U860+V860+W860)</f>
        <v>5.4591959873612358E-2</v>
      </c>
      <c r="Z860" t="str">
        <f t="shared" ref="Z860:Z862" si="2614">CONCATENATE(AG860,"   →   ",AH860,"   →   ",AI860,"   →   ",AJ860)</f>
        <v>BIO_SR_LRG_C   →   C_UNDRGRND_STRG   →   METHANATION   →   NG_FC_mCHP_HEAT</v>
      </c>
      <c r="AA860" t="str">
        <f t="shared" ref="AA860:AA862" si="2615">G860</f>
        <v>Building heat</v>
      </c>
      <c r="AB860" t="str">
        <f t="shared" ref="AB860:AB862" si="2616">J860</f>
        <v>Levelized cost</v>
      </c>
      <c r="AC860">
        <f t="shared" ref="AC860:AC862" ca="1" si="2617">Y860</f>
        <v>5.4591959873612358E-2</v>
      </c>
      <c r="AD860">
        <v>801</v>
      </c>
      <c r="AE860" t="str">
        <f>IF(AND(ISNUMBER(SEARCH(O860,4)),ISNUMBER(SEARCH('(4) FCH pathway assessment'!$B$16,AB860)),ISNUMBER(SEARCH('(4) FCH pathway assessment'!$B$10,AA860))),AD860,"")</f>
        <v/>
      </c>
      <c r="AF860" t="str">
        <f t="shared" si="2450"/>
        <v/>
      </c>
      <c r="AG860" t="str">
        <f>VLOOKUP(C860,Assumptions!$B$116:$C$162,2,FALSE)</f>
        <v>BIO_SR_LRG_C</v>
      </c>
      <c r="AH860" t="str">
        <f>VLOOKUP(D860,Assumptions!$B$116:$C$162,2,FALSE)</f>
        <v>C_UNDRGRND_STRG</v>
      </c>
      <c r="AI860" t="str">
        <f>VLOOKUP(E860,Assumptions!$B$116:$C$162,2,FALSE)</f>
        <v>METHANATION</v>
      </c>
      <c r="AJ860" t="str">
        <f>VLOOKUP(F860,Assumptions!$B$116:$C$162,2,FALSE)</f>
        <v>NG_FC_mCHP_HEAT</v>
      </c>
    </row>
    <row r="861" spans="2:36" x14ac:dyDescent="0.25">
      <c r="B861" t="s">
        <v>112</v>
      </c>
      <c r="C861" t="s">
        <v>49</v>
      </c>
      <c r="D861" t="s">
        <v>62</v>
      </c>
      <c r="E861" t="s">
        <v>65</v>
      </c>
      <c r="F861" t="s">
        <v>553</v>
      </c>
      <c r="G861" t="s">
        <v>132</v>
      </c>
      <c r="H861" t="s">
        <v>434</v>
      </c>
      <c r="I861" t="s">
        <v>32</v>
      </c>
      <c r="J861" t="s">
        <v>72</v>
      </c>
      <c r="K861">
        <f t="shared" si="2604"/>
        <v>1</v>
      </c>
      <c r="L861">
        <f t="shared" si="2605"/>
        <v>0</v>
      </c>
      <c r="M861">
        <f t="shared" si="2606"/>
        <v>0</v>
      </c>
      <c r="N861">
        <f t="shared" si="2607"/>
        <v>1</v>
      </c>
      <c r="O861">
        <f t="shared" si="2608"/>
        <v>2</v>
      </c>
      <c r="P861" t="str">
        <f t="shared" si="2609"/>
        <v>Large centralized electrolysis-Levelized cost</v>
      </c>
      <c r="Q861" t="str">
        <f t="shared" si="2610"/>
        <v>Underground storage-Levelized cost</v>
      </c>
      <c r="R861" t="str">
        <f t="shared" si="2611"/>
        <v>Methanation-Levelized cost</v>
      </c>
      <c r="S861" t="str">
        <f t="shared" si="2612"/>
        <v>Micro-CHP with natural gas fuel cell (heat)-Levelized cost</v>
      </c>
      <c r="T861">
        <f ca="1">IF(timePeriod="2020-30",(VLOOKUP($P861,'TA database'!$I$8:$J$79,2,FALSE)/VLOOKUP($D861,'Merit calculation'!$B$48:$I$52,5,FALSE)/VLOOKUP($E861,'Merit calculation'!$B$67:$I$73,5,FALSE)/VLOOKUP($F861,'Merit calculation'!$B$90:$I$103,5,FALSE)/energyContentH2),(VLOOKUP($P861,'TA database'!$I$8:$J$79,2,FALSE)/VLOOKUP($D861,'Merit calculation'!$B$48:$I$52,7,FALSE)/VLOOKUP($E861,'Merit calculation'!$B$67:$I$73,7,FALSE)/VLOOKUP($F861,'Merit calculation'!$B$90:$I$103,7,FALSE)/energyContentH2))</f>
        <v>2.2626050646615502E-2</v>
      </c>
      <c r="U861">
        <f ca="1">IF(timePeriod="2020-30",(VLOOKUP($Q861,'TA database'!$I$86:$J$105,2,FALSE)/VLOOKUP($E861,'Merit calculation'!$B$67:$I$73,5,FALSE)/VLOOKUP($F861,'Merit calculation'!$B$90:$I$104,5,FALSE)/energyContentH2),VLOOKUP($Q861,'TA database'!$I$86:$J$105,2,FALSE)/VLOOKUP($E861,'Merit calculation'!$B$67:$I$73,7,FALSE)/VLOOKUP($F861,'Merit calculation'!$B$90:$I$104,7,FALSE)/energyContentH2)</f>
        <v>1.4951641512623716E-4</v>
      </c>
      <c r="V861">
        <f ca="1">IF(timePeriod="2020-30",(VLOOKUP($R861,'TA database'!$I$112:$J$139,2,FALSE)/VLOOKUP($F861,'Merit calculation'!$B$90:$I$104,5,FALSE)/energyContentH2),(VLOOKUP($R861,'TA database'!$I$112:$J$139,2,FALSE)/VLOOKUP($F861,'Merit calculation'!$B$90:$I$104,7,FALSE)/energyContentH2))</f>
        <v>1.3030042576735708E-2</v>
      </c>
      <c r="W861">
        <f ca="1">IFERROR(VLOOKUP($S861,'TA database'!$I$146:$J$193,2,FALSE),0)</f>
        <v>3.0801291854688804E-2</v>
      </c>
      <c r="X861">
        <f>IFERROR(VLOOKUP($S861,'TA database'!$I$200:$J$271,2,FALSE),0)</f>
        <v>0</v>
      </c>
      <c r="Y861">
        <f t="shared" ca="1" si="2613"/>
        <v>6.6606901493166254E-2</v>
      </c>
      <c r="Z861" t="str">
        <f t="shared" si="2614"/>
        <v>ELCTRLYZ_LRG_C   →   C_UNDRGRND_STRG   →   METHANATION   →   NG_FC_mCHP_HEAT</v>
      </c>
      <c r="AA861" t="str">
        <f t="shared" si="2615"/>
        <v>Building heat</v>
      </c>
      <c r="AB861" t="str">
        <f t="shared" si="2616"/>
        <v>Levelized cost</v>
      </c>
      <c r="AC861">
        <f t="shared" ca="1" si="2617"/>
        <v>6.6606901493166254E-2</v>
      </c>
      <c r="AD861">
        <v>802</v>
      </c>
      <c r="AE861" t="str">
        <f>IF(AND(ISNUMBER(SEARCH(O861,4)),ISNUMBER(SEARCH('(4) FCH pathway assessment'!$B$16,AB861)),ISNUMBER(SEARCH('(4) FCH pathway assessment'!$B$10,AA861))),AD861,"")</f>
        <v/>
      </c>
      <c r="AF861" t="str">
        <f t="shared" si="2450"/>
        <v/>
      </c>
      <c r="AG861" t="str">
        <f>VLOOKUP(C861,Assumptions!$B$116:$C$162,2,FALSE)</f>
        <v>ELCTRLYZ_LRG_C</v>
      </c>
      <c r="AH861" t="str">
        <f>VLOOKUP(D861,Assumptions!$B$116:$C$162,2,FALSE)</f>
        <v>C_UNDRGRND_STRG</v>
      </c>
      <c r="AI861" t="str">
        <f>VLOOKUP(E861,Assumptions!$B$116:$C$162,2,FALSE)</f>
        <v>METHANATION</v>
      </c>
      <c r="AJ861" t="str">
        <f>VLOOKUP(F861,Assumptions!$B$116:$C$162,2,FALSE)</f>
        <v>NG_FC_mCHP_HEAT</v>
      </c>
    </row>
    <row r="862" spans="2:36" x14ac:dyDescent="0.25">
      <c r="B862" t="s">
        <v>112</v>
      </c>
      <c r="C862" t="s">
        <v>49</v>
      </c>
      <c r="D862" t="s">
        <v>155</v>
      </c>
      <c r="E862" t="s">
        <v>65</v>
      </c>
      <c r="F862" t="s">
        <v>553</v>
      </c>
      <c r="G862" t="s">
        <v>132</v>
      </c>
      <c r="H862" t="s">
        <v>434</v>
      </c>
      <c r="I862" t="s">
        <v>32</v>
      </c>
      <c r="J862" t="s">
        <v>72</v>
      </c>
      <c r="K862">
        <f t="shared" si="2604"/>
        <v>1</v>
      </c>
      <c r="L862">
        <f t="shared" si="2605"/>
        <v>1</v>
      </c>
      <c r="M862">
        <f t="shared" si="2606"/>
        <v>0</v>
      </c>
      <c r="N862">
        <f t="shared" si="2607"/>
        <v>1</v>
      </c>
      <c r="O862">
        <f t="shared" si="2608"/>
        <v>3</v>
      </c>
      <c r="P862" t="str">
        <f t="shared" si="2609"/>
        <v>Large centralized electrolysis-Levelized cost</v>
      </c>
      <c r="Q862" t="str">
        <f t="shared" si="2610"/>
        <v>Central gas storage-Levelized cost</v>
      </c>
      <c r="R862" t="str">
        <f t="shared" si="2611"/>
        <v>Methanation-Levelized cost</v>
      </c>
      <c r="S862" t="str">
        <f t="shared" si="2612"/>
        <v>Micro-CHP with natural gas fuel cell (heat)-Levelized cost</v>
      </c>
      <c r="T862">
        <f ca="1">IF(timePeriod="2020-30",(VLOOKUP($P862,'TA database'!$I$8:$J$79,2,FALSE)/VLOOKUP($D862,'Merit calculation'!$B$48:$I$52,5,FALSE)/VLOOKUP($E862,'Merit calculation'!$B$67:$I$73,5,FALSE)/VLOOKUP($F862,'Merit calculation'!$B$90:$I$103,5,FALSE)/energyContentH2),(VLOOKUP($P862,'TA database'!$I$8:$J$79,2,FALSE)/VLOOKUP($D862,'Merit calculation'!$B$48:$I$52,7,FALSE)/VLOOKUP($E862,'Merit calculation'!$B$67:$I$73,7,FALSE)/VLOOKUP($F862,'Merit calculation'!$B$90:$I$103,7,FALSE)/energyContentH2))</f>
        <v>2.2856928714438108E-2</v>
      </c>
      <c r="U862">
        <f ca="1">IF(timePeriod="2020-30",(VLOOKUP($Q862,'TA database'!$I$86:$J$105,2,FALSE)/VLOOKUP($E862,'Merit calculation'!$B$67:$I$73,5,FALSE)/VLOOKUP($F862,'Merit calculation'!$B$90:$I$104,5,FALSE)/energyContentH2),VLOOKUP($Q862,'TA database'!$I$86:$J$105,2,FALSE)/VLOOKUP($E862,'Merit calculation'!$B$67:$I$73,7,FALSE)/VLOOKUP($F862,'Merit calculation'!$B$90:$I$104,7,FALSE)/energyContentH2)</f>
        <v>7.5067125776189295E-4</v>
      </c>
      <c r="V862">
        <f ca="1">IF(timePeriod="2020-30",(VLOOKUP($R862,'TA database'!$I$112:$J$139,2,FALSE)/VLOOKUP($F862,'Merit calculation'!$B$90:$I$104,5,FALSE)/energyContentH2),(VLOOKUP($R862,'TA database'!$I$112:$J$139,2,FALSE)/VLOOKUP($F862,'Merit calculation'!$B$90:$I$104,7,FALSE)/energyContentH2))</f>
        <v>1.3030042576735708E-2</v>
      </c>
      <c r="W862">
        <f ca="1">IFERROR(VLOOKUP($S862,'TA database'!$I$146:$J$193,2,FALSE),0)</f>
        <v>3.0801291854688804E-2</v>
      </c>
      <c r="X862">
        <f>IFERROR(VLOOKUP($S862,'TA database'!$I$200:$J$271,2,FALSE),0)</f>
        <v>0</v>
      </c>
      <c r="Y862">
        <f t="shared" ref="Y862:Y863" ca="1" si="2618">IF($W862=0,T862*3.6+U862*3.6+V862*3.6+X862,T862+U862+V862+W862)</f>
        <v>6.7438934403624515E-2</v>
      </c>
      <c r="Z862" t="str">
        <f t="shared" si="2614"/>
        <v>ELCTRLYZ_LRG_C   →   C_GAS_STRG   →   METHANATION   →   NG_FC_mCHP_HEAT</v>
      </c>
      <c r="AA862" t="str">
        <f t="shared" si="2615"/>
        <v>Building heat</v>
      </c>
      <c r="AB862" t="str">
        <f t="shared" si="2616"/>
        <v>Levelized cost</v>
      </c>
      <c r="AC862">
        <f t="shared" ca="1" si="2617"/>
        <v>6.7438934403624515E-2</v>
      </c>
      <c r="AD862">
        <v>803</v>
      </c>
      <c r="AE862" t="str">
        <f>IF(AND(ISNUMBER(SEARCH(O862,4)),ISNUMBER(SEARCH('(4) FCH pathway assessment'!$B$16,AB862)),ISNUMBER(SEARCH('(4) FCH pathway assessment'!$B$10,AA862))),AD862,"")</f>
        <v/>
      </c>
      <c r="AF862" t="str">
        <f t="shared" si="2450"/>
        <v/>
      </c>
      <c r="AG862" t="str">
        <f>VLOOKUP(C862,Assumptions!$B$116:$C$162,2,FALSE)</f>
        <v>ELCTRLYZ_LRG_C</v>
      </c>
      <c r="AH862" t="str">
        <f>VLOOKUP(D862,Assumptions!$B$116:$C$162,2,FALSE)</f>
        <v>C_GAS_STRG</v>
      </c>
      <c r="AI862" t="str">
        <f>VLOOKUP(E862,Assumptions!$B$116:$C$162,2,FALSE)</f>
        <v>METHANATION</v>
      </c>
      <c r="AJ862" t="str">
        <f>VLOOKUP(F862,Assumptions!$B$116:$C$162,2,FALSE)</f>
        <v>NG_FC_mCHP_HEAT</v>
      </c>
    </row>
    <row r="863" spans="2:36" x14ac:dyDescent="0.25">
      <c r="B863" t="s">
        <v>112</v>
      </c>
      <c r="C863" t="s">
        <v>51</v>
      </c>
      <c r="D863" t="s">
        <v>155</v>
      </c>
      <c r="E863" t="s">
        <v>65</v>
      </c>
      <c r="F863" t="s">
        <v>553</v>
      </c>
      <c r="G863" t="s">
        <v>132</v>
      </c>
      <c r="H863" t="s">
        <v>434</v>
      </c>
      <c r="I863" t="s">
        <v>32</v>
      </c>
      <c r="J863" t="s">
        <v>72</v>
      </c>
      <c r="K863">
        <f t="shared" ref="K863" si="2619">SUMPRODUCT(($C$7:$C$18=$C863)*($D$6:$H$6=$D863)*($D$7:$H$18))</f>
        <v>1</v>
      </c>
      <c r="L863">
        <f t="shared" ref="L863" si="2620">SUMPRODUCT(($C$19:$C$23=$D863)*($I$6:$O$6=$E863)*($I$19:$O$23))</f>
        <v>1</v>
      </c>
      <c r="M863">
        <f t="shared" ref="M863" si="2621">SUMPRODUCT(($C$24:$C$30=$E863)*($P$6:$AI$6=$F863)*($P$24:$AI$30))</f>
        <v>0</v>
      </c>
      <c r="N863">
        <f t="shared" ref="N863" si="2622">SUMPRODUCT(($C$31:$C$50=$F863)*($AJ$6:$AM$6=$G863)*($AJ$31:$AM$50))</f>
        <v>1</v>
      </c>
      <c r="O863">
        <f t="shared" ref="O863" si="2623">K863+L863+M863+N863</f>
        <v>3</v>
      </c>
      <c r="P863" t="str">
        <f t="shared" ref="P863" si="2624">CONCATENATE(C863,"-",J863)</f>
        <v>Medium centralized electrolysis-Levelized cost</v>
      </c>
      <c r="Q863" t="str">
        <f t="shared" ref="Q863" si="2625">CONCATENATE(D863,"-",J863)</f>
        <v>Central gas storage-Levelized cost</v>
      </c>
      <c r="R863" t="str">
        <f t="shared" ref="R863" si="2626">CONCATENATE(E863,"-",J863)</f>
        <v>Methanation-Levelized cost</v>
      </c>
      <c r="S863" t="str">
        <f t="shared" ref="S863" si="2627">CONCATENATE(F863,"-",J863)</f>
        <v>Micro-CHP with natural gas fuel cell (heat)-Levelized cost</v>
      </c>
      <c r="T863">
        <f ca="1">IF(timePeriod="2020-30",(VLOOKUP($P863,'TA database'!$I$8:$J$79,2,FALSE)/VLOOKUP($D863,'Merit calculation'!$B$48:$I$52,5,FALSE)/VLOOKUP($E863,'Merit calculation'!$B$67:$I$73,5,FALSE)/VLOOKUP($F863,'Merit calculation'!$B$90:$I$103,5,FALSE)/energyContentH2),(VLOOKUP($P863,'TA database'!$I$8:$J$79,2,FALSE)/VLOOKUP($D863,'Merit calculation'!$B$48:$I$52,7,FALSE)/VLOOKUP($E863,'Merit calculation'!$B$67:$I$73,7,FALSE)/VLOOKUP($F863,'Merit calculation'!$B$90:$I$103,7,FALSE)/energyContentH2))</f>
        <v>2.3810663799397783E-2</v>
      </c>
      <c r="U863">
        <f ca="1">IF(timePeriod="2020-30",(VLOOKUP($Q863,'TA database'!$I$86:$J$105,2,FALSE)/VLOOKUP($E863,'Merit calculation'!$B$67:$I$73,5,FALSE)/VLOOKUP($F863,'Merit calculation'!$B$90:$I$104,5,FALSE)/energyContentH2),VLOOKUP($Q863,'TA database'!$I$86:$J$105,2,FALSE)/VLOOKUP($E863,'Merit calculation'!$B$67:$I$73,7,FALSE)/VLOOKUP($F863,'Merit calculation'!$B$90:$I$104,7,FALSE)/energyContentH2)</f>
        <v>7.5067125776189295E-4</v>
      </c>
      <c r="V863">
        <f ca="1">IF(timePeriod="2020-30",(VLOOKUP($R863,'TA database'!$I$112:$J$139,2,FALSE)/VLOOKUP($F863,'Merit calculation'!$B$90:$I$104,5,FALSE)/energyContentH2),(VLOOKUP($R863,'TA database'!$I$112:$J$139,2,FALSE)/VLOOKUP($F863,'Merit calculation'!$B$90:$I$104,7,FALSE)/energyContentH2))</f>
        <v>1.3030042576735708E-2</v>
      </c>
      <c r="W863">
        <f ca="1">IFERROR(VLOOKUP($S863,'TA database'!$I$146:$J$193,2,FALSE),0)</f>
        <v>3.0801291854688804E-2</v>
      </c>
      <c r="X863">
        <f>IFERROR(VLOOKUP($S863,'TA database'!$I$200:$J$271,2,FALSE),0)</f>
        <v>0</v>
      </c>
      <c r="Y863">
        <f t="shared" ca="1" si="2618"/>
        <v>6.839266948858419E-2</v>
      </c>
      <c r="Z863" t="str">
        <f t="shared" ref="Z863" si="2628">CONCATENATE(AG863,"   →   ",AH863,"   →   ",AI863,"   →   ",AJ863)</f>
        <v>ELCTRLYZ_MED_C   →   C_GAS_STRG   →   METHANATION   →   NG_FC_mCHP_HEAT</v>
      </c>
      <c r="AA863" t="str">
        <f t="shared" ref="AA863" si="2629">G863</f>
        <v>Building heat</v>
      </c>
      <c r="AB863" t="str">
        <f t="shared" ref="AB863" si="2630">J863</f>
        <v>Levelized cost</v>
      </c>
      <c r="AC863">
        <f t="shared" ref="AC863" ca="1" si="2631">Y863</f>
        <v>6.839266948858419E-2</v>
      </c>
      <c r="AD863">
        <v>804</v>
      </c>
      <c r="AE863" t="str">
        <f>IF(AND(ISNUMBER(SEARCH(O863,4)),ISNUMBER(SEARCH('(4) FCH pathway assessment'!$B$16,AB863)),ISNUMBER(SEARCH('(4) FCH pathway assessment'!$B$10,AA863))),AD863,"")</f>
        <v/>
      </c>
      <c r="AF863" t="str">
        <f t="shared" si="2450"/>
        <v/>
      </c>
      <c r="AG863" t="str">
        <f>VLOOKUP(C863,Assumptions!$B$116:$C$162,2,FALSE)</f>
        <v>ELCTRLYZ_MED_C</v>
      </c>
      <c r="AH863" t="str">
        <f>VLOOKUP(D863,Assumptions!$B$116:$C$162,2,FALSE)</f>
        <v>C_GAS_STRG</v>
      </c>
      <c r="AI863" t="str">
        <f>VLOOKUP(E863,Assumptions!$B$116:$C$162,2,FALSE)</f>
        <v>METHANATION</v>
      </c>
      <c r="AJ863" t="str">
        <f>VLOOKUP(F863,Assumptions!$B$116:$C$162,2,FALSE)</f>
        <v>NG_FC_mCHP_HEAT</v>
      </c>
    </row>
    <row r="864" spans="2:36" x14ac:dyDescent="0.25">
      <c r="B864" t="s">
        <v>127</v>
      </c>
      <c r="C864" t="s">
        <v>57</v>
      </c>
      <c r="D864" t="s">
        <v>62</v>
      </c>
      <c r="E864" t="s">
        <v>65</v>
      </c>
      <c r="F864" t="s">
        <v>553</v>
      </c>
      <c r="G864" t="s">
        <v>132</v>
      </c>
      <c r="H864" t="s">
        <v>434</v>
      </c>
      <c r="I864" t="s">
        <v>32</v>
      </c>
      <c r="J864" t="s">
        <v>72</v>
      </c>
      <c r="K864">
        <f t="shared" ref="K864:K865" si="2632">SUMPRODUCT(($C$7:$C$18=$C864)*($D$6:$H$6=$D864)*($D$7:$H$18))</f>
        <v>1</v>
      </c>
      <c r="L864">
        <f t="shared" ref="L864:L865" si="2633">SUMPRODUCT(($C$19:$C$23=$D864)*($I$6:$O$6=$E864)*($I$19:$O$23))</f>
        <v>0</v>
      </c>
      <c r="M864">
        <f t="shared" ref="M864:M865" si="2634">SUMPRODUCT(($C$24:$C$30=$E864)*($P$6:$AI$6=$F864)*($P$24:$AI$30))</f>
        <v>0</v>
      </c>
      <c r="N864">
        <f t="shared" ref="N864:N865" si="2635">SUMPRODUCT(($C$31:$C$50=$F864)*($AJ$6:$AM$6=$G864)*($AJ$31:$AM$50))</f>
        <v>1</v>
      </c>
      <c r="O864">
        <f t="shared" ref="O864:O865" si="2636">K864+L864+M864+N864</f>
        <v>2</v>
      </c>
      <c r="P864" t="str">
        <f t="shared" ref="P864:P865" si="2637">CONCATENATE(C864,"-",J864)</f>
        <v>Large centralized natural gas steam reforming-Levelized cost</v>
      </c>
      <c r="Q864" t="str">
        <f t="shared" ref="Q864:Q865" si="2638">CONCATENATE(D864,"-",J864)</f>
        <v>Underground storage-Levelized cost</v>
      </c>
      <c r="R864" t="str">
        <f t="shared" ref="R864:R865" si="2639">CONCATENATE(E864,"-",J864)</f>
        <v>Methanation-Levelized cost</v>
      </c>
      <c r="S864" t="str">
        <f t="shared" ref="S864:S865" si="2640">CONCATENATE(F864,"-",J864)</f>
        <v>Micro-CHP with natural gas fuel cell (heat)-Levelized cost</v>
      </c>
      <c r="T864">
        <f ca="1">IF(timePeriod="2020-30",(VLOOKUP($P864,'TA database'!$I$8:$J$79,2,FALSE)/VLOOKUP($D864,'Merit calculation'!$B$48:$I$52,5,FALSE)/VLOOKUP($E864,'Merit calculation'!$B$67:$I$73,5,FALSE)/VLOOKUP($F864,'Merit calculation'!$B$90:$I$103,5,FALSE)/energyContentH2),(VLOOKUP($P864,'TA database'!$I$8:$J$79,2,FALSE)/VLOOKUP($D864,'Merit calculation'!$B$48:$I$52,7,FALSE)/VLOOKUP($E864,'Merit calculation'!$B$67:$I$73,7,FALSE)/VLOOKUP($F864,'Merit calculation'!$B$90:$I$103,7,FALSE)/energyContentH2))</f>
        <v>5.2226767526542983E-2</v>
      </c>
      <c r="U864">
        <f ca="1">IF(timePeriod="2020-30",(VLOOKUP($Q864,'TA database'!$I$86:$J$105,2,FALSE)/VLOOKUP($E864,'Merit calculation'!$B$67:$I$73,5,FALSE)/VLOOKUP($F864,'Merit calculation'!$B$90:$I$104,5,FALSE)/energyContentH2),VLOOKUP($Q864,'TA database'!$I$86:$J$105,2,FALSE)/VLOOKUP($E864,'Merit calculation'!$B$67:$I$73,7,FALSE)/VLOOKUP($F864,'Merit calculation'!$B$90:$I$104,7,FALSE)/energyContentH2)</f>
        <v>1.4951641512623716E-4</v>
      </c>
      <c r="V864">
        <f ca="1">IF(timePeriod="2020-30",(VLOOKUP($R864,'TA database'!$I$112:$J$139,2,FALSE)/VLOOKUP($F864,'Merit calculation'!$B$90:$I$104,5,FALSE)/energyContentH2),(VLOOKUP($R864,'TA database'!$I$112:$J$139,2,FALSE)/VLOOKUP($F864,'Merit calculation'!$B$90:$I$104,7,FALSE)/energyContentH2))</f>
        <v>1.3030042576735708E-2</v>
      </c>
      <c r="W864">
        <f ca="1">IFERROR(VLOOKUP($S864,'TA database'!$I$146:$J$193,2,FALSE),0)</f>
        <v>3.0801291854688804E-2</v>
      </c>
      <c r="X864">
        <f>IFERROR(VLOOKUP($S864,'TA database'!$I$200:$J$271,2,FALSE),0)</f>
        <v>0</v>
      </c>
      <c r="Y864">
        <f t="shared" ref="Y864" ca="1" si="2641">IF($W864=0,T864*3.6+U864*3.6+V864*3.6+X864,T864+U864+V864+W864)</f>
        <v>9.6207618373093731E-2</v>
      </c>
      <c r="Z864" t="str">
        <f t="shared" ref="Z864:Z865" si="2642">CONCATENATE(AG864,"   →   ",AH864,"   →   ",AI864,"   →   ",AJ864)</f>
        <v>NG_SR_LRG_C   →   C_UNDRGRND_STRG   →   METHANATION   →   NG_FC_mCHP_HEAT</v>
      </c>
      <c r="AA864" t="str">
        <f t="shared" ref="AA864:AA865" si="2643">G864</f>
        <v>Building heat</v>
      </c>
      <c r="AB864" t="str">
        <f t="shared" ref="AB864:AB865" si="2644">J864</f>
        <v>Levelized cost</v>
      </c>
      <c r="AC864">
        <f t="shared" ref="AC864:AC865" ca="1" si="2645">Y864</f>
        <v>9.6207618373093731E-2</v>
      </c>
      <c r="AD864">
        <v>805</v>
      </c>
      <c r="AE864" t="str">
        <f>IF(AND(ISNUMBER(SEARCH(O864,4)),ISNUMBER(SEARCH('(4) FCH pathway assessment'!$B$16,AB864)),ISNUMBER(SEARCH('(4) FCH pathway assessment'!$B$10,AA864))),AD864,"")</f>
        <v/>
      </c>
      <c r="AF864" t="str">
        <f t="shared" si="2450"/>
        <v/>
      </c>
      <c r="AG864" t="str">
        <f>VLOOKUP(C864,Assumptions!$B$116:$C$162,2,FALSE)</f>
        <v>NG_SR_LRG_C</v>
      </c>
      <c r="AH864" t="str">
        <f>VLOOKUP(D864,Assumptions!$B$116:$C$162,2,FALSE)</f>
        <v>C_UNDRGRND_STRG</v>
      </c>
      <c r="AI864" t="str">
        <f>VLOOKUP(E864,Assumptions!$B$116:$C$162,2,FALSE)</f>
        <v>METHANATION</v>
      </c>
      <c r="AJ864" t="str">
        <f>VLOOKUP(F864,Assumptions!$B$116:$C$162,2,FALSE)</f>
        <v>NG_FC_mCHP_HEAT</v>
      </c>
    </row>
    <row r="865" spans="2:36" x14ac:dyDescent="0.25">
      <c r="B865" t="s">
        <v>127</v>
      </c>
      <c r="C865" t="s">
        <v>58</v>
      </c>
      <c r="D865" t="s">
        <v>155</v>
      </c>
      <c r="E865" t="s">
        <v>65</v>
      </c>
      <c r="F865" t="s">
        <v>553</v>
      </c>
      <c r="G865" t="s">
        <v>132</v>
      </c>
      <c r="H865" t="s">
        <v>434</v>
      </c>
      <c r="I865" t="s">
        <v>32</v>
      </c>
      <c r="J865" t="s">
        <v>72</v>
      </c>
      <c r="K865">
        <f t="shared" si="2632"/>
        <v>1</v>
      </c>
      <c r="L865">
        <f t="shared" si="2633"/>
        <v>1</v>
      </c>
      <c r="M865">
        <f t="shared" si="2634"/>
        <v>0</v>
      </c>
      <c r="N865">
        <f t="shared" si="2635"/>
        <v>1</v>
      </c>
      <c r="O865">
        <f t="shared" si="2636"/>
        <v>3</v>
      </c>
      <c r="P865" t="str">
        <f t="shared" si="2637"/>
        <v>Small centralized natural gas steam reforming-Levelized cost</v>
      </c>
      <c r="Q865" t="str">
        <f t="shared" si="2638"/>
        <v>Central gas storage-Levelized cost</v>
      </c>
      <c r="R865" t="str">
        <f t="shared" si="2639"/>
        <v>Methanation-Levelized cost</v>
      </c>
      <c r="S865" t="str">
        <f t="shared" si="2640"/>
        <v>Micro-CHP with natural gas fuel cell (heat)-Levelized cost</v>
      </c>
      <c r="T865">
        <f ca="1">IF(timePeriod="2020-30",(VLOOKUP($P865,'TA database'!$I$8:$J$79,2,FALSE)/VLOOKUP($D865,'Merit calculation'!$B$48:$I$52,5,FALSE)/VLOOKUP($E865,'Merit calculation'!$B$67:$I$73,5,FALSE)/VLOOKUP($F865,'Merit calculation'!$B$90:$I$103,5,FALSE)/energyContentH2),(VLOOKUP($P865,'TA database'!$I$8:$J$79,2,FALSE)/VLOOKUP($D865,'Merit calculation'!$B$48:$I$52,7,FALSE)/VLOOKUP($E865,'Merit calculation'!$B$67:$I$73,7,FALSE)/VLOOKUP($F865,'Merit calculation'!$B$90:$I$103,7,FALSE)/energyContentH2))</f>
        <v>5.3595953518344994E-2</v>
      </c>
      <c r="U865">
        <f ca="1">IF(timePeriod="2020-30",(VLOOKUP($Q865,'TA database'!$I$86:$J$105,2,FALSE)/VLOOKUP($E865,'Merit calculation'!$B$67:$I$73,5,FALSE)/VLOOKUP($F865,'Merit calculation'!$B$90:$I$104,5,FALSE)/energyContentH2),VLOOKUP($Q865,'TA database'!$I$86:$J$105,2,FALSE)/VLOOKUP($E865,'Merit calculation'!$B$67:$I$73,7,FALSE)/VLOOKUP($F865,'Merit calculation'!$B$90:$I$104,7,FALSE)/energyContentH2)</f>
        <v>7.5067125776189295E-4</v>
      </c>
      <c r="V865">
        <f ca="1">IF(timePeriod="2020-30",(VLOOKUP($R865,'TA database'!$I$112:$J$139,2,FALSE)/VLOOKUP($F865,'Merit calculation'!$B$90:$I$104,5,FALSE)/energyContentH2),(VLOOKUP($R865,'TA database'!$I$112:$J$139,2,FALSE)/VLOOKUP($F865,'Merit calculation'!$B$90:$I$104,7,FALSE)/energyContentH2))</f>
        <v>1.3030042576735708E-2</v>
      </c>
      <c r="W865">
        <f ca="1">IFERROR(VLOOKUP($S865,'TA database'!$I$146:$J$193,2,FALSE),0)</f>
        <v>3.0801291854688804E-2</v>
      </c>
      <c r="X865">
        <f>IFERROR(VLOOKUP($S865,'TA database'!$I$200:$J$271,2,FALSE),0)</f>
        <v>0</v>
      </c>
      <c r="Y865">
        <f t="shared" ref="Y865" ca="1" si="2646">IF($W865=0,T865*3.6+U865*3.6+V865*3.6+X865,T865+U865+V865+W865)</f>
        <v>9.817795920753139E-2</v>
      </c>
      <c r="Z865" t="str">
        <f t="shared" si="2642"/>
        <v>NG_SR_SML_C   →   C_GAS_STRG   →   METHANATION   →   NG_FC_mCHP_HEAT</v>
      </c>
      <c r="AA865" t="str">
        <f t="shared" si="2643"/>
        <v>Building heat</v>
      </c>
      <c r="AB865" t="str">
        <f t="shared" si="2644"/>
        <v>Levelized cost</v>
      </c>
      <c r="AC865">
        <f t="shared" ca="1" si="2645"/>
        <v>9.817795920753139E-2</v>
      </c>
      <c r="AD865">
        <v>806</v>
      </c>
      <c r="AE865" t="str">
        <f>IF(AND(ISNUMBER(SEARCH(O865,4)),ISNUMBER(SEARCH('(4) FCH pathway assessment'!$B$16,AB865)),ISNUMBER(SEARCH('(4) FCH pathway assessment'!$B$10,AA865))),AD865,"")</f>
        <v/>
      </c>
      <c r="AF865" t="str">
        <f t="shared" si="2450"/>
        <v/>
      </c>
      <c r="AG865" t="str">
        <f>VLOOKUP(C865,Assumptions!$B$116:$C$162,2,FALSE)</f>
        <v>NG_SR_SML_C</v>
      </c>
      <c r="AH865" t="str">
        <f>VLOOKUP(D865,Assumptions!$B$116:$C$162,2,FALSE)</f>
        <v>C_GAS_STRG</v>
      </c>
      <c r="AI865" t="str">
        <f>VLOOKUP(E865,Assumptions!$B$116:$C$162,2,FALSE)</f>
        <v>METHANATION</v>
      </c>
      <c r="AJ865" t="str">
        <f>VLOOKUP(F865,Assumptions!$B$116:$C$162,2,FALSE)</f>
        <v>NG_FC_mCHP_HEAT</v>
      </c>
    </row>
    <row r="866" spans="2:36" x14ac:dyDescent="0.25">
      <c r="B866" t="s">
        <v>127</v>
      </c>
      <c r="C866" t="s">
        <v>174</v>
      </c>
      <c r="D866" s="61" t="s">
        <v>177</v>
      </c>
      <c r="E866" t="s">
        <v>180</v>
      </c>
      <c r="F866" t="s">
        <v>553</v>
      </c>
      <c r="G866" t="s">
        <v>132</v>
      </c>
      <c r="H866" t="s">
        <v>434</v>
      </c>
      <c r="I866" t="s">
        <v>32</v>
      </c>
      <c r="J866" t="s">
        <v>72</v>
      </c>
      <c r="K866">
        <f t="shared" ref="K866" si="2647">SUMPRODUCT(($C$7:$C$18=$C866)*($D$6:$H$6=$D866)*($D$7:$H$18))</f>
        <v>1</v>
      </c>
      <c r="L866">
        <f t="shared" ref="L866" si="2648">SUMPRODUCT(($C$19:$C$23=$D866)*($I$6:$O$6=$E866)*($I$19:$O$23))</f>
        <v>1</v>
      </c>
      <c r="M866">
        <f t="shared" ref="M866" si="2649">SUMPRODUCT(($C$24:$C$30=$E866)*($P$6:$AI$6=$F866)*($P$24:$AI$30))</f>
        <v>1</v>
      </c>
      <c r="N866">
        <f t="shared" ref="N866" si="2650">SUMPRODUCT(($C$31:$C$50=$F866)*($AJ$6:$AM$6=$G866)*($AJ$31:$AM$50))</f>
        <v>1</v>
      </c>
      <c r="O866">
        <f t="shared" ref="O866" si="2651">K866+L866+M866+N866</f>
        <v>4</v>
      </c>
      <c r="P866" t="str">
        <f t="shared" ref="P866" si="2652">CONCATENATE(C866,"-",J866)</f>
        <v>Natural gas production-Levelized cost</v>
      </c>
      <c r="Q866" t="str">
        <f t="shared" ref="Q866" si="2653">CONCATENATE(D866,"-",J866)</f>
        <v>Natural gas storage-Levelized cost</v>
      </c>
      <c r="R866" t="str">
        <f t="shared" ref="R866" si="2654">CONCATENATE(E866,"-",J866)</f>
        <v>Natural gas transport-Levelized cost</v>
      </c>
      <c r="S866" t="str">
        <f t="shared" ref="S866" si="2655">CONCATENATE(F866,"-",J866)</f>
        <v>Micro-CHP with natural gas fuel cell (heat)-Levelized cost</v>
      </c>
      <c r="T866">
        <f ca="1">IF(timePeriod="2020-30",(VLOOKUP($P866,'TA database'!$I$8:$J$79,2,FALSE)/VLOOKUP($D866,'Merit calculation'!$B$48:$I$52,5,FALSE)/VLOOKUP($E866,'Merit calculation'!$B$67:$I$73,5,FALSE)/VLOOKUP($F866,'Merit calculation'!$B$90:$I$103,5,FALSE)/energyContentH2),(VLOOKUP($P866,'TA database'!$I$8:$J$79,2,FALSE)/VLOOKUP($D866,'Merit calculation'!$B$48:$I$52,7,FALSE)/VLOOKUP($E866,'Merit calculation'!$B$67:$I$73,7,FALSE)/VLOOKUP($F866,'Merit calculation'!$B$90:$I$103,7,FALSE)/energyContentH2))</f>
        <v>0</v>
      </c>
      <c r="U866">
        <f ca="1">IF(timePeriod="2020-30",(VLOOKUP($Q866,'TA database'!$I$86:$J$105,2,FALSE)/VLOOKUP($E866,'Merit calculation'!$B$67:$I$73,5,FALSE)/VLOOKUP($F866,'Merit calculation'!$B$90:$I$104,5,FALSE)/energyContentH2),VLOOKUP($Q866,'TA database'!$I$86:$J$105,2,FALSE)/VLOOKUP($E866,'Merit calculation'!$B$67:$I$73,7,FALSE)/VLOOKUP($F866,'Merit calculation'!$B$90:$I$104,7,FALSE)/energyContentH2)</f>
        <v>0</v>
      </c>
      <c r="V866">
        <f ca="1">IF(timePeriod="2020-30",(VLOOKUP($R866,'TA database'!$I$112:$J$139,2,FALSE)/VLOOKUP($F866,'Merit calculation'!$B$90:$I$104,5,FALSE)/energyContentH2),(VLOOKUP($R866,'TA database'!$I$112:$J$139,2,FALSE)/VLOOKUP($F866,'Merit calculation'!$B$90:$I$104,7,FALSE)/energyContentH2))</f>
        <v>3.4482758620689648E-2</v>
      </c>
      <c r="W866">
        <f ca="1">IFERROR(VLOOKUP($S866,'TA database'!$I$146:$J$193,2,FALSE),0)</f>
        <v>3.0801291854688804E-2</v>
      </c>
      <c r="X866">
        <f>IFERROR(VLOOKUP($S866,'TA database'!$I$200:$J$271,2,FALSE),0)</f>
        <v>0</v>
      </c>
      <c r="Y866">
        <f t="shared" ref="Y866" ca="1" si="2656">IF($W866=0,T866*3.6+U866*3.6+V866*3.6+X866,T866+U866+V866+W866)</f>
        <v>6.5284050475378455E-2</v>
      </c>
      <c r="Z866" t="str">
        <f t="shared" ref="Z866" si="2657">CONCATENATE(AG866,"   →   ",AH866,"   →   ",AI866,"   →   ",AJ866)</f>
        <v>[NG_PROD]   →   [NG_STRG]   →   [NG_TRNSP]   →   NG_FC_mCHP_HEAT</v>
      </c>
      <c r="AA866" t="str">
        <f t="shared" ref="AA866" si="2658">G866</f>
        <v>Building heat</v>
      </c>
      <c r="AB866" t="str">
        <f t="shared" ref="AB866" si="2659">J866</f>
        <v>Levelized cost</v>
      </c>
      <c r="AC866">
        <f t="shared" ref="AC866" ca="1" si="2660">Y866</f>
        <v>6.5284050475378455E-2</v>
      </c>
      <c r="AD866">
        <v>807</v>
      </c>
      <c r="AE866" t="str">
        <f>IF(AND(ISNUMBER(SEARCH(O866,4)),ISNUMBER(SEARCH('(4) FCH pathway assessment'!$B$16,AB866)),ISNUMBER(SEARCH('(4) FCH pathway assessment'!$B$10,AA866))),AD866,"")</f>
        <v/>
      </c>
      <c r="AF866" t="str">
        <f t="shared" si="2450"/>
        <v/>
      </c>
      <c r="AG866" t="str">
        <f>VLOOKUP(C866,Assumptions!$B$116:$C$162,2,FALSE)</f>
        <v>[NG_PROD]</v>
      </c>
      <c r="AH866" t="str">
        <f>VLOOKUP(D866,Assumptions!$B$116:$C$162,2,FALSE)</f>
        <v>[NG_STRG]</v>
      </c>
      <c r="AI866" t="str">
        <f>VLOOKUP(E866,Assumptions!$B$116:$C$162,2,FALSE)</f>
        <v>[NG_TRNSP]</v>
      </c>
      <c r="AJ866" t="str">
        <f>VLOOKUP(F866,Assumptions!$B$116:$C$162,2,FALSE)</f>
        <v>NG_FC_mCHP_HEAT</v>
      </c>
    </row>
    <row r="867" spans="2:36" x14ac:dyDescent="0.25">
      <c r="B867" t="s">
        <v>117</v>
      </c>
      <c r="C867" t="s">
        <v>53</v>
      </c>
      <c r="D867" t="s">
        <v>155</v>
      </c>
      <c r="E867" t="s">
        <v>157</v>
      </c>
      <c r="F867" t="s">
        <v>570</v>
      </c>
      <c r="G867" t="s">
        <v>120</v>
      </c>
      <c r="H867" t="s">
        <v>432</v>
      </c>
      <c r="I867" t="s">
        <v>32</v>
      </c>
      <c r="J867" t="s">
        <v>77</v>
      </c>
      <c r="K867">
        <f t="shared" ref="K867:K874" si="2661">SUMPRODUCT(($C$7:$C$18=$C867)*($D$6:$H$6=$D867)*($D$7:$H$18))</f>
        <v>0</v>
      </c>
      <c r="L867">
        <f t="shared" ref="L867:L874" si="2662">SUMPRODUCT(($C$19:$C$23=$D867)*($I$6:$O$6=$E867)*($I$19:$O$23))</f>
        <v>1</v>
      </c>
      <c r="M867">
        <f t="shared" ref="M867:M874" si="2663">SUMPRODUCT(($C$24:$C$30=$E867)*($P$6:$AI$6=$F867)*($P$24:$AI$30))</f>
        <v>0</v>
      </c>
      <c r="N867">
        <f t="shared" ref="N867:N874" si="2664">SUMPRODUCT(($C$31:$C$50=$F867)*($AJ$6:$AM$6=$G867)*($AJ$31:$AM$50))</f>
        <v>1</v>
      </c>
      <c r="O867">
        <f t="shared" ref="O867:O874" si="2665">K867+L867+M867+N867</f>
        <v>2</v>
      </c>
      <c r="P867" t="str">
        <f t="shared" ref="P867:P874" si="2666">CONCATENATE(C867,"-",J867)</f>
        <v>Medium centralized biomass gasification-Marginal abatement cost</v>
      </c>
      <c r="Q867" t="str">
        <f t="shared" ref="Q867:Q874" si="2667">CONCATENATE(D867,"-",J867)</f>
        <v>Central gas storage-Marginal abatement cost</v>
      </c>
      <c r="R867" t="str">
        <f t="shared" ref="R867:R874" si="2668">CONCATENATE(E867,"-",J867)</f>
        <v>Blending in natural gas pipeline-Marginal abatement cost</v>
      </c>
      <c r="S867" t="str">
        <f t="shared" ref="S867:S874" si="2669">CONCATENATE(F867,"-",J867)</f>
        <v>Industrial H2 boiler-Marginal abatement cost</v>
      </c>
      <c r="T867">
        <f>IFERROR(VLOOKUP($P867,'TA database'!$I$8:$J$79,2,FALSE),0)</f>
        <v>0</v>
      </c>
      <c r="U867">
        <f>IFERROR(VLOOKUP($Q867,'TA database'!$I$86:$J$105,2,FALSE),0)</f>
        <v>0</v>
      </c>
      <c r="V867">
        <f>IFERROR(VLOOKUP($R867,'TA database'!$I$112:$J$139,2,FALSE),0)</f>
        <v>0</v>
      </c>
      <c r="W867">
        <f ca="1">IFERROR(VLOOKUP($S867,'TA database'!$I$146:$J$193,2,FALSE),0)</f>
        <v>-12.074906811240885</v>
      </c>
      <c r="X867">
        <f>IFERROR(VLOOKUP($S867,'TA database'!$I$200:$J$271,2,FALSE),0)</f>
        <v>0</v>
      </c>
      <c r="Y867" s="59">
        <f t="shared" ref="Y867:Y874" ca="1" si="2670">IF($W867=0,T867+U867+V867+X867,T867+U867+V867+W867)</f>
        <v>-12.074906811240885</v>
      </c>
      <c r="Z867" t="str">
        <f t="shared" ref="Z867:Z874" si="2671">CONCATENATE(AG867,"   →   ",AH867,"   →   ",AI867,"   →   ",AJ867)</f>
        <v>BIO_GSF_MED_C   →   C_GAS_STRG   →   H2_BLND_NG_P   →   H2_IND_BOIL_HEAT</v>
      </c>
      <c r="AA867" t="str">
        <f t="shared" ref="AA867:AA874" si="2672">G867</f>
        <v>Industrial heat</v>
      </c>
      <c r="AB867" t="str">
        <f t="shared" ref="AB867:AB874" si="2673">J867</f>
        <v>Marginal abatement cost</v>
      </c>
      <c r="AC867">
        <f t="shared" ref="AC867:AC874" ca="1" si="2674">Y867</f>
        <v>-12.074906811240885</v>
      </c>
      <c r="AD867">
        <v>808</v>
      </c>
      <c r="AE867" t="str">
        <f>IF(AND(ISNUMBER(SEARCH(O867,4)),ISNUMBER(SEARCH('(4) FCH pathway assessment'!$B$16,AB867)),ISNUMBER(SEARCH('(4) FCH pathway assessment'!$B$10,AA867))),AD867,"")</f>
        <v/>
      </c>
      <c r="AF867" t="str">
        <f t="shared" si="2450"/>
        <v/>
      </c>
      <c r="AG867" t="str">
        <f>VLOOKUP(C867,Assumptions!$B$116:$C$162,2,FALSE)</f>
        <v>BIO_GSF_MED_C</v>
      </c>
      <c r="AH867" t="str">
        <f>VLOOKUP(D867,Assumptions!$B$116:$C$162,2,FALSE)</f>
        <v>C_GAS_STRG</v>
      </c>
      <c r="AI867" t="str">
        <f>VLOOKUP(E867,Assumptions!$B$116:$C$162,2,FALSE)</f>
        <v>H2_BLND_NG_P</v>
      </c>
      <c r="AJ867" t="str">
        <f>VLOOKUP(F867,Assumptions!$B$116:$C$162,2,FALSE)</f>
        <v>H2_IND_BOIL_HEAT</v>
      </c>
    </row>
    <row r="868" spans="2:36" x14ac:dyDescent="0.25">
      <c r="B868" t="s">
        <v>117</v>
      </c>
      <c r="C868" t="s">
        <v>53</v>
      </c>
      <c r="D868" t="s">
        <v>155</v>
      </c>
      <c r="E868" t="s">
        <v>122</v>
      </c>
      <c r="F868" t="s">
        <v>570</v>
      </c>
      <c r="G868" t="s">
        <v>120</v>
      </c>
      <c r="H868" t="s">
        <v>432</v>
      </c>
      <c r="I868" t="s">
        <v>32</v>
      </c>
      <c r="J868" t="s">
        <v>77</v>
      </c>
      <c r="K868">
        <f t="shared" si="2661"/>
        <v>0</v>
      </c>
      <c r="L868">
        <f t="shared" si="2662"/>
        <v>1</v>
      </c>
      <c r="M868">
        <f t="shared" si="2663"/>
        <v>1</v>
      </c>
      <c r="N868">
        <f t="shared" si="2664"/>
        <v>1</v>
      </c>
      <c r="O868">
        <f t="shared" si="2665"/>
        <v>3</v>
      </c>
      <c r="P868" t="str">
        <f t="shared" si="2666"/>
        <v>Medium centralized biomass gasification-Marginal abatement cost</v>
      </c>
      <c r="Q868" t="str">
        <f t="shared" si="2667"/>
        <v>Central gas storage-Marginal abatement cost</v>
      </c>
      <c r="R868" t="str">
        <f t="shared" si="2668"/>
        <v>Hydrogen transmission &amp; distribution pipeline-Marginal abatement cost</v>
      </c>
      <c r="S868" t="str">
        <f t="shared" si="2669"/>
        <v>Industrial H2 boiler-Marginal abatement cost</v>
      </c>
      <c r="T868">
        <f>IFERROR(VLOOKUP($P868,'TA database'!$I$8:$J$79,2,FALSE),0)</f>
        <v>0</v>
      </c>
      <c r="U868">
        <f>IFERROR(VLOOKUP($Q868,'TA database'!$I$86:$J$105,2,FALSE),0)</f>
        <v>0</v>
      </c>
      <c r="V868">
        <f>IFERROR(VLOOKUP($R868,'TA database'!$I$112:$J$139,2,FALSE),0)</f>
        <v>0</v>
      </c>
      <c r="W868">
        <f ca="1">IFERROR(VLOOKUP($S868,'TA database'!$I$146:$J$193,2,FALSE),0)</f>
        <v>-12.074906811240885</v>
      </c>
      <c r="X868">
        <f>IFERROR(VLOOKUP($S868,'TA database'!$I$200:$J$271,2,FALSE),0)</f>
        <v>0</v>
      </c>
      <c r="Y868" s="59">
        <f t="shared" ca="1" si="2670"/>
        <v>-12.074906811240885</v>
      </c>
      <c r="Z868" t="str">
        <f t="shared" si="2671"/>
        <v>BIO_GSF_MED_C   →   C_GAS_STRG   →   H2_T&amp;D_P   →   H2_IND_BOIL_HEAT</v>
      </c>
      <c r="AA868" t="str">
        <f t="shared" si="2672"/>
        <v>Industrial heat</v>
      </c>
      <c r="AB868" t="str">
        <f t="shared" si="2673"/>
        <v>Marginal abatement cost</v>
      </c>
      <c r="AC868">
        <f t="shared" ca="1" si="2674"/>
        <v>-12.074906811240885</v>
      </c>
      <c r="AD868">
        <v>809</v>
      </c>
      <c r="AE868" t="str">
        <f>IF(AND(ISNUMBER(SEARCH(O868,4)),ISNUMBER(SEARCH('(4) FCH pathway assessment'!$B$16,AB868)),ISNUMBER(SEARCH('(4) FCH pathway assessment'!$B$10,AA868))),AD868,"")</f>
        <v/>
      </c>
      <c r="AF868" t="str">
        <f t="shared" si="2450"/>
        <v/>
      </c>
      <c r="AG868" t="str">
        <f>VLOOKUP(C868,Assumptions!$B$116:$C$162,2,FALSE)</f>
        <v>BIO_GSF_MED_C</v>
      </c>
      <c r="AH868" t="str">
        <f>VLOOKUP(D868,Assumptions!$B$116:$C$162,2,FALSE)</f>
        <v>C_GAS_STRG</v>
      </c>
      <c r="AI868" t="str">
        <f>VLOOKUP(E868,Assumptions!$B$116:$C$162,2,FALSE)</f>
        <v>H2_T&amp;D_P</v>
      </c>
      <c r="AJ868" t="str">
        <f>VLOOKUP(F868,Assumptions!$B$116:$C$162,2,FALSE)</f>
        <v>H2_IND_BOIL_HEAT</v>
      </c>
    </row>
    <row r="869" spans="2:36" x14ac:dyDescent="0.25">
      <c r="B869" t="s">
        <v>117</v>
      </c>
      <c r="C869" t="s">
        <v>53</v>
      </c>
      <c r="D869" t="s">
        <v>155</v>
      </c>
      <c r="E869" t="s">
        <v>116</v>
      </c>
      <c r="F869" t="s">
        <v>570</v>
      </c>
      <c r="G869" t="s">
        <v>120</v>
      </c>
      <c r="H869" t="s">
        <v>432</v>
      </c>
      <c r="I869" t="s">
        <v>32</v>
      </c>
      <c r="J869" t="s">
        <v>77</v>
      </c>
      <c r="K869">
        <f t="shared" si="2661"/>
        <v>0</v>
      </c>
      <c r="L869">
        <f t="shared" si="2662"/>
        <v>1</v>
      </c>
      <c r="M869">
        <f t="shared" si="2663"/>
        <v>1</v>
      </c>
      <c r="N869">
        <f t="shared" si="2664"/>
        <v>1</v>
      </c>
      <c r="O869">
        <f t="shared" si="2665"/>
        <v>3</v>
      </c>
      <c r="P869" t="str">
        <f t="shared" si="2666"/>
        <v>Medium centralized biomass gasification-Marginal abatement cost</v>
      </c>
      <c r="Q869" t="str">
        <f t="shared" si="2667"/>
        <v>Central gas storage-Marginal abatement cost</v>
      </c>
      <c r="R869" t="str">
        <f t="shared" si="2668"/>
        <v>Liquid hydrogen truck-Marginal abatement cost</v>
      </c>
      <c r="S869" t="str">
        <f t="shared" si="2669"/>
        <v>Industrial H2 boiler-Marginal abatement cost</v>
      </c>
      <c r="T869">
        <f>IFERROR(VLOOKUP($P869,'TA database'!$I$8:$J$79,2,FALSE),0)</f>
        <v>0</v>
      </c>
      <c r="U869">
        <f>IFERROR(VLOOKUP($Q869,'TA database'!$I$86:$J$105,2,FALSE),0)</f>
        <v>0</v>
      </c>
      <c r="V869">
        <f>IFERROR(VLOOKUP($R869,'TA database'!$I$112:$J$139,2,FALSE),0)</f>
        <v>0</v>
      </c>
      <c r="W869">
        <f ca="1">IFERROR(VLOOKUP($S869,'TA database'!$I$146:$J$193,2,FALSE),0)</f>
        <v>-12.074906811240885</v>
      </c>
      <c r="X869">
        <f>IFERROR(VLOOKUP($S869,'TA database'!$I$200:$J$271,2,FALSE),0)</f>
        <v>0</v>
      </c>
      <c r="Y869" s="59">
        <f t="shared" ca="1" si="2670"/>
        <v>-12.074906811240885</v>
      </c>
      <c r="Z869" t="str">
        <f t="shared" si="2671"/>
        <v>BIO_GSF_MED_C   →   C_GAS_STRG   →   LQ_TRUCK   →   H2_IND_BOIL_HEAT</v>
      </c>
      <c r="AA869" t="str">
        <f t="shared" si="2672"/>
        <v>Industrial heat</v>
      </c>
      <c r="AB869" t="str">
        <f t="shared" si="2673"/>
        <v>Marginal abatement cost</v>
      </c>
      <c r="AC869">
        <f t="shared" ca="1" si="2674"/>
        <v>-12.074906811240885</v>
      </c>
      <c r="AD869">
        <v>810</v>
      </c>
      <c r="AE869" t="str">
        <f>IF(AND(ISNUMBER(SEARCH(O869,4)),ISNUMBER(SEARCH('(4) FCH pathway assessment'!$B$16,AB869)),ISNUMBER(SEARCH('(4) FCH pathway assessment'!$B$10,AA869))),AD869,"")</f>
        <v/>
      </c>
      <c r="AF869" t="str">
        <f t="shared" si="2450"/>
        <v/>
      </c>
      <c r="AG869" t="str">
        <f>VLOOKUP(C869,Assumptions!$B$116:$C$162,2,FALSE)</f>
        <v>BIO_GSF_MED_C</v>
      </c>
      <c r="AH869" t="str">
        <f>VLOOKUP(D869,Assumptions!$B$116:$C$162,2,FALSE)</f>
        <v>C_GAS_STRG</v>
      </c>
      <c r="AI869" t="str">
        <f>VLOOKUP(E869,Assumptions!$B$116:$C$162,2,FALSE)</f>
        <v>LQ_TRUCK</v>
      </c>
      <c r="AJ869" t="str">
        <f>VLOOKUP(F869,Assumptions!$B$116:$C$162,2,FALSE)</f>
        <v>H2_IND_BOIL_HEAT</v>
      </c>
    </row>
    <row r="870" spans="2:36" x14ac:dyDescent="0.25">
      <c r="B870" t="s">
        <v>117</v>
      </c>
      <c r="C870" t="s">
        <v>53</v>
      </c>
      <c r="D870" t="s">
        <v>155</v>
      </c>
      <c r="E870" t="s">
        <v>66</v>
      </c>
      <c r="F870" t="s">
        <v>570</v>
      </c>
      <c r="G870" t="s">
        <v>120</v>
      </c>
      <c r="H870" t="s">
        <v>432</v>
      </c>
      <c r="I870" t="s">
        <v>32</v>
      </c>
      <c r="J870" t="s">
        <v>77</v>
      </c>
      <c r="K870">
        <f t="shared" si="2661"/>
        <v>0</v>
      </c>
      <c r="L870">
        <f t="shared" si="2662"/>
        <v>1</v>
      </c>
      <c r="M870">
        <f t="shared" si="2663"/>
        <v>1</v>
      </c>
      <c r="N870">
        <f t="shared" si="2664"/>
        <v>1</v>
      </c>
      <c r="O870">
        <f t="shared" si="2665"/>
        <v>3</v>
      </c>
      <c r="P870" t="str">
        <f t="shared" si="2666"/>
        <v>Medium centralized biomass gasification-Marginal abatement cost</v>
      </c>
      <c r="Q870" t="str">
        <f t="shared" si="2667"/>
        <v>Central gas storage-Marginal abatement cost</v>
      </c>
      <c r="R870" t="str">
        <f t="shared" si="2668"/>
        <v>Onsite-Marginal abatement cost</v>
      </c>
      <c r="S870" t="str">
        <f t="shared" si="2669"/>
        <v>Industrial H2 boiler-Marginal abatement cost</v>
      </c>
      <c r="T870">
        <f>IFERROR(VLOOKUP($P870,'TA database'!$I$8:$J$79,2,FALSE),0)</f>
        <v>0</v>
      </c>
      <c r="U870">
        <f>IFERROR(VLOOKUP($Q870,'TA database'!$I$86:$J$105,2,FALSE),0)</f>
        <v>0</v>
      </c>
      <c r="V870">
        <f>IFERROR(VLOOKUP($R870,'TA database'!$I$112:$J$139,2,FALSE),0)</f>
        <v>0</v>
      </c>
      <c r="W870">
        <f ca="1">IFERROR(VLOOKUP($S870,'TA database'!$I$146:$J$193,2,FALSE),0)</f>
        <v>-12.074906811240885</v>
      </c>
      <c r="X870">
        <f>IFERROR(VLOOKUP($S870,'TA database'!$I$200:$J$271,2,FALSE),0)</f>
        <v>0</v>
      </c>
      <c r="Y870" s="59">
        <f t="shared" ca="1" si="2670"/>
        <v>-12.074906811240885</v>
      </c>
      <c r="Z870" t="str">
        <f t="shared" si="2671"/>
        <v>BIO_GSF_MED_C   →   C_GAS_STRG   →   ONSITE_USE   →   H2_IND_BOIL_HEAT</v>
      </c>
      <c r="AA870" t="str">
        <f t="shared" si="2672"/>
        <v>Industrial heat</v>
      </c>
      <c r="AB870" t="str">
        <f t="shared" si="2673"/>
        <v>Marginal abatement cost</v>
      </c>
      <c r="AC870">
        <f t="shared" ca="1" si="2674"/>
        <v>-12.074906811240885</v>
      </c>
      <c r="AD870">
        <v>811</v>
      </c>
      <c r="AE870" t="str">
        <f>IF(AND(ISNUMBER(SEARCH(O870,4)),ISNUMBER(SEARCH('(4) FCH pathway assessment'!$B$16,AB870)),ISNUMBER(SEARCH('(4) FCH pathway assessment'!$B$10,AA870))),AD870,"")</f>
        <v/>
      </c>
      <c r="AF870" t="str">
        <f t="shared" si="2450"/>
        <v/>
      </c>
      <c r="AG870" t="str">
        <f>VLOOKUP(C870,Assumptions!$B$116:$C$162,2,FALSE)</f>
        <v>BIO_GSF_MED_C</v>
      </c>
      <c r="AH870" t="str">
        <f>VLOOKUP(D870,Assumptions!$B$116:$C$162,2,FALSE)</f>
        <v>C_GAS_STRG</v>
      </c>
      <c r="AI870" t="str">
        <f>VLOOKUP(E870,Assumptions!$B$116:$C$162,2,FALSE)</f>
        <v>ONSITE_USE</v>
      </c>
      <c r="AJ870" t="str">
        <f>VLOOKUP(F870,Assumptions!$B$116:$C$162,2,FALSE)</f>
        <v>H2_IND_BOIL_HEAT</v>
      </c>
    </row>
    <row r="871" spans="2:36" x14ac:dyDescent="0.25">
      <c r="B871" t="s">
        <v>117</v>
      </c>
      <c r="C871" t="s">
        <v>54</v>
      </c>
      <c r="D871" t="s">
        <v>155</v>
      </c>
      <c r="E871" t="s">
        <v>157</v>
      </c>
      <c r="F871" t="s">
        <v>570</v>
      </c>
      <c r="G871" t="s">
        <v>120</v>
      </c>
      <c r="H871" t="s">
        <v>432</v>
      </c>
      <c r="I871" t="s">
        <v>32</v>
      </c>
      <c r="J871" t="s">
        <v>77</v>
      </c>
      <c r="K871">
        <f t="shared" si="2661"/>
        <v>0</v>
      </c>
      <c r="L871">
        <f t="shared" si="2662"/>
        <v>1</v>
      </c>
      <c r="M871">
        <f t="shared" si="2663"/>
        <v>0</v>
      </c>
      <c r="N871">
        <f t="shared" si="2664"/>
        <v>1</v>
      </c>
      <c r="O871">
        <f t="shared" si="2665"/>
        <v>2</v>
      </c>
      <c r="P871" t="str">
        <f t="shared" si="2666"/>
        <v>Medium centralized biomass gasification w/ CCS-Marginal abatement cost</v>
      </c>
      <c r="Q871" t="str">
        <f t="shared" si="2667"/>
        <v>Central gas storage-Marginal abatement cost</v>
      </c>
      <c r="R871" t="str">
        <f t="shared" si="2668"/>
        <v>Blending in natural gas pipeline-Marginal abatement cost</v>
      </c>
      <c r="S871" t="str">
        <f t="shared" si="2669"/>
        <v>Industrial H2 boiler-Marginal abatement cost</v>
      </c>
      <c r="T871">
        <f>IFERROR(VLOOKUP($P871,'TA database'!$I$8:$J$79,2,FALSE),0)</f>
        <v>0</v>
      </c>
      <c r="U871">
        <f>IFERROR(VLOOKUP($Q871,'TA database'!$I$86:$J$105,2,FALSE),0)</f>
        <v>0</v>
      </c>
      <c r="V871">
        <f>IFERROR(VLOOKUP($R871,'TA database'!$I$112:$J$139,2,FALSE),0)</f>
        <v>0</v>
      </c>
      <c r="W871">
        <f ca="1">IFERROR(VLOOKUP($S871,'TA database'!$I$146:$J$193,2,FALSE),0)</f>
        <v>-12.074906811240885</v>
      </c>
      <c r="X871">
        <f>IFERROR(VLOOKUP($S871,'TA database'!$I$200:$J$271,2,FALSE),0)</f>
        <v>0</v>
      </c>
      <c r="Y871" s="59">
        <f t="shared" ca="1" si="2670"/>
        <v>-12.074906811240885</v>
      </c>
      <c r="Z871" t="str">
        <f t="shared" si="2671"/>
        <v>BIO_GSF_CCS_MED_C   →   C_GAS_STRG   →   H2_BLND_NG_P   →   H2_IND_BOIL_HEAT</v>
      </c>
      <c r="AA871" t="str">
        <f t="shared" si="2672"/>
        <v>Industrial heat</v>
      </c>
      <c r="AB871" t="str">
        <f t="shared" si="2673"/>
        <v>Marginal abatement cost</v>
      </c>
      <c r="AC871">
        <f t="shared" ca="1" si="2674"/>
        <v>-12.074906811240885</v>
      </c>
      <c r="AD871">
        <v>812</v>
      </c>
      <c r="AE871" t="str">
        <f>IF(AND(ISNUMBER(SEARCH(O871,4)),ISNUMBER(SEARCH('(4) FCH pathway assessment'!$B$16,AB871)),ISNUMBER(SEARCH('(4) FCH pathway assessment'!$B$10,AA871))),AD871,"")</f>
        <v/>
      </c>
      <c r="AF871" t="str">
        <f t="shared" si="2450"/>
        <v/>
      </c>
      <c r="AG871" t="str">
        <f>VLOOKUP(C871,Assumptions!$B$116:$C$162,2,FALSE)</f>
        <v>BIO_GSF_CCS_MED_C</v>
      </c>
      <c r="AH871" t="str">
        <f>VLOOKUP(D871,Assumptions!$B$116:$C$162,2,FALSE)</f>
        <v>C_GAS_STRG</v>
      </c>
      <c r="AI871" t="str">
        <f>VLOOKUP(E871,Assumptions!$B$116:$C$162,2,FALSE)</f>
        <v>H2_BLND_NG_P</v>
      </c>
      <c r="AJ871" t="str">
        <f>VLOOKUP(F871,Assumptions!$B$116:$C$162,2,FALSE)</f>
        <v>H2_IND_BOIL_HEAT</v>
      </c>
    </row>
    <row r="872" spans="2:36" x14ac:dyDescent="0.25">
      <c r="B872" t="s">
        <v>117</v>
      </c>
      <c r="C872" t="s">
        <v>54</v>
      </c>
      <c r="D872" t="s">
        <v>155</v>
      </c>
      <c r="E872" t="s">
        <v>122</v>
      </c>
      <c r="F872" t="s">
        <v>570</v>
      </c>
      <c r="G872" t="s">
        <v>120</v>
      </c>
      <c r="H872" t="s">
        <v>432</v>
      </c>
      <c r="I872" t="s">
        <v>32</v>
      </c>
      <c r="J872" t="s">
        <v>77</v>
      </c>
      <c r="K872">
        <f t="shared" si="2661"/>
        <v>0</v>
      </c>
      <c r="L872">
        <f t="shared" si="2662"/>
        <v>1</v>
      </c>
      <c r="M872">
        <f t="shared" si="2663"/>
        <v>1</v>
      </c>
      <c r="N872">
        <f t="shared" si="2664"/>
        <v>1</v>
      </c>
      <c r="O872">
        <f t="shared" si="2665"/>
        <v>3</v>
      </c>
      <c r="P872" t="str">
        <f t="shared" si="2666"/>
        <v>Medium centralized biomass gasification w/ CCS-Marginal abatement cost</v>
      </c>
      <c r="Q872" t="str">
        <f t="shared" si="2667"/>
        <v>Central gas storage-Marginal abatement cost</v>
      </c>
      <c r="R872" t="str">
        <f t="shared" si="2668"/>
        <v>Hydrogen transmission &amp; distribution pipeline-Marginal abatement cost</v>
      </c>
      <c r="S872" t="str">
        <f t="shared" si="2669"/>
        <v>Industrial H2 boiler-Marginal abatement cost</v>
      </c>
      <c r="T872">
        <f>IFERROR(VLOOKUP($P872,'TA database'!$I$8:$J$79,2,FALSE),0)</f>
        <v>0</v>
      </c>
      <c r="U872">
        <f>IFERROR(VLOOKUP($Q872,'TA database'!$I$86:$J$105,2,FALSE),0)</f>
        <v>0</v>
      </c>
      <c r="V872">
        <f>IFERROR(VLOOKUP($R872,'TA database'!$I$112:$J$139,2,FALSE),0)</f>
        <v>0</v>
      </c>
      <c r="W872">
        <f ca="1">IFERROR(VLOOKUP($S872,'TA database'!$I$146:$J$193,2,FALSE),0)</f>
        <v>-12.074906811240885</v>
      </c>
      <c r="X872">
        <f>IFERROR(VLOOKUP($S872,'TA database'!$I$200:$J$271,2,FALSE),0)</f>
        <v>0</v>
      </c>
      <c r="Y872" s="59">
        <f t="shared" ca="1" si="2670"/>
        <v>-12.074906811240885</v>
      </c>
      <c r="Z872" t="str">
        <f t="shared" si="2671"/>
        <v>BIO_GSF_CCS_MED_C   →   C_GAS_STRG   →   H2_T&amp;D_P   →   H2_IND_BOIL_HEAT</v>
      </c>
      <c r="AA872" t="str">
        <f t="shared" si="2672"/>
        <v>Industrial heat</v>
      </c>
      <c r="AB872" t="str">
        <f t="shared" si="2673"/>
        <v>Marginal abatement cost</v>
      </c>
      <c r="AC872">
        <f t="shared" ca="1" si="2674"/>
        <v>-12.074906811240885</v>
      </c>
      <c r="AD872">
        <v>813</v>
      </c>
      <c r="AE872" t="str">
        <f>IF(AND(ISNUMBER(SEARCH(O872,4)),ISNUMBER(SEARCH('(4) FCH pathway assessment'!$B$16,AB872)),ISNUMBER(SEARCH('(4) FCH pathway assessment'!$B$10,AA872))),AD872,"")</f>
        <v/>
      </c>
      <c r="AF872" t="str">
        <f t="shared" si="2450"/>
        <v/>
      </c>
      <c r="AG872" t="str">
        <f>VLOOKUP(C872,Assumptions!$B$116:$C$162,2,FALSE)</f>
        <v>BIO_GSF_CCS_MED_C</v>
      </c>
      <c r="AH872" t="str">
        <f>VLOOKUP(D872,Assumptions!$B$116:$C$162,2,FALSE)</f>
        <v>C_GAS_STRG</v>
      </c>
      <c r="AI872" t="str">
        <f>VLOOKUP(E872,Assumptions!$B$116:$C$162,2,FALSE)</f>
        <v>H2_T&amp;D_P</v>
      </c>
      <c r="AJ872" t="str">
        <f>VLOOKUP(F872,Assumptions!$B$116:$C$162,2,FALSE)</f>
        <v>H2_IND_BOIL_HEAT</v>
      </c>
    </row>
    <row r="873" spans="2:36" x14ac:dyDescent="0.25">
      <c r="B873" t="s">
        <v>117</v>
      </c>
      <c r="C873" t="s">
        <v>54</v>
      </c>
      <c r="D873" t="s">
        <v>155</v>
      </c>
      <c r="E873" t="s">
        <v>116</v>
      </c>
      <c r="F873" t="s">
        <v>570</v>
      </c>
      <c r="G873" t="s">
        <v>120</v>
      </c>
      <c r="H873" t="s">
        <v>432</v>
      </c>
      <c r="I873" t="s">
        <v>32</v>
      </c>
      <c r="J873" t="s">
        <v>77</v>
      </c>
      <c r="K873">
        <f t="shared" si="2661"/>
        <v>0</v>
      </c>
      <c r="L873">
        <f t="shared" si="2662"/>
        <v>1</v>
      </c>
      <c r="M873">
        <f t="shared" si="2663"/>
        <v>1</v>
      </c>
      <c r="N873">
        <f t="shared" si="2664"/>
        <v>1</v>
      </c>
      <c r="O873">
        <f t="shared" si="2665"/>
        <v>3</v>
      </c>
      <c r="P873" t="str">
        <f t="shared" si="2666"/>
        <v>Medium centralized biomass gasification w/ CCS-Marginal abatement cost</v>
      </c>
      <c r="Q873" t="str">
        <f t="shared" si="2667"/>
        <v>Central gas storage-Marginal abatement cost</v>
      </c>
      <c r="R873" t="str">
        <f t="shared" si="2668"/>
        <v>Liquid hydrogen truck-Marginal abatement cost</v>
      </c>
      <c r="S873" t="str">
        <f t="shared" si="2669"/>
        <v>Industrial H2 boiler-Marginal abatement cost</v>
      </c>
      <c r="T873">
        <f>IFERROR(VLOOKUP($P873,'TA database'!$I$8:$J$79,2,FALSE),0)</f>
        <v>0</v>
      </c>
      <c r="U873">
        <f>IFERROR(VLOOKUP($Q873,'TA database'!$I$86:$J$105,2,FALSE),0)</f>
        <v>0</v>
      </c>
      <c r="V873">
        <f>IFERROR(VLOOKUP($R873,'TA database'!$I$112:$J$139,2,FALSE),0)</f>
        <v>0</v>
      </c>
      <c r="W873">
        <f ca="1">IFERROR(VLOOKUP($S873,'TA database'!$I$146:$J$193,2,FALSE),0)</f>
        <v>-12.074906811240885</v>
      </c>
      <c r="X873">
        <f>IFERROR(VLOOKUP($S873,'TA database'!$I$200:$J$271,2,FALSE),0)</f>
        <v>0</v>
      </c>
      <c r="Y873" s="59">
        <f t="shared" ca="1" si="2670"/>
        <v>-12.074906811240885</v>
      </c>
      <c r="Z873" t="str">
        <f t="shared" si="2671"/>
        <v>BIO_GSF_CCS_MED_C   →   C_GAS_STRG   →   LQ_TRUCK   →   H2_IND_BOIL_HEAT</v>
      </c>
      <c r="AA873" t="str">
        <f t="shared" si="2672"/>
        <v>Industrial heat</v>
      </c>
      <c r="AB873" t="str">
        <f t="shared" si="2673"/>
        <v>Marginal abatement cost</v>
      </c>
      <c r="AC873">
        <f t="shared" ca="1" si="2674"/>
        <v>-12.074906811240885</v>
      </c>
      <c r="AD873">
        <v>814</v>
      </c>
      <c r="AE873" t="str">
        <f>IF(AND(ISNUMBER(SEARCH(O873,4)),ISNUMBER(SEARCH('(4) FCH pathway assessment'!$B$16,AB873)),ISNUMBER(SEARCH('(4) FCH pathway assessment'!$B$10,AA873))),AD873,"")</f>
        <v/>
      </c>
      <c r="AF873" t="str">
        <f t="shared" si="2450"/>
        <v/>
      </c>
      <c r="AG873" t="str">
        <f>VLOOKUP(C873,Assumptions!$B$116:$C$162,2,FALSE)</f>
        <v>BIO_GSF_CCS_MED_C</v>
      </c>
      <c r="AH873" t="str">
        <f>VLOOKUP(D873,Assumptions!$B$116:$C$162,2,FALSE)</f>
        <v>C_GAS_STRG</v>
      </c>
      <c r="AI873" t="str">
        <f>VLOOKUP(E873,Assumptions!$B$116:$C$162,2,FALSE)</f>
        <v>LQ_TRUCK</v>
      </c>
      <c r="AJ873" t="str">
        <f>VLOOKUP(F873,Assumptions!$B$116:$C$162,2,FALSE)</f>
        <v>H2_IND_BOIL_HEAT</v>
      </c>
    </row>
    <row r="874" spans="2:36" x14ac:dyDescent="0.25">
      <c r="B874" t="s">
        <v>117</v>
      </c>
      <c r="C874" t="s">
        <v>54</v>
      </c>
      <c r="D874" t="s">
        <v>155</v>
      </c>
      <c r="E874" t="s">
        <v>66</v>
      </c>
      <c r="F874" t="s">
        <v>570</v>
      </c>
      <c r="G874" t="s">
        <v>120</v>
      </c>
      <c r="H874" t="s">
        <v>432</v>
      </c>
      <c r="I874" t="s">
        <v>32</v>
      </c>
      <c r="J874" t="s">
        <v>77</v>
      </c>
      <c r="K874">
        <f t="shared" si="2661"/>
        <v>0</v>
      </c>
      <c r="L874">
        <f t="shared" si="2662"/>
        <v>1</v>
      </c>
      <c r="M874">
        <f t="shared" si="2663"/>
        <v>1</v>
      </c>
      <c r="N874">
        <f t="shared" si="2664"/>
        <v>1</v>
      </c>
      <c r="O874">
        <f t="shared" si="2665"/>
        <v>3</v>
      </c>
      <c r="P874" t="str">
        <f t="shared" si="2666"/>
        <v>Medium centralized biomass gasification w/ CCS-Marginal abatement cost</v>
      </c>
      <c r="Q874" t="str">
        <f t="shared" si="2667"/>
        <v>Central gas storage-Marginal abatement cost</v>
      </c>
      <c r="R874" t="str">
        <f t="shared" si="2668"/>
        <v>Onsite-Marginal abatement cost</v>
      </c>
      <c r="S874" t="str">
        <f t="shared" si="2669"/>
        <v>Industrial H2 boiler-Marginal abatement cost</v>
      </c>
      <c r="T874">
        <f>IFERROR(VLOOKUP($P874,'TA database'!$I$8:$J$79,2,FALSE),0)</f>
        <v>0</v>
      </c>
      <c r="U874">
        <f>IFERROR(VLOOKUP($Q874,'TA database'!$I$86:$J$105,2,FALSE),0)</f>
        <v>0</v>
      </c>
      <c r="V874">
        <f>IFERROR(VLOOKUP($R874,'TA database'!$I$112:$J$139,2,FALSE),0)</f>
        <v>0</v>
      </c>
      <c r="W874">
        <f ca="1">IFERROR(VLOOKUP($S874,'TA database'!$I$146:$J$193,2,FALSE),0)</f>
        <v>-12.074906811240885</v>
      </c>
      <c r="X874">
        <f>IFERROR(VLOOKUP($S874,'TA database'!$I$200:$J$271,2,FALSE),0)</f>
        <v>0</v>
      </c>
      <c r="Y874" s="59">
        <f t="shared" ca="1" si="2670"/>
        <v>-12.074906811240885</v>
      </c>
      <c r="Z874" t="str">
        <f t="shared" si="2671"/>
        <v>BIO_GSF_CCS_MED_C   →   C_GAS_STRG   →   ONSITE_USE   →   H2_IND_BOIL_HEAT</v>
      </c>
      <c r="AA874" t="str">
        <f t="shared" si="2672"/>
        <v>Industrial heat</v>
      </c>
      <c r="AB874" t="str">
        <f t="shared" si="2673"/>
        <v>Marginal abatement cost</v>
      </c>
      <c r="AC874">
        <f t="shared" ca="1" si="2674"/>
        <v>-12.074906811240885</v>
      </c>
      <c r="AD874">
        <v>815</v>
      </c>
      <c r="AE874" t="str">
        <f>IF(AND(ISNUMBER(SEARCH(O874,4)),ISNUMBER(SEARCH('(4) FCH pathway assessment'!$B$16,AB874)),ISNUMBER(SEARCH('(4) FCH pathway assessment'!$B$10,AA874))),AD874,"")</f>
        <v/>
      </c>
      <c r="AF874" t="str">
        <f t="shared" si="2450"/>
        <v/>
      </c>
      <c r="AG874" t="str">
        <f>VLOOKUP(C874,Assumptions!$B$116:$C$162,2,FALSE)</f>
        <v>BIO_GSF_CCS_MED_C</v>
      </c>
      <c r="AH874" t="str">
        <f>VLOOKUP(D874,Assumptions!$B$116:$C$162,2,FALSE)</f>
        <v>C_GAS_STRG</v>
      </c>
      <c r="AI874" t="str">
        <f>VLOOKUP(E874,Assumptions!$B$116:$C$162,2,FALSE)</f>
        <v>ONSITE_USE</v>
      </c>
      <c r="AJ874" t="str">
        <f>VLOOKUP(F874,Assumptions!$B$116:$C$162,2,FALSE)</f>
        <v>H2_IND_BOIL_HEAT</v>
      </c>
    </row>
    <row r="875" spans="2:36" x14ac:dyDescent="0.25">
      <c r="B875" t="s">
        <v>117</v>
      </c>
      <c r="C875" t="s">
        <v>55</v>
      </c>
      <c r="D875" s="60" t="s">
        <v>130</v>
      </c>
      <c r="E875" t="s">
        <v>66</v>
      </c>
      <c r="F875" t="s">
        <v>570</v>
      </c>
      <c r="G875" t="s">
        <v>120</v>
      </c>
      <c r="H875" t="s">
        <v>432</v>
      </c>
      <c r="I875" t="s">
        <v>32</v>
      </c>
      <c r="J875" t="s">
        <v>77</v>
      </c>
      <c r="K875">
        <f t="shared" ref="K875:K880" si="2675">SUMPRODUCT(($C$7:$C$18=$C875)*($D$6:$H$6=$D875)*($D$7:$H$18))</f>
        <v>0</v>
      </c>
      <c r="L875">
        <f t="shared" ref="L875:L880" si="2676">SUMPRODUCT(($C$19:$C$23=$D875)*($I$6:$O$6=$E875)*($I$19:$O$23))</f>
        <v>1</v>
      </c>
      <c r="M875">
        <f t="shared" ref="M875:M880" si="2677">SUMPRODUCT(($C$24:$C$30=$E875)*($P$6:$AI$6=$F875)*($P$24:$AI$30))</f>
        <v>1</v>
      </c>
      <c r="N875">
        <f t="shared" ref="N875:N880" si="2678">SUMPRODUCT(($C$31:$C$50=$F875)*($AJ$6:$AM$6=$G875)*($AJ$31:$AM$50))</f>
        <v>1</v>
      </c>
      <c r="O875">
        <f t="shared" ref="O875:O880" si="2679">K875+L875+M875+N875</f>
        <v>3</v>
      </c>
      <c r="P875" t="str">
        <f t="shared" ref="P875:P880" si="2680">CONCATENATE(C875,"-",J875)</f>
        <v>Small decentralized biomass gasification-Marginal abatement cost</v>
      </c>
      <c r="Q875" t="str">
        <f t="shared" ref="Q875:Q880" si="2681">CONCATENATE(D875,"-",J875)</f>
        <v>Distributed gas storage-Marginal abatement cost</v>
      </c>
      <c r="R875" t="str">
        <f t="shared" ref="R875:R880" si="2682">CONCATENATE(E875,"-",J875)</f>
        <v>Onsite-Marginal abatement cost</v>
      </c>
      <c r="S875" t="str">
        <f t="shared" ref="S875:S880" si="2683">CONCATENATE(F875,"-",J875)</f>
        <v>Industrial H2 boiler-Marginal abatement cost</v>
      </c>
      <c r="T875">
        <f>IFERROR(VLOOKUP($P875,'TA database'!$I$8:$J$79,2,FALSE),0)</f>
        <v>0</v>
      </c>
      <c r="U875">
        <f>IFERROR(VLOOKUP($Q875,'TA database'!$I$86:$J$105,2,FALSE),0)</f>
        <v>0</v>
      </c>
      <c r="V875">
        <f>IFERROR(VLOOKUP($R875,'TA database'!$I$112:$J$139,2,FALSE),0)</f>
        <v>0</v>
      </c>
      <c r="W875">
        <f ca="1">IFERROR(VLOOKUP($S875,'TA database'!$I$146:$J$193,2,FALSE),0)</f>
        <v>-12.074906811240885</v>
      </c>
      <c r="X875">
        <f>IFERROR(VLOOKUP($S875,'TA database'!$I$200:$J$271,2,FALSE),0)</f>
        <v>0</v>
      </c>
      <c r="Y875" s="59">
        <f t="shared" ref="Y875:Y880" ca="1" si="2684">IF($W875=0,T875+U875+V875+X875,T875+U875+V875+W875)</f>
        <v>-12.074906811240885</v>
      </c>
      <c r="Z875" t="str">
        <f t="shared" ref="Z875:Z880" si="2685">CONCATENATE(AG875,"   →   ",AH875,"   →   ",AI875,"   →   ",AJ875)</f>
        <v>BIO_GSF_SML_D   →   D_GAS_STRG   →   ONSITE_USE   →   H2_IND_BOIL_HEAT</v>
      </c>
      <c r="AA875" t="str">
        <f t="shared" ref="AA875:AA880" si="2686">G875</f>
        <v>Industrial heat</v>
      </c>
      <c r="AB875" t="str">
        <f t="shared" ref="AB875:AB880" si="2687">J875</f>
        <v>Marginal abatement cost</v>
      </c>
      <c r="AC875">
        <f t="shared" ref="AC875:AC880" ca="1" si="2688">Y875</f>
        <v>-12.074906811240885</v>
      </c>
      <c r="AD875">
        <v>816</v>
      </c>
      <c r="AE875" t="str">
        <f>IF(AND(ISNUMBER(SEARCH(O875,4)),ISNUMBER(SEARCH('(4) FCH pathway assessment'!$B$16,AB875)),ISNUMBER(SEARCH('(4) FCH pathway assessment'!$B$10,AA875))),AD875,"")</f>
        <v/>
      </c>
      <c r="AF875" t="str">
        <f t="shared" si="2450"/>
        <v/>
      </c>
      <c r="AG875" t="str">
        <f>VLOOKUP(C875,Assumptions!$B$116:$C$162,2,FALSE)</f>
        <v>BIO_GSF_SML_D</v>
      </c>
      <c r="AH875" t="str">
        <f>VLOOKUP(D875,Assumptions!$B$116:$C$162,2,FALSE)</f>
        <v>D_GAS_STRG</v>
      </c>
      <c r="AI875" t="str">
        <f>VLOOKUP(E875,Assumptions!$B$116:$C$162,2,FALSE)</f>
        <v>ONSITE_USE</v>
      </c>
      <c r="AJ875" t="str">
        <f>VLOOKUP(F875,Assumptions!$B$116:$C$162,2,FALSE)</f>
        <v>H2_IND_BOIL_HEAT</v>
      </c>
    </row>
    <row r="876" spans="2:36" x14ac:dyDescent="0.25">
      <c r="B876" t="s">
        <v>117</v>
      </c>
      <c r="C876" t="s">
        <v>56</v>
      </c>
      <c r="D876" t="s">
        <v>62</v>
      </c>
      <c r="E876" t="s">
        <v>157</v>
      </c>
      <c r="F876" t="s">
        <v>570</v>
      </c>
      <c r="G876" t="s">
        <v>120</v>
      </c>
      <c r="H876" t="s">
        <v>432</v>
      </c>
      <c r="I876" t="s">
        <v>32</v>
      </c>
      <c r="J876" t="s">
        <v>77</v>
      </c>
      <c r="K876">
        <f t="shared" si="2675"/>
        <v>0</v>
      </c>
      <c r="L876">
        <f t="shared" si="2676"/>
        <v>0</v>
      </c>
      <c r="M876">
        <f t="shared" si="2677"/>
        <v>0</v>
      </c>
      <c r="N876">
        <f t="shared" si="2678"/>
        <v>1</v>
      </c>
      <c r="O876">
        <f t="shared" si="2679"/>
        <v>1</v>
      </c>
      <c r="P876" t="str">
        <f t="shared" si="2680"/>
        <v>Large centralized biomass steam reforming -Marginal abatement cost</v>
      </c>
      <c r="Q876" t="str">
        <f t="shared" si="2681"/>
        <v>Underground storage-Marginal abatement cost</v>
      </c>
      <c r="R876" t="str">
        <f t="shared" si="2682"/>
        <v>Blending in natural gas pipeline-Marginal abatement cost</v>
      </c>
      <c r="S876" t="str">
        <f t="shared" si="2683"/>
        <v>Industrial H2 boiler-Marginal abatement cost</v>
      </c>
      <c r="T876">
        <f>IFERROR(VLOOKUP($P876,'TA database'!$I$8:$J$79,2,FALSE),0)</f>
        <v>0</v>
      </c>
      <c r="U876">
        <f>IFERROR(VLOOKUP($Q876,'TA database'!$I$86:$J$105,2,FALSE),0)</f>
        <v>0</v>
      </c>
      <c r="V876">
        <f>IFERROR(VLOOKUP($R876,'TA database'!$I$112:$J$139,2,FALSE),0)</f>
        <v>0</v>
      </c>
      <c r="W876">
        <f ca="1">IFERROR(VLOOKUP($S876,'TA database'!$I$146:$J$193,2,FALSE),0)</f>
        <v>-12.074906811240885</v>
      </c>
      <c r="X876">
        <f>IFERROR(VLOOKUP($S876,'TA database'!$I$200:$J$271,2,FALSE),0)</f>
        <v>0</v>
      </c>
      <c r="Y876" s="59">
        <f t="shared" ca="1" si="2684"/>
        <v>-12.074906811240885</v>
      </c>
      <c r="Z876" t="str">
        <f t="shared" si="2685"/>
        <v>BIO_SR_LRG_C   →   C_UNDRGRND_STRG   →   H2_BLND_NG_P   →   H2_IND_BOIL_HEAT</v>
      </c>
      <c r="AA876" t="str">
        <f t="shared" si="2686"/>
        <v>Industrial heat</v>
      </c>
      <c r="AB876" t="str">
        <f t="shared" si="2687"/>
        <v>Marginal abatement cost</v>
      </c>
      <c r="AC876">
        <f t="shared" ca="1" si="2688"/>
        <v>-12.074906811240885</v>
      </c>
      <c r="AD876">
        <v>817</v>
      </c>
      <c r="AE876" t="str">
        <f>IF(AND(ISNUMBER(SEARCH(O876,4)),ISNUMBER(SEARCH('(4) FCH pathway assessment'!$B$16,AB876)),ISNUMBER(SEARCH('(4) FCH pathway assessment'!$B$10,AA876))),AD876,"")</f>
        <v/>
      </c>
      <c r="AF876" t="str">
        <f t="shared" si="2450"/>
        <v/>
      </c>
      <c r="AG876" t="str">
        <f>VLOOKUP(C876,Assumptions!$B$116:$C$162,2,FALSE)</f>
        <v>BIO_SR_LRG_C</v>
      </c>
      <c r="AH876" t="str">
        <f>VLOOKUP(D876,Assumptions!$B$116:$C$162,2,FALSE)</f>
        <v>C_UNDRGRND_STRG</v>
      </c>
      <c r="AI876" t="str">
        <f>VLOOKUP(E876,Assumptions!$B$116:$C$162,2,FALSE)</f>
        <v>H2_BLND_NG_P</v>
      </c>
      <c r="AJ876" t="str">
        <f>VLOOKUP(F876,Assumptions!$B$116:$C$162,2,FALSE)</f>
        <v>H2_IND_BOIL_HEAT</v>
      </c>
    </row>
    <row r="877" spans="2:36" x14ac:dyDescent="0.25">
      <c r="B877" t="s">
        <v>117</v>
      </c>
      <c r="C877" t="s">
        <v>56</v>
      </c>
      <c r="D877" t="s">
        <v>62</v>
      </c>
      <c r="E877" t="s">
        <v>122</v>
      </c>
      <c r="F877" t="s">
        <v>570</v>
      </c>
      <c r="G877" t="s">
        <v>120</v>
      </c>
      <c r="H877" t="s">
        <v>432</v>
      </c>
      <c r="I877" t="s">
        <v>32</v>
      </c>
      <c r="J877" t="s">
        <v>77</v>
      </c>
      <c r="K877">
        <f t="shared" si="2675"/>
        <v>0</v>
      </c>
      <c r="L877">
        <f t="shared" si="2676"/>
        <v>0</v>
      </c>
      <c r="M877">
        <f t="shared" si="2677"/>
        <v>1</v>
      </c>
      <c r="N877">
        <f t="shared" si="2678"/>
        <v>1</v>
      </c>
      <c r="O877">
        <f t="shared" si="2679"/>
        <v>2</v>
      </c>
      <c r="P877" t="str">
        <f t="shared" si="2680"/>
        <v>Large centralized biomass steam reforming -Marginal abatement cost</v>
      </c>
      <c r="Q877" t="str">
        <f t="shared" si="2681"/>
        <v>Underground storage-Marginal abatement cost</v>
      </c>
      <c r="R877" t="str">
        <f t="shared" si="2682"/>
        <v>Hydrogen transmission &amp; distribution pipeline-Marginal abatement cost</v>
      </c>
      <c r="S877" t="str">
        <f t="shared" si="2683"/>
        <v>Industrial H2 boiler-Marginal abatement cost</v>
      </c>
      <c r="T877">
        <f>IFERROR(VLOOKUP($P877,'TA database'!$I$8:$J$79,2,FALSE),0)</f>
        <v>0</v>
      </c>
      <c r="U877">
        <f>IFERROR(VLOOKUP($Q877,'TA database'!$I$86:$J$105,2,FALSE),0)</f>
        <v>0</v>
      </c>
      <c r="V877">
        <f>IFERROR(VLOOKUP($R877,'TA database'!$I$112:$J$139,2,FALSE),0)</f>
        <v>0</v>
      </c>
      <c r="W877">
        <f ca="1">IFERROR(VLOOKUP($S877,'TA database'!$I$146:$J$193,2,FALSE),0)</f>
        <v>-12.074906811240885</v>
      </c>
      <c r="X877">
        <f>IFERROR(VLOOKUP($S877,'TA database'!$I$200:$J$271,2,FALSE),0)</f>
        <v>0</v>
      </c>
      <c r="Y877" s="59">
        <f t="shared" ca="1" si="2684"/>
        <v>-12.074906811240885</v>
      </c>
      <c r="Z877" t="str">
        <f t="shared" si="2685"/>
        <v>BIO_SR_LRG_C   →   C_UNDRGRND_STRG   →   H2_T&amp;D_P   →   H2_IND_BOIL_HEAT</v>
      </c>
      <c r="AA877" t="str">
        <f t="shared" si="2686"/>
        <v>Industrial heat</v>
      </c>
      <c r="AB877" t="str">
        <f t="shared" si="2687"/>
        <v>Marginal abatement cost</v>
      </c>
      <c r="AC877">
        <f t="shared" ca="1" si="2688"/>
        <v>-12.074906811240885</v>
      </c>
      <c r="AD877">
        <v>818</v>
      </c>
      <c r="AE877" t="str">
        <f>IF(AND(ISNUMBER(SEARCH(O877,4)),ISNUMBER(SEARCH('(4) FCH pathway assessment'!$B$16,AB877)),ISNUMBER(SEARCH('(4) FCH pathway assessment'!$B$10,AA877))),AD877,"")</f>
        <v/>
      </c>
      <c r="AF877" t="str">
        <f t="shared" si="2450"/>
        <v/>
      </c>
      <c r="AG877" t="str">
        <f>VLOOKUP(C877,Assumptions!$B$116:$C$162,2,FALSE)</f>
        <v>BIO_SR_LRG_C</v>
      </c>
      <c r="AH877" t="str">
        <f>VLOOKUP(D877,Assumptions!$B$116:$C$162,2,FALSE)</f>
        <v>C_UNDRGRND_STRG</v>
      </c>
      <c r="AI877" t="str">
        <f>VLOOKUP(E877,Assumptions!$B$116:$C$162,2,FALSE)</f>
        <v>H2_T&amp;D_P</v>
      </c>
      <c r="AJ877" t="str">
        <f>VLOOKUP(F877,Assumptions!$B$116:$C$162,2,FALSE)</f>
        <v>H2_IND_BOIL_HEAT</v>
      </c>
    </row>
    <row r="878" spans="2:36" x14ac:dyDescent="0.25">
      <c r="B878" t="s">
        <v>117</v>
      </c>
      <c r="C878" t="s">
        <v>56</v>
      </c>
      <c r="D878" t="s">
        <v>62</v>
      </c>
      <c r="E878" t="s">
        <v>116</v>
      </c>
      <c r="F878" t="s">
        <v>570</v>
      </c>
      <c r="G878" t="s">
        <v>120</v>
      </c>
      <c r="H878" t="s">
        <v>432</v>
      </c>
      <c r="I878" t="s">
        <v>32</v>
      </c>
      <c r="J878" t="s">
        <v>77</v>
      </c>
      <c r="K878">
        <f t="shared" si="2675"/>
        <v>0</v>
      </c>
      <c r="L878">
        <f t="shared" si="2676"/>
        <v>0</v>
      </c>
      <c r="M878">
        <f t="shared" si="2677"/>
        <v>1</v>
      </c>
      <c r="N878">
        <f t="shared" si="2678"/>
        <v>1</v>
      </c>
      <c r="O878">
        <f t="shared" si="2679"/>
        <v>2</v>
      </c>
      <c r="P878" t="str">
        <f t="shared" si="2680"/>
        <v>Large centralized biomass steam reforming -Marginal abatement cost</v>
      </c>
      <c r="Q878" t="str">
        <f t="shared" si="2681"/>
        <v>Underground storage-Marginal abatement cost</v>
      </c>
      <c r="R878" t="str">
        <f t="shared" si="2682"/>
        <v>Liquid hydrogen truck-Marginal abatement cost</v>
      </c>
      <c r="S878" t="str">
        <f t="shared" si="2683"/>
        <v>Industrial H2 boiler-Marginal abatement cost</v>
      </c>
      <c r="T878">
        <f>IFERROR(VLOOKUP($P878,'TA database'!$I$8:$J$79,2,FALSE),0)</f>
        <v>0</v>
      </c>
      <c r="U878">
        <f>IFERROR(VLOOKUP($Q878,'TA database'!$I$86:$J$105,2,FALSE),0)</f>
        <v>0</v>
      </c>
      <c r="V878">
        <f>IFERROR(VLOOKUP($R878,'TA database'!$I$112:$J$139,2,FALSE),0)</f>
        <v>0</v>
      </c>
      <c r="W878">
        <f ca="1">IFERROR(VLOOKUP($S878,'TA database'!$I$146:$J$193,2,FALSE),0)</f>
        <v>-12.074906811240885</v>
      </c>
      <c r="X878">
        <f>IFERROR(VLOOKUP($S878,'TA database'!$I$200:$J$271,2,FALSE),0)</f>
        <v>0</v>
      </c>
      <c r="Y878" s="59">
        <f t="shared" ca="1" si="2684"/>
        <v>-12.074906811240885</v>
      </c>
      <c r="Z878" t="str">
        <f t="shared" si="2685"/>
        <v>BIO_SR_LRG_C   →   C_UNDRGRND_STRG   →   LQ_TRUCK   →   H2_IND_BOIL_HEAT</v>
      </c>
      <c r="AA878" t="str">
        <f t="shared" si="2686"/>
        <v>Industrial heat</v>
      </c>
      <c r="AB878" t="str">
        <f t="shared" si="2687"/>
        <v>Marginal abatement cost</v>
      </c>
      <c r="AC878">
        <f t="shared" ca="1" si="2688"/>
        <v>-12.074906811240885</v>
      </c>
      <c r="AD878">
        <v>819</v>
      </c>
      <c r="AE878" t="str">
        <f>IF(AND(ISNUMBER(SEARCH(O878,4)),ISNUMBER(SEARCH('(4) FCH pathway assessment'!$B$16,AB878)),ISNUMBER(SEARCH('(4) FCH pathway assessment'!$B$10,AA878))),AD878,"")</f>
        <v/>
      </c>
      <c r="AF878" t="str">
        <f t="shared" si="2450"/>
        <v/>
      </c>
      <c r="AG878" t="str">
        <f>VLOOKUP(C878,Assumptions!$B$116:$C$162,2,FALSE)</f>
        <v>BIO_SR_LRG_C</v>
      </c>
      <c r="AH878" t="str">
        <f>VLOOKUP(D878,Assumptions!$B$116:$C$162,2,FALSE)</f>
        <v>C_UNDRGRND_STRG</v>
      </c>
      <c r="AI878" t="str">
        <f>VLOOKUP(E878,Assumptions!$B$116:$C$162,2,FALSE)</f>
        <v>LQ_TRUCK</v>
      </c>
      <c r="AJ878" t="str">
        <f>VLOOKUP(F878,Assumptions!$B$116:$C$162,2,FALSE)</f>
        <v>H2_IND_BOIL_HEAT</v>
      </c>
    </row>
    <row r="879" spans="2:36" x14ac:dyDescent="0.25">
      <c r="B879" t="s">
        <v>117</v>
      </c>
      <c r="C879" t="s">
        <v>56</v>
      </c>
      <c r="D879" t="s">
        <v>62</v>
      </c>
      <c r="E879" t="s">
        <v>66</v>
      </c>
      <c r="F879" t="s">
        <v>570</v>
      </c>
      <c r="G879" t="s">
        <v>120</v>
      </c>
      <c r="H879" t="s">
        <v>432</v>
      </c>
      <c r="I879" t="s">
        <v>32</v>
      </c>
      <c r="J879" t="s">
        <v>77</v>
      </c>
      <c r="K879">
        <f t="shared" si="2675"/>
        <v>0</v>
      </c>
      <c r="L879">
        <f t="shared" si="2676"/>
        <v>0</v>
      </c>
      <c r="M879">
        <f t="shared" si="2677"/>
        <v>1</v>
      </c>
      <c r="N879">
        <f t="shared" si="2678"/>
        <v>1</v>
      </c>
      <c r="O879">
        <f t="shared" si="2679"/>
        <v>2</v>
      </c>
      <c r="P879" t="str">
        <f t="shared" si="2680"/>
        <v>Large centralized biomass steam reforming -Marginal abatement cost</v>
      </c>
      <c r="Q879" t="str">
        <f t="shared" si="2681"/>
        <v>Underground storage-Marginal abatement cost</v>
      </c>
      <c r="R879" t="str">
        <f t="shared" si="2682"/>
        <v>Onsite-Marginal abatement cost</v>
      </c>
      <c r="S879" t="str">
        <f t="shared" si="2683"/>
        <v>Industrial H2 boiler-Marginal abatement cost</v>
      </c>
      <c r="T879">
        <f>IFERROR(VLOOKUP($P879,'TA database'!$I$8:$J$79,2,FALSE),0)</f>
        <v>0</v>
      </c>
      <c r="U879">
        <f>IFERROR(VLOOKUP($Q879,'TA database'!$I$86:$J$105,2,FALSE),0)</f>
        <v>0</v>
      </c>
      <c r="V879">
        <f>IFERROR(VLOOKUP($R879,'TA database'!$I$112:$J$139,2,FALSE),0)</f>
        <v>0</v>
      </c>
      <c r="W879">
        <f ca="1">IFERROR(VLOOKUP($S879,'TA database'!$I$146:$J$193,2,FALSE),0)</f>
        <v>-12.074906811240885</v>
      </c>
      <c r="X879">
        <f>IFERROR(VLOOKUP($S879,'TA database'!$I$200:$J$271,2,FALSE),0)</f>
        <v>0</v>
      </c>
      <c r="Y879" s="59">
        <f t="shared" ca="1" si="2684"/>
        <v>-12.074906811240885</v>
      </c>
      <c r="Z879" t="str">
        <f t="shared" si="2685"/>
        <v>BIO_SR_LRG_C   →   C_UNDRGRND_STRG   →   ONSITE_USE   →   H2_IND_BOIL_HEAT</v>
      </c>
      <c r="AA879" t="str">
        <f t="shared" si="2686"/>
        <v>Industrial heat</v>
      </c>
      <c r="AB879" t="str">
        <f t="shared" si="2687"/>
        <v>Marginal abatement cost</v>
      </c>
      <c r="AC879">
        <f t="shared" ca="1" si="2688"/>
        <v>-12.074906811240885</v>
      </c>
      <c r="AD879">
        <v>820</v>
      </c>
      <c r="AE879" t="str">
        <f>IF(AND(ISNUMBER(SEARCH(O879,4)),ISNUMBER(SEARCH('(4) FCH pathway assessment'!$B$16,AB879)),ISNUMBER(SEARCH('(4) FCH pathway assessment'!$B$10,AA879))),AD879,"")</f>
        <v/>
      </c>
      <c r="AF879" t="str">
        <f t="shared" si="2450"/>
        <v/>
      </c>
      <c r="AG879" t="str">
        <f>VLOOKUP(C879,Assumptions!$B$116:$C$162,2,FALSE)</f>
        <v>BIO_SR_LRG_C</v>
      </c>
      <c r="AH879" t="str">
        <f>VLOOKUP(D879,Assumptions!$B$116:$C$162,2,FALSE)</f>
        <v>C_UNDRGRND_STRG</v>
      </c>
      <c r="AI879" t="str">
        <f>VLOOKUP(E879,Assumptions!$B$116:$C$162,2,FALSE)</f>
        <v>ONSITE_USE</v>
      </c>
      <c r="AJ879" t="str">
        <f>VLOOKUP(F879,Assumptions!$B$116:$C$162,2,FALSE)</f>
        <v>H2_IND_BOIL_HEAT</v>
      </c>
    </row>
    <row r="880" spans="2:36" x14ac:dyDescent="0.25">
      <c r="B880" t="s">
        <v>117</v>
      </c>
      <c r="C880" t="s">
        <v>56</v>
      </c>
      <c r="D880" s="61" t="s">
        <v>63</v>
      </c>
      <c r="E880" t="s">
        <v>122</v>
      </c>
      <c r="F880" t="s">
        <v>570</v>
      </c>
      <c r="G880" t="s">
        <v>120</v>
      </c>
      <c r="H880" t="s">
        <v>432</v>
      </c>
      <c r="I880" t="s">
        <v>32</v>
      </c>
      <c r="J880" t="s">
        <v>77</v>
      </c>
      <c r="K880">
        <f t="shared" si="2675"/>
        <v>0</v>
      </c>
      <c r="L880">
        <f t="shared" si="2676"/>
        <v>1</v>
      </c>
      <c r="M880">
        <f t="shared" si="2677"/>
        <v>1</v>
      </c>
      <c r="N880">
        <f t="shared" si="2678"/>
        <v>1</v>
      </c>
      <c r="O880">
        <f t="shared" si="2679"/>
        <v>3</v>
      </c>
      <c r="P880" t="str">
        <f t="shared" si="2680"/>
        <v>Large centralized biomass steam reforming -Marginal abatement cost</v>
      </c>
      <c r="Q880" t="str">
        <f t="shared" si="2681"/>
        <v>No storage-Marginal abatement cost</v>
      </c>
      <c r="R880" t="str">
        <f t="shared" si="2682"/>
        <v>Hydrogen transmission &amp; distribution pipeline-Marginal abatement cost</v>
      </c>
      <c r="S880" t="str">
        <f t="shared" si="2683"/>
        <v>Industrial H2 boiler-Marginal abatement cost</v>
      </c>
      <c r="T880">
        <f>IFERROR(VLOOKUP($P880,'TA database'!$I$8:$J$79,2,FALSE),0)</f>
        <v>0</v>
      </c>
      <c r="U880">
        <f>IFERROR(VLOOKUP($Q880,'TA database'!$I$86:$J$105,2,FALSE),0)</f>
        <v>0</v>
      </c>
      <c r="V880">
        <f>IFERROR(VLOOKUP($R880,'TA database'!$I$112:$J$139,2,FALSE),0)</f>
        <v>0</v>
      </c>
      <c r="W880">
        <f ca="1">IFERROR(VLOOKUP($S880,'TA database'!$I$146:$J$193,2,FALSE),0)</f>
        <v>-12.074906811240885</v>
      </c>
      <c r="X880">
        <f>IFERROR(VLOOKUP($S880,'TA database'!$I$200:$J$271,2,FALSE),0)</f>
        <v>0</v>
      </c>
      <c r="Y880" s="59">
        <f t="shared" ca="1" si="2684"/>
        <v>-12.074906811240885</v>
      </c>
      <c r="Z880" t="str">
        <f t="shared" si="2685"/>
        <v>BIO_SR_LRG_C   →   NO_STRG   →   H2_T&amp;D_P   →   H2_IND_BOIL_HEAT</v>
      </c>
      <c r="AA880" t="str">
        <f t="shared" si="2686"/>
        <v>Industrial heat</v>
      </c>
      <c r="AB880" t="str">
        <f t="shared" si="2687"/>
        <v>Marginal abatement cost</v>
      </c>
      <c r="AC880">
        <f t="shared" ca="1" si="2688"/>
        <v>-12.074906811240885</v>
      </c>
      <c r="AD880">
        <v>821</v>
      </c>
      <c r="AE880" t="str">
        <f>IF(AND(ISNUMBER(SEARCH(O880,4)),ISNUMBER(SEARCH('(4) FCH pathway assessment'!$B$16,AB880)),ISNUMBER(SEARCH('(4) FCH pathway assessment'!$B$10,AA880))),AD880,"")</f>
        <v/>
      </c>
      <c r="AF880" t="str">
        <f t="shared" si="2450"/>
        <v/>
      </c>
      <c r="AG880" t="str">
        <f>VLOOKUP(C880,Assumptions!$B$116:$C$162,2,FALSE)</f>
        <v>BIO_SR_LRG_C</v>
      </c>
      <c r="AH880" t="str">
        <f>VLOOKUP(D880,Assumptions!$B$116:$C$162,2,FALSE)</f>
        <v>NO_STRG</v>
      </c>
      <c r="AI880" t="str">
        <f>VLOOKUP(E880,Assumptions!$B$116:$C$162,2,FALSE)</f>
        <v>H2_T&amp;D_P</v>
      </c>
      <c r="AJ880" t="str">
        <f>VLOOKUP(F880,Assumptions!$B$116:$C$162,2,FALSE)</f>
        <v>H2_IND_BOIL_HEAT</v>
      </c>
    </row>
    <row r="881" spans="2:36" x14ac:dyDescent="0.25">
      <c r="B881" t="s">
        <v>112</v>
      </c>
      <c r="C881" t="s">
        <v>49</v>
      </c>
      <c r="D881" t="s">
        <v>62</v>
      </c>
      <c r="E881" t="s">
        <v>157</v>
      </c>
      <c r="F881" t="s">
        <v>570</v>
      </c>
      <c r="G881" t="s">
        <v>120</v>
      </c>
      <c r="H881" t="s">
        <v>432</v>
      </c>
      <c r="I881" t="s">
        <v>32</v>
      </c>
      <c r="J881" t="s">
        <v>77</v>
      </c>
      <c r="K881">
        <f t="shared" ref="K881:K892" si="2689">SUMPRODUCT(($C$7:$C$18=$C881)*($D$6:$H$6=$D881)*($D$7:$H$18))</f>
        <v>1</v>
      </c>
      <c r="L881">
        <f t="shared" ref="L881:L892" si="2690">SUMPRODUCT(($C$19:$C$23=$D881)*($I$6:$O$6=$E881)*($I$19:$O$23))</f>
        <v>0</v>
      </c>
      <c r="M881">
        <f t="shared" ref="M881:M892" si="2691">SUMPRODUCT(($C$24:$C$30=$E881)*($P$6:$AI$6=$F881)*($P$24:$AI$30))</f>
        <v>0</v>
      </c>
      <c r="N881">
        <f t="shared" ref="N881:N892" si="2692">SUMPRODUCT(($C$31:$C$50=$F881)*($AJ$6:$AM$6=$G881)*($AJ$31:$AM$50))</f>
        <v>1</v>
      </c>
      <c r="O881">
        <f t="shared" ref="O881:O892" si="2693">K881+L881+M881+N881</f>
        <v>2</v>
      </c>
      <c r="P881" t="str">
        <f t="shared" ref="P881:P892" si="2694">CONCATENATE(C881,"-",J881)</f>
        <v>Large centralized electrolysis-Marginal abatement cost</v>
      </c>
      <c r="Q881" t="str">
        <f t="shared" ref="Q881:Q892" si="2695">CONCATENATE(D881,"-",J881)</f>
        <v>Underground storage-Marginal abatement cost</v>
      </c>
      <c r="R881" t="str">
        <f t="shared" ref="R881:R892" si="2696">CONCATENATE(E881,"-",J881)</f>
        <v>Blending in natural gas pipeline-Marginal abatement cost</v>
      </c>
      <c r="S881" t="str">
        <f t="shared" ref="S881:S892" si="2697">CONCATENATE(F881,"-",J881)</f>
        <v>Industrial H2 boiler-Marginal abatement cost</v>
      </c>
      <c r="T881">
        <f>IFERROR(VLOOKUP($P881,'TA database'!$I$8:$J$79,2,FALSE),0)</f>
        <v>0</v>
      </c>
      <c r="U881">
        <f>IFERROR(VLOOKUP($Q881,'TA database'!$I$86:$J$105,2,FALSE),0)</f>
        <v>0</v>
      </c>
      <c r="V881">
        <f>IFERROR(VLOOKUP($R881,'TA database'!$I$112:$J$139,2,FALSE),0)</f>
        <v>0</v>
      </c>
      <c r="W881">
        <f ca="1">IFERROR(VLOOKUP($S881,'TA database'!$I$146:$J$193,2,FALSE),0)</f>
        <v>-12.074906811240885</v>
      </c>
      <c r="X881">
        <f>IFERROR(VLOOKUP($S881,'TA database'!$I$200:$J$271,2,FALSE),0)</f>
        <v>0</v>
      </c>
      <c r="Y881" s="59">
        <f t="shared" ref="Y881:Y892" ca="1" si="2698">IF($W881=0,T881+U881+V881+X881,T881+U881+V881+W881)</f>
        <v>-12.074906811240885</v>
      </c>
      <c r="Z881" t="str">
        <f t="shared" ref="Z881:Z892" si="2699">CONCATENATE(AG881,"   →   ",AH881,"   →   ",AI881,"   →   ",AJ881)</f>
        <v>ELCTRLYZ_LRG_C   →   C_UNDRGRND_STRG   →   H2_BLND_NG_P   →   H2_IND_BOIL_HEAT</v>
      </c>
      <c r="AA881" t="str">
        <f t="shared" ref="AA881:AA892" si="2700">G881</f>
        <v>Industrial heat</v>
      </c>
      <c r="AB881" t="str">
        <f t="shared" ref="AB881:AB892" si="2701">J881</f>
        <v>Marginal abatement cost</v>
      </c>
      <c r="AC881">
        <f t="shared" ref="AC881:AC892" ca="1" si="2702">Y881</f>
        <v>-12.074906811240885</v>
      </c>
      <c r="AD881">
        <v>822</v>
      </c>
      <c r="AE881" t="str">
        <f>IF(AND(ISNUMBER(SEARCH(O881,4)),ISNUMBER(SEARCH('(4) FCH pathway assessment'!$B$16,AB881)),ISNUMBER(SEARCH('(4) FCH pathway assessment'!$B$10,AA881))),AD881,"")</f>
        <v/>
      </c>
      <c r="AF881" t="str">
        <f t="shared" si="2450"/>
        <v/>
      </c>
      <c r="AG881" t="str">
        <f>VLOOKUP(C881,Assumptions!$B$116:$C$162,2,FALSE)</f>
        <v>ELCTRLYZ_LRG_C</v>
      </c>
      <c r="AH881" t="str">
        <f>VLOOKUP(D881,Assumptions!$B$116:$C$162,2,FALSE)</f>
        <v>C_UNDRGRND_STRG</v>
      </c>
      <c r="AI881" t="str">
        <f>VLOOKUP(E881,Assumptions!$B$116:$C$162,2,FALSE)</f>
        <v>H2_BLND_NG_P</v>
      </c>
      <c r="AJ881" t="str">
        <f>VLOOKUP(F881,Assumptions!$B$116:$C$162,2,FALSE)</f>
        <v>H2_IND_BOIL_HEAT</v>
      </c>
    </row>
    <row r="882" spans="2:36" x14ac:dyDescent="0.25">
      <c r="B882" t="s">
        <v>112</v>
      </c>
      <c r="C882" t="s">
        <v>49</v>
      </c>
      <c r="D882" t="s">
        <v>62</v>
      </c>
      <c r="E882" t="s">
        <v>122</v>
      </c>
      <c r="F882" t="s">
        <v>570</v>
      </c>
      <c r="G882" t="s">
        <v>120</v>
      </c>
      <c r="H882" t="s">
        <v>432</v>
      </c>
      <c r="I882" t="s">
        <v>32</v>
      </c>
      <c r="J882" t="s">
        <v>77</v>
      </c>
      <c r="K882">
        <f t="shared" si="2689"/>
        <v>1</v>
      </c>
      <c r="L882">
        <f t="shared" si="2690"/>
        <v>0</v>
      </c>
      <c r="M882">
        <f t="shared" si="2691"/>
        <v>1</v>
      </c>
      <c r="N882">
        <f t="shared" si="2692"/>
        <v>1</v>
      </c>
      <c r="O882">
        <f t="shared" si="2693"/>
        <v>3</v>
      </c>
      <c r="P882" t="str">
        <f t="shared" si="2694"/>
        <v>Large centralized electrolysis-Marginal abatement cost</v>
      </c>
      <c r="Q882" t="str">
        <f t="shared" si="2695"/>
        <v>Underground storage-Marginal abatement cost</v>
      </c>
      <c r="R882" t="str">
        <f t="shared" si="2696"/>
        <v>Hydrogen transmission &amp; distribution pipeline-Marginal abatement cost</v>
      </c>
      <c r="S882" t="str">
        <f t="shared" si="2697"/>
        <v>Industrial H2 boiler-Marginal abatement cost</v>
      </c>
      <c r="T882">
        <f>IFERROR(VLOOKUP($P882,'TA database'!$I$8:$J$79,2,FALSE),0)</f>
        <v>0</v>
      </c>
      <c r="U882">
        <f>IFERROR(VLOOKUP($Q882,'TA database'!$I$86:$J$105,2,FALSE),0)</f>
        <v>0</v>
      </c>
      <c r="V882">
        <f>IFERROR(VLOOKUP($R882,'TA database'!$I$112:$J$139,2,FALSE),0)</f>
        <v>0</v>
      </c>
      <c r="W882">
        <f ca="1">IFERROR(VLOOKUP($S882,'TA database'!$I$146:$J$193,2,FALSE),0)</f>
        <v>-12.074906811240885</v>
      </c>
      <c r="X882">
        <f>IFERROR(VLOOKUP($S882,'TA database'!$I$200:$J$271,2,FALSE),0)</f>
        <v>0</v>
      </c>
      <c r="Y882" s="59">
        <f t="shared" ca="1" si="2698"/>
        <v>-12.074906811240885</v>
      </c>
      <c r="Z882" t="str">
        <f t="shared" si="2699"/>
        <v>ELCTRLYZ_LRG_C   →   C_UNDRGRND_STRG   →   H2_T&amp;D_P   →   H2_IND_BOIL_HEAT</v>
      </c>
      <c r="AA882" t="str">
        <f t="shared" si="2700"/>
        <v>Industrial heat</v>
      </c>
      <c r="AB882" t="str">
        <f t="shared" si="2701"/>
        <v>Marginal abatement cost</v>
      </c>
      <c r="AC882">
        <f t="shared" ca="1" si="2702"/>
        <v>-12.074906811240885</v>
      </c>
      <c r="AD882">
        <v>823</v>
      </c>
      <c r="AE882" t="str">
        <f>IF(AND(ISNUMBER(SEARCH(O882,4)),ISNUMBER(SEARCH('(4) FCH pathway assessment'!$B$16,AB882)),ISNUMBER(SEARCH('(4) FCH pathway assessment'!$B$10,AA882))),AD882,"")</f>
        <v/>
      </c>
      <c r="AF882" t="str">
        <f t="shared" si="2450"/>
        <v/>
      </c>
      <c r="AG882" t="str">
        <f>VLOOKUP(C882,Assumptions!$B$116:$C$162,2,FALSE)</f>
        <v>ELCTRLYZ_LRG_C</v>
      </c>
      <c r="AH882" t="str">
        <f>VLOOKUP(D882,Assumptions!$B$116:$C$162,2,FALSE)</f>
        <v>C_UNDRGRND_STRG</v>
      </c>
      <c r="AI882" t="str">
        <f>VLOOKUP(E882,Assumptions!$B$116:$C$162,2,FALSE)</f>
        <v>H2_T&amp;D_P</v>
      </c>
      <c r="AJ882" t="str">
        <f>VLOOKUP(F882,Assumptions!$B$116:$C$162,2,FALSE)</f>
        <v>H2_IND_BOIL_HEAT</v>
      </c>
    </row>
    <row r="883" spans="2:36" x14ac:dyDescent="0.25">
      <c r="B883" t="s">
        <v>112</v>
      </c>
      <c r="C883" t="s">
        <v>49</v>
      </c>
      <c r="D883" t="s">
        <v>62</v>
      </c>
      <c r="E883" t="s">
        <v>116</v>
      </c>
      <c r="F883" t="s">
        <v>570</v>
      </c>
      <c r="G883" t="s">
        <v>120</v>
      </c>
      <c r="H883" t="s">
        <v>432</v>
      </c>
      <c r="I883" t="s">
        <v>32</v>
      </c>
      <c r="J883" t="s">
        <v>77</v>
      </c>
      <c r="K883">
        <f t="shared" si="2689"/>
        <v>1</v>
      </c>
      <c r="L883">
        <f t="shared" si="2690"/>
        <v>0</v>
      </c>
      <c r="M883">
        <f t="shared" si="2691"/>
        <v>1</v>
      </c>
      <c r="N883">
        <f t="shared" si="2692"/>
        <v>1</v>
      </c>
      <c r="O883">
        <f t="shared" si="2693"/>
        <v>3</v>
      </c>
      <c r="P883" t="str">
        <f t="shared" si="2694"/>
        <v>Large centralized electrolysis-Marginal abatement cost</v>
      </c>
      <c r="Q883" t="str">
        <f t="shared" si="2695"/>
        <v>Underground storage-Marginal abatement cost</v>
      </c>
      <c r="R883" t="str">
        <f t="shared" si="2696"/>
        <v>Liquid hydrogen truck-Marginal abatement cost</v>
      </c>
      <c r="S883" t="str">
        <f t="shared" si="2697"/>
        <v>Industrial H2 boiler-Marginal abatement cost</v>
      </c>
      <c r="T883">
        <f>IFERROR(VLOOKUP($P883,'TA database'!$I$8:$J$79,2,FALSE),0)</f>
        <v>0</v>
      </c>
      <c r="U883">
        <f>IFERROR(VLOOKUP($Q883,'TA database'!$I$86:$J$105,2,FALSE),0)</f>
        <v>0</v>
      </c>
      <c r="V883">
        <f>IFERROR(VLOOKUP($R883,'TA database'!$I$112:$J$139,2,FALSE),0)</f>
        <v>0</v>
      </c>
      <c r="W883">
        <f ca="1">IFERROR(VLOOKUP($S883,'TA database'!$I$146:$J$193,2,FALSE),0)</f>
        <v>-12.074906811240885</v>
      </c>
      <c r="X883">
        <f>IFERROR(VLOOKUP($S883,'TA database'!$I$200:$J$271,2,FALSE),0)</f>
        <v>0</v>
      </c>
      <c r="Y883" s="59">
        <f t="shared" ca="1" si="2698"/>
        <v>-12.074906811240885</v>
      </c>
      <c r="Z883" t="str">
        <f t="shared" si="2699"/>
        <v>ELCTRLYZ_LRG_C   →   C_UNDRGRND_STRG   →   LQ_TRUCK   →   H2_IND_BOIL_HEAT</v>
      </c>
      <c r="AA883" t="str">
        <f t="shared" si="2700"/>
        <v>Industrial heat</v>
      </c>
      <c r="AB883" t="str">
        <f t="shared" si="2701"/>
        <v>Marginal abatement cost</v>
      </c>
      <c r="AC883">
        <f t="shared" ca="1" si="2702"/>
        <v>-12.074906811240885</v>
      </c>
      <c r="AD883">
        <v>824</v>
      </c>
      <c r="AE883" t="str">
        <f>IF(AND(ISNUMBER(SEARCH(O883,4)),ISNUMBER(SEARCH('(4) FCH pathway assessment'!$B$16,AB883)),ISNUMBER(SEARCH('(4) FCH pathway assessment'!$B$10,AA883))),AD883,"")</f>
        <v/>
      </c>
      <c r="AF883" t="str">
        <f t="shared" si="2450"/>
        <v/>
      </c>
      <c r="AG883" t="str">
        <f>VLOOKUP(C883,Assumptions!$B$116:$C$162,2,FALSE)</f>
        <v>ELCTRLYZ_LRG_C</v>
      </c>
      <c r="AH883" t="str">
        <f>VLOOKUP(D883,Assumptions!$B$116:$C$162,2,FALSE)</f>
        <v>C_UNDRGRND_STRG</v>
      </c>
      <c r="AI883" t="str">
        <f>VLOOKUP(E883,Assumptions!$B$116:$C$162,2,FALSE)</f>
        <v>LQ_TRUCK</v>
      </c>
      <c r="AJ883" t="str">
        <f>VLOOKUP(F883,Assumptions!$B$116:$C$162,2,FALSE)</f>
        <v>H2_IND_BOIL_HEAT</v>
      </c>
    </row>
    <row r="884" spans="2:36" x14ac:dyDescent="0.25">
      <c r="B884" t="s">
        <v>112</v>
      </c>
      <c r="C884" t="s">
        <v>49</v>
      </c>
      <c r="D884" t="s">
        <v>62</v>
      </c>
      <c r="E884" t="s">
        <v>66</v>
      </c>
      <c r="F884" t="s">
        <v>570</v>
      </c>
      <c r="G884" t="s">
        <v>120</v>
      </c>
      <c r="H884" t="s">
        <v>432</v>
      </c>
      <c r="I884" t="s">
        <v>32</v>
      </c>
      <c r="J884" t="s">
        <v>77</v>
      </c>
      <c r="K884">
        <f t="shared" si="2689"/>
        <v>1</v>
      </c>
      <c r="L884">
        <f t="shared" si="2690"/>
        <v>0</v>
      </c>
      <c r="M884">
        <f t="shared" si="2691"/>
        <v>1</v>
      </c>
      <c r="N884">
        <f t="shared" si="2692"/>
        <v>1</v>
      </c>
      <c r="O884">
        <f t="shared" si="2693"/>
        <v>3</v>
      </c>
      <c r="P884" t="str">
        <f t="shared" si="2694"/>
        <v>Large centralized electrolysis-Marginal abatement cost</v>
      </c>
      <c r="Q884" t="str">
        <f t="shared" si="2695"/>
        <v>Underground storage-Marginal abatement cost</v>
      </c>
      <c r="R884" t="str">
        <f t="shared" si="2696"/>
        <v>Onsite-Marginal abatement cost</v>
      </c>
      <c r="S884" t="str">
        <f t="shared" si="2697"/>
        <v>Industrial H2 boiler-Marginal abatement cost</v>
      </c>
      <c r="T884">
        <f>IFERROR(VLOOKUP($P884,'TA database'!$I$8:$J$79,2,FALSE),0)</f>
        <v>0</v>
      </c>
      <c r="U884">
        <f>IFERROR(VLOOKUP($Q884,'TA database'!$I$86:$J$105,2,FALSE),0)</f>
        <v>0</v>
      </c>
      <c r="V884">
        <f>IFERROR(VLOOKUP($R884,'TA database'!$I$112:$J$139,2,FALSE),0)</f>
        <v>0</v>
      </c>
      <c r="W884">
        <f ca="1">IFERROR(VLOOKUP($S884,'TA database'!$I$146:$J$193,2,FALSE),0)</f>
        <v>-12.074906811240885</v>
      </c>
      <c r="X884">
        <f>IFERROR(VLOOKUP($S884,'TA database'!$I$200:$J$271,2,FALSE),0)</f>
        <v>0</v>
      </c>
      <c r="Y884" s="59">
        <f t="shared" ca="1" si="2698"/>
        <v>-12.074906811240885</v>
      </c>
      <c r="Z884" t="str">
        <f t="shared" si="2699"/>
        <v>ELCTRLYZ_LRG_C   →   C_UNDRGRND_STRG   →   ONSITE_USE   →   H2_IND_BOIL_HEAT</v>
      </c>
      <c r="AA884" t="str">
        <f t="shared" si="2700"/>
        <v>Industrial heat</v>
      </c>
      <c r="AB884" t="str">
        <f t="shared" si="2701"/>
        <v>Marginal abatement cost</v>
      </c>
      <c r="AC884">
        <f t="shared" ca="1" si="2702"/>
        <v>-12.074906811240885</v>
      </c>
      <c r="AD884">
        <v>825</v>
      </c>
      <c r="AE884" t="str">
        <f>IF(AND(ISNUMBER(SEARCH(O884,4)),ISNUMBER(SEARCH('(4) FCH pathway assessment'!$B$16,AB884)),ISNUMBER(SEARCH('(4) FCH pathway assessment'!$B$10,AA884))),AD884,"")</f>
        <v/>
      </c>
      <c r="AF884" t="str">
        <f t="shared" si="2450"/>
        <v/>
      </c>
      <c r="AG884" t="str">
        <f>VLOOKUP(C884,Assumptions!$B$116:$C$162,2,FALSE)</f>
        <v>ELCTRLYZ_LRG_C</v>
      </c>
      <c r="AH884" t="str">
        <f>VLOOKUP(D884,Assumptions!$B$116:$C$162,2,FALSE)</f>
        <v>C_UNDRGRND_STRG</v>
      </c>
      <c r="AI884" t="str">
        <f>VLOOKUP(E884,Assumptions!$B$116:$C$162,2,FALSE)</f>
        <v>ONSITE_USE</v>
      </c>
      <c r="AJ884" t="str">
        <f>VLOOKUP(F884,Assumptions!$B$116:$C$162,2,FALSE)</f>
        <v>H2_IND_BOIL_HEAT</v>
      </c>
    </row>
    <row r="885" spans="2:36" x14ac:dyDescent="0.25">
      <c r="B885" t="s">
        <v>112</v>
      </c>
      <c r="C885" t="s">
        <v>49</v>
      </c>
      <c r="D885" t="s">
        <v>155</v>
      </c>
      <c r="E885" t="s">
        <v>157</v>
      </c>
      <c r="F885" t="s">
        <v>570</v>
      </c>
      <c r="G885" t="s">
        <v>120</v>
      </c>
      <c r="H885" t="s">
        <v>432</v>
      </c>
      <c r="I885" t="s">
        <v>32</v>
      </c>
      <c r="J885" t="s">
        <v>77</v>
      </c>
      <c r="K885">
        <f t="shared" si="2689"/>
        <v>1</v>
      </c>
      <c r="L885">
        <f t="shared" si="2690"/>
        <v>1</v>
      </c>
      <c r="M885">
        <f t="shared" si="2691"/>
        <v>0</v>
      </c>
      <c r="N885">
        <f t="shared" si="2692"/>
        <v>1</v>
      </c>
      <c r="O885">
        <f t="shared" si="2693"/>
        <v>3</v>
      </c>
      <c r="P885" t="str">
        <f t="shared" si="2694"/>
        <v>Large centralized electrolysis-Marginal abatement cost</v>
      </c>
      <c r="Q885" t="str">
        <f t="shared" si="2695"/>
        <v>Central gas storage-Marginal abatement cost</v>
      </c>
      <c r="R885" t="str">
        <f t="shared" si="2696"/>
        <v>Blending in natural gas pipeline-Marginal abatement cost</v>
      </c>
      <c r="S885" t="str">
        <f t="shared" si="2697"/>
        <v>Industrial H2 boiler-Marginal abatement cost</v>
      </c>
      <c r="T885">
        <f>IFERROR(VLOOKUP($P885,'TA database'!$I$8:$J$79,2,FALSE),0)</f>
        <v>0</v>
      </c>
      <c r="U885">
        <f>IFERROR(VLOOKUP($Q885,'TA database'!$I$86:$J$105,2,FALSE),0)</f>
        <v>0</v>
      </c>
      <c r="V885">
        <f>IFERROR(VLOOKUP($R885,'TA database'!$I$112:$J$139,2,FALSE),0)</f>
        <v>0</v>
      </c>
      <c r="W885">
        <f ca="1">IFERROR(VLOOKUP($S885,'TA database'!$I$146:$J$193,2,FALSE),0)</f>
        <v>-12.074906811240885</v>
      </c>
      <c r="X885">
        <f>IFERROR(VLOOKUP($S885,'TA database'!$I$200:$J$271,2,FALSE),0)</f>
        <v>0</v>
      </c>
      <c r="Y885" s="59">
        <f t="shared" ca="1" si="2698"/>
        <v>-12.074906811240885</v>
      </c>
      <c r="Z885" t="str">
        <f t="shared" si="2699"/>
        <v>ELCTRLYZ_LRG_C   →   C_GAS_STRG   →   H2_BLND_NG_P   →   H2_IND_BOIL_HEAT</v>
      </c>
      <c r="AA885" t="str">
        <f t="shared" si="2700"/>
        <v>Industrial heat</v>
      </c>
      <c r="AB885" t="str">
        <f t="shared" si="2701"/>
        <v>Marginal abatement cost</v>
      </c>
      <c r="AC885">
        <f t="shared" ca="1" si="2702"/>
        <v>-12.074906811240885</v>
      </c>
      <c r="AD885">
        <v>826</v>
      </c>
      <c r="AE885" t="str">
        <f>IF(AND(ISNUMBER(SEARCH(O885,4)),ISNUMBER(SEARCH('(4) FCH pathway assessment'!$B$16,AB885)),ISNUMBER(SEARCH('(4) FCH pathway assessment'!$B$10,AA885))),AD885,"")</f>
        <v/>
      </c>
      <c r="AF885" t="str">
        <f t="shared" si="2450"/>
        <v/>
      </c>
      <c r="AG885" t="str">
        <f>VLOOKUP(C885,Assumptions!$B$116:$C$162,2,FALSE)</f>
        <v>ELCTRLYZ_LRG_C</v>
      </c>
      <c r="AH885" t="str">
        <f>VLOOKUP(D885,Assumptions!$B$116:$C$162,2,FALSE)</f>
        <v>C_GAS_STRG</v>
      </c>
      <c r="AI885" t="str">
        <f>VLOOKUP(E885,Assumptions!$B$116:$C$162,2,FALSE)</f>
        <v>H2_BLND_NG_P</v>
      </c>
      <c r="AJ885" t="str">
        <f>VLOOKUP(F885,Assumptions!$B$116:$C$162,2,FALSE)</f>
        <v>H2_IND_BOIL_HEAT</v>
      </c>
    </row>
    <row r="886" spans="2:36" x14ac:dyDescent="0.25">
      <c r="B886" t="s">
        <v>112</v>
      </c>
      <c r="C886" t="s">
        <v>49</v>
      </c>
      <c r="D886" t="s">
        <v>155</v>
      </c>
      <c r="E886" t="s">
        <v>122</v>
      </c>
      <c r="F886" t="s">
        <v>570</v>
      </c>
      <c r="G886" t="s">
        <v>120</v>
      </c>
      <c r="H886" t="s">
        <v>432</v>
      </c>
      <c r="I886" t="s">
        <v>32</v>
      </c>
      <c r="J886" t="s">
        <v>77</v>
      </c>
      <c r="K886">
        <f t="shared" si="2689"/>
        <v>1</v>
      </c>
      <c r="L886">
        <f t="shared" si="2690"/>
        <v>1</v>
      </c>
      <c r="M886">
        <f t="shared" si="2691"/>
        <v>1</v>
      </c>
      <c r="N886">
        <f t="shared" si="2692"/>
        <v>1</v>
      </c>
      <c r="O886">
        <f t="shared" si="2693"/>
        <v>4</v>
      </c>
      <c r="P886" t="str">
        <f t="shared" si="2694"/>
        <v>Large centralized electrolysis-Marginal abatement cost</v>
      </c>
      <c r="Q886" t="str">
        <f t="shared" si="2695"/>
        <v>Central gas storage-Marginal abatement cost</v>
      </c>
      <c r="R886" t="str">
        <f t="shared" si="2696"/>
        <v>Hydrogen transmission &amp; distribution pipeline-Marginal abatement cost</v>
      </c>
      <c r="S886" t="str">
        <f t="shared" si="2697"/>
        <v>Industrial H2 boiler-Marginal abatement cost</v>
      </c>
      <c r="T886">
        <f>IFERROR(VLOOKUP($P886,'TA database'!$I$8:$J$79,2,FALSE),0)</f>
        <v>0</v>
      </c>
      <c r="U886">
        <f>IFERROR(VLOOKUP($Q886,'TA database'!$I$86:$J$105,2,FALSE),0)</f>
        <v>0</v>
      </c>
      <c r="V886">
        <f>IFERROR(VLOOKUP($R886,'TA database'!$I$112:$J$139,2,FALSE),0)</f>
        <v>0</v>
      </c>
      <c r="W886">
        <f ca="1">IFERROR(VLOOKUP($S886,'TA database'!$I$146:$J$193,2,FALSE),0)</f>
        <v>-12.074906811240885</v>
      </c>
      <c r="X886">
        <f>IFERROR(VLOOKUP($S886,'TA database'!$I$200:$J$271,2,FALSE),0)</f>
        <v>0</v>
      </c>
      <c r="Y886" s="59">
        <f t="shared" ca="1" si="2698"/>
        <v>-12.074906811240885</v>
      </c>
      <c r="Z886" t="str">
        <f t="shared" si="2699"/>
        <v>ELCTRLYZ_LRG_C   →   C_GAS_STRG   →   H2_T&amp;D_P   →   H2_IND_BOIL_HEAT</v>
      </c>
      <c r="AA886" t="str">
        <f t="shared" si="2700"/>
        <v>Industrial heat</v>
      </c>
      <c r="AB886" t="str">
        <f t="shared" si="2701"/>
        <v>Marginal abatement cost</v>
      </c>
      <c r="AC886">
        <f t="shared" ca="1" si="2702"/>
        <v>-12.074906811240885</v>
      </c>
      <c r="AD886">
        <v>827</v>
      </c>
      <c r="AE886" t="str">
        <f>IF(AND(ISNUMBER(SEARCH(O886,4)),ISNUMBER(SEARCH('(4) FCH pathway assessment'!$B$16,AB886)),ISNUMBER(SEARCH('(4) FCH pathway assessment'!$B$10,AA886))),AD886,"")</f>
        <v/>
      </c>
      <c r="AF886" t="str">
        <f t="shared" si="2450"/>
        <v/>
      </c>
      <c r="AG886" t="str">
        <f>VLOOKUP(C886,Assumptions!$B$116:$C$162,2,FALSE)</f>
        <v>ELCTRLYZ_LRG_C</v>
      </c>
      <c r="AH886" t="str">
        <f>VLOOKUP(D886,Assumptions!$B$116:$C$162,2,FALSE)</f>
        <v>C_GAS_STRG</v>
      </c>
      <c r="AI886" t="str">
        <f>VLOOKUP(E886,Assumptions!$B$116:$C$162,2,FALSE)</f>
        <v>H2_T&amp;D_P</v>
      </c>
      <c r="AJ886" t="str">
        <f>VLOOKUP(F886,Assumptions!$B$116:$C$162,2,FALSE)</f>
        <v>H2_IND_BOIL_HEAT</v>
      </c>
    </row>
    <row r="887" spans="2:36" x14ac:dyDescent="0.25">
      <c r="B887" t="s">
        <v>112</v>
      </c>
      <c r="C887" t="s">
        <v>49</v>
      </c>
      <c r="D887" t="s">
        <v>155</v>
      </c>
      <c r="E887" t="s">
        <v>116</v>
      </c>
      <c r="F887" t="s">
        <v>570</v>
      </c>
      <c r="G887" t="s">
        <v>120</v>
      </c>
      <c r="H887" t="s">
        <v>432</v>
      </c>
      <c r="I887" t="s">
        <v>32</v>
      </c>
      <c r="J887" t="s">
        <v>77</v>
      </c>
      <c r="K887">
        <f t="shared" si="2689"/>
        <v>1</v>
      </c>
      <c r="L887">
        <f t="shared" si="2690"/>
        <v>1</v>
      </c>
      <c r="M887">
        <f t="shared" si="2691"/>
        <v>1</v>
      </c>
      <c r="N887">
        <f t="shared" si="2692"/>
        <v>1</v>
      </c>
      <c r="O887">
        <f t="shared" si="2693"/>
        <v>4</v>
      </c>
      <c r="P887" t="str">
        <f t="shared" si="2694"/>
        <v>Large centralized electrolysis-Marginal abatement cost</v>
      </c>
      <c r="Q887" t="str">
        <f t="shared" si="2695"/>
        <v>Central gas storage-Marginal abatement cost</v>
      </c>
      <c r="R887" t="str">
        <f t="shared" si="2696"/>
        <v>Liquid hydrogen truck-Marginal abatement cost</v>
      </c>
      <c r="S887" t="str">
        <f t="shared" si="2697"/>
        <v>Industrial H2 boiler-Marginal abatement cost</v>
      </c>
      <c r="T887">
        <f>IFERROR(VLOOKUP($P887,'TA database'!$I$8:$J$79,2,FALSE),0)</f>
        <v>0</v>
      </c>
      <c r="U887">
        <f>IFERROR(VLOOKUP($Q887,'TA database'!$I$86:$J$105,2,FALSE),0)</f>
        <v>0</v>
      </c>
      <c r="V887">
        <f>IFERROR(VLOOKUP($R887,'TA database'!$I$112:$J$139,2,FALSE),0)</f>
        <v>0</v>
      </c>
      <c r="W887">
        <f ca="1">IFERROR(VLOOKUP($S887,'TA database'!$I$146:$J$193,2,FALSE),0)</f>
        <v>-12.074906811240885</v>
      </c>
      <c r="X887">
        <f>IFERROR(VLOOKUP($S887,'TA database'!$I$200:$J$271,2,FALSE),0)</f>
        <v>0</v>
      </c>
      <c r="Y887" s="59">
        <f t="shared" ca="1" si="2698"/>
        <v>-12.074906811240885</v>
      </c>
      <c r="Z887" t="str">
        <f t="shared" si="2699"/>
        <v>ELCTRLYZ_LRG_C   →   C_GAS_STRG   →   LQ_TRUCK   →   H2_IND_BOIL_HEAT</v>
      </c>
      <c r="AA887" t="str">
        <f t="shared" si="2700"/>
        <v>Industrial heat</v>
      </c>
      <c r="AB887" t="str">
        <f t="shared" si="2701"/>
        <v>Marginal abatement cost</v>
      </c>
      <c r="AC887">
        <f t="shared" ca="1" si="2702"/>
        <v>-12.074906811240885</v>
      </c>
      <c r="AD887">
        <v>828</v>
      </c>
      <c r="AE887" t="str">
        <f>IF(AND(ISNUMBER(SEARCH(O887,4)),ISNUMBER(SEARCH('(4) FCH pathway assessment'!$B$16,AB887)),ISNUMBER(SEARCH('(4) FCH pathway assessment'!$B$10,AA887))),AD887,"")</f>
        <v/>
      </c>
      <c r="AF887" t="str">
        <f t="shared" si="2450"/>
        <v/>
      </c>
      <c r="AG887" t="str">
        <f>VLOOKUP(C887,Assumptions!$B$116:$C$162,2,FALSE)</f>
        <v>ELCTRLYZ_LRG_C</v>
      </c>
      <c r="AH887" t="str">
        <f>VLOOKUP(D887,Assumptions!$B$116:$C$162,2,FALSE)</f>
        <v>C_GAS_STRG</v>
      </c>
      <c r="AI887" t="str">
        <f>VLOOKUP(E887,Assumptions!$B$116:$C$162,2,FALSE)</f>
        <v>LQ_TRUCK</v>
      </c>
      <c r="AJ887" t="str">
        <f>VLOOKUP(F887,Assumptions!$B$116:$C$162,2,FALSE)</f>
        <v>H2_IND_BOIL_HEAT</v>
      </c>
    </row>
    <row r="888" spans="2:36" x14ac:dyDescent="0.25">
      <c r="B888" t="s">
        <v>112</v>
      </c>
      <c r="C888" t="s">
        <v>49</v>
      </c>
      <c r="D888" t="s">
        <v>155</v>
      </c>
      <c r="E888" t="s">
        <v>66</v>
      </c>
      <c r="F888" t="s">
        <v>570</v>
      </c>
      <c r="G888" t="s">
        <v>120</v>
      </c>
      <c r="H888" t="s">
        <v>432</v>
      </c>
      <c r="I888" t="s">
        <v>32</v>
      </c>
      <c r="J888" t="s">
        <v>77</v>
      </c>
      <c r="K888">
        <f t="shared" si="2689"/>
        <v>1</v>
      </c>
      <c r="L888">
        <f t="shared" si="2690"/>
        <v>1</v>
      </c>
      <c r="M888">
        <f t="shared" si="2691"/>
        <v>1</v>
      </c>
      <c r="N888">
        <f t="shared" si="2692"/>
        <v>1</v>
      </c>
      <c r="O888">
        <f t="shared" si="2693"/>
        <v>4</v>
      </c>
      <c r="P888" t="str">
        <f t="shared" si="2694"/>
        <v>Large centralized electrolysis-Marginal abatement cost</v>
      </c>
      <c r="Q888" t="str">
        <f t="shared" si="2695"/>
        <v>Central gas storage-Marginal abatement cost</v>
      </c>
      <c r="R888" t="str">
        <f t="shared" si="2696"/>
        <v>Onsite-Marginal abatement cost</v>
      </c>
      <c r="S888" t="str">
        <f t="shared" si="2697"/>
        <v>Industrial H2 boiler-Marginal abatement cost</v>
      </c>
      <c r="T888">
        <f>IFERROR(VLOOKUP($P888,'TA database'!$I$8:$J$79,2,FALSE),0)</f>
        <v>0</v>
      </c>
      <c r="U888">
        <f>IFERROR(VLOOKUP($Q888,'TA database'!$I$86:$J$105,2,FALSE),0)</f>
        <v>0</v>
      </c>
      <c r="V888">
        <f>IFERROR(VLOOKUP($R888,'TA database'!$I$112:$J$139,2,FALSE),0)</f>
        <v>0</v>
      </c>
      <c r="W888">
        <f ca="1">IFERROR(VLOOKUP($S888,'TA database'!$I$146:$J$193,2,FALSE),0)</f>
        <v>-12.074906811240885</v>
      </c>
      <c r="X888">
        <f>IFERROR(VLOOKUP($S888,'TA database'!$I$200:$J$271,2,FALSE),0)</f>
        <v>0</v>
      </c>
      <c r="Y888" s="59">
        <f t="shared" ca="1" si="2698"/>
        <v>-12.074906811240885</v>
      </c>
      <c r="Z888" t="str">
        <f t="shared" si="2699"/>
        <v>ELCTRLYZ_LRG_C   →   C_GAS_STRG   →   ONSITE_USE   →   H2_IND_BOIL_HEAT</v>
      </c>
      <c r="AA888" t="str">
        <f t="shared" si="2700"/>
        <v>Industrial heat</v>
      </c>
      <c r="AB888" t="str">
        <f t="shared" si="2701"/>
        <v>Marginal abatement cost</v>
      </c>
      <c r="AC888">
        <f t="shared" ca="1" si="2702"/>
        <v>-12.074906811240885</v>
      </c>
      <c r="AD888">
        <v>829</v>
      </c>
      <c r="AE888" t="str">
        <f>IF(AND(ISNUMBER(SEARCH(O888,4)),ISNUMBER(SEARCH('(4) FCH pathway assessment'!$B$16,AB888)),ISNUMBER(SEARCH('(4) FCH pathway assessment'!$B$10,AA888))),AD888,"")</f>
        <v/>
      </c>
      <c r="AF888" t="str">
        <f t="shared" si="2450"/>
        <v/>
      </c>
      <c r="AG888" t="str">
        <f>VLOOKUP(C888,Assumptions!$B$116:$C$162,2,FALSE)</f>
        <v>ELCTRLYZ_LRG_C</v>
      </c>
      <c r="AH888" t="str">
        <f>VLOOKUP(D888,Assumptions!$B$116:$C$162,2,FALSE)</f>
        <v>C_GAS_STRG</v>
      </c>
      <c r="AI888" t="str">
        <f>VLOOKUP(E888,Assumptions!$B$116:$C$162,2,FALSE)</f>
        <v>ONSITE_USE</v>
      </c>
      <c r="AJ888" t="str">
        <f>VLOOKUP(F888,Assumptions!$B$116:$C$162,2,FALSE)</f>
        <v>H2_IND_BOIL_HEAT</v>
      </c>
    </row>
    <row r="889" spans="2:36" x14ac:dyDescent="0.25">
      <c r="B889" t="s">
        <v>112</v>
      </c>
      <c r="C889" t="s">
        <v>51</v>
      </c>
      <c r="D889" t="s">
        <v>155</v>
      </c>
      <c r="E889" t="s">
        <v>157</v>
      </c>
      <c r="F889" t="s">
        <v>570</v>
      </c>
      <c r="G889" t="s">
        <v>120</v>
      </c>
      <c r="H889" t="s">
        <v>432</v>
      </c>
      <c r="I889" t="s">
        <v>32</v>
      </c>
      <c r="J889" t="s">
        <v>77</v>
      </c>
      <c r="K889">
        <f t="shared" si="2689"/>
        <v>1</v>
      </c>
      <c r="L889">
        <f t="shared" si="2690"/>
        <v>1</v>
      </c>
      <c r="M889">
        <f t="shared" si="2691"/>
        <v>0</v>
      </c>
      <c r="N889">
        <f t="shared" si="2692"/>
        <v>1</v>
      </c>
      <c r="O889">
        <f t="shared" si="2693"/>
        <v>3</v>
      </c>
      <c r="P889" t="str">
        <f t="shared" si="2694"/>
        <v>Medium centralized electrolysis-Marginal abatement cost</v>
      </c>
      <c r="Q889" t="str">
        <f t="shared" si="2695"/>
        <v>Central gas storage-Marginal abatement cost</v>
      </c>
      <c r="R889" t="str">
        <f t="shared" si="2696"/>
        <v>Blending in natural gas pipeline-Marginal abatement cost</v>
      </c>
      <c r="S889" t="str">
        <f t="shared" si="2697"/>
        <v>Industrial H2 boiler-Marginal abatement cost</v>
      </c>
      <c r="T889">
        <f>IFERROR(VLOOKUP($P889,'TA database'!$I$8:$J$79,2,FALSE),0)</f>
        <v>0</v>
      </c>
      <c r="U889">
        <f>IFERROR(VLOOKUP($Q889,'TA database'!$I$86:$J$105,2,FALSE),0)</f>
        <v>0</v>
      </c>
      <c r="V889">
        <f>IFERROR(VLOOKUP($R889,'TA database'!$I$112:$J$139,2,FALSE),0)</f>
        <v>0</v>
      </c>
      <c r="W889">
        <f ca="1">IFERROR(VLOOKUP($S889,'TA database'!$I$146:$J$193,2,FALSE),0)</f>
        <v>-12.074906811240885</v>
      </c>
      <c r="X889">
        <f>IFERROR(VLOOKUP($S889,'TA database'!$I$200:$J$271,2,FALSE),0)</f>
        <v>0</v>
      </c>
      <c r="Y889" s="59">
        <f t="shared" ca="1" si="2698"/>
        <v>-12.074906811240885</v>
      </c>
      <c r="Z889" t="str">
        <f t="shared" si="2699"/>
        <v>ELCTRLYZ_MED_C   →   C_GAS_STRG   →   H2_BLND_NG_P   →   H2_IND_BOIL_HEAT</v>
      </c>
      <c r="AA889" t="str">
        <f t="shared" si="2700"/>
        <v>Industrial heat</v>
      </c>
      <c r="AB889" t="str">
        <f t="shared" si="2701"/>
        <v>Marginal abatement cost</v>
      </c>
      <c r="AC889">
        <f t="shared" ca="1" si="2702"/>
        <v>-12.074906811240885</v>
      </c>
      <c r="AD889">
        <v>830</v>
      </c>
      <c r="AE889" t="str">
        <f>IF(AND(ISNUMBER(SEARCH(O889,4)),ISNUMBER(SEARCH('(4) FCH pathway assessment'!$B$16,AB889)),ISNUMBER(SEARCH('(4) FCH pathway assessment'!$B$10,AA889))),AD889,"")</f>
        <v/>
      </c>
      <c r="AF889" t="str">
        <f t="shared" si="2450"/>
        <v/>
      </c>
      <c r="AG889" t="str">
        <f>VLOOKUP(C889,Assumptions!$B$116:$C$162,2,FALSE)</f>
        <v>ELCTRLYZ_MED_C</v>
      </c>
      <c r="AH889" t="str">
        <f>VLOOKUP(D889,Assumptions!$B$116:$C$162,2,FALSE)</f>
        <v>C_GAS_STRG</v>
      </c>
      <c r="AI889" t="str">
        <f>VLOOKUP(E889,Assumptions!$B$116:$C$162,2,FALSE)</f>
        <v>H2_BLND_NG_P</v>
      </c>
      <c r="AJ889" t="str">
        <f>VLOOKUP(F889,Assumptions!$B$116:$C$162,2,FALSE)</f>
        <v>H2_IND_BOIL_HEAT</v>
      </c>
    </row>
    <row r="890" spans="2:36" x14ac:dyDescent="0.25">
      <c r="B890" t="s">
        <v>112</v>
      </c>
      <c r="C890" t="s">
        <v>51</v>
      </c>
      <c r="D890" t="s">
        <v>155</v>
      </c>
      <c r="E890" t="s">
        <v>122</v>
      </c>
      <c r="F890" t="s">
        <v>570</v>
      </c>
      <c r="G890" t="s">
        <v>120</v>
      </c>
      <c r="H890" t="s">
        <v>432</v>
      </c>
      <c r="I890" t="s">
        <v>32</v>
      </c>
      <c r="J890" t="s">
        <v>77</v>
      </c>
      <c r="K890">
        <f t="shared" si="2689"/>
        <v>1</v>
      </c>
      <c r="L890">
        <f t="shared" si="2690"/>
        <v>1</v>
      </c>
      <c r="M890">
        <f t="shared" si="2691"/>
        <v>1</v>
      </c>
      <c r="N890">
        <f t="shared" si="2692"/>
        <v>1</v>
      </c>
      <c r="O890">
        <f t="shared" si="2693"/>
        <v>4</v>
      </c>
      <c r="P890" t="str">
        <f t="shared" si="2694"/>
        <v>Medium centralized electrolysis-Marginal abatement cost</v>
      </c>
      <c r="Q890" t="str">
        <f t="shared" si="2695"/>
        <v>Central gas storage-Marginal abatement cost</v>
      </c>
      <c r="R890" t="str">
        <f t="shared" si="2696"/>
        <v>Hydrogen transmission &amp; distribution pipeline-Marginal abatement cost</v>
      </c>
      <c r="S890" t="str">
        <f t="shared" si="2697"/>
        <v>Industrial H2 boiler-Marginal abatement cost</v>
      </c>
      <c r="T890">
        <f>IFERROR(VLOOKUP($P890,'TA database'!$I$8:$J$79,2,FALSE),0)</f>
        <v>0</v>
      </c>
      <c r="U890">
        <f>IFERROR(VLOOKUP($Q890,'TA database'!$I$86:$J$105,2,FALSE),0)</f>
        <v>0</v>
      </c>
      <c r="V890">
        <f>IFERROR(VLOOKUP($R890,'TA database'!$I$112:$J$139,2,FALSE),0)</f>
        <v>0</v>
      </c>
      <c r="W890">
        <f ca="1">IFERROR(VLOOKUP($S890,'TA database'!$I$146:$J$193,2,FALSE),0)</f>
        <v>-12.074906811240885</v>
      </c>
      <c r="X890">
        <f>IFERROR(VLOOKUP($S890,'TA database'!$I$200:$J$271,2,FALSE),0)</f>
        <v>0</v>
      </c>
      <c r="Y890" s="59">
        <f t="shared" ca="1" si="2698"/>
        <v>-12.074906811240885</v>
      </c>
      <c r="Z890" t="str">
        <f t="shared" si="2699"/>
        <v>ELCTRLYZ_MED_C   →   C_GAS_STRG   →   H2_T&amp;D_P   →   H2_IND_BOIL_HEAT</v>
      </c>
      <c r="AA890" t="str">
        <f t="shared" si="2700"/>
        <v>Industrial heat</v>
      </c>
      <c r="AB890" t="str">
        <f t="shared" si="2701"/>
        <v>Marginal abatement cost</v>
      </c>
      <c r="AC890">
        <f t="shared" ca="1" si="2702"/>
        <v>-12.074906811240885</v>
      </c>
      <c r="AD890">
        <v>831</v>
      </c>
      <c r="AE890" t="str">
        <f>IF(AND(ISNUMBER(SEARCH(O890,4)),ISNUMBER(SEARCH('(4) FCH pathway assessment'!$B$16,AB890)),ISNUMBER(SEARCH('(4) FCH pathway assessment'!$B$10,AA890))),AD890,"")</f>
        <v/>
      </c>
      <c r="AF890" t="str">
        <f t="shared" si="2450"/>
        <v/>
      </c>
      <c r="AG890" t="str">
        <f>VLOOKUP(C890,Assumptions!$B$116:$C$162,2,FALSE)</f>
        <v>ELCTRLYZ_MED_C</v>
      </c>
      <c r="AH890" t="str">
        <f>VLOOKUP(D890,Assumptions!$B$116:$C$162,2,FALSE)</f>
        <v>C_GAS_STRG</v>
      </c>
      <c r="AI890" t="str">
        <f>VLOOKUP(E890,Assumptions!$B$116:$C$162,2,FALSE)</f>
        <v>H2_T&amp;D_P</v>
      </c>
      <c r="AJ890" t="str">
        <f>VLOOKUP(F890,Assumptions!$B$116:$C$162,2,FALSE)</f>
        <v>H2_IND_BOIL_HEAT</v>
      </c>
    </row>
    <row r="891" spans="2:36" x14ac:dyDescent="0.25">
      <c r="B891" t="s">
        <v>112</v>
      </c>
      <c r="C891" t="s">
        <v>51</v>
      </c>
      <c r="D891" t="s">
        <v>155</v>
      </c>
      <c r="E891" t="s">
        <v>116</v>
      </c>
      <c r="F891" t="s">
        <v>570</v>
      </c>
      <c r="G891" t="s">
        <v>120</v>
      </c>
      <c r="H891" t="s">
        <v>432</v>
      </c>
      <c r="I891" t="s">
        <v>32</v>
      </c>
      <c r="J891" t="s">
        <v>77</v>
      </c>
      <c r="K891">
        <f t="shared" si="2689"/>
        <v>1</v>
      </c>
      <c r="L891">
        <f t="shared" si="2690"/>
        <v>1</v>
      </c>
      <c r="M891">
        <f t="shared" si="2691"/>
        <v>1</v>
      </c>
      <c r="N891">
        <f t="shared" si="2692"/>
        <v>1</v>
      </c>
      <c r="O891">
        <f t="shared" si="2693"/>
        <v>4</v>
      </c>
      <c r="P891" t="str">
        <f t="shared" si="2694"/>
        <v>Medium centralized electrolysis-Marginal abatement cost</v>
      </c>
      <c r="Q891" t="str">
        <f t="shared" si="2695"/>
        <v>Central gas storage-Marginal abatement cost</v>
      </c>
      <c r="R891" t="str">
        <f t="shared" si="2696"/>
        <v>Liquid hydrogen truck-Marginal abatement cost</v>
      </c>
      <c r="S891" t="str">
        <f t="shared" si="2697"/>
        <v>Industrial H2 boiler-Marginal abatement cost</v>
      </c>
      <c r="T891">
        <f>IFERROR(VLOOKUP($P891,'TA database'!$I$8:$J$79,2,FALSE),0)</f>
        <v>0</v>
      </c>
      <c r="U891">
        <f>IFERROR(VLOOKUP($Q891,'TA database'!$I$86:$J$105,2,FALSE),0)</f>
        <v>0</v>
      </c>
      <c r="V891">
        <f>IFERROR(VLOOKUP($R891,'TA database'!$I$112:$J$139,2,FALSE),0)</f>
        <v>0</v>
      </c>
      <c r="W891">
        <f ca="1">IFERROR(VLOOKUP($S891,'TA database'!$I$146:$J$193,2,FALSE),0)</f>
        <v>-12.074906811240885</v>
      </c>
      <c r="X891">
        <f>IFERROR(VLOOKUP($S891,'TA database'!$I$200:$J$271,2,FALSE),0)</f>
        <v>0</v>
      </c>
      <c r="Y891" s="59">
        <f t="shared" ca="1" si="2698"/>
        <v>-12.074906811240885</v>
      </c>
      <c r="Z891" t="str">
        <f t="shared" si="2699"/>
        <v>ELCTRLYZ_MED_C   →   C_GAS_STRG   →   LQ_TRUCK   →   H2_IND_BOIL_HEAT</v>
      </c>
      <c r="AA891" t="str">
        <f t="shared" si="2700"/>
        <v>Industrial heat</v>
      </c>
      <c r="AB891" t="str">
        <f t="shared" si="2701"/>
        <v>Marginal abatement cost</v>
      </c>
      <c r="AC891">
        <f t="shared" ca="1" si="2702"/>
        <v>-12.074906811240885</v>
      </c>
      <c r="AD891">
        <v>832</v>
      </c>
      <c r="AE891" t="str">
        <f>IF(AND(ISNUMBER(SEARCH(O891,4)),ISNUMBER(SEARCH('(4) FCH pathway assessment'!$B$16,AB891)),ISNUMBER(SEARCH('(4) FCH pathway assessment'!$B$10,AA891))),AD891,"")</f>
        <v/>
      </c>
      <c r="AF891" t="str">
        <f t="shared" si="2450"/>
        <v/>
      </c>
      <c r="AG891" t="str">
        <f>VLOOKUP(C891,Assumptions!$B$116:$C$162,2,FALSE)</f>
        <v>ELCTRLYZ_MED_C</v>
      </c>
      <c r="AH891" t="str">
        <f>VLOOKUP(D891,Assumptions!$B$116:$C$162,2,FALSE)</f>
        <v>C_GAS_STRG</v>
      </c>
      <c r="AI891" t="str">
        <f>VLOOKUP(E891,Assumptions!$B$116:$C$162,2,FALSE)</f>
        <v>LQ_TRUCK</v>
      </c>
      <c r="AJ891" t="str">
        <f>VLOOKUP(F891,Assumptions!$B$116:$C$162,2,FALSE)</f>
        <v>H2_IND_BOIL_HEAT</v>
      </c>
    </row>
    <row r="892" spans="2:36" x14ac:dyDescent="0.25">
      <c r="B892" t="s">
        <v>112</v>
      </c>
      <c r="C892" t="s">
        <v>51</v>
      </c>
      <c r="D892" t="s">
        <v>155</v>
      </c>
      <c r="E892" t="s">
        <v>66</v>
      </c>
      <c r="F892" t="s">
        <v>570</v>
      </c>
      <c r="G892" t="s">
        <v>120</v>
      </c>
      <c r="H892" t="s">
        <v>432</v>
      </c>
      <c r="I892" t="s">
        <v>32</v>
      </c>
      <c r="J892" t="s">
        <v>77</v>
      </c>
      <c r="K892">
        <f t="shared" si="2689"/>
        <v>1</v>
      </c>
      <c r="L892">
        <f t="shared" si="2690"/>
        <v>1</v>
      </c>
      <c r="M892">
        <f t="shared" si="2691"/>
        <v>1</v>
      </c>
      <c r="N892">
        <f t="shared" si="2692"/>
        <v>1</v>
      </c>
      <c r="O892">
        <f t="shared" si="2693"/>
        <v>4</v>
      </c>
      <c r="P892" t="str">
        <f t="shared" si="2694"/>
        <v>Medium centralized electrolysis-Marginal abatement cost</v>
      </c>
      <c r="Q892" t="str">
        <f t="shared" si="2695"/>
        <v>Central gas storage-Marginal abatement cost</v>
      </c>
      <c r="R892" t="str">
        <f t="shared" si="2696"/>
        <v>Onsite-Marginal abatement cost</v>
      </c>
      <c r="S892" t="str">
        <f t="shared" si="2697"/>
        <v>Industrial H2 boiler-Marginal abatement cost</v>
      </c>
      <c r="T892">
        <f>IFERROR(VLOOKUP($P892,'TA database'!$I$8:$J$79,2,FALSE),0)</f>
        <v>0</v>
      </c>
      <c r="U892">
        <f>IFERROR(VLOOKUP($Q892,'TA database'!$I$86:$J$105,2,FALSE),0)</f>
        <v>0</v>
      </c>
      <c r="V892">
        <f>IFERROR(VLOOKUP($R892,'TA database'!$I$112:$J$139,2,FALSE),0)</f>
        <v>0</v>
      </c>
      <c r="W892">
        <f ca="1">IFERROR(VLOOKUP($S892,'TA database'!$I$146:$J$193,2,FALSE),0)</f>
        <v>-12.074906811240885</v>
      </c>
      <c r="X892">
        <f>IFERROR(VLOOKUP($S892,'TA database'!$I$200:$J$271,2,FALSE),0)</f>
        <v>0</v>
      </c>
      <c r="Y892" s="59">
        <f t="shared" ca="1" si="2698"/>
        <v>-12.074906811240885</v>
      </c>
      <c r="Z892" t="str">
        <f t="shared" si="2699"/>
        <v>ELCTRLYZ_MED_C   →   C_GAS_STRG   →   ONSITE_USE   →   H2_IND_BOIL_HEAT</v>
      </c>
      <c r="AA892" t="str">
        <f t="shared" si="2700"/>
        <v>Industrial heat</v>
      </c>
      <c r="AB892" t="str">
        <f t="shared" si="2701"/>
        <v>Marginal abatement cost</v>
      </c>
      <c r="AC892">
        <f t="shared" ca="1" si="2702"/>
        <v>-12.074906811240885</v>
      </c>
      <c r="AD892">
        <v>833</v>
      </c>
      <c r="AE892" t="str">
        <f>IF(AND(ISNUMBER(SEARCH(O892,4)),ISNUMBER(SEARCH('(4) FCH pathway assessment'!$B$16,AB892)),ISNUMBER(SEARCH('(4) FCH pathway assessment'!$B$10,AA892))),AD892,"")</f>
        <v/>
      </c>
      <c r="AF892" t="str">
        <f t="shared" ref="AF892:AF955" si="2703">IFERROR(SMALL($AE$60:$AE$1991,AD892),"")</f>
        <v/>
      </c>
      <c r="AG892" t="str">
        <f>VLOOKUP(C892,Assumptions!$B$116:$C$162,2,FALSE)</f>
        <v>ELCTRLYZ_MED_C</v>
      </c>
      <c r="AH892" t="str">
        <f>VLOOKUP(D892,Assumptions!$B$116:$C$162,2,FALSE)</f>
        <v>C_GAS_STRG</v>
      </c>
      <c r="AI892" t="str">
        <f>VLOOKUP(E892,Assumptions!$B$116:$C$162,2,FALSE)</f>
        <v>ONSITE_USE</v>
      </c>
      <c r="AJ892" t="str">
        <f>VLOOKUP(F892,Assumptions!$B$116:$C$162,2,FALSE)</f>
        <v>H2_IND_BOIL_HEAT</v>
      </c>
    </row>
    <row r="893" spans="2:36" x14ac:dyDescent="0.25">
      <c r="B893" t="s">
        <v>112</v>
      </c>
      <c r="C893" t="s">
        <v>52</v>
      </c>
      <c r="D893" s="60" t="s">
        <v>130</v>
      </c>
      <c r="E893" t="s">
        <v>66</v>
      </c>
      <c r="F893" t="s">
        <v>570</v>
      </c>
      <c r="G893" t="s">
        <v>120</v>
      </c>
      <c r="H893" t="s">
        <v>432</v>
      </c>
      <c r="I893" t="s">
        <v>32</v>
      </c>
      <c r="J893" t="s">
        <v>77</v>
      </c>
      <c r="K893">
        <f t="shared" ref="K893:K897" si="2704">SUMPRODUCT(($C$7:$C$18=$C893)*($D$6:$H$6=$D893)*($D$7:$H$18))</f>
        <v>1</v>
      </c>
      <c r="L893">
        <f t="shared" ref="L893:L897" si="2705">SUMPRODUCT(($C$19:$C$23=$D893)*($I$6:$O$6=$E893)*($I$19:$O$23))</f>
        <v>1</v>
      </c>
      <c r="M893">
        <f t="shared" ref="M893:M897" si="2706">SUMPRODUCT(($C$24:$C$30=$E893)*($P$6:$AI$6=$F893)*($P$24:$AI$30))</f>
        <v>1</v>
      </c>
      <c r="N893">
        <f t="shared" ref="N893:N897" si="2707">SUMPRODUCT(($C$31:$C$50=$F893)*($AJ$6:$AM$6=$G893)*($AJ$31:$AM$50))</f>
        <v>1</v>
      </c>
      <c r="O893">
        <f t="shared" ref="O893:O897" si="2708">K893+L893+M893+N893</f>
        <v>4</v>
      </c>
      <c r="P893" t="str">
        <f t="shared" ref="P893:P897" si="2709">CONCATENATE(C893,"-",J893)</f>
        <v>Small decentralized electrolysis-Marginal abatement cost</v>
      </c>
      <c r="Q893" t="str">
        <f t="shared" ref="Q893:Q897" si="2710">CONCATENATE(D893,"-",J893)</f>
        <v>Distributed gas storage-Marginal abatement cost</v>
      </c>
      <c r="R893" t="str">
        <f t="shared" ref="R893:R897" si="2711">CONCATENATE(E893,"-",J893)</f>
        <v>Onsite-Marginal abatement cost</v>
      </c>
      <c r="S893" t="str">
        <f t="shared" ref="S893:S897" si="2712">CONCATENATE(F893,"-",J893)</f>
        <v>Industrial H2 boiler-Marginal abatement cost</v>
      </c>
      <c r="T893">
        <f>IFERROR(VLOOKUP($P893,'TA database'!$I$8:$J$79,2,FALSE),0)</f>
        <v>0</v>
      </c>
      <c r="U893">
        <f>IFERROR(VLOOKUP($Q893,'TA database'!$I$86:$J$105,2,FALSE),0)</f>
        <v>0</v>
      </c>
      <c r="V893">
        <f>IFERROR(VLOOKUP($R893,'TA database'!$I$112:$J$139,2,FALSE),0)</f>
        <v>0</v>
      </c>
      <c r="W893">
        <f ca="1">IFERROR(VLOOKUP($S893,'TA database'!$I$146:$J$193,2,FALSE),0)</f>
        <v>-12.074906811240885</v>
      </c>
      <c r="X893">
        <f>IFERROR(VLOOKUP($S893,'TA database'!$I$200:$J$271,2,FALSE),0)</f>
        <v>0</v>
      </c>
      <c r="Y893" s="59">
        <f t="shared" ref="Y893:Y897" ca="1" si="2713">IF($W893=0,T893+U893+V893+X893,T893+U893+V893+W893)</f>
        <v>-12.074906811240885</v>
      </c>
      <c r="Z893" t="str">
        <f t="shared" ref="Z893:Z897" si="2714">CONCATENATE(AG893,"   →   ",AH893,"   →   ",AI893,"   →   ",AJ893)</f>
        <v>ELCTRLYZ_SML_D   →   D_GAS_STRG   →   ONSITE_USE   →   H2_IND_BOIL_HEAT</v>
      </c>
      <c r="AA893" t="str">
        <f t="shared" ref="AA893:AA897" si="2715">G893</f>
        <v>Industrial heat</v>
      </c>
      <c r="AB893" t="str">
        <f t="shared" ref="AB893:AB897" si="2716">J893</f>
        <v>Marginal abatement cost</v>
      </c>
      <c r="AC893">
        <f t="shared" ref="AC893:AC897" ca="1" si="2717">Y893</f>
        <v>-12.074906811240885</v>
      </c>
      <c r="AD893">
        <v>834</v>
      </c>
      <c r="AE893" t="str">
        <f>IF(AND(ISNUMBER(SEARCH(O893,4)),ISNUMBER(SEARCH('(4) FCH pathway assessment'!$B$16,AB893)),ISNUMBER(SEARCH('(4) FCH pathway assessment'!$B$10,AA893))),AD893,"")</f>
        <v/>
      </c>
      <c r="AF893" t="str">
        <f t="shared" si="2703"/>
        <v/>
      </c>
      <c r="AG893" t="str">
        <f>VLOOKUP(C893,Assumptions!$B$116:$C$162,2,FALSE)</f>
        <v>ELCTRLYZ_SML_D</v>
      </c>
      <c r="AH893" t="str">
        <f>VLOOKUP(D893,Assumptions!$B$116:$C$162,2,FALSE)</f>
        <v>D_GAS_STRG</v>
      </c>
      <c r="AI893" t="str">
        <f>VLOOKUP(E893,Assumptions!$B$116:$C$162,2,FALSE)</f>
        <v>ONSITE_USE</v>
      </c>
      <c r="AJ893" t="str">
        <f>VLOOKUP(F893,Assumptions!$B$116:$C$162,2,FALSE)</f>
        <v>H2_IND_BOIL_HEAT</v>
      </c>
    </row>
    <row r="894" spans="2:36" x14ac:dyDescent="0.25">
      <c r="B894" t="s">
        <v>127</v>
      </c>
      <c r="C894" t="s">
        <v>57</v>
      </c>
      <c r="D894" t="s">
        <v>62</v>
      </c>
      <c r="E894" t="s">
        <v>157</v>
      </c>
      <c r="F894" t="s">
        <v>570</v>
      </c>
      <c r="G894" t="s">
        <v>120</v>
      </c>
      <c r="H894" t="s">
        <v>432</v>
      </c>
      <c r="I894" t="s">
        <v>32</v>
      </c>
      <c r="J894" t="s">
        <v>77</v>
      </c>
      <c r="K894">
        <f t="shared" si="2704"/>
        <v>1</v>
      </c>
      <c r="L894">
        <f t="shared" si="2705"/>
        <v>0</v>
      </c>
      <c r="M894">
        <f t="shared" si="2706"/>
        <v>0</v>
      </c>
      <c r="N894">
        <f t="shared" si="2707"/>
        <v>1</v>
      </c>
      <c r="O894">
        <f t="shared" si="2708"/>
        <v>2</v>
      </c>
      <c r="P894" t="str">
        <f t="shared" si="2709"/>
        <v>Large centralized natural gas steam reforming-Marginal abatement cost</v>
      </c>
      <c r="Q894" t="str">
        <f t="shared" si="2710"/>
        <v>Underground storage-Marginal abatement cost</v>
      </c>
      <c r="R894" t="str">
        <f t="shared" si="2711"/>
        <v>Blending in natural gas pipeline-Marginal abatement cost</v>
      </c>
      <c r="S894" t="str">
        <f t="shared" si="2712"/>
        <v>Industrial H2 boiler-Marginal abatement cost</v>
      </c>
      <c r="T894">
        <f>IFERROR(VLOOKUP($P894,'TA database'!$I$8:$J$79,2,FALSE),0)</f>
        <v>0</v>
      </c>
      <c r="U894">
        <f>IFERROR(VLOOKUP($Q894,'TA database'!$I$86:$J$105,2,FALSE),0)</f>
        <v>0</v>
      </c>
      <c r="V894">
        <f>IFERROR(VLOOKUP($R894,'TA database'!$I$112:$J$139,2,FALSE),0)</f>
        <v>0</v>
      </c>
      <c r="W894">
        <f ca="1">IFERROR(VLOOKUP($S894,'TA database'!$I$146:$J$193,2,FALSE),0)</f>
        <v>-12.074906811240885</v>
      </c>
      <c r="X894">
        <f>IFERROR(VLOOKUP($S894,'TA database'!$I$200:$J$271,2,FALSE),0)</f>
        <v>0</v>
      </c>
      <c r="Y894" s="59">
        <f t="shared" ca="1" si="2713"/>
        <v>-12.074906811240885</v>
      </c>
      <c r="Z894" t="str">
        <f t="shared" si="2714"/>
        <v>NG_SR_LRG_C   →   C_UNDRGRND_STRG   →   H2_BLND_NG_P   →   H2_IND_BOIL_HEAT</v>
      </c>
      <c r="AA894" t="str">
        <f t="shared" si="2715"/>
        <v>Industrial heat</v>
      </c>
      <c r="AB894" t="str">
        <f t="shared" si="2716"/>
        <v>Marginal abatement cost</v>
      </c>
      <c r="AC894">
        <f t="shared" ca="1" si="2717"/>
        <v>-12.074906811240885</v>
      </c>
      <c r="AD894">
        <v>835</v>
      </c>
      <c r="AE894" t="str">
        <f>IF(AND(ISNUMBER(SEARCH(O894,4)),ISNUMBER(SEARCH('(4) FCH pathway assessment'!$B$16,AB894)),ISNUMBER(SEARCH('(4) FCH pathway assessment'!$B$10,AA894))),AD894,"")</f>
        <v/>
      </c>
      <c r="AF894" t="str">
        <f t="shared" si="2703"/>
        <v/>
      </c>
      <c r="AG894" t="str">
        <f>VLOOKUP(C894,Assumptions!$B$116:$C$162,2,FALSE)</f>
        <v>NG_SR_LRG_C</v>
      </c>
      <c r="AH894" t="str">
        <f>VLOOKUP(D894,Assumptions!$B$116:$C$162,2,FALSE)</f>
        <v>C_UNDRGRND_STRG</v>
      </c>
      <c r="AI894" t="str">
        <f>VLOOKUP(E894,Assumptions!$B$116:$C$162,2,FALSE)</f>
        <v>H2_BLND_NG_P</v>
      </c>
      <c r="AJ894" t="str">
        <f>VLOOKUP(F894,Assumptions!$B$116:$C$162,2,FALSE)</f>
        <v>H2_IND_BOIL_HEAT</v>
      </c>
    </row>
    <row r="895" spans="2:36" x14ac:dyDescent="0.25">
      <c r="B895" t="s">
        <v>127</v>
      </c>
      <c r="C895" t="s">
        <v>57</v>
      </c>
      <c r="D895" t="s">
        <v>62</v>
      </c>
      <c r="E895" t="s">
        <v>122</v>
      </c>
      <c r="F895" t="s">
        <v>570</v>
      </c>
      <c r="G895" t="s">
        <v>120</v>
      </c>
      <c r="H895" t="s">
        <v>432</v>
      </c>
      <c r="I895" t="s">
        <v>32</v>
      </c>
      <c r="J895" t="s">
        <v>77</v>
      </c>
      <c r="K895">
        <f t="shared" si="2704"/>
        <v>1</v>
      </c>
      <c r="L895">
        <f t="shared" si="2705"/>
        <v>0</v>
      </c>
      <c r="M895">
        <f t="shared" si="2706"/>
        <v>1</v>
      </c>
      <c r="N895">
        <f t="shared" si="2707"/>
        <v>1</v>
      </c>
      <c r="O895">
        <f t="shared" si="2708"/>
        <v>3</v>
      </c>
      <c r="P895" t="str">
        <f t="shared" si="2709"/>
        <v>Large centralized natural gas steam reforming-Marginal abatement cost</v>
      </c>
      <c r="Q895" t="str">
        <f t="shared" si="2710"/>
        <v>Underground storage-Marginal abatement cost</v>
      </c>
      <c r="R895" t="str">
        <f t="shared" si="2711"/>
        <v>Hydrogen transmission &amp; distribution pipeline-Marginal abatement cost</v>
      </c>
      <c r="S895" t="str">
        <f t="shared" si="2712"/>
        <v>Industrial H2 boiler-Marginal abatement cost</v>
      </c>
      <c r="T895">
        <f>IFERROR(VLOOKUP($P895,'TA database'!$I$8:$J$79,2,FALSE),0)</f>
        <v>0</v>
      </c>
      <c r="U895">
        <f>IFERROR(VLOOKUP($Q895,'TA database'!$I$86:$J$105,2,FALSE),0)</f>
        <v>0</v>
      </c>
      <c r="V895">
        <f>IFERROR(VLOOKUP($R895,'TA database'!$I$112:$J$139,2,FALSE),0)</f>
        <v>0</v>
      </c>
      <c r="W895">
        <f ca="1">IFERROR(VLOOKUP($S895,'TA database'!$I$146:$J$193,2,FALSE),0)</f>
        <v>-12.074906811240885</v>
      </c>
      <c r="X895">
        <f>IFERROR(VLOOKUP($S895,'TA database'!$I$200:$J$271,2,FALSE),0)</f>
        <v>0</v>
      </c>
      <c r="Y895" s="59">
        <f t="shared" ca="1" si="2713"/>
        <v>-12.074906811240885</v>
      </c>
      <c r="Z895" t="str">
        <f t="shared" si="2714"/>
        <v>NG_SR_LRG_C   →   C_UNDRGRND_STRG   →   H2_T&amp;D_P   →   H2_IND_BOIL_HEAT</v>
      </c>
      <c r="AA895" t="str">
        <f t="shared" si="2715"/>
        <v>Industrial heat</v>
      </c>
      <c r="AB895" t="str">
        <f t="shared" si="2716"/>
        <v>Marginal abatement cost</v>
      </c>
      <c r="AC895">
        <f t="shared" ca="1" si="2717"/>
        <v>-12.074906811240885</v>
      </c>
      <c r="AD895">
        <v>836</v>
      </c>
      <c r="AE895" t="str">
        <f>IF(AND(ISNUMBER(SEARCH(O895,4)),ISNUMBER(SEARCH('(4) FCH pathway assessment'!$B$16,AB895)),ISNUMBER(SEARCH('(4) FCH pathway assessment'!$B$10,AA895))),AD895,"")</f>
        <v/>
      </c>
      <c r="AF895" t="str">
        <f t="shared" si="2703"/>
        <v/>
      </c>
      <c r="AG895" t="str">
        <f>VLOOKUP(C895,Assumptions!$B$116:$C$162,2,FALSE)</f>
        <v>NG_SR_LRG_C</v>
      </c>
      <c r="AH895" t="str">
        <f>VLOOKUP(D895,Assumptions!$B$116:$C$162,2,FALSE)</f>
        <v>C_UNDRGRND_STRG</v>
      </c>
      <c r="AI895" t="str">
        <f>VLOOKUP(E895,Assumptions!$B$116:$C$162,2,FALSE)</f>
        <v>H2_T&amp;D_P</v>
      </c>
      <c r="AJ895" t="str">
        <f>VLOOKUP(F895,Assumptions!$B$116:$C$162,2,FALSE)</f>
        <v>H2_IND_BOIL_HEAT</v>
      </c>
    </row>
    <row r="896" spans="2:36" x14ac:dyDescent="0.25">
      <c r="B896" t="s">
        <v>127</v>
      </c>
      <c r="C896" t="s">
        <v>57</v>
      </c>
      <c r="D896" t="s">
        <v>62</v>
      </c>
      <c r="E896" t="s">
        <v>116</v>
      </c>
      <c r="F896" t="s">
        <v>570</v>
      </c>
      <c r="G896" t="s">
        <v>120</v>
      </c>
      <c r="H896" t="s">
        <v>432</v>
      </c>
      <c r="I896" t="s">
        <v>32</v>
      </c>
      <c r="J896" t="s">
        <v>77</v>
      </c>
      <c r="K896">
        <f t="shared" si="2704"/>
        <v>1</v>
      </c>
      <c r="L896">
        <f t="shared" si="2705"/>
        <v>0</v>
      </c>
      <c r="M896">
        <f t="shared" si="2706"/>
        <v>1</v>
      </c>
      <c r="N896">
        <f t="shared" si="2707"/>
        <v>1</v>
      </c>
      <c r="O896">
        <f t="shared" si="2708"/>
        <v>3</v>
      </c>
      <c r="P896" t="str">
        <f t="shared" si="2709"/>
        <v>Large centralized natural gas steam reforming-Marginal abatement cost</v>
      </c>
      <c r="Q896" t="str">
        <f t="shared" si="2710"/>
        <v>Underground storage-Marginal abatement cost</v>
      </c>
      <c r="R896" t="str">
        <f t="shared" si="2711"/>
        <v>Liquid hydrogen truck-Marginal abatement cost</v>
      </c>
      <c r="S896" t="str">
        <f t="shared" si="2712"/>
        <v>Industrial H2 boiler-Marginal abatement cost</v>
      </c>
      <c r="T896">
        <f>IFERROR(VLOOKUP($P896,'TA database'!$I$8:$J$79,2,FALSE),0)</f>
        <v>0</v>
      </c>
      <c r="U896">
        <f>IFERROR(VLOOKUP($Q896,'TA database'!$I$86:$J$105,2,FALSE),0)</f>
        <v>0</v>
      </c>
      <c r="V896">
        <f>IFERROR(VLOOKUP($R896,'TA database'!$I$112:$J$139,2,FALSE),0)</f>
        <v>0</v>
      </c>
      <c r="W896">
        <f ca="1">IFERROR(VLOOKUP($S896,'TA database'!$I$146:$J$193,2,FALSE),0)</f>
        <v>-12.074906811240885</v>
      </c>
      <c r="X896">
        <f>IFERROR(VLOOKUP($S896,'TA database'!$I$200:$J$271,2,FALSE),0)</f>
        <v>0</v>
      </c>
      <c r="Y896" s="59">
        <f t="shared" ca="1" si="2713"/>
        <v>-12.074906811240885</v>
      </c>
      <c r="Z896" t="str">
        <f t="shared" si="2714"/>
        <v>NG_SR_LRG_C   →   C_UNDRGRND_STRG   →   LQ_TRUCK   →   H2_IND_BOIL_HEAT</v>
      </c>
      <c r="AA896" t="str">
        <f t="shared" si="2715"/>
        <v>Industrial heat</v>
      </c>
      <c r="AB896" t="str">
        <f t="shared" si="2716"/>
        <v>Marginal abatement cost</v>
      </c>
      <c r="AC896">
        <f t="shared" ca="1" si="2717"/>
        <v>-12.074906811240885</v>
      </c>
      <c r="AD896">
        <v>837</v>
      </c>
      <c r="AE896" t="str">
        <f>IF(AND(ISNUMBER(SEARCH(O896,4)),ISNUMBER(SEARCH('(4) FCH pathway assessment'!$B$16,AB896)),ISNUMBER(SEARCH('(4) FCH pathway assessment'!$B$10,AA896))),AD896,"")</f>
        <v/>
      </c>
      <c r="AF896" t="str">
        <f t="shared" si="2703"/>
        <v/>
      </c>
      <c r="AG896" t="str">
        <f>VLOOKUP(C896,Assumptions!$B$116:$C$162,2,FALSE)</f>
        <v>NG_SR_LRG_C</v>
      </c>
      <c r="AH896" t="str">
        <f>VLOOKUP(D896,Assumptions!$B$116:$C$162,2,FALSE)</f>
        <v>C_UNDRGRND_STRG</v>
      </c>
      <c r="AI896" t="str">
        <f>VLOOKUP(E896,Assumptions!$B$116:$C$162,2,FALSE)</f>
        <v>LQ_TRUCK</v>
      </c>
      <c r="AJ896" t="str">
        <f>VLOOKUP(F896,Assumptions!$B$116:$C$162,2,FALSE)</f>
        <v>H2_IND_BOIL_HEAT</v>
      </c>
    </row>
    <row r="897" spans="2:36" x14ac:dyDescent="0.25">
      <c r="B897" t="s">
        <v>127</v>
      </c>
      <c r="C897" t="s">
        <v>57</v>
      </c>
      <c r="D897" t="s">
        <v>62</v>
      </c>
      <c r="E897" t="s">
        <v>66</v>
      </c>
      <c r="F897" t="s">
        <v>570</v>
      </c>
      <c r="G897" t="s">
        <v>120</v>
      </c>
      <c r="H897" t="s">
        <v>432</v>
      </c>
      <c r="I897" t="s">
        <v>32</v>
      </c>
      <c r="J897" t="s">
        <v>77</v>
      </c>
      <c r="K897">
        <f t="shared" si="2704"/>
        <v>1</v>
      </c>
      <c r="L897">
        <f t="shared" si="2705"/>
        <v>0</v>
      </c>
      <c r="M897">
        <f t="shared" si="2706"/>
        <v>1</v>
      </c>
      <c r="N897">
        <f t="shared" si="2707"/>
        <v>1</v>
      </c>
      <c r="O897">
        <f t="shared" si="2708"/>
        <v>3</v>
      </c>
      <c r="P897" t="str">
        <f t="shared" si="2709"/>
        <v>Large centralized natural gas steam reforming-Marginal abatement cost</v>
      </c>
      <c r="Q897" t="str">
        <f t="shared" si="2710"/>
        <v>Underground storage-Marginal abatement cost</v>
      </c>
      <c r="R897" t="str">
        <f t="shared" si="2711"/>
        <v>Onsite-Marginal abatement cost</v>
      </c>
      <c r="S897" t="str">
        <f t="shared" si="2712"/>
        <v>Industrial H2 boiler-Marginal abatement cost</v>
      </c>
      <c r="T897">
        <f>IFERROR(VLOOKUP($P897,'TA database'!$I$8:$J$79,2,FALSE),0)</f>
        <v>0</v>
      </c>
      <c r="U897">
        <f>IFERROR(VLOOKUP($Q897,'TA database'!$I$86:$J$105,2,FALSE),0)</f>
        <v>0</v>
      </c>
      <c r="V897">
        <f>IFERROR(VLOOKUP($R897,'TA database'!$I$112:$J$139,2,FALSE),0)</f>
        <v>0</v>
      </c>
      <c r="W897">
        <f ca="1">IFERROR(VLOOKUP($S897,'TA database'!$I$146:$J$193,2,FALSE),0)</f>
        <v>-12.074906811240885</v>
      </c>
      <c r="X897">
        <f>IFERROR(VLOOKUP($S897,'TA database'!$I$200:$J$271,2,FALSE),0)</f>
        <v>0</v>
      </c>
      <c r="Y897" s="59">
        <f t="shared" ca="1" si="2713"/>
        <v>-12.074906811240885</v>
      </c>
      <c r="Z897" t="str">
        <f t="shared" si="2714"/>
        <v>NG_SR_LRG_C   →   C_UNDRGRND_STRG   →   ONSITE_USE   →   H2_IND_BOIL_HEAT</v>
      </c>
      <c r="AA897" t="str">
        <f t="shared" si="2715"/>
        <v>Industrial heat</v>
      </c>
      <c r="AB897" t="str">
        <f t="shared" si="2716"/>
        <v>Marginal abatement cost</v>
      </c>
      <c r="AC897">
        <f t="shared" ca="1" si="2717"/>
        <v>-12.074906811240885</v>
      </c>
      <c r="AD897">
        <v>838</v>
      </c>
      <c r="AE897" t="str">
        <f>IF(AND(ISNUMBER(SEARCH(O897,4)),ISNUMBER(SEARCH('(4) FCH pathway assessment'!$B$16,AB897)),ISNUMBER(SEARCH('(4) FCH pathway assessment'!$B$10,AA897))),AD897,"")</f>
        <v/>
      </c>
      <c r="AF897" t="str">
        <f t="shared" si="2703"/>
        <v/>
      </c>
      <c r="AG897" t="str">
        <f>VLOOKUP(C897,Assumptions!$B$116:$C$162,2,FALSE)</f>
        <v>NG_SR_LRG_C</v>
      </c>
      <c r="AH897" t="str">
        <f>VLOOKUP(D897,Assumptions!$B$116:$C$162,2,FALSE)</f>
        <v>C_UNDRGRND_STRG</v>
      </c>
      <c r="AI897" t="str">
        <f>VLOOKUP(E897,Assumptions!$B$116:$C$162,2,FALSE)</f>
        <v>ONSITE_USE</v>
      </c>
      <c r="AJ897" t="str">
        <f>VLOOKUP(F897,Assumptions!$B$116:$C$162,2,FALSE)</f>
        <v>H2_IND_BOIL_HEAT</v>
      </c>
    </row>
    <row r="898" spans="2:36" x14ac:dyDescent="0.25">
      <c r="B898" t="s">
        <v>127</v>
      </c>
      <c r="C898" t="s">
        <v>57</v>
      </c>
      <c r="D898" s="61" t="s">
        <v>63</v>
      </c>
      <c r="E898" t="s">
        <v>122</v>
      </c>
      <c r="F898" t="s">
        <v>570</v>
      </c>
      <c r="G898" t="s">
        <v>120</v>
      </c>
      <c r="H898" t="s">
        <v>432</v>
      </c>
      <c r="I898" t="s">
        <v>32</v>
      </c>
      <c r="J898" t="s">
        <v>77</v>
      </c>
      <c r="K898">
        <f t="shared" ref="K898:K902" si="2718">SUMPRODUCT(($C$7:$C$18=$C898)*($D$6:$H$6=$D898)*($D$7:$H$18))</f>
        <v>1</v>
      </c>
      <c r="L898">
        <f t="shared" ref="L898:L902" si="2719">SUMPRODUCT(($C$19:$C$23=$D898)*($I$6:$O$6=$E898)*($I$19:$O$23))</f>
        <v>1</v>
      </c>
      <c r="M898">
        <f t="shared" ref="M898:M902" si="2720">SUMPRODUCT(($C$24:$C$30=$E898)*($P$6:$AI$6=$F898)*($P$24:$AI$30))</f>
        <v>1</v>
      </c>
      <c r="N898">
        <f t="shared" ref="N898:N902" si="2721">SUMPRODUCT(($C$31:$C$50=$F898)*($AJ$6:$AM$6=$G898)*($AJ$31:$AM$50))</f>
        <v>1</v>
      </c>
      <c r="O898">
        <f t="shared" ref="O898:O902" si="2722">K898+L898+M898+N898</f>
        <v>4</v>
      </c>
      <c r="P898" t="str">
        <f t="shared" ref="P898:P902" si="2723">CONCATENATE(C898,"-",J898)</f>
        <v>Large centralized natural gas steam reforming-Marginal abatement cost</v>
      </c>
      <c r="Q898" t="str">
        <f t="shared" ref="Q898:Q902" si="2724">CONCATENATE(D898,"-",J898)</f>
        <v>No storage-Marginal abatement cost</v>
      </c>
      <c r="R898" t="str">
        <f t="shared" ref="R898:R902" si="2725">CONCATENATE(E898,"-",J898)</f>
        <v>Hydrogen transmission &amp; distribution pipeline-Marginal abatement cost</v>
      </c>
      <c r="S898" t="str">
        <f t="shared" ref="S898:S902" si="2726">CONCATENATE(F898,"-",J898)</f>
        <v>Industrial H2 boiler-Marginal abatement cost</v>
      </c>
      <c r="T898">
        <f>IFERROR(VLOOKUP($P898,'TA database'!$I$8:$J$79,2,FALSE),0)</f>
        <v>0</v>
      </c>
      <c r="U898">
        <f>IFERROR(VLOOKUP($Q898,'TA database'!$I$86:$J$105,2,FALSE),0)</f>
        <v>0</v>
      </c>
      <c r="V898">
        <f>IFERROR(VLOOKUP($R898,'TA database'!$I$112:$J$139,2,FALSE),0)</f>
        <v>0</v>
      </c>
      <c r="W898">
        <f ca="1">IFERROR(VLOOKUP($S898,'TA database'!$I$146:$J$193,2,FALSE),0)</f>
        <v>-12.074906811240885</v>
      </c>
      <c r="X898">
        <f>IFERROR(VLOOKUP($S898,'TA database'!$I$200:$J$271,2,FALSE),0)</f>
        <v>0</v>
      </c>
      <c r="Y898" s="59">
        <f t="shared" ref="Y898:Y902" ca="1" si="2727">IF($W898=0,T898+U898+V898+X898,T898+U898+V898+W898)</f>
        <v>-12.074906811240885</v>
      </c>
      <c r="Z898" t="str">
        <f t="shared" ref="Z898:Z902" si="2728">CONCATENATE(AG898,"   →   ",AH898,"   →   ",AI898,"   →   ",AJ898)</f>
        <v>NG_SR_LRG_C   →   NO_STRG   →   H2_T&amp;D_P   →   H2_IND_BOIL_HEAT</v>
      </c>
      <c r="AA898" t="str">
        <f t="shared" ref="AA898:AA902" si="2729">G898</f>
        <v>Industrial heat</v>
      </c>
      <c r="AB898" t="str">
        <f t="shared" ref="AB898:AB902" si="2730">J898</f>
        <v>Marginal abatement cost</v>
      </c>
      <c r="AC898">
        <f t="shared" ref="AC898:AC902" ca="1" si="2731">Y898</f>
        <v>-12.074906811240885</v>
      </c>
      <c r="AD898">
        <v>839</v>
      </c>
      <c r="AE898" t="str">
        <f>IF(AND(ISNUMBER(SEARCH(O898,4)),ISNUMBER(SEARCH('(4) FCH pathway assessment'!$B$16,AB898)),ISNUMBER(SEARCH('(4) FCH pathway assessment'!$B$10,AA898))),AD898,"")</f>
        <v/>
      </c>
      <c r="AF898" t="str">
        <f t="shared" si="2703"/>
        <v/>
      </c>
      <c r="AG898" t="str">
        <f>VLOOKUP(C898,Assumptions!$B$116:$C$162,2,FALSE)</f>
        <v>NG_SR_LRG_C</v>
      </c>
      <c r="AH898" t="str">
        <f>VLOOKUP(D898,Assumptions!$B$116:$C$162,2,FALSE)</f>
        <v>NO_STRG</v>
      </c>
      <c r="AI898" t="str">
        <f>VLOOKUP(E898,Assumptions!$B$116:$C$162,2,FALSE)</f>
        <v>H2_T&amp;D_P</v>
      </c>
      <c r="AJ898" t="str">
        <f>VLOOKUP(F898,Assumptions!$B$116:$C$162,2,FALSE)</f>
        <v>H2_IND_BOIL_HEAT</v>
      </c>
    </row>
    <row r="899" spans="2:36" x14ac:dyDescent="0.25">
      <c r="B899" t="s">
        <v>127</v>
      </c>
      <c r="C899" t="s">
        <v>58</v>
      </c>
      <c r="D899" t="s">
        <v>155</v>
      </c>
      <c r="E899" t="s">
        <v>157</v>
      </c>
      <c r="F899" t="s">
        <v>570</v>
      </c>
      <c r="G899" t="s">
        <v>120</v>
      </c>
      <c r="H899" t="s">
        <v>432</v>
      </c>
      <c r="I899" t="s">
        <v>32</v>
      </c>
      <c r="J899" t="s">
        <v>77</v>
      </c>
      <c r="K899">
        <f t="shared" si="2718"/>
        <v>1</v>
      </c>
      <c r="L899">
        <f t="shared" si="2719"/>
        <v>1</v>
      </c>
      <c r="M899">
        <f t="shared" si="2720"/>
        <v>0</v>
      </c>
      <c r="N899">
        <f t="shared" si="2721"/>
        <v>1</v>
      </c>
      <c r="O899">
        <f t="shared" si="2722"/>
        <v>3</v>
      </c>
      <c r="P899" t="str">
        <f t="shared" si="2723"/>
        <v>Small centralized natural gas steam reforming-Marginal abatement cost</v>
      </c>
      <c r="Q899" t="str">
        <f t="shared" si="2724"/>
        <v>Central gas storage-Marginal abatement cost</v>
      </c>
      <c r="R899" t="str">
        <f t="shared" si="2725"/>
        <v>Blending in natural gas pipeline-Marginal abatement cost</v>
      </c>
      <c r="S899" t="str">
        <f t="shared" si="2726"/>
        <v>Industrial H2 boiler-Marginal abatement cost</v>
      </c>
      <c r="T899">
        <f>IFERROR(VLOOKUP($P899,'TA database'!$I$8:$J$79,2,FALSE),0)</f>
        <v>0</v>
      </c>
      <c r="U899">
        <f>IFERROR(VLOOKUP($Q899,'TA database'!$I$86:$J$105,2,FALSE),0)</f>
        <v>0</v>
      </c>
      <c r="V899">
        <f>IFERROR(VLOOKUP($R899,'TA database'!$I$112:$J$139,2,FALSE),0)</f>
        <v>0</v>
      </c>
      <c r="W899">
        <f ca="1">IFERROR(VLOOKUP($S899,'TA database'!$I$146:$J$193,2,FALSE),0)</f>
        <v>-12.074906811240885</v>
      </c>
      <c r="X899">
        <f>IFERROR(VLOOKUP($S899,'TA database'!$I$200:$J$271,2,FALSE),0)</f>
        <v>0</v>
      </c>
      <c r="Y899" s="59">
        <f t="shared" ca="1" si="2727"/>
        <v>-12.074906811240885</v>
      </c>
      <c r="Z899" t="str">
        <f t="shared" si="2728"/>
        <v>NG_SR_SML_C   →   C_GAS_STRG   →   H2_BLND_NG_P   →   H2_IND_BOIL_HEAT</v>
      </c>
      <c r="AA899" t="str">
        <f t="shared" si="2729"/>
        <v>Industrial heat</v>
      </c>
      <c r="AB899" t="str">
        <f t="shared" si="2730"/>
        <v>Marginal abatement cost</v>
      </c>
      <c r="AC899">
        <f t="shared" ca="1" si="2731"/>
        <v>-12.074906811240885</v>
      </c>
      <c r="AD899">
        <v>840</v>
      </c>
      <c r="AE899" t="str">
        <f>IF(AND(ISNUMBER(SEARCH(O899,4)),ISNUMBER(SEARCH('(4) FCH pathway assessment'!$B$16,AB899)),ISNUMBER(SEARCH('(4) FCH pathway assessment'!$B$10,AA899))),AD899,"")</f>
        <v/>
      </c>
      <c r="AF899" t="str">
        <f t="shared" si="2703"/>
        <v/>
      </c>
      <c r="AG899" t="str">
        <f>VLOOKUP(C899,Assumptions!$B$116:$C$162,2,FALSE)</f>
        <v>NG_SR_SML_C</v>
      </c>
      <c r="AH899" t="str">
        <f>VLOOKUP(D899,Assumptions!$B$116:$C$162,2,FALSE)</f>
        <v>C_GAS_STRG</v>
      </c>
      <c r="AI899" t="str">
        <f>VLOOKUP(E899,Assumptions!$B$116:$C$162,2,FALSE)</f>
        <v>H2_BLND_NG_P</v>
      </c>
      <c r="AJ899" t="str">
        <f>VLOOKUP(F899,Assumptions!$B$116:$C$162,2,FALSE)</f>
        <v>H2_IND_BOIL_HEAT</v>
      </c>
    </row>
    <row r="900" spans="2:36" x14ac:dyDescent="0.25">
      <c r="B900" t="s">
        <v>127</v>
      </c>
      <c r="C900" t="s">
        <v>58</v>
      </c>
      <c r="D900" t="s">
        <v>155</v>
      </c>
      <c r="E900" t="s">
        <v>122</v>
      </c>
      <c r="F900" t="s">
        <v>570</v>
      </c>
      <c r="G900" t="s">
        <v>120</v>
      </c>
      <c r="H900" t="s">
        <v>432</v>
      </c>
      <c r="I900" t="s">
        <v>32</v>
      </c>
      <c r="J900" t="s">
        <v>77</v>
      </c>
      <c r="K900">
        <f t="shared" si="2718"/>
        <v>1</v>
      </c>
      <c r="L900">
        <f t="shared" si="2719"/>
        <v>1</v>
      </c>
      <c r="M900">
        <f t="shared" si="2720"/>
        <v>1</v>
      </c>
      <c r="N900">
        <f t="shared" si="2721"/>
        <v>1</v>
      </c>
      <c r="O900">
        <f t="shared" si="2722"/>
        <v>4</v>
      </c>
      <c r="P900" t="str">
        <f t="shared" si="2723"/>
        <v>Small centralized natural gas steam reforming-Marginal abatement cost</v>
      </c>
      <c r="Q900" t="str">
        <f t="shared" si="2724"/>
        <v>Central gas storage-Marginal abatement cost</v>
      </c>
      <c r="R900" t="str">
        <f t="shared" si="2725"/>
        <v>Hydrogen transmission &amp; distribution pipeline-Marginal abatement cost</v>
      </c>
      <c r="S900" t="str">
        <f t="shared" si="2726"/>
        <v>Industrial H2 boiler-Marginal abatement cost</v>
      </c>
      <c r="T900">
        <f>IFERROR(VLOOKUP($P900,'TA database'!$I$8:$J$79,2,FALSE),0)</f>
        <v>0</v>
      </c>
      <c r="U900">
        <f>IFERROR(VLOOKUP($Q900,'TA database'!$I$86:$J$105,2,FALSE),0)</f>
        <v>0</v>
      </c>
      <c r="V900">
        <f>IFERROR(VLOOKUP($R900,'TA database'!$I$112:$J$139,2,FALSE),0)</f>
        <v>0</v>
      </c>
      <c r="W900">
        <f ca="1">IFERROR(VLOOKUP($S900,'TA database'!$I$146:$J$193,2,FALSE),0)</f>
        <v>-12.074906811240885</v>
      </c>
      <c r="X900">
        <f>IFERROR(VLOOKUP($S900,'TA database'!$I$200:$J$271,2,FALSE),0)</f>
        <v>0</v>
      </c>
      <c r="Y900" s="59">
        <f t="shared" ca="1" si="2727"/>
        <v>-12.074906811240885</v>
      </c>
      <c r="Z900" t="str">
        <f t="shared" si="2728"/>
        <v>NG_SR_SML_C   →   C_GAS_STRG   →   H2_T&amp;D_P   →   H2_IND_BOIL_HEAT</v>
      </c>
      <c r="AA900" t="str">
        <f t="shared" si="2729"/>
        <v>Industrial heat</v>
      </c>
      <c r="AB900" t="str">
        <f t="shared" si="2730"/>
        <v>Marginal abatement cost</v>
      </c>
      <c r="AC900">
        <f t="shared" ca="1" si="2731"/>
        <v>-12.074906811240885</v>
      </c>
      <c r="AD900">
        <v>841</v>
      </c>
      <c r="AE900" t="str">
        <f>IF(AND(ISNUMBER(SEARCH(O900,4)),ISNUMBER(SEARCH('(4) FCH pathway assessment'!$B$16,AB900)),ISNUMBER(SEARCH('(4) FCH pathway assessment'!$B$10,AA900))),AD900,"")</f>
        <v/>
      </c>
      <c r="AF900" t="str">
        <f t="shared" si="2703"/>
        <v/>
      </c>
      <c r="AG900" t="str">
        <f>VLOOKUP(C900,Assumptions!$B$116:$C$162,2,FALSE)</f>
        <v>NG_SR_SML_C</v>
      </c>
      <c r="AH900" t="str">
        <f>VLOOKUP(D900,Assumptions!$B$116:$C$162,2,FALSE)</f>
        <v>C_GAS_STRG</v>
      </c>
      <c r="AI900" t="str">
        <f>VLOOKUP(E900,Assumptions!$B$116:$C$162,2,FALSE)</f>
        <v>H2_T&amp;D_P</v>
      </c>
      <c r="AJ900" t="str">
        <f>VLOOKUP(F900,Assumptions!$B$116:$C$162,2,FALSE)</f>
        <v>H2_IND_BOIL_HEAT</v>
      </c>
    </row>
    <row r="901" spans="2:36" x14ac:dyDescent="0.25">
      <c r="B901" t="s">
        <v>127</v>
      </c>
      <c r="C901" t="s">
        <v>58</v>
      </c>
      <c r="D901" t="s">
        <v>155</v>
      </c>
      <c r="E901" t="s">
        <v>116</v>
      </c>
      <c r="F901" t="s">
        <v>570</v>
      </c>
      <c r="G901" t="s">
        <v>120</v>
      </c>
      <c r="H901" t="s">
        <v>432</v>
      </c>
      <c r="I901" t="s">
        <v>32</v>
      </c>
      <c r="J901" t="s">
        <v>77</v>
      </c>
      <c r="K901">
        <f t="shared" si="2718"/>
        <v>1</v>
      </c>
      <c r="L901">
        <f t="shared" si="2719"/>
        <v>1</v>
      </c>
      <c r="M901">
        <f t="shared" si="2720"/>
        <v>1</v>
      </c>
      <c r="N901">
        <f t="shared" si="2721"/>
        <v>1</v>
      </c>
      <c r="O901">
        <f t="shared" si="2722"/>
        <v>4</v>
      </c>
      <c r="P901" t="str">
        <f t="shared" si="2723"/>
        <v>Small centralized natural gas steam reforming-Marginal abatement cost</v>
      </c>
      <c r="Q901" t="str">
        <f t="shared" si="2724"/>
        <v>Central gas storage-Marginal abatement cost</v>
      </c>
      <c r="R901" t="str">
        <f t="shared" si="2725"/>
        <v>Liquid hydrogen truck-Marginal abatement cost</v>
      </c>
      <c r="S901" t="str">
        <f t="shared" si="2726"/>
        <v>Industrial H2 boiler-Marginal abatement cost</v>
      </c>
      <c r="T901">
        <f>IFERROR(VLOOKUP($P901,'TA database'!$I$8:$J$79,2,FALSE),0)</f>
        <v>0</v>
      </c>
      <c r="U901">
        <f>IFERROR(VLOOKUP($Q901,'TA database'!$I$86:$J$105,2,FALSE),0)</f>
        <v>0</v>
      </c>
      <c r="V901">
        <f>IFERROR(VLOOKUP($R901,'TA database'!$I$112:$J$139,2,FALSE),0)</f>
        <v>0</v>
      </c>
      <c r="W901">
        <f ca="1">IFERROR(VLOOKUP($S901,'TA database'!$I$146:$J$193,2,FALSE),0)</f>
        <v>-12.074906811240885</v>
      </c>
      <c r="X901">
        <f>IFERROR(VLOOKUP($S901,'TA database'!$I$200:$J$271,2,FALSE),0)</f>
        <v>0</v>
      </c>
      <c r="Y901" s="59">
        <f t="shared" ca="1" si="2727"/>
        <v>-12.074906811240885</v>
      </c>
      <c r="Z901" t="str">
        <f t="shared" si="2728"/>
        <v>NG_SR_SML_C   →   C_GAS_STRG   →   LQ_TRUCK   →   H2_IND_BOIL_HEAT</v>
      </c>
      <c r="AA901" t="str">
        <f t="shared" si="2729"/>
        <v>Industrial heat</v>
      </c>
      <c r="AB901" t="str">
        <f t="shared" si="2730"/>
        <v>Marginal abatement cost</v>
      </c>
      <c r="AC901">
        <f t="shared" ca="1" si="2731"/>
        <v>-12.074906811240885</v>
      </c>
      <c r="AD901">
        <v>842</v>
      </c>
      <c r="AE901" t="str">
        <f>IF(AND(ISNUMBER(SEARCH(O901,4)),ISNUMBER(SEARCH('(4) FCH pathway assessment'!$B$16,AB901)),ISNUMBER(SEARCH('(4) FCH pathway assessment'!$B$10,AA901))),AD901,"")</f>
        <v/>
      </c>
      <c r="AF901" t="str">
        <f t="shared" si="2703"/>
        <v/>
      </c>
      <c r="AG901" t="str">
        <f>VLOOKUP(C901,Assumptions!$B$116:$C$162,2,FALSE)</f>
        <v>NG_SR_SML_C</v>
      </c>
      <c r="AH901" t="str">
        <f>VLOOKUP(D901,Assumptions!$B$116:$C$162,2,FALSE)</f>
        <v>C_GAS_STRG</v>
      </c>
      <c r="AI901" t="str">
        <f>VLOOKUP(E901,Assumptions!$B$116:$C$162,2,FALSE)</f>
        <v>LQ_TRUCK</v>
      </c>
      <c r="AJ901" t="str">
        <f>VLOOKUP(F901,Assumptions!$B$116:$C$162,2,FALSE)</f>
        <v>H2_IND_BOIL_HEAT</v>
      </c>
    </row>
    <row r="902" spans="2:36" x14ac:dyDescent="0.25">
      <c r="B902" t="s">
        <v>127</v>
      </c>
      <c r="C902" t="s">
        <v>58</v>
      </c>
      <c r="D902" t="s">
        <v>155</v>
      </c>
      <c r="E902" t="s">
        <v>66</v>
      </c>
      <c r="F902" t="s">
        <v>570</v>
      </c>
      <c r="G902" t="s">
        <v>120</v>
      </c>
      <c r="H902" t="s">
        <v>432</v>
      </c>
      <c r="I902" t="s">
        <v>32</v>
      </c>
      <c r="J902" t="s">
        <v>77</v>
      </c>
      <c r="K902">
        <f t="shared" si="2718"/>
        <v>1</v>
      </c>
      <c r="L902">
        <f t="shared" si="2719"/>
        <v>1</v>
      </c>
      <c r="M902">
        <f t="shared" si="2720"/>
        <v>1</v>
      </c>
      <c r="N902">
        <f t="shared" si="2721"/>
        <v>1</v>
      </c>
      <c r="O902">
        <f t="shared" si="2722"/>
        <v>4</v>
      </c>
      <c r="P902" t="str">
        <f t="shared" si="2723"/>
        <v>Small centralized natural gas steam reforming-Marginal abatement cost</v>
      </c>
      <c r="Q902" t="str">
        <f t="shared" si="2724"/>
        <v>Central gas storage-Marginal abatement cost</v>
      </c>
      <c r="R902" t="str">
        <f t="shared" si="2725"/>
        <v>Onsite-Marginal abatement cost</v>
      </c>
      <c r="S902" t="str">
        <f t="shared" si="2726"/>
        <v>Industrial H2 boiler-Marginal abatement cost</v>
      </c>
      <c r="T902">
        <f>IFERROR(VLOOKUP($P902,'TA database'!$I$8:$J$79,2,FALSE),0)</f>
        <v>0</v>
      </c>
      <c r="U902">
        <f>IFERROR(VLOOKUP($Q902,'TA database'!$I$86:$J$105,2,FALSE),0)</f>
        <v>0</v>
      </c>
      <c r="V902">
        <f>IFERROR(VLOOKUP($R902,'TA database'!$I$112:$J$139,2,FALSE),0)</f>
        <v>0</v>
      </c>
      <c r="W902">
        <f ca="1">IFERROR(VLOOKUP($S902,'TA database'!$I$146:$J$193,2,FALSE),0)</f>
        <v>-12.074906811240885</v>
      </c>
      <c r="X902">
        <f>IFERROR(VLOOKUP($S902,'TA database'!$I$200:$J$271,2,FALSE),0)</f>
        <v>0</v>
      </c>
      <c r="Y902" s="59">
        <f t="shared" ca="1" si="2727"/>
        <v>-12.074906811240885</v>
      </c>
      <c r="Z902" t="str">
        <f t="shared" si="2728"/>
        <v>NG_SR_SML_C   →   C_GAS_STRG   →   ONSITE_USE   →   H2_IND_BOIL_HEAT</v>
      </c>
      <c r="AA902" t="str">
        <f t="shared" si="2729"/>
        <v>Industrial heat</v>
      </c>
      <c r="AB902" t="str">
        <f t="shared" si="2730"/>
        <v>Marginal abatement cost</v>
      </c>
      <c r="AC902">
        <f t="shared" ca="1" si="2731"/>
        <v>-12.074906811240885</v>
      </c>
      <c r="AD902">
        <v>843</v>
      </c>
      <c r="AE902" t="str">
        <f>IF(AND(ISNUMBER(SEARCH(O902,4)),ISNUMBER(SEARCH('(4) FCH pathway assessment'!$B$16,AB902)),ISNUMBER(SEARCH('(4) FCH pathway assessment'!$B$10,AA902))),AD902,"")</f>
        <v/>
      </c>
      <c r="AF902" t="str">
        <f t="shared" si="2703"/>
        <v/>
      </c>
      <c r="AG902" t="str">
        <f>VLOOKUP(C902,Assumptions!$B$116:$C$162,2,FALSE)</f>
        <v>NG_SR_SML_C</v>
      </c>
      <c r="AH902" t="str">
        <f>VLOOKUP(D902,Assumptions!$B$116:$C$162,2,FALSE)</f>
        <v>C_GAS_STRG</v>
      </c>
      <c r="AI902" t="str">
        <f>VLOOKUP(E902,Assumptions!$B$116:$C$162,2,FALSE)</f>
        <v>ONSITE_USE</v>
      </c>
      <c r="AJ902" t="str">
        <f>VLOOKUP(F902,Assumptions!$B$116:$C$162,2,FALSE)</f>
        <v>H2_IND_BOIL_HEAT</v>
      </c>
    </row>
    <row r="903" spans="2:36" x14ac:dyDescent="0.25">
      <c r="B903" t="s">
        <v>127</v>
      </c>
      <c r="C903" t="s">
        <v>59</v>
      </c>
      <c r="D903" s="60" t="s">
        <v>130</v>
      </c>
      <c r="E903" t="s">
        <v>66</v>
      </c>
      <c r="F903" t="s">
        <v>570</v>
      </c>
      <c r="G903" t="s">
        <v>120</v>
      </c>
      <c r="H903" t="s">
        <v>432</v>
      </c>
      <c r="I903" t="s">
        <v>32</v>
      </c>
      <c r="J903" t="s">
        <v>77</v>
      </c>
      <c r="K903">
        <f t="shared" ref="K903:K904" si="2732">SUMPRODUCT(($C$7:$C$18=$C903)*($D$6:$H$6=$D903)*($D$7:$H$18))</f>
        <v>1</v>
      </c>
      <c r="L903">
        <f t="shared" ref="L903:L904" si="2733">SUMPRODUCT(($C$19:$C$23=$D903)*($I$6:$O$6=$E903)*($I$19:$O$23))</f>
        <v>1</v>
      </c>
      <c r="M903">
        <f t="shared" ref="M903:M904" si="2734">SUMPRODUCT(($C$24:$C$30=$E903)*($P$6:$AI$6=$F903)*($P$24:$AI$30))</f>
        <v>1</v>
      </c>
      <c r="N903">
        <f t="shared" ref="N903:N904" si="2735">SUMPRODUCT(($C$31:$C$50=$F903)*($AJ$6:$AM$6=$G903)*($AJ$31:$AM$50))</f>
        <v>1</v>
      </c>
      <c r="O903">
        <f t="shared" ref="O903:O904" si="2736">K903+L903+M903+N903</f>
        <v>4</v>
      </c>
      <c r="P903" t="str">
        <f t="shared" ref="P903:P904" si="2737">CONCATENATE(C903,"-",J903)</f>
        <v>Medium decentralized natural gas steam reforming-Marginal abatement cost</v>
      </c>
      <c r="Q903" t="str">
        <f t="shared" ref="Q903:Q904" si="2738">CONCATENATE(D903,"-",J903)</f>
        <v>Distributed gas storage-Marginal abatement cost</v>
      </c>
      <c r="R903" t="str">
        <f t="shared" ref="R903:R904" si="2739">CONCATENATE(E903,"-",J903)</f>
        <v>Onsite-Marginal abatement cost</v>
      </c>
      <c r="S903" t="str">
        <f t="shared" ref="S903:S904" si="2740">CONCATENATE(F903,"-",J903)</f>
        <v>Industrial H2 boiler-Marginal abatement cost</v>
      </c>
      <c r="T903">
        <f>IFERROR(VLOOKUP($P903,'TA database'!$I$8:$J$79,2,FALSE),0)</f>
        <v>0</v>
      </c>
      <c r="U903">
        <f>IFERROR(VLOOKUP($Q903,'TA database'!$I$86:$J$105,2,FALSE),0)</f>
        <v>0</v>
      </c>
      <c r="V903">
        <f>IFERROR(VLOOKUP($R903,'TA database'!$I$112:$J$139,2,FALSE),0)</f>
        <v>0</v>
      </c>
      <c r="W903">
        <f ca="1">IFERROR(VLOOKUP($S903,'TA database'!$I$146:$J$193,2,FALSE),0)</f>
        <v>-12.074906811240885</v>
      </c>
      <c r="X903">
        <f>IFERROR(VLOOKUP($S903,'TA database'!$I$200:$J$271,2,FALSE),0)</f>
        <v>0</v>
      </c>
      <c r="Y903" s="59">
        <f t="shared" ref="Y903:Y904" ca="1" si="2741">IF($W903=0,T903+U903+V903+X903,T903+U903+V903+W903)</f>
        <v>-12.074906811240885</v>
      </c>
      <c r="Z903" t="str">
        <f t="shared" ref="Z903:Z904" si="2742">CONCATENATE(AG903,"   →   ",AH903,"   →   ",AI903,"   →   ",AJ903)</f>
        <v>NG_SR_MED_D   →   D_GAS_STRG   →   ONSITE_USE   →   H2_IND_BOIL_HEAT</v>
      </c>
      <c r="AA903" t="str">
        <f t="shared" ref="AA903:AA904" si="2743">G903</f>
        <v>Industrial heat</v>
      </c>
      <c r="AB903" t="str">
        <f t="shared" ref="AB903:AB904" si="2744">J903</f>
        <v>Marginal abatement cost</v>
      </c>
      <c r="AC903">
        <f t="shared" ref="AC903:AC904" ca="1" si="2745">Y903</f>
        <v>-12.074906811240885</v>
      </c>
      <c r="AD903">
        <v>844</v>
      </c>
      <c r="AE903" t="str">
        <f>IF(AND(ISNUMBER(SEARCH(O903,4)),ISNUMBER(SEARCH('(4) FCH pathway assessment'!$B$16,AB903)),ISNUMBER(SEARCH('(4) FCH pathway assessment'!$B$10,AA903))),AD903,"")</f>
        <v/>
      </c>
      <c r="AF903" t="str">
        <f t="shared" si="2703"/>
        <v/>
      </c>
      <c r="AG903" t="str">
        <f>VLOOKUP(C903,Assumptions!$B$116:$C$162,2,FALSE)</f>
        <v>NG_SR_MED_D</v>
      </c>
      <c r="AH903" t="str">
        <f>VLOOKUP(D903,Assumptions!$B$116:$C$162,2,FALSE)</f>
        <v>D_GAS_STRG</v>
      </c>
      <c r="AI903" t="str">
        <f>VLOOKUP(E903,Assumptions!$B$116:$C$162,2,FALSE)</f>
        <v>ONSITE_USE</v>
      </c>
      <c r="AJ903" t="str">
        <f>VLOOKUP(F903,Assumptions!$B$116:$C$162,2,FALSE)</f>
        <v>H2_IND_BOIL_HEAT</v>
      </c>
    </row>
    <row r="904" spans="2:36" x14ac:dyDescent="0.25">
      <c r="B904" t="s">
        <v>127</v>
      </c>
      <c r="C904" t="s">
        <v>60</v>
      </c>
      <c r="D904" s="60" t="s">
        <v>130</v>
      </c>
      <c r="E904" t="s">
        <v>66</v>
      </c>
      <c r="F904" t="s">
        <v>570</v>
      </c>
      <c r="G904" t="s">
        <v>120</v>
      </c>
      <c r="H904" t="s">
        <v>432</v>
      </c>
      <c r="I904" t="s">
        <v>32</v>
      </c>
      <c r="J904" t="s">
        <v>77</v>
      </c>
      <c r="K904">
        <f t="shared" si="2732"/>
        <v>1</v>
      </c>
      <c r="L904">
        <f t="shared" si="2733"/>
        <v>1</v>
      </c>
      <c r="M904">
        <f t="shared" si="2734"/>
        <v>1</v>
      </c>
      <c r="N904">
        <f t="shared" si="2735"/>
        <v>1</v>
      </c>
      <c r="O904">
        <f t="shared" si="2736"/>
        <v>4</v>
      </c>
      <c r="P904" t="str">
        <f t="shared" si="2737"/>
        <v>Small decentralized natural gas steam reforming-Marginal abatement cost</v>
      </c>
      <c r="Q904" t="str">
        <f t="shared" si="2738"/>
        <v>Distributed gas storage-Marginal abatement cost</v>
      </c>
      <c r="R904" t="str">
        <f t="shared" si="2739"/>
        <v>Onsite-Marginal abatement cost</v>
      </c>
      <c r="S904" t="str">
        <f t="shared" si="2740"/>
        <v>Industrial H2 boiler-Marginal abatement cost</v>
      </c>
      <c r="T904">
        <f>IFERROR(VLOOKUP($P904,'TA database'!$I$8:$J$79,2,FALSE),0)</f>
        <v>0</v>
      </c>
      <c r="U904">
        <f>IFERROR(VLOOKUP($Q904,'TA database'!$I$86:$J$105,2,FALSE),0)</f>
        <v>0</v>
      </c>
      <c r="V904">
        <f>IFERROR(VLOOKUP($R904,'TA database'!$I$112:$J$139,2,FALSE),0)</f>
        <v>0</v>
      </c>
      <c r="W904">
        <f ca="1">IFERROR(VLOOKUP($S904,'TA database'!$I$146:$J$193,2,FALSE),0)</f>
        <v>-12.074906811240885</v>
      </c>
      <c r="X904">
        <f>IFERROR(VLOOKUP($S904,'TA database'!$I$200:$J$271,2,FALSE),0)</f>
        <v>0</v>
      </c>
      <c r="Y904" s="59">
        <f t="shared" ca="1" si="2741"/>
        <v>-12.074906811240885</v>
      </c>
      <c r="Z904" t="str">
        <f t="shared" si="2742"/>
        <v>NG_SR_SML_D   →   D_GAS_STRG   →   ONSITE_USE   →   H2_IND_BOIL_HEAT</v>
      </c>
      <c r="AA904" t="str">
        <f t="shared" si="2743"/>
        <v>Industrial heat</v>
      </c>
      <c r="AB904" t="str">
        <f t="shared" si="2744"/>
        <v>Marginal abatement cost</v>
      </c>
      <c r="AC904">
        <f t="shared" ca="1" si="2745"/>
        <v>-12.074906811240885</v>
      </c>
      <c r="AD904">
        <v>845</v>
      </c>
      <c r="AE904" t="str">
        <f>IF(AND(ISNUMBER(SEARCH(O904,4)),ISNUMBER(SEARCH('(4) FCH pathway assessment'!$B$16,AB904)),ISNUMBER(SEARCH('(4) FCH pathway assessment'!$B$10,AA904))),AD904,"")</f>
        <v/>
      </c>
      <c r="AF904" t="str">
        <f t="shared" si="2703"/>
        <v/>
      </c>
      <c r="AG904" t="str">
        <f>VLOOKUP(C904,Assumptions!$B$116:$C$162,2,FALSE)</f>
        <v>NG_SR_SML_D</v>
      </c>
      <c r="AH904" t="str">
        <f>VLOOKUP(D904,Assumptions!$B$116:$C$162,2,FALSE)</f>
        <v>D_GAS_STRG</v>
      </c>
      <c r="AI904" t="str">
        <f>VLOOKUP(E904,Assumptions!$B$116:$C$162,2,FALSE)</f>
        <v>ONSITE_USE</v>
      </c>
      <c r="AJ904" t="str">
        <f>VLOOKUP(F904,Assumptions!$B$116:$C$162,2,FALSE)</f>
        <v>H2_IND_BOIL_HEAT</v>
      </c>
    </row>
    <row r="905" spans="2:36" x14ac:dyDescent="0.25">
      <c r="B905" t="s">
        <v>117</v>
      </c>
      <c r="C905" t="s">
        <v>53</v>
      </c>
      <c r="D905" t="s">
        <v>155</v>
      </c>
      <c r="E905" t="s">
        <v>157</v>
      </c>
      <c r="F905" t="s">
        <v>549</v>
      </c>
      <c r="G905" t="s">
        <v>114</v>
      </c>
      <c r="H905" t="s">
        <v>433</v>
      </c>
      <c r="I905" t="s">
        <v>32</v>
      </c>
      <c r="J905" t="s">
        <v>77</v>
      </c>
      <c r="K905">
        <f t="shared" ref="K905:K908" si="2746">SUMPRODUCT(($C$7:$C$18=$C905)*($D$6:$H$6=$D905)*($D$7:$H$18))</f>
        <v>0</v>
      </c>
      <c r="L905">
        <f t="shared" ref="L905:L908" si="2747">SUMPRODUCT(($C$19:$C$23=$D905)*($I$6:$O$6=$E905)*($I$19:$O$23))</f>
        <v>1</v>
      </c>
      <c r="M905">
        <f t="shared" ref="M905:M908" si="2748">SUMPRODUCT(($C$24:$C$30=$E905)*($P$6:$AI$6=$F905)*($P$24:$AI$30))</f>
        <v>0</v>
      </c>
      <c r="N905">
        <f t="shared" ref="N905:N908" si="2749">SUMPRODUCT(($C$31:$C$50=$F905)*($AJ$6:$AM$6=$G905)*($AJ$31:$AM$50))</f>
        <v>0</v>
      </c>
      <c r="O905">
        <f t="shared" ref="O905:O908" si="2750">K905+L905+M905+N905</f>
        <v>1</v>
      </c>
      <c r="P905" t="str">
        <f t="shared" ref="P905:P908" si="2751">CONCATENATE(C905,"-",J905)</f>
        <v>Medium centralized biomass gasification-Marginal abatement cost</v>
      </c>
      <c r="Q905" t="str">
        <f t="shared" ref="Q905:Q908" si="2752">CONCATENATE(D905,"-",J905)</f>
        <v>Central gas storage-Marginal abatement cost</v>
      </c>
      <c r="R905" t="str">
        <f t="shared" ref="R905:R908" si="2753">CONCATENATE(E905,"-",J905)</f>
        <v>Blending in natural gas pipeline-Marginal abatement cost</v>
      </c>
      <c r="S905" t="str">
        <f t="shared" ref="S905:S908" si="2754">CONCATENATE(F905,"-",J905)</f>
        <v>District-CHP with H2 fuel cell (power)-Marginal abatement cost</v>
      </c>
      <c r="T905">
        <f>IFERROR(VLOOKUP($P905,'TA database'!$I$8:$J$79,2,FALSE),0)</f>
        <v>0</v>
      </c>
      <c r="U905">
        <f>IFERROR(VLOOKUP($Q905,'TA database'!$I$86:$J$105,2,FALSE),0)</f>
        <v>0</v>
      </c>
      <c r="V905">
        <f>IFERROR(VLOOKUP($R905,'TA database'!$I$112:$J$139,2,FALSE),0)</f>
        <v>0</v>
      </c>
      <c r="W905">
        <f>IFERROR(VLOOKUP($S905,'TA database'!$I$146:$J$193,2,FALSE),0)</f>
        <v>0</v>
      </c>
      <c r="X905">
        <f ca="1">IFERROR(VLOOKUP($S905,'TA database'!$I$200:$J$271,2,FALSE),0)</f>
        <v>133.77540235820089</v>
      </c>
      <c r="Y905" s="59">
        <f t="shared" ref="Y905:Y908" ca="1" si="2755">IF($W905=0,T905+U905+V905+X905,T905+U905+V905+W905)</f>
        <v>133.77540235820089</v>
      </c>
      <c r="Z905" t="str">
        <f t="shared" ref="Z905:Z908" si="2756">CONCATENATE(AG905,"   →   ",AH905,"   →   ",AI905,"   →   ",AJ905)</f>
        <v>BIO_GSF_MED_C   →   C_GAS_STRG   →   H2_BLND_NG_P   →   H2_FC_DCHP_PWR</v>
      </c>
      <c r="AA905" t="str">
        <f t="shared" ref="AA905:AA908" si="2757">G905</f>
        <v>Grid electricity</v>
      </c>
      <c r="AB905" t="str">
        <f t="shared" ref="AB905:AB908" si="2758">J905</f>
        <v>Marginal abatement cost</v>
      </c>
      <c r="AC905">
        <f t="shared" ref="AC905:AC908" ca="1" si="2759">Y905</f>
        <v>133.77540235820089</v>
      </c>
      <c r="AD905">
        <v>846</v>
      </c>
      <c r="AE905" t="str">
        <f>IF(AND(ISNUMBER(SEARCH(O905,4)),ISNUMBER(SEARCH('(4) FCH pathway assessment'!$B$16,AB905)),ISNUMBER(SEARCH('(4) FCH pathway assessment'!$B$10,AA905))),AD905,"")</f>
        <v/>
      </c>
      <c r="AF905" t="str">
        <f t="shared" si="2703"/>
        <v/>
      </c>
      <c r="AG905" t="str">
        <f>VLOOKUP(C905,Assumptions!$B$116:$C$162,2,FALSE)</f>
        <v>BIO_GSF_MED_C</v>
      </c>
      <c r="AH905" t="str">
        <f>VLOOKUP(D905,Assumptions!$B$116:$C$162,2,FALSE)</f>
        <v>C_GAS_STRG</v>
      </c>
      <c r="AI905" t="str">
        <f>VLOOKUP(E905,Assumptions!$B$116:$C$162,2,FALSE)</f>
        <v>H2_BLND_NG_P</v>
      </c>
      <c r="AJ905" t="str">
        <f>VLOOKUP(F905,Assumptions!$B$116:$C$162,2,FALSE)</f>
        <v>H2_FC_DCHP_PWR</v>
      </c>
    </row>
    <row r="906" spans="2:36" x14ac:dyDescent="0.25">
      <c r="B906" t="s">
        <v>117</v>
      </c>
      <c r="C906" t="s">
        <v>53</v>
      </c>
      <c r="D906" t="s">
        <v>155</v>
      </c>
      <c r="E906" t="s">
        <v>122</v>
      </c>
      <c r="F906" t="s">
        <v>549</v>
      </c>
      <c r="G906" t="s">
        <v>114</v>
      </c>
      <c r="H906" t="s">
        <v>433</v>
      </c>
      <c r="I906" t="s">
        <v>32</v>
      </c>
      <c r="J906" t="s">
        <v>77</v>
      </c>
      <c r="K906">
        <f t="shared" si="2746"/>
        <v>0</v>
      </c>
      <c r="L906">
        <f t="shared" si="2747"/>
        <v>1</v>
      </c>
      <c r="M906">
        <f t="shared" si="2748"/>
        <v>1</v>
      </c>
      <c r="N906">
        <f t="shared" si="2749"/>
        <v>0</v>
      </c>
      <c r="O906">
        <f t="shared" si="2750"/>
        <v>2</v>
      </c>
      <c r="P906" t="str">
        <f t="shared" si="2751"/>
        <v>Medium centralized biomass gasification-Marginal abatement cost</v>
      </c>
      <c r="Q906" t="str">
        <f t="shared" si="2752"/>
        <v>Central gas storage-Marginal abatement cost</v>
      </c>
      <c r="R906" t="str">
        <f t="shared" si="2753"/>
        <v>Hydrogen transmission &amp; distribution pipeline-Marginal abatement cost</v>
      </c>
      <c r="S906" t="str">
        <f t="shared" si="2754"/>
        <v>District-CHP with H2 fuel cell (power)-Marginal abatement cost</v>
      </c>
      <c r="T906">
        <f>IFERROR(VLOOKUP($P906,'TA database'!$I$8:$J$79,2,FALSE),0)</f>
        <v>0</v>
      </c>
      <c r="U906">
        <f>IFERROR(VLOOKUP($Q906,'TA database'!$I$86:$J$105,2,FALSE),0)</f>
        <v>0</v>
      </c>
      <c r="V906">
        <f>IFERROR(VLOOKUP($R906,'TA database'!$I$112:$J$139,2,FALSE),0)</f>
        <v>0</v>
      </c>
      <c r="W906">
        <f>IFERROR(VLOOKUP($S906,'TA database'!$I$146:$J$193,2,FALSE),0)</f>
        <v>0</v>
      </c>
      <c r="X906">
        <f ca="1">IFERROR(VLOOKUP($S906,'TA database'!$I$200:$J$271,2,FALSE),0)</f>
        <v>133.77540235820089</v>
      </c>
      <c r="Y906" s="59">
        <f t="shared" ca="1" si="2755"/>
        <v>133.77540235820089</v>
      </c>
      <c r="Z906" t="str">
        <f t="shared" si="2756"/>
        <v>BIO_GSF_MED_C   →   C_GAS_STRG   →   H2_T&amp;D_P   →   H2_FC_DCHP_PWR</v>
      </c>
      <c r="AA906" t="str">
        <f t="shared" si="2757"/>
        <v>Grid electricity</v>
      </c>
      <c r="AB906" t="str">
        <f t="shared" si="2758"/>
        <v>Marginal abatement cost</v>
      </c>
      <c r="AC906">
        <f t="shared" ca="1" si="2759"/>
        <v>133.77540235820089</v>
      </c>
      <c r="AD906">
        <v>847</v>
      </c>
      <c r="AE906" t="str">
        <f>IF(AND(ISNUMBER(SEARCH(O906,4)),ISNUMBER(SEARCH('(4) FCH pathway assessment'!$B$16,AB906)),ISNUMBER(SEARCH('(4) FCH pathway assessment'!$B$10,AA906))),AD906,"")</f>
        <v/>
      </c>
      <c r="AF906" t="str">
        <f t="shared" si="2703"/>
        <v/>
      </c>
      <c r="AG906" t="str">
        <f>VLOOKUP(C906,Assumptions!$B$116:$C$162,2,FALSE)</f>
        <v>BIO_GSF_MED_C</v>
      </c>
      <c r="AH906" t="str">
        <f>VLOOKUP(D906,Assumptions!$B$116:$C$162,2,FALSE)</f>
        <v>C_GAS_STRG</v>
      </c>
      <c r="AI906" t="str">
        <f>VLOOKUP(E906,Assumptions!$B$116:$C$162,2,FALSE)</f>
        <v>H2_T&amp;D_P</v>
      </c>
      <c r="AJ906" t="str">
        <f>VLOOKUP(F906,Assumptions!$B$116:$C$162,2,FALSE)</f>
        <v>H2_FC_DCHP_PWR</v>
      </c>
    </row>
    <row r="907" spans="2:36" x14ac:dyDescent="0.25">
      <c r="B907" t="s">
        <v>117</v>
      </c>
      <c r="C907" t="s">
        <v>53</v>
      </c>
      <c r="D907" t="s">
        <v>155</v>
      </c>
      <c r="E907" t="s">
        <v>116</v>
      </c>
      <c r="F907" t="s">
        <v>549</v>
      </c>
      <c r="G907" t="s">
        <v>114</v>
      </c>
      <c r="H907" t="s">
        <v>433</v>
      </c>
      <c r="I907" t="s">
        <v>32</v>
      </c>
      <c r="J907" t="s">
        <v>77</v>
      </c>
      <c r="K907">
        <f t="shared" si="2746"/>
        <v>0</v>
      </c>
      <c r="L907">
        <f t="shared" si="2747"/>
        <v>1</v>
      </c>
      <c r="M907">
        <f t="shared" si="2748"/>
        <v>1</v>
      </c>
      <c r="N907">
        <f t="shared" si="2749"/>
        <v>0</v>
      </c>
      <c r="O907">
        <f t="shared" si="2750"/>
        <v>2</v>
      </c>
      <c r="P907" t="str">
        <f t="shared" si="2751"/>
        <v>Medium centralized biomass gasification-Marginal abatement cost</v>
      </c>
      <c r="Q907" t="str">
        <f t="shared" si="2752"/>
        <v>Central gas storage-Marginal abatement cost</v>
      </c>
      <c r="R907" t="str">
        <f t="shared" si="2753"/>
        <v>Liquid hydrogen truck-Marginal abatement cost</v>
      </c>
      <c r="S907" t="str">
        <f t="shared" si="2754"/>
        <v>District-CHP with H2 fuel cell (power)-Marginal abatement cost</v>
      </c>
      <c r="T907">
        <f>IFERROR(VLOOKUP($P907,'TA database'!$I$8:$J$79,2,FALSE),0)</f>
        <v>0</v>
      </c>
      <c r="U907">
        <f>IFERROR(VLOOKUP($Q907,'TA database'!$I$86:$J$105,2,FALSE),0)</f>
        <v>0</v>
      </c>
      <c r="V907">
        <f>IFERROR(VLOOKUP($R907,'TA database'!$I$112:$J$139,2,FALSE),0)</f>
        <v>0</v>
      </c>
      <c r="W907">
        <f>IFERROR(VLOOKUP($S907,'TA database'!$I$146:$J$193,2,FALSE),0)</f>
        <v>0</v>
      </c>
      <c r="X907">
        <f ca="1">IFERROR(VLOOKUP($S907,'TA database'!$I$200:$J$271,2,FALSE),0)</f>
        <v>133.77540235820089</v>
      </c>
      <c r="Y907" s="59">
        <f t="shared" ca="1" si="2755"/>
        <v>133.77540235820089</v>
      </c>
      <c r="Z907" t="str">
        <f t="shared" si="2756"/>
        <v>BIO_GSF_MED_C   →   C_GAS_STRG   →   LQ_TRUCK   →   H2_FC_DCHP_PWR</v>
      </c>
      <c r="AA907" t="str">
        <f t="shared" si="2757"/>
        <v>Grid electricity</v>
      </c>
      <c r="AB907" t="str">
        <f t="shared" si="2758"/>
        <v>Marginal abatement cost</v>
      </c>
      <c r="AC907">
        <f t="shared" ca="1" si="2759"/>
        <v>133.77540235820089</v>
      </c>
      <c r="AD907">
        <v>848</v>
      </c>
      <c r="AE907" t="str">
        <f>IF(AND(ISNUMBER(SEARCH(O907,4)),ISNUMBER(SEARCH('(4) FCH pathway assessment'!$B$16,AB907)),ISNUMBER(SEARCH('(4) FCH pathway assessment'!$B$10,AA907))),AD907,"")</f>
        <v/>
      </c>
      <c r="AF907" t="str">
        <f t="shared" si="2703"/>
        <v/>
      </c>
      <c r="AG907" t="str">
        <f>VLOOKUP(C907,Assumptions!$B$116:$C$162,2,FALSE)</f>
        <v>BIO_GSF_MED_C</v>
      </c>
      <c r="AH907" t="str">
        <f>VLOOKUP(D907,Assumptions!$B$116:$C$162,2,FALSE)</f>
        <v>C_GAS_STRG</v>
      </c>
      <c r="AI907" t="str">
        <f>VLOOKUP(E907,Assumptions!$B$116:$C$162,2,FALSE)</f>
        <v>LQ_TRUCK</v>
      </c>
      <c r="AJ907" t="str">
        <f>VLOOKUP(F907,Assumptions!$B$116:$C$162,2,FALSE)</f>
        <v>H2_FC_DCHP_PWR</v>
      </c>
    </row>
    <row r="908" spans="2:36" x14ac:dyDescent="0.25">
      <c r="B908" t="s">
        <v>117</v>
      </c>
      <c r="C908" t="s">
        <v>53</v>
      </c>
      <c r="D908" t="s">
        <v>155</v>
      </c>
      <c r="E908" t="s">
        <v>66</v>
      </c>
      <c r="F908" t="s">
        <v>549</v>
      </c>
      <c r="G908" t="s">
        <v>114</v>
      </c>
      <c r="H908" t="s">
        <v>433</v>
      </c>
      <c r="I908" t="s">
        <v>32</v>
      </c>
      <c r="J908" t="s">
        <v>77</v>
      </c>
      <c r="K908">
        <f t="shared" si="2746"/>
        <v>0</v>
      </c>
      <c r="L908">
        <f t="shared" si="2747"/>
        <v>1</v>
      </c>
      <c r="M908">
        <f t="shared" si="2748"/>
        <v>1</v>
      </c>
      <c r="N908">
        <f t="shared" si="2749"/>
        <v>0</v>
      </c>
      <c r="O908">
        <f t="shared" si="2750"/>
        <v>2</v>
      </c>
      <c r="P908" t="str">
        <f t="shared" si="2751"/>
        <v>Medium centralized biomass gasification-Marginal abatement cost</v>
      </c>
      <c r="Q908" t="str">
        <f t="shared" si="2752"/>
        <v>Central gas storage-Marginal abatement cost</v>
      </c>
      <c r="R908" t="str">
        <f t="shared" si="2753"/>
        <v>Onsite-Marginal abatement cost</v>
      </c>
      <c r="S908" t="str">
        <f t="shared" si="2754"/>
        <v>District-CHP with H2 fuel cell (power)-Marginal abatement cost</v>
      </c>
      <c r="T908">
        <f>IFERROR(VLOOKUP($P908,'TA database'!$I$8:$J$79,2,FALSE),0)</f>
        <v>0</v>
      </c>
      <c r="U908">
        <f>IFERROR(VLOOKUP($Q908,'TA database'!$I$86:$J$105,2,FALSE),0)</f>
        <v>0</v>
      </c>
      <c r="V908">
        <f>IFERROR(VLOOKUP($R908,'TA database'!$I$112:$J$139,2,FALSE),0)</f>
        <v>0</v>
      </c>
      <c r="W908">
        <f>IFERROR(VLOOKUP($S908,'TA database'!$I$146:$J$193,2,FALSE),0)</f>
        <v>0</v>
      </c>
      <c r="X908">
        <f ca="1">IFERROR(VLOOKUP($S908,'TA database'!$I$200:$J$271,2,FALSE),0)</f>
        <v>133.77540235820089</v>
      </c>
      <c r="Y908" s="59">
        <f t="shared" ca="1" si="2755"/>
        <v>133.77540235820089</v>
      </c>
      <c r="Z908" t="str">
        <f t="shared" si="2756"/>
        <v>BIO_GSF_MED_C   →   C_GAS_STRG   →   ONSITE_USE   →   H2_FC_DCHP_PWR</v>
      </c>
      <c r="AA908" t="str">
        <f t="shared" si="2757"/>
        <v>Grid electricity</v>
      </c>
      <c r="AB908" t="str">
        <f t="shared" si="2758"/>
        <v>Marginal abatement cost</v>
      </c>
      <c r="AC908">
        <f t="shared" ca="1" si="2759"/>
        <v>133.77540235820089</v>
      </c>
      <c r="AD908">
        <v>849</v>
      </c>
      <c r="AE908" t="str">
        <f>IF(AND(ISNUMBER(SEARCH(O908,4)),ISNUMBER(SEARCH('(4) FCH pathway assessment'!$B$16,AB908)),ISNUMBER(SEARCH('(4) FCH pathway assessment'!$B$10,AA908))),AD908,"")</f>
        <v/>
      </c>
      <c r="AF908" t="str">
        <f t="shared" si="2703"/>
        <v/>
      </c>
      <c r="AG908" t="str">
        <f>VLOOKUP(C908,Assumptions!$B$116:$C$162,2,FALSE)</f>
        <v>BIO_GSF_MED_C</v>
      </c>
      <c r="AH908" t="str">
        <f>VLOOKUP(D908,Assumptions!$B$116:$C$162,2,FALSE)</f>
        <v>C_GAS_STRG</v>
      </c>
      <c r="AI908" t="str">
        <f>VLOOKUP(E908,Assumptions!$B$116:$C$162,2,FALSE)</f>
        <v>ONSITE_USE</v>
      </c>
      <c r="AJ908" t="str">
        <f>VLOOKUP(F908,Assumptions!$B$116:$C$162,2,FALSE)</f>
        <v>H2_FC_DCHP_PWR</v>
      </c>
    </row>
    <row r="909" spans="2:36" x14ac:dyDescent="0.25">
      <c r="B909" t="s">
        <v>117</v>
      </c>
      <c r="C909" t="s">
        <v>54</v>
      </c>
      <c r="D909" t="s">
        <v>155</v>
      </c>
      <c r="E909" t="s">
        <v>157</v>
      </c>
      <c r="F909" t="s">
        <v>549</v>
      </c>
      <c r="G909" t="s">
        <v>114</v>
      </c>
      <c r="H909" t="s">
        <v>433</v>
      </c>
      <c r="I909" t="s">
        <v>32</v>
      </c>
      <c r="J909" t="s">
        <v>77</v>
      </c>
      <c r="K909">
        <f t="shared" ref="K909:K913" si="2760">SUMPRODUCT(($C$7:$C$18=$C909)*($D$6:$H$6=$D909)*($D$7:$H$18))</f>
        <v>0</v>
      </c>
      <c r="L909">
        <f t="shared" ref="L909:L913" si="2761">SUMPRODUCT(($C$19:$C$23=$D909)*($I$6:$O$6=$E909)*($I$19:$O$23))</f>
        <v>1</v>
      </c>
      <c r="M909">
        <f t="shared" ref="M909:M913" si="2762">SUMPRODUCT(($C$24:$C$30=$E909)*($P$6:$AI$6=$F909)*($P$24:$AI$30))</f>
        <v>0</v>
      </c>
      <c r="N909">
        <f t="shared" ref="N909:N913" si="2763">SUMPRODUCT(($C$31:$C$50=$F909)*($AJ$6:$AM$6=$G909)*($AJ$31:$AM$50))</f>
        <v>0</v>
      </c>
      <c r="O909">
        <f t="shared" ref="O909:O913" si="2764">K909+L909+M909+N909</f>
        <v>1</v>
      </c>
      <c r="P909" t="str">
        <f t="shared" ref="P909:P913" si="2765">CONCATENATE(C909,"-",J909)</f>
        <v>Medium centralized biomass gasification w/ CCS-Marginal abatement cost</v>
      </c>
      <c r="Q909" t="str">
        <f t="shared" ref="Q909:Q913" si="2766">CONCATENATE(D909,"-",J909)</f>
        <v>Central gas storage-Marginal abatement cost</v>
      </c>
      <c r="R909" t="str">
        <f t="shared" ref="R909:R913" si="2767">CONCATENATE(E909,"-",J909)</f>
        <v>Blending in natural gas pipeline-Marginal abatement cost</v>
      </c>
      <c r="S909" t="str">
        <f t="shared" ref="S909:S913" si="2768">CONCATENATE(F909,"-",J909)</f>
        <v>District-CHP with H2 fuel cell (power)-Marginal abatement cost</v>
      </c>
      <c r="T909">
        <f>IFERROR(VLOOKUP($P909,'TA database'!$I$8:$J$79,2,FALSE),0)</f>
        <v>0</v>
      </c>
      <c r="U909">
        <f>IFERROR(VLOOKUP($Q909,'TA database'!$I$86:$J$105,2,FALSE),0)</f>
        <v>0</v>
      </c>
      <c r="V909">
        <f>IFERROR(VLOOKUP($R909,'TA database'!$I$112:$J$139,2,FALSE),0)</f>
        <v>0</v>
      </c>
      <c r="W909">
        <f>IFERROR(VLOOKUP($S909,'TA database'!$I$146:$J$193,2,FALSE),0)</f>
        <v>0</v>
      </c>
      <c r="X909">
        <f ca="1">IFERROR(VLOOKUP($S909,'TA database'!$I$200:$J$271,2,FALSE),0)</f>
        <v>133.77540235820089</v>
      </c>
      <c r="Y909" s="59">
        <f t="shared" ref="Y909:Y913" ca="1" si="2769">IF($W909=0,T909+U909+V909+X909,T909+U909+V909+W909)</f>
        <v>133.77540235820089</v>
      </c>
      <c r="Z909" t="str">
        <f t="shared" ref="Z909:Z913" si="2770">CONCATENATE(AG909,"   →   ",AH909,"   →   ",AI909,"   →   ",AJ909)</f>
        <v>BIO_GSF_CCS_MED_C   →   C_GAS_STRG   →   H2_BLND_NG_P   →   H2_FC_DCHP_PWR</v>
      </c>
      <c r="AA909" t="str">
        <f t="shared" ref="AA909:AA913" si="2771">G909</f>
        <v>Grid electricity</v>
      </c>
      <c r="AB909" t="str">
        <f t="shared" ref="AB909:AB913" si="2772">J909</f>
        <v>Marginal abatement cost</v>
      </c>
      <c r="AC909">
        <f t="shared" ref="AC909:AC913" ca="1" si="2773">Y909</f>
        <v>133.77540235820089</v>
      </c>
      <c r="AD909">
        <v>850</v>
      </c>
      <c r="AE909" t="str">
        <f>IF(AND(ISNUMBER(SEARCH(O909,4)),ISNUMBER(SEARCH('(4) FCH pathway assessment'!$B$16,AB909)),ISNUMBER(SEARCH('(4) FCH pathway assessment'!$B$10,AA909))),AD909,"")</f>
        <v/>
      </c>
      <c r="AF909" t="str">
        <f t="shared" si="2703"/>
        <v/>
      </c>
      <c r="AG909" t="str">
        <f>VLOOKUP(C909,Assumptions!$B$116:$C$162,2,FALSE)</f>
        <v>BIO_GSF_CCS_MED_C</v>
      </c>
      <c r="AH909" t="str">
        <f>VLOOKUP(D909,Assumptions!$B$116:$C$162,2,FALSE)</f>
        <v>C_GAS_STRG</v>
      </c>
      <c r="AI909" t="str">
        <f>VLOOKUP(E909,Assumptions!$B$116:$C$162,2,FALSE)</f>
        <v>H2_BLND_NG_P</v>
      </c>
      <c r="AJ909" t="str">
        <f>VLOOKUP(F909,Assumptions!$B$116:$C$162,2,FALSE)</f>
        <v>H2_FC_DCHP_PWR</v>
      </c>
    </row>
    <row r="910" spans="2:36" x14ac:dyDescent="0.25">
      <c r="B910" t="s">
        <v>117</v>
      </c>
      <c r="C910" t="s">
        <v>54</v>
      </c>
      <c r="D910" t="s">
        <v>155</v>
      </c>
      <c r="E910" t="s">
        <v>122</v>
      </c>
      <c r="F910" t="s">
        <v>549</v>
      </c>
      <c r="G910" t="s">
        <v>114</v>
      </c>
      <c r="H910" t="s">
        <v>433</v>
      </c>
      <c r="I910" t="s">
        <v>32</v>
      </c>
      <c r="J910" t="s">
        <v>77</v>
      </c>
      <c r="K910">
        <f t="shared" si="2760"/>
        <v>0</v>
      </c>
      <c r="L910">
        <f t="shared" si="2761"/>
        <v>1</v>
      </c>
      <c r="M910">
        <f t="shared" si="2762"/>
        <v>1</v>
      </c>
      <c r="N910">
        <f t="shared" si="2763"/>
        <v>0</v>
      </c>
      <c r="O910">
        <f t="shared" si="2764"/>
        <v>2</v>
      </c>
      <c r="P910" t="str">
        <f t="shared" si="2765"/>
        <v>Medium centralized biomass gasification w/ CCS-Marginal abatement cost</v>
      </c>
      <c r="Q910" t="str">
        <f t="shared" si="2766"/>
        <v>Central gas storage-Marginal abatement cost</v>
      </c>
      <c r="R910" t="str">
        <f t="shared" si="2767"/>
        <v>Hydrogen transmission &amp; distribution pipeline-Marginal abatement cost</v>
      </c>
      <c r="S910" t="str">
        <f t="shared" si="2768"/>
        <v>District-CHP with H2 fuel cell (power)-Marginal abatement cost</v>
      </c>
      <c r="T910">
        <f>IFERROR(VLOOKUP($P910,'TA database'!$I$8:$J$79,2,FALSE),0)</f>
        <v>0</v>
      </c>
      <c r="U910">
        <f>IFERROR(VLOOKUP($Q910,'TA database'!$I$86:$J$105,2,FALSE),0)</f>
        <v>0</v>
      </c>
      <c r="V910">
        <f>IFERROR(VLOOKUP($R910,'TA database'!$I$112:$J$139,2,FALSE),0)</f>
        <v>0</v>
      </c>
      <c r="W910">
        <f>IFERROR(VLOOKUP($S910,'TA database'!$I$146:$J$193,2,FALSE),0)</f>
        <v>0</v>
      </c>
      <c r="X910">
        <f ca="1">IFERROR(VLOOKUP($S910,'TA database'!$I$200:$J$271,2,FALSE),0)</f>
        <v>133.77540235820089</v>
      </c>
      <c r="Y910" s="59">
        <f t="shared" ca="1" si="2769"/>
        <v>133.77540235820089</v>
      </c>
      <c r="Z910" t="str">
        <f t="shared" si="2770"/>
        <v>BIO_GSF_CCS_MED_C   →   C_GAS_STRG   →   H2_T&amp;D_P   →   H2_FC_DCHP_PWR</v>
      </c>
      <c r="AA910" t="str">
        <f t="shared" si="2771"/>
        <v>Grid electricity</v>
      </c>
      <c r="AB910" t="str">
        <f t="shared" si="2772"/>
        <v>Marginal abatement cost</v>
      </c>
      <c r="AC910">
        <f t="shared" ca="1" si="2773"/>
        <v>133.77540235820089</v>
      </c>
      <c r="AD910">
        <v>851</v>
      </c>
      <c r="AE910" t="str">
        <f>IF(AND(ISNUMBER(SEARCH(O910,4)),ISNUMBER(SEARCH('(4) FCH pathway assessment'!$B$16,AB910)),ISNUMBER(SEARCH('(4) FCH pathway assessment'!$B$10,AA910))),AD910,"")</f>
        <v/>
      </c>
      <c r="AF910" t="str">
        <f t="shared" si="2703"/>
        <v/>
      </c>
      <c r="AG910" t="str">
        <f>VLOOKUP(C910,Assumptions!$B$116:$C$162,2,FALSE)</f>
        <v>BIO_GSF_CCS_MED_C</v>
      </c>
      <c r="AH910" t="str">
        <f>VLOOKUP(D910,Assumptions!$B$116:$C$162,2,FALSE)</f>
        <v>C_GAS_STRG</v>
      </c>
      <c r="AI910" t="str">
        <f>VLOOKUP(E910,Assumptions!$B$116:$C$162,2,FALSE)</f>
        <v>H2_T&amp;D_P</v>
      </c>
      <c r="AJ910" t="str">
        <f>VLOOKUP(F910,Assumptions!$B$116:$C$162,2,FALSE)</f>
        <v>H2_FC_DCHP_PWR</v>
      </c>
    </row>
    <row r="911" spans="2:36" x14ac:dyDescent="0.25">
      <c r="B911" t="s">
        <v>117</v>
      </c>
      <c r="C911" t="s">
        <v>54</v>
      </c>
      <c r="D911" t="s">
        <v>155</v>
      </c>
      <c r="E911" t="s">
        <v>116</v>
      </c>
      <c r="F911" t="s">
        <v>549</v>
      </c>
      <c r="G911" t="s">
        <v>114</v>
      </c>
      <c r="H911" t="s">
        <v>433</v>
      </c>
      <c r="I911" t="s">
        <v>32</v>
      </c>
      <c r="J911" t="s">
        <v>77</v>
      </c>
      <c r="K911">
        <f t="shared" si="2760"/>
        <v>0</v>
      </c>
      <c r="L911">
        <f t="shared" si="2761"/>
        <v>1</v>
      </c>
      <c r="M911">
        <f t="shared" si="2762"/>
        <v>1</v>
      </c>
      <c r="N911">
        <f t="shared" si="2763"/>
        <v>0</v>
      </c>
      <c r="O911">
        <f t="shared" si="2764"/>
        <v>2</v>
      </c>
      <c r="P911" t="str">
        <f t="shared" si="2765"/>
        <v>Medium centralized biomass gasification w/ CCS-Marginal abatement cost</v>
      </c>
      <c r="Q911" t="str">
        <f t="shared" si="2766"/>
        <v>Central gas storage-Marginal abatement cost</v>
      </c>
      <c r="R911" t="str">
        <f t="shared" si="2767"/>
        <v>Liquid hydrogen truck-Marginal abatement cost</v>
      </c>
      <c r="S911" t="str">
        <f t="shared" si="2768"/>
        <v>District-CHP with H2 fuel cell (power)-Marginal abatement cost</v>
      </c>
      <c r="T911">
        <f>IFERROR(VLOOKUP($P911,'TA database'!$I$8:$J$79,2,FALSE),0)</f>
        <v>0</v>
      </c>
      <c r="U911">
        <f>IFERROR(VLOOKUP($Q911,'TA database'!$I$86:$J$105,2,FALSE),0)</f>
        <v>0</v>
      </c>
      <c r="V911">
        <f>IFERROR(VLOOKUP($R911,'TA database'!$I$112:$J$139,2,FALSE),0)</f>
        <v>0</v>
      </c>
      <c r="W911">
        <f>IFERROR(VLOOKUP($S911,'TA database'!$I$146:$J$193,2,FALSE),0)</f>
        <v>0</v>
      </c>
      <c r="X911">
        <f ca="1">IFERROR(VLOOKUP($S911,'TA database'!$I$200:$J$271,2,FALSE),0)</f>
        <v>133.77540235820089</v>
      </c>
      <c r="Y911" s="59">
        <f t="shared" ca="1" si="2769"/>
        <v>133.77540235820089</v>
      </c>
      <c r="Z911" t="str">
        <f t="shared" si="2770"/>
        <v>BIO_GSF_CCS_MED_C   →   C_GAS_STRG   →   LQ_TRUCK   →   H2_FC_DCHP_PWR</v>
      </c>
      <c r="AA911" t="str">
        <f t="shared" si="2771"/>
        <v>Grid electricity</v>
      </c>
      <c r="AB911" t="str">
        <f t="shared" si="2772"/>
        <v>Marginal abatement cost</v>
      </c>
      <c r="AC911">
        <f t="shared" ca="1" si="2773"/>
        <v>133.77540235820089</v>
      </c>
      <c r="AD911">
        <v>852</v>
      </c>
      <c r="AE911" t="str">
        <f>IF(AND(ISNUMBER(SEARCH(O911,4)),ISNUMBER(SEARCH('(4) FCH pathway assessment'!$B$16,AB911)),ISNUMBER(SEARCH('(4) FCH pathway assessment'!$B$10,AA911))),AD911,"")</f>
        <v/>
      </c>
      <c r="AF911" t="str">
        <f t="shared" si="2703"/>
        <v/>
      </c>
      <c r="AG911" t="str">
        <f>VLOOKUP(C911,Assumptions!$B$116:$C$162,2,FALSE)</f>
        <v>BIO_GSF_CCS_MED_C</v>
      </c>
      <c r="AH911" t="str">
        <f>VLOOKUP(D911,Assumptions!$B$116:$C$162,2,FALSE)</f>
        <v>C_GAS_STRG</v>
      </c>
      <c r="AI911" t="str">
        <f>VLOOKUP(E911,Assumptions!$B$116:$C$162,2,FALSE)</f>
        <v>LQ_TRUCK</v>
      </c>
      <c r="AJ911" t="str">
        <f>VLOOKUP(F911,Assumptions!$B$116:$C$162,2,FALSE)</f>
        <v>H2_FC_DCHP_PWR</v>
      </c>
    </row>
    <row r="912" spans="2:36" x14ac:dyDescent="0.25">
      <c r="B912" t="s">
        <v>117</v>
      </c>
      <c r="C912" t="s">
        <v>54</v>
      </c>
      <c r="D912" t="s">
        <v>155</v>
      </c>
      <c r="E912" t="s">
        <v>66</v>
      </c>
      <c r="F912" t="s">
        <v>549</v>
      </c>
      <c r="G912" t="s">
        <v>114</v>
      </c>
      <c r="H912" t="s">
        <v>433</v>
      </c>
      <c r="I912" t="s">
        <v>32</v>
      </c>
      <c r="J912" t="s">
        <v>77</v>
      </c>
      <c r="K912">
        <f t="shared" si="2760"/>
        <v>0</v>
      </c>
      <c r="L912">
        <f t="shared" si="2761"/>
        <v>1</v>
      </c>
      <c r="M912">
        <f t="shared" si="2762"/>
        <v>1</v>
      </c>
      <c r="N912">
        <f t="shared" si="2763"/>
        <v>0</v>
      </c>
      <c r="O912">
        <f t="shared" si="2764"/>
        <v>2</v>
      </c>
      <c r="P912" t="str">
        <f t="shared" si="2765"/>
        <v>Medium centralized biomass gasification w/ CCS-Marginal abatement cost</v>
      </c>
      <c r="Q912" t="str">
        <f t="shared" si="2766"/>
        <v>Central gas storage-Marginal abatement cost</v>
      </c>
      <c r="R912" t="str">
        <f t="shared" si="2767"/>
        <v>Onsite-Marginal abatement cost</v>
      </c>
      <c r="S912" t="str">
        <f t="shared" si="2768"/>
        <v>District-CHP with H2 fuel cell (power)-Marginal abatement cost</v>
      </c>
      <c r="T912">
        <f>IFERROR(VLOOKUP($P912,'TA database'!$I$8:$J$79,2,FALSE),0)</f>
        <v>0</v>
      </c>
      <c r="U912">
        <f>IFERROR(VLOOKUP($Q912,'TA database'!$I$86:$J$105,2,FALSE),0)</f>
        <v>0</v>
      </c>
      <c r="V912">
        <f>IFERROR(VLOOKUP($R912,'TA database'!$I$112:$J$139,2,FALSE),0)</f>
        <v>0</v>
      </c>
      <c r="W912">
        <f>IFERROR(VLOOKUP($S912,'TA database'!$I$146:$J$193,2,FALSE),0)</f>
        <v>0</v>
      </c>
      <c r="X912">
        <f ca="1">IFERROR(VLOOKUP($S912,'TA database'!$I$200:$J$271,2,FALSE),0)</f>
        <v>133.77540235820089</v>
      </c>
      <c r="Y912" s="59">
        <f t="shared" ca="1" si="2769"/>
        <v>133.77540235820089</v>
      </c>
      <c r="Z912" t="str">
        <f t="shared" si="2770"/>
        <v>BIO_GSF_CCS_MED_C   →   C_GAS_STRG   →   ONSITE_USE   →   H2_FC_DCHP_PWR</v>
      </c>
      <c r="AA912" t="str">
        <f t="shared" si="2771"/>
        <v>Grid electricity</v>
      </c>
      <c r="AB912" t="str">
        <f t="shared" si="2772"/>
        <v>Marginal abatement cost</v>
      </c>
      <c r="AC912">
        <f t="shared" ca="1" si="2773"/>
        <v>133.77540235820089</v>
      </c>
      <c r="AD912">
        <v>853</v>
      </c>
      <c r="AE912" t="str">
        <f>IF(AND(ISNUMBER(SEARCH(O912,4)),ISNUMBER(SEARCH('(4) FCH pathway assessment'!$B$16,AB912)),ISNUMBER(SEARCH('(4) FCH pathway assessment'!$B$10,AA912))),AD912,"")</f>
        <v/>
      </c>
      <c r="AF912" t="str">
        <f t="shared" si="2703"/>
        <v/>
      </c>
      <c r="AG912" t="str">
        <f>VLOOKUP(C912,Assumptions!$B$116:$C$162,2,FALSE)</f>
        <v>BIO_GSF_CCS_MED_C</v>
      </c>
      <c r="AH912" t="str">
        <f>VLOOKUP(D912,Assumptions!$B$116:$C$162,2,FALSE)</f>
        <v>C_GAS_STRG</v>
      </c>
      <c r="AI912" t="str">
        <f>VLOOKUP(E912,Assumptions!$B$116:$C$162,2,FALSE)</f>
        <v>ONSITE_USE</v>
      </c>
      <c r="AJ912" t="str">
        <f>VLOOKUP(F912,Assumptions!$B$116:$C$162,2,FALSE)</f>
        <v>H2_FC_DCHP_PWR</v>
      </c>
    </row>
    <row r="913" spans="2:36" x14ac:dyDescent="0.25">
      <c r="B913" t="s">
        <v>117</v>
      </c>
      <c r="C913" t="s">
        <v>55</v>
      </c>
      <c r="D913" s="60" t="s">
        <v>130</v>
      </c>
      <c r="E913" t="s">
        <v>66</v>
      </c>
      <c r="F913" t="s">
        <v>549</v>
      </c>
      <c r="G913" t="s">
        <v>114</v>
      </c>
      <c r="H913" t="s">
        <v>433</v>
      </c>
      <c r="I913" t="s">
        <v>32</v>
      </c>
      <c r="J913" t="s">
        <v>77</v>
      </c>
      <c r="K913">
        <f t="shared" si="2760"/>
        <v>0</v>
      </c>
      <c r="L913">
        <f t="shared" si="2761"/>
        <v>1</v>
      </c>
      <c r="M913">
        <f t="shared" si="2762"/>
        <v>1</v>
      </c>
      <c r="N913">
        <f t="shared" si="2763"/>
        <v>0</v>
      </c>
      <c r="O913">
        <f t="shared" si="2764"/>
        <v>2</v>
      </c>
      <c r="P913" t="str">
        <f t="shared" si="2765"/>
        <v>Small decentralized biomass gasification-Marginal abatement cost</v>
      </c>
      <c r="Q913" t="str">
        <f t="shared" si="2766"/>
        <v>Distributed gas storage-Marginal abatement cost</v>
      </c>
      <c r="R913" t="str">
        <f t="shared" si="2767"/>
        <v>Onsite-Marginal abatement cost</v>
      </c>
      <c r="S913" t="str">
        <f t="shared" si="2768"/>
        <v>District-CHP with H2 fuel cell (power)-Marginal abatement cost</v>
      </c>
      <c r="T913">
        <f>IFERROR(VLOOKUP($P913,'TA database'!$I$8:$J$79,2,FALSE),0)</f>
        <v>0</v>
      </c>
      <c r="U913">
        <f>IFERROR(VLOOKUP($Q913,'TA database'!$I$86:$J$105,2,FALSE),0)</f>
        <v>0</v>
      </c>
      <c r="V913">
        <f>IFERROR(VLOOKUP($R913,'TA database'!$I$112:$J$139,2,FALSE),0)</f>
        <v>0</v>
      </c>
      <c r="W913">
        <f>IFERROR(VLOOKUP($S913,'TA database'!$I$146:$J$193,2,FALSE),0)</f>
        <v>0</v>
      </c>
      <c r="X913">
        <f ca="1">IFERROR(VLOOKUP($S913,'TA database'!$I$200:$J$271,2,FALSE),0)</f>
        <v>133.77540235820089</v>
      </c>
      <c r="Y913" s="59">
        <f t="shared" ca="1" si="2769"/>
        <v>133.77540235820089</v>
      </c>
      <c r="Z913" t="str">
        <f t="shared" si="2770"/>
        <v>BIO_GSF_SML_D   →   D_GAS_STRG   →   ONSITE_USE   →   H2_FC_DCHP_PWR</v>
      </c>
      <c r="AA913" t="str">
        <f t="shared" si="2771"/>
        <v>Grid electricity</v>
      </c>
      <c r="AB913" t="str">
        <f t="shared" si="2772"/>
        <v>Marginal abatement cost</v>
      </c>
      <c r="AC913">
        <f t="shared" ca="1" si="2773"/>
        <v>133.77540235820089</v>
      </c>
      <c r="AD913">
        <v>854</v>
      </c>
      <c r="AE913" t="str">
        <f>IF(AND(ISNUMBER(SEARCH(O913,4)),ISNUMBER(SEARCH('(4) FCH pathway assessment'!$B$16,AB913)),ISNUMBER(SEARCH('(4) FCH pathway assessment'!$B$10,AA913))),AD913,"")</f>
        <v/>
      </c>
      <c r="AF913" t="str">
        <f t="shared" si="2703"/>
        <v/>
      </c>
      <c r="AG913" t="str">
        <f>VLOOKUP(C913,Assumptions!$B$116:$C$162,2,FALSE)</f>
        <v>BIO_GSF_SML_D</v>
      </c>
      <c r="AH913" t="str">
        <f>VLOOKUP(D913,Assumptions!$B$116:$C$162,2,FALSE)</f>
        <v>D_GAS_STRG</v>
      </c>
      <c r="AI913" t="str">
        <f>VLOOKUP(E913,Assumptions!$B$116:$C$162,2,FALSE)</f>
        <v>ONSITE_USE</v>
      </c>
      <c r="AJ913" t="str">
        <f>VLOOKUP(F913,Assumptions!$B$116:$C$162,2,FALSE)</f>
        <v>H2_FC_DCHP_PWR</v>
      </c>
    </row>
    <row r="914" spans="2:36" x14ac:dyDescent="0.25">
      <c r="B914" t="s">
        <v>117</v>
      </c>
      <c r="C914" t="s">
        <v>56</v>
      </c>
      <c r="D914" t="s">
        <v>62</v>
      </c>
      <c r="E914" t="s">
        <v>157</v>
      </c>
      <c r="F914" t="s">
        <v>549</v>
      </c>
      <c r="G914" t="s">
        <v>114</v>
      </c>
      <c r="H914" t="s">
        <v>433</v>
      </c>
      <c r="I914" t="s">
        <v>32</v>
      </c>
      <c r="J914" t="s">
        <v>77</v>
      </c>
      <c r="K914">
        <f t="shared" ref="K914:K926" si="2774">SUMPRODUCT(($C$7:$C$18=$C914)*($D$6:$H$6=$D914)*($D$7:$H$18))</f>
        <v>0</v>
      </c>
      <c r="L914">
        <f t="shared" ref="L914:L926" si="2775">SUMPRODUCT(($C$19:$C$23=$D914)*($I$6:$O$6=$E914)*($I$19:$O$23))</f>
        <v>0</v>
      </c>
      <c r="M914">
        <f t="shared" ref="M914:M926" si="2776">SUMPRODUCT(($C$24:$C$30=$E914)*($P$6:$AI$6=$F914)*($P$24:$AI$30))</f>
        <v>0</v>
      </c>
      <c r="N914">
        <f t="shared" ref="N914:N926" si="2777">SUMPRODUCT(($C$31:$C$50=$F914)*($AJ$6:$AM$6=$G914)*($AJ$31:$AM$50))</f>
        <v>0</v>
      </c>
      <c r="O914">
        <f t="shared" ref="O914:O926" si="2778">K914+L914+M914+N914</f>
        <v>0</v>
      </c>
      <c r="P914" t="str">
        <f t="shared" ref="P914:P926" si="2779">CONCATENATE(C914,"-",J914)</f>
        <v>Large centralized biomass steam reforming -Marginal abatement cost</v>
      </c>
      <c r="Q914" t="str">
        <f t="shared" ref="Q914:Q926" si="2780">CONCATENATE(D914,"-",J914)</f>
        <v>Underground storage-Marginal abatement cost</v>
      </c>
      <c r="R914" t="str">
        <f t="shared" ref="R914:R926" si="2781">CONCATENATE(E914,"-",J914)</f>
        <v>Blending in natural gas pipeline-Marginal abatement cost</v>
      </c>
      <c r="S914" t="str">
        <f t="shared" ref="S914:S926" si="2782">CONCATENATE(F914,"-",J914)</f>
        <v>District-CHP with H2 fuel cell (power)-Marginal abatement cost</v>
      </c>
      <c r="T914">
        <f>IFERROR(VLOOKUP($P914,'TA database'!$I$8:$J$79,2,FALSE),0)</f>
        <v>0</v>
      </c>
      <c r="U914">
        <f>IFERROR(VLOOKUP($Q914,'TA database'!$I$86:$J$105,2,FALSE),0)</f>
        <v>0</v>
      </c>
      <c r="V914">
        <f>IFERROR(VLOOKUP($R914,'TA database'!$I$112:$J$139,2,FALSE),0)</f>
        <v>0</v>
      </c>
      <c r="W914">
        <f>IFERROR(VLOOKUP($S914,'TA database'!$I$146:$J$193,2,FALSE),0)</f>
        <v>0</v>
      </c>
      <c r="X914">
        <f ca="1">IFERROR(VLOOKUP($S914,'TA database'!$I$200:$J$271,2,FALSE),0)</f>
        <v>133.77540235820089</v>
      </c>
      <c r="Y914" s="59">
        <f t="shared" ref="Y914:Y926" ca="1" si="2783">IF($W914=0,T914+U914+V914+X914,T914+U914+V914+W914)</f>
        <v>133.77540235820089</v>
      </c>
      <c r="Z914" t="str">
        <f t="shared" ref="Z914:Z926" si="2784">CONCATENATE(AG914,"   →   ",AH914,"   →   ",AI914,"   →   ",AJ914)</f>
        <v>BIO_SR_LRG_C   →   C_UNDRGRND_STRG   →   H2_BLND_NG_P   →   H2_FC_DCHP_PWR</v>
      </c>
      <c r="AA914" t="str">
        <f t="shared" ref="AA914:AA926" si="2785">G914</f>
        <v>Grid electricity</v>
      </c>
      <c r="AB914" t="str">
        <f t="shared" ref="AB914:AB926" si="2786">J914</f>
        <v>Marginal abatement cost</v>
      </c>
      <c r="AC914">
        <f t="shared" ref="AC914:AC926" ca="1" si="2787">Y914</f>
        <v>133.77540235820089</v>
      </c>
      <c r="AD914">
        <v>855</v>
      </c>
      <c r="AE914" t="str">
        <f>IF(AND(ISNUMBER(SEARCH(O914,4)),ISNUMBER(SEARCH('(4) FCH pathway assessment'!$B$16,AB914)),ISNUMBER(SEARCH('(4) FCH pathway assessment'!$B$10,AA914))),AD914,"")</f>
        <v/>
      </c>
      <c r="AF914" t="str">
        <f t="shared" si="2703"/>
        <v/>
      </c>
      <c r="AG914" t="str">
        <f>VLOOKUP(C914,Assumptions!$B$116:$C$162,2,FALSE)</f>
        <v>BIO_SR_LRG_C</v>
      </c>
      <c r="AH914" t="str">
        <f>VLOOKUP(D914,Assumptions!$B$116:$C$162,2,FALSE)</f>
        <v>C_UNDRGRND_STRG</v>
      </c>
      <c r="AI914" t="str">
        <f>VLOOKUP(E914,Assumptions!$B$116:$C$162,2,FALSE)</f>
        <v>H2_BLND_NG_P</v>
      </c>
      <c r="AJ914" t="str">
        <f>VLOOKUP(F914,Assumptions!$B$116:$C$162,2,FALSE)</f>
        <v>H2_FC_DCHP_PWR</v>
      </c>
    </row>
    <row r="915" spans="2:36" x14ac:dyDescent="0.25">
      <c r="B915" t="s">
        <v>117</v>
      </c>
      <c r="C915" t="s">
        <v>56</v>
      </c>
      <c r="D915" t="s">
        <v>62</v>
      </c>
      <c r="E915" t="s">
        <v>122</v>
      </c>
      <c r="F915" t="s">
        <v>549</v>
      </c>
      <c r="G915" t="s">
        <v>114</v>
      </c>
      <c r="H915" t="s">
        <v>433</v>
      </c>
      <c r="I915" t="s">
        <v>32</v>
      </c>
      <c r="J915" t="s">
        <v>77</v>
      </c>
      <c r="K915">
        <f t="shared" si="2774"/>
        <v>0</v>
      </c>
      <c r="L915">
        <f t="shared" si="2775"/>
        <v>0</v>
      </c>
      <c r="M915">
        <f t="shared" si="2776"/>
        <v>1</v>
      </c>
      <c r="N915">
        <f t="shared" si="2777"/>
        <v>0</v>
      </c>
      <c r="O915">
        <f t="shared" si="2778"/>
        <v>1</v>
      </c>
      <c r="P915" t="str">
        <f t="shared" si="2779"/>
        <v>Large centralized biomass steam reforming -Marginal abatement cost</v>
      </c>
      <c r="Q915" t="str">
        <f t="shared" si="2780"/>
        <v>Underground storage-Marginal abatement cost</v>
      </c>
      <c r="R915" t="str">
        <f t="shared" si="2781"/>
        <v>Hydrogen transmission &amp; distribution pipeline-Marginal abatement cost</v>
      </c>
      <c r="S915" t="str">
        <f t="shared" si="2782"/>
        <v>District-CHP with H2 fuel cell (power)-Marginal abatement cost</v>
      </c>
      <c r="T915">
        <f>IFERROR(VLOOKUP($P915,'TA database'!$I$8:$J$79,2,FALSE),0)</f>
        <v>0</v>
      </c>
      <c r="U915">
        <f>IFERROR(VLOOKUP($Q915,'TA database'!$I$86:$J$105,2,FALSE),0)</f>
        <v>0</v>
      </c>
      <c r="V915">
        <f>IFERROR(VLOOKUP($R915,'TA database'!$I$112:$J$139,2,FALSE),0)</f>
        <v>0</v>
      </c>
      <c r="W915">
        <f>IFERROR(VLOOKUP($S915,'TA database'!$I$146:$J$193,2,FALSE),0)</f>
        <v>0</v>
      </c>
      <c r="X915">
        <f ca="1">IFERROR(VLOOKUP($S915,'TA database'!$I$200:$J$271,2,FALSE),0)</f>
        <v>133.77540235820089</v>
      </c>
      <c r="Y915" s="59">
        <f t="shared" ca="1" si="2783"/>
        <v>133.77540235820089</v>
      </c>
      <c r="Z915" t="str">
        <f t="shared" si="2784"/>
        <v>BIO_SR_LRG_C   →   C_UNDRGRND_STRG   →   H2_T&amp;D_P   →   H2_FC_DCHP_PWR</v>
      </c>
      <c r="AA915" t="str">
        <f t="shared" si="2785"/>
        <v>Grid electricity</v>
      </c>
      <c r="AB915" t="str">
        <f t="shared" si="2786"/>
        <v>Marginal abatement cost</v>
      </c>
      <c r="AC915">
        <f t="shared" ca="1" si="2787"/>
        <v>133.77540235820089</v>
      </c>
      <c r="AD915">
        <v>856</v>
      </c>
      <c r="AE915" t="str">
        <f>IF(AND(ISNUMBER(SEARCH(O915,4)),ISNUMBER(SEARCH('(4) FCH pathway assessment'!$B$16,AB915)),ISNUMBER(SEARCH('(4) FCH pathway assessment'!$B$10,AA915))),AD915,"")</f>
        <v/>
      </c>
      <c r="AF915" t="str">
        <f t="shared" si="2703"/>
        <v/>
      </c>
      <c r="AG915" t="str">
        <f>VLOOKUP(C915,Assumptions!$B$116:$C$162,2,FALSE)</f>
        <v>BIO_SR_LRG_C</v>
      </c>
      <c r="AH915" t="str">
        <f>VLOOKUP(D915,Assumptions!$B$116:$C$162,2,FALSE)</f>
        <v>C_UNDRGRND_STRG</v>
      </c>
      <c r="AI915" t="str">
        <f>VLOOKUP(E915,Assumptions!$B$116:$C$162,2,FALSE)</f>
        <v>H2_T&amp;D_P</v>
      </c>
      <c r="AJ915" t="str">
        <f>VLOOKUP(F915,Assumptions!$B$116:$C$162,2,FALSE)</f>
        <v>H2_FC_DCHP_PWR</v>
      </c>
    </row>
    <row r="916" spans="2:36" x14ac:dyDescent="0.25">
      <c r="B916" t="s">
        <v>117</v>
      </c>
      <c r="C916" t="s">
        <v>56</v>
      </c>
      <c r="D916" t="s">
        <v>62</v>
      </c>
      <c r="E916" t="s">
        <v>116</v>
      </c>
      <c r="F916" t="s">
        <v>549</v>
      </c>
      <c r="G916" t="s">
        <v>114</v>
      </c>
      <c r="H916" t="s">
        <v>433</v>
      </c>
      <c r="I916" t="s">
        <v>32</v>
      </c>
      <c r="J916" t="s">
        <v>77</v>
      </c>
      <c r="K916">
        <f t="shared" si="2774"/>
        <v>0</v>
      </c>
      <c r="L916">
        <f t="shared" si="2775"/>
        <v>0</v>
      </c>
      <c r="M916">
        <f t="shared" si="2776"/>
        <v>1</v>
      </c>
      <c r="N916">
        <f t="shared" si="2777"/>
        <v>0</v>
      </c>
      <c r="O916">
        <f t="shared" si="2778"/>
        <v>1</v>
      </c>
      <c r="P916" t="str">
        <f t="shared" si="2779"/>
        <v>Large centralized biomass steam reforming -Marginal abatement cost</v>
      </c>
      <c r="Q916" t="str">
        <f t="shared" si="2780"/>
        <v>Underground storage-Marginal abatement cost</v>
      </c>
      <c r="R916" t="str">
        <f t="shared" si="2781"/>
        <v>Liquid hydrogen truck-Marginal abatement cost</v>
      </c>
      <c r="S916" t="str">
        <f t="shared" si="2782"/>
        <v>District-CHP with H2 fuel cell (power)-Marginal abatement cost</v>
      </c>
      <c r="T916">
        <f>IFERROR(VLOOKUP($P916,'TA database'!$I$8:$J$79,2,FALSE),0)</f>
        <v>0</v>
      </c>
      <c r="U916">
        <f>IFERROR(VLOOKUP($Q916,'TA database'!$I$86:$J$105,2,FALSE),0)</f>
        <v>0</v>
      </c>
      <c r="V916">
        <f>IFERROR(VLOOKUP($R916,'TA database'!$I$112:$J$139,2,FALSE),0)</f>
        <v>0</v>
      </c>
      <c r="W916">
        <f>IFERROR(VLOOKUP($S916,'TA database'!$I$146:$J$193,2,FALSE),0)</f>
        <v>0</v>
      </c>
      <c r="X916">
        <f ca="1">IFERROR(VLOOKUP($S916,'TA database'!$I$200:$J$271,2,FALSE),0)</f>
        <v>133.77540235820089</v>
      </c>
      <c r="Y916" s="59">
        <f t="shared" ca="1" si="2783"/>
        <v>133.77540235820089</v>
      </c>
      <c r="Z916" t="str">
        <f t="shared" si="2784"/>
        <v>BIO_SR_LRG_C   →   C_UNDRGRND_STRG   →   LQ_TRUCK   →   H2_FC_DCHP_PWR</v>
      </c>
      <c r="AA916" t="str">
        <f t="shared" si="2785"/>
        <v>Grid electricity</v>
      </c>
      <c r="AB916" t="str">
        <f t="shared" si="2786"/>
        <v>Marginal abatement cost</v>
      </c>
      <c r="AC916">
        <f t="shared" ca="1" si="2787"/>
        <v>133.77540235820089</v>
      </c>
      <c r="AD916">
        <v>857</v>
      </c>
      <c r="AE916" t="str">
        <f>IF(AND(ISNUMBER(SEARCH(O916,4)),ISNUMBER(SEARCH('(4) FCH pathway assessment'!$B$16,AB916)),ISNUMBER(SEARCH('(4) FCH pathway assessment'!$B$10,AA916))),AD916,"")</f>
        <v/>
      </c>
      <c r="AF916" t="str">
        <f t="shared" si="2703"/>
        <v/>
      </c>
      <c r="AG916" t="str">
        <f>VLOOKUP(C916,Assumptions!$B$116:$C$162,2,FALSE)</f>
        <v>BIO_SR_LRG_C</v>
      </c>
      <c r="AH916" t="str">
        <f>VLOOKUP(D916,Assumptions!$B$116:$C$162,2,FALSE)</f>
        <v>C_UNDRGRND_STRG</v>
      </c>
      <c r="AI916" t="str">
        <f>VLOOKUP(E916,Assumptions!$B$116:$C$162,2,FALSE)</f>
        <v>LQ_TRUCK</v>
      </c>
      <c r="AJ916" t="str">
        <f>VLOOKUP(F916,Assumptions!$B$116:$C$162,2,FALSE)</f>
        <v>H2_FC_DCHP_PWR</v>
      </c>
    </row>
    <row r="917" spans="2:36" x14ac:dyDescent="0.25">
      <c r="B917" t="s">
        <v>117</v>
      </c>
      <c r="C917" t="s">
        <v>56</v>
      </c>
      <c r="D917" t="s">
        <v>62</v>
      </c>
      <c r="E917" t="s">
        <v>66</v>
      </c>
      <c r="F917" t="s">
        <v>549</v>
      </c>
      <c r="G917" t="s">
        <v>114</v>
      </c>
      <c r="H917" t="s">
        <v>433</v>
      </c>
      <c r="I917" t="s">
        <v>32</v>
      </c>
      <c r="J917" t="s">
        <v>77</v>
      </c>
      <c r="K917">
        <f t="shared" si="2774"/>
        <v>0</v>
      </c>
      <c r="L917">
        <f t="shared" si="2775"/>
        <v>0</v>
      </c>
      <c r="M917">
        <f t="shared" si="2776"/>
        <v>1</v>
      </c>
      <c r="N917">
        <f t="shared" si="2777"/>
        <v>0</v>
      </c>
      <c r="O917">
        <f t="shared" si="2778"/>
        <v>1</v>
      </c>
      <c r="P917" t="str">
        <f t="shared" si="2779"/>
        <v>Large centralized biomass steam reforming -Marginal abatement cost</v>
      </c>
      <c r="Q917" t="str">
        <f t="shared" si="2780"/>
        <v>Underground storage-Marginal abatement cost</v>
      </c>
      <c r="R917" t="str">
        <f t="shared" si="2781"/>
        <v>Onsite-Marginal abatement cost</v>
      </c>
      <c r="S917" t="str">
        <f t="shared" si="2782"/>
        <v>District-CHP with H2 fuel cell (power)-Marginal abatement cost</v>
      </c>
      <c r="T917">
        <f>IFERROR(VLOOKUP($P917,'TA database'!$I$8:$J$79,2,FALSE),0)</f>
        <v>0</v>
      </c>
      <c r="U917">
        <f>IFERROR(VLOOKUP($Q917,'TA database'!$I$86:$J$105,2,FALSE),0)</f>
        <v>0</v>
      </c>
      <c r="V917">
        <f>IFERROR(VLOOKUP($R917,'TA database'!$I$112:$J$139,2,FALSE),0)</f>
        <v>0</v>
      </c>
      <c r="W917">
        <f>IFERROR(VLOOKUP($S917,'TA database'!$I$146:$J$193,2,FALSE),0)</f>
        <v>0</v>
      </c>
      <c r="X917">
        <f ca="1">IFERROR(VLOOKUP($S917,'TA database'!$I$200:$J$271,2,FALSE),0)</f>
        <v>133.77540235820089</v>
      </c>
      <c r="Y917" s="59">
        <f t="shared" ca="1" si="2783"/>
        <v>133.77540235820089</v>
      </c>
      <c r="Z917" t="str">
        <f t="shared" si="2784"/>
        <v>BIO_SR_LRG_C   →   C_UNDRGRND_STRG   →   ONSITE_USE   →   H2_FC_DCHP_PWR</v>
      </c>
      <c r="AA917" t="str">
        <f t="shared" si="2785"/>
        <v>Grid electricity</v>
      </c>
      <c r="AB917" t="str">
        <f t="shared" si="2786"/>
        <v>Marginal abatement cost</v>
      </c>
      <c r="AC917">
        <f t="shared" ca="1" si="2787"/>
        <v>133.77540235820089</v>
      </c>
      <c r="AD917">
        <v>858</v>
      </c>
      <c r="AE917" t="str">
        <f>IF(AND(ISNUMBER(SEARCH(O917,4)),ISNUMBER(SEARCH('(4) FCH pathway assessment'!$B$16,AB917)),ISNUMBER(SEARCH('(4) FCH pathway assessment'!$B$10,AA917))),AD917,"")</f>
        <v/>
      </c>
      <c r="AF917" t="str">
        <f t="shared" si="2703"/>
        <v/>
      </c>
      <c r="AG917" t="str">
        <f>VLOOKUP(C917,Assumptions!$B$116:$C$162,2,FALSE)</f>
        <v>BIO_SR_LRG_C</v>
      </c>
      <c r="AH917" t="str">
        <f>VLOOKUP(D917,Assumptions!$B$116:$C$162,2,FALSE)</f>
        <v>C_UNDRGRND_STRG</v>
      </c>
      <c r="AI917" t="str">
        <f>VLOOKUP(E917,Assumptions!$B$116:$C$162,2,FALSE)</f>
        <v>ONSITE_USE</v>
      </c>
      <c r="AJ917" t="str">
        <f>VLOOKUP(F917,Assumptions!$B$116:$C$162,2,FALSE)</f>
        <v>H2_FC_DCHP_PWR</v>
      </c>
    </row>
    <row r="918" spans="2:36" x14ac:dyDescent="0.25">
      <c r="B918" t="s">
        <v>117</v>
      </c>
      <c r="C918" t="s">
        <v>56</v>
      </c>
      <c r="D918" s="61" t="s">
        <v>63</v>
      </c>
      <c r="E918" t="s">
        <v>122</v>
      </c>
      <c r="F918" t="s">
        <v>549</v>
      </c>
      <c r="G918" t="s">
        <v>114</v>
      </c>
      <c r="H918" t="s">
        <v>433</v>
      </c>
      <c r="I918" t="s">
        <v>32</v>
      </c>
      <c r="J918" t="s">
        <v>77</v>
      </c>
      <c r="K918">
        <f t="shared" si="2774"/>
        <v>0</v>
      </c>
      <c r="L918">
        <f t="shared" si="2775"/>
        <v>1</v>
      </c>
      <c r="M918">
        <f t="shared" si="2776"/>
        <v>1</v>
      </c>
      <c r="N918">
        <f t="shared" si="2777"/>
        <v>0</v>
      </c>
      <c r="O918">
        <f t="shared" si="2778"/>
        <v>2</v>
      </c>
      <c r="P918" t="str">
        <f t="shared" si="2779"/>
        <v>Large centralized biomass steam reforming -Marginal abatement cost</v>
      </c>
      <c r="Q918" t="str">
        <f t="shared" si="2780"/>
        <v>No storage-Marginal abatement cost</v>
      </c>
      <c r="R918" t="str">
        <f t="shared" si="2781"/>
        <v>Hydrogen transmission &amp; distribution pipeline-Marginal abatement cost</v>
      </c>
      <c r="S918" t="str">
        <f t="shared" si="2782"/>
        <v>District-CHP with H2 fuel cell (power)-Marginal abatement cost</v>
      </c>
      <c r="T918">
        <f>IFERROR(VLOOKUP($P918,'TA database'!$I$8:$J$79,2,FALSE),0)</f>
        <v>0</v>
      </c>
      <c r="U918">
        <f>IFERROR(VLOOKUP($Q918,'TA database'!$I$86:$J$105,2,FALSE),0)</f>
        <v>0</v>
      </c>
      <c r="V918">
        <f>IFERROR(VLOOKUP($R918,'TA database'!$I$112:$J$139,2,FALSE),0)</f>
        <v>0</v>
      </c>
      <c r="W918">
        <f>IFERROR(VLOOKUP($S918,'TA database'!$I$146:$J$193,2,FALSE),0)</f>
        <v>0</v>
      </c>
      <c r="X918">
        <f ca="1">IFERROR(VLOOKUP($S918,'TA database'!$I$200:$J$271,2,FALSE),0)</f>
        <v>133.77540235820089</v>
      </c>
      <c r="Y918" s="59">
        <f t="shared" ca="1" si="2783"/>
        <v>133.77540235820089</v>
      </c>
      <c r="Z918" t="str">
        <f t="shared" si="2784"/>
        <v>BIO_SR_LRG_C   →   NO_STRG   →   H2_T&amp;D_P   →   H2_FC_DCHP_PWR</v>
      </c>
      <c r="AA918" t="str">
        <f t="shared" si="2785"/>
        <v>Grid electricity</v>
      </c>
      <c r="AB918" t="str">
        <f t="shared" si="2786"/>
        <v>Marginal abatement cost</v>
      </c>
      <c r="AC918">
        <f t="shared" ca="1" si="2787"/>
        <v>133.77540235820089</v>
      </c>
      <c r="AD918">
        <v>859</v>
      </c>
      <c r="AE918" t="str">
        <f>IF(AND(ISNUMBER(SEARCH(O918,4)),ISNUMBER(SEARCH('(4) FCH pathway assessment'!$B$16,AB918)),ISNUMBER(SEARCH('(4) FCH pathway assessment'!$B$10,AA918))),AD918,"")</f>
        <v/>
      </c>
      <c r="AF918" t="str">
        <f t="shared" si="2703"/>
        <v/>
      </c>
      <c r="AG918" t="str">
        <f>VLOOKUP(C918,Assumptions!$B$116:$C$162,2,FALSE)</f>
        <v>BIO_SR_LRG_C</v>
      </c>
      <c r="AH918" t="str">
        <f>VLOOKUP(D918,Assumptions!$B$116:$C$162,2,FALSE)</f>
        <v>NO_STRG</v>
      </c>
      <c r="AI918" t="str">
        <f>VLOOKUP(E918,Assumptions!$B$116:$C$162,2,FALSE)</f>
        <v>H2_T&amp;D_P</v>
      </c>
      <c r="AJ918" t="str">
        <f>VLOOKUP(F918,Assumptions!$B$116:$C$162,2,FALSE)</f>
        <v>H2_FC_DCHP_PWR</v>
      </c>
    </row>
    <row r="919" spans="2:36" x14ac:dyDescent="0.25">
      <c r="B919" t="s">
        <v>112</v>
      </c>
      <c r="C919" t="s">
        <v>49</v>
      </c>
      <c r="D919" t="s">
        <v>62</v>
      </c>
      <c r="E919" t="s">
        <v>157</v>
      </c>
      <c r="F919" t="s">
        <v>549</v>
      </c>
      <c r="G919" t="s">
        <v>114</v>
      </c>
      <c r="H919" t="s">
        <v>433</v>
      </c>
      <c r="I919" t="s">
        <v>32</v>
      </c>
      <c r="J919" t="s">
        <v>77</v>
      </c>
      <c r="K919">
        <f t="shared" si="2774"/>
        <v>1</v>
      </c>
      <c r="L919">
        <f t="shared" si="2775"/>
        <v>0</v>
      </c>
      <c r="M919">
        <f t="shared" si="2776"/>
        <v>0</v>
      </c>
      <c r="N919">
        <f t="shared" si="2777"/>
        <v>0</v>
      </c>
      <c r="O919">
        <f t="shared" si="2778"/>
        <v>1</v>
      </c>
      <c r="P919" t="str">
        <f t="shared" si="2779"/>
        <v>Large centralized electrolysis-Marginal abatement cost</v>
      </c>
      <c r="Q919" t="str">
        <f t="shared" si="2780"/>
        <v>Underground storage-Marginal abatement cost</v>
      </c>
      <c r="R919" t="str">
        <f t="shared" si="2781"/>
        <v>Blending in natural gas pipeline-Marginal abatement cost</v>
      </c>
      <c r="S919" t="str">
        <f t="shared" si="2782"/>
        <v>District-CHP with H2 fuel cell (power)-Marginal abatement cost</v>
      </c>
      <c r="T919">
        <f>IFERROR(VLOOKUP($P919,'TA database'!$I$8:$J$79,2,FALSE),0)</f>
        <v>0</v>
      </c>
      <c r="U919">
        <f>IFERROR(VLOOKUP($Q919,'TA database'!$I$86:$J$105,2,FALSE),0)</f>
        <v>0</v>
      </c>
      <c r="V919">
        <f>IFERROR(VLOOKUP($R919,'TA database'!$I$112:$J$139,2,FALSE),0)</f>
        <v>0</v>
      </c>
      <c r="W919">
        <f>IFERROR(VLOOKUP($S919,'TA database'!$I$146:$J$193,2,FALSE),0)</f>
        <v>0</v>
      </c>
      <c r="X919">
        <f ca="1">IFERROR(VLOOKUP($S919,'TA database'!$I$200:$J$271,2,FALSE),0)</f>
        <v>133.77540235820089</v>
      </c>
      <c r="Y919" s="59">
        <f t="shared" ca="1" si="2783"/>
        <v>133.77540235820089</v>
      </c>
      <c r="Z919" t="str">
        <f t="shared" si="2784"/>
        <v>ELCTRLYZ_LRG_C   →   C_UNDRGRND_STRG   →   H2_BLND_NG_P   →   H2_FC_DCHP_PWR</v>
      </c>
      <c r="AA919" t="str">
        <f t="shared" si="2785"/>
        <v>Grid electricity</v>
      </c>
      <c r="AB919" t="str">
        <f t="shared" si="2786"/>
        <v>Marginal abatement cost</v>
      </c>
      <c r="AC919">
        <f t="shared" ca="1" si="2787"/>
        <v>133.77540235820089</v>
      </c>
      <c r="AD919">
        <v>860</v>
      </c>
      <c r="AE919" t="str">
        <f>IF(AND(ISNUMBER(SEARCH(O919,4)),ISNUMBER(SEARCH('(4) FCH pathway assessment'!$B$16,AB919)),ISNUMBER(SEARCH('(4) FCH pathway assessment'!$B$10,AA919))),AD919,"")</f>
        <v/>
      </c>
      <c r="AF919" t="str">
        <f t="shared" si="2703"/>
        <v/>
      </c>
      <c r="AG919" t="str">
        <f>VLOOKUP(C919,Assumptions!$B$116:$C$162,2,FALSE)</f>
        <v>ELCTRLYZ_LRG_C</v>
      </c>
      <c r="AH919" t="str">
        <f>VLOOKUP(D919,Assumptions!$B$116:$C$162,2,FALSE)</f>
        <v>C_UNDRGRND_STRG</v>
      </c>
      <c r="AI919" t="str">
        <f>VLOOKUP(E919,Assumptions!$B$116:$C$162,2,FALSE)</f>
        <v>H2_BLND_NG_P</v>
      </c>
      <c r="AJ919" t="str">
        <f>VLOOKUP(F919,Assumptions!$B$116:$C$162,2,FALSE)</f>
        <v>H2_FC_DCHP_PWR</v>
      </c>
    </row>
    <row r="920" spans="2:36" x14ac:dyDescent="0.25">
      <c r="B920" t="s">
        <v>112</v>
      </c>
      <c r="C920" t="s">
        <v>49</v>
      </c>
      <c r="D920" t="s">
        <v>62</v>
      </c>
      <c r="E920" t="s">
        <v>122</v>
      </c>
      <c r="F920" t="s">
        <v>549</v>
      </c>
      <c r="G920" t="s">
        <v>114</v>
      </c>
      <c r="H920" t="s">
        <v>433</v>
      </c>
      <c r="I920" t="s">
        <v>32</v>
      </c>
      <c r="J920" t="s">
        <v>77</v>
      </c>
      <c r="K920">
        <f t="shared" si="2774"/>
        <v>1</v>
      </c>
      <c r="L920">
        <f t="shared" si="2775"/>
        <v>0</v>
      </c>
      <c r="M920">
        <f t="shared" si="2776"/>
        <v>1</v>
      </c>
      <c r="N920">
        <f t="shared" si="2777"/>
        <v>0</v>
      </c>
      <c r="O920">
        <f t="shared" si="2778"/>
        <v>2</v>
      </c>
      <c r="P920" t="str">
        <f t="shared" si="2779"/>
        <v>Large centralized electrolysis-Marginal abatement cost</v>
      </c>
      <c r="Q920" t="str">
        <f t="shared" si="2780"/>
        <v>Underground storage-Marginal abatement cost</v>
      </c>
      <c r="R920" t="str">
        <f t="shared" si="2781"/>
        <v>Hydrogen transmission &amp; distribution pipeline-Marginal abatement cost</v>
      </c>
      <c r="S920" t="str">
        <f t="shared" si="2782"/>
        <v>District-CHP with H2 fuel cell (power)-Marginal abatement cost</v>
      </c>
      <c r="T920">
        <f>IFERROR(VLOOKUP($P920,'TA database'!$I$8:$J$79,2,FALSE),0)</f>
        <v>0</v>
      </c>
      <c r="U920">
        <f>IFERROR(VLOOKUP($Q920,'TA database'!$I$86:$J$105,2,FALSE),0)</f>
        <v>0</v>
      </c>
      <c r="V920">
        <f>IFERROR(VLOOKUP($R920,'TA database'!$I$112:$J$139,2,FALSE),0)</f>
        <v>0</v>
      </c>
      <c r="W920">
        <f>IFERROR(VLOOKUP($S920,'TA database'!$I$146:$J$193,2,FALSE),0)</f>
        <v>0</v>
      </c>
      <c r="X920">
        <f ca="1">IFERROR(VLOOKUP($S920,'TA database'!$I$200:$J$271,2,FALSE),0)</f>
        <v>133.77540235820089</v>
      </c>
      <c r="Y920" s="59">
        <f t="shared" ca="1" si="2783"/>
        <v>133.77540235820089</v>
      </c>
      <c r="Z920" t="str">
        <f t="shared" si="2784"/>
        <v>ELCTRLYZ_LRG_C   →   C_UNDRGRND_STRG   →   H2_T&amp;D_P   →   H2_FC_DCHP_PWR</v>
      </c>
      <c r="AA920" t="str">
        <f t="shared" si="2785"/>
        <v>Grid electricity</v>
      </c>
      <c r="AB920" t="str">
        <f t="shared" si="2786"/>
        <v>Marginal abatement cost</v>
      </c>
      <c r="AC920">
        <f t="shared" ca="1" si="2787"/>
        <v>133.77540235820089</v>
      </c>
      <c r="AD920">
        <v>861</v>
      </c>
      <c r="AE920" t="str">
        <f>IF(AND(ISNUMBER(SEARCH(O920,4)),ISNUMBER(SEARCH('(4) FCH pathway assessment'!$B$16,AB920)),ISNUMBER(SEARCH('(4) FCH pathway assessment'!$B$10,AA920))),AD920,"")</f>
        <v/>
      </c>
      <c r="AF920" t="str">
        <f t="shared" si="2703"/>
        <v/>
      </c>
      <c r="AG920" t="str">
        <f>VLOOKUP(C920,Assumptions!$B$116:$C$162,2,FALSE)</f>
        <v>ELCTRLYZ_LRG_C</v>
      </c>
      <c r="AH920" t="str">
        <f>VLOOKUP(D920,Assumptions!$B$116:$C$162,2,FALSE)</f>
        <v>C_UNDRGRND_STRG</v>
      </c>
      <c r="AI920" t="str">
        <f>VLOOKUP(E920,Assumptions!$B$116:$C$162,2,FALSE)</f>
        <v>H2_T&amp;D_P</v>
      </c>
      <c r="AJ920" t="str">
        <f>VLOOKUP(F920,Assumptions!$B$116:$C$162,2,FALSE)</f>
        <v>H2_FC_DCHP_PWR</v>
      </c>
    </row>
    <row r="921" spans="2:36" x14ac:dyDescent="0.25">
      <c r="B921" t="s">
        <v>112</v>
      </c>
      <c r="C921" t="s">
        <v>49</v>
      </c>
      <c r="D921" t="s">
        <v>62</v>
      </c>
      <c r="E921" t="s">
        <v>116</v>
      </c>
      <c r="F921" t="s">
        <v>549</v>
      </c>
      <c r="G921" t="s">
        <v>114</v>
      </c>
      <c r="H921" t="s">
        <v>433</v>
      </c>
      <c r="I921" t="s">
        <v>32</v>
      </c>
      <c r="J921" t="s">
        <v>77</v>
      </c>
      <c r="K921">
        <f t="shared" si="2774"/>
        <v>1</v>
      </c>
      <c r="L921">
        <f t="shared" si="2775"/>
        <v>0</v>
      </c>
      <c r="M921">
        <f t="shared" si="2776"/>
        <v>1</v>
      </c>
      <c r="N921">
        <f t="shared" si="2777"/>
        <v>0</v>
      </c>
      <c r="O921">
        <f t="shared" si="2778"/>
        <v>2</v>
      </c>
      <c r="P921" t="str">
        <f t="shared" si="2779"/>
        <v>Large centralized electrolysis-Marginal abatement cost</v>
      </c>
      <c r="Q921" t="str">
        <f t="shared" si="2780"/>
        <v>Underground storage-Marginal abatement cost</v>
      </c>
      <c r="R921" t="str">
        <f t="shared" si="2781"/>
        <v>Liquid hydrogen truck-Marginal abatement cost</v>
      </c>
      <c r="S921" t="str">
        <f t="shared" si="2782"/>
        <v>District-CHP with H2 fuel cell (power)-Marginal abatement cost</v>
      </c>
      <c r="T921">
        <f>IFERROR(VLOOKUP($P921,'TA database'!$I$8:$J$79,2,FALSE),0)</f>
        <v>0</v>
      </c>
      <c r="U921">
        <f>IFERROR(VLOOKUP($Q921,'TA database'!$I$86:$J$105,2,FALSE),0)</f>
        <v>0</v>
      </c>
      <c r="V921">
        <f>IFERROR(VLOOKUP($R921,'TA database'!$I$112:$J$139,2,FALSE),0)</f>
        <v>0</v>
      </c>
      <c r="W921">
        <f>IFERROR(VLOOKUP($S921,'TA database'!$I$146:$J$193,2,FALSE),0)</f>
        <v>0</v>
      </c>
      <c r="X921">
        <f ca="1">IFERROR(VLOOKUP($S921,'TA database'!$I$200:$J$271,2,FALSE),0)</f>
        <v>133.77540235820089</v>
      </c>
      <c r="Y921" s="59">
        <f t="shared" ca="1" si="2783"/>
        <v>133.77540235820089</v>
      </c>
      <c r="Z921" t="str">
        <f t="shared" si="2784"/>
        <v>ELCTRLYZ_LRG_C   →   C_UNDRGRND_STRG   →   LQ_TRUCK   →   H2_FC_DCHP_PWR</v>
      </c>
      <c r="AA921" t="str">
        <f t="shared" si="2785"/>
        <v>Grid electricity</v>
      </c>
      <c r="AB921" t="str">
        <f t="shared" si="2786"/>
        <v>Marginal abatement cost</v>
      </c>
      <c r="AC921">
        <f t="shared" ca="1" si="2787"/>
        <v>133.77540235820089</v>
      </c>
      <c r="AD921">
        <v>862</v>
      </c>
      <c r="AE921" t="str">
        <f>IF(AND(ISNUMBER(SEARCH(O921,4)),ISNUMBER(SEARCH('(4) FCH pathway assessment'!$B$16,AB921)),ISNUMBER(SEARCH('(4) FCH pathway assessment'!$B$10,AA921))),AD921,"")</f>
        <v/>
      </c>
      <c r="AF921" t="str">
        <f t="shared" si="2703"/>
        <v/>
      </c>
      <c r="AG921" t="str">
        <f>VLOOKUP(C921,Assumptions!$B$116:$C$162,2,FALSE)</f>
        <v>ELCTRLYZ_LRG_C</v>
      </c>
      <c r="AH921" t="str">
        <f>VLOOKUP(D921,Assumptions!$B$116:$C$162,2,FALSE)</f>
        <v>C_UNDRGRND_STRG</v>
      </c>
      <c r="AI921" t="str">
        <f>VLOOKUP(E921,Assumptions!$B$116:$C$162,2,FALSE)</f>
        <v>LQ_TRUCK</v>
      </c>
      <c r="AJ921" t="str">
        <f>VLOOKUP(F921,Assumptions!$B$116:$C$162,2,FALSE)</f>
        <v>H2_FC_DCHP_PWR</v>
      </c>
    </row>
    <row r="922" spans="2:36" x14ac:dyDescent="0.25">
      <c r="B922" t="s">
        <v>112</v>
      </c>
      <c r="C922" t="s">
        <v>49</v>
      </c>
      <c r="D922" t="s">
        <v>62</v>
      </c>
      <c r="E922" t="s">
        <v>66</v>
      </c>
      <c r="F922" t="s">
        <v>549</v>
      </c>
      <c r="G922" t="s">
        <v>114</v>
      </c>
      <c r="H922" t="s">
        <v>433</v>
      </c>
      <c r="I922" t="s">
        <v>32</v>
      </c>
      <c r="J922" t="s">
        <v>77</v>
      </c>
      <c r="K922">
        <f t="shared" si="2774"/>
        <v>1</v>
      </c>
      <c r="L922">
        <f t="shared" si="2775"/>
        <v>0</v>
      </c>
      <c r="M922">
        <f t="shared" si="2776"/>
        <v>1</v>
      </c>
      <c r="N922">
        <f t="shared" si="2777"/>
        <v>0</v>
      </c>
      <c r="O922">
        <f t="shared" si="2778"/>
        <v>2</v>
      </c>
      <c r="P922" t="str">
        <f t="shared" si="2779"/>
        <v>Large centralized electrolysis-Marginal abatement cost</v>
      </c>
      <c r="Q922" t="str">
        <f t="shared" si="2780"/>
        <v>Underground storage-Marginal abatement cost</v>
      </c>
      <c r="R922" t="str">
        <f t="shared" si="2781"/>
        <v>Onsite-Marginal abatement cost</v>
      </c>
      <c r="S922" t="str">
        <f t="shared" si="2782"/>
        <v>District-CHP with H2 fuel cell (power)-Marginal abatement cost</v>
      </c>
      <c r="T922">
        <f>IFERROR(VLOOKUP($P922,'TA database'!$I$8:$J$79,2,FALSE),0)</f>
        <v>0</v>
      </c>
      <c r="U922">
        <f>IFERROR(VLOOKUP($Q922,'TA database'!$I$86:$J$105,2,FALSE),0)</f>
        <v>0</v>
      </c>
      <c r="V922">
        <f>IFERROR(VLOOKUP($R922,'TA database'!$I$112:$J$139,2,FALSE),0)</f>
        <v>0</v>
      </c>
      <c r="W922">
        <f>IFERROR(VLOOKUP($S922,'TA database'!$I$146:$J$193,2,FALSE),0)</f>
        <v>0</v>
      </c>
      <c r="X922">
        <f ca="1">IFERROR(VLOOKUP($S922,'TA database'!$I$200:$J$271,2,FALSE),0)</f>
        <v>133.77540235820089</v>
      </c>
      <c r="Y922" s="59">
        <f t="shared" ca="1" si="2783"/>
        <v>133.77540235820089</v>
      </c>
      <c r="Z922" t="str">
        <f t="shared" si="2784"/>
        <v>ELCTRLYZ_LRG_C   →   C_UNDRGRND_STRG   →   ONSITE_USE   →   H2_FC_DCHP_PWR</v>
      </c>
      <c r="AA922" t="str">
        <f t="shared" si="2785"/>
        <v>Grid electricity</v>
      </c>
      <c r="AB922" t="str">
        <f t="shared" si="2786"/>
        <v>Marginal abatement cost</v>
      </c>
      <c r="AC922">
        <f t="shared" ca="1" si="2787"/>
        <v>133.77540235820089</v>
      </c>
      <c r="AD922">
        <v>863</v>
      </c>
      <c r="AE922" t="str">
        <f>IF(AND(ISNUMBER(SEARCH(O922,4)),ISNUMBER(SEARCH('(4) FCH pathway assessment'!$B$16,AB922)),ISNUMBER(SEARCH('(4) FCH pathway assessment'!$B$10,AA922))),AD922,"")</f>
        <v/>
      </c>
      <c r="AF922" t="str">
        <f t="shared" si="2703"/>
        <v/>
      </c>
      <c r="AG922" t="str">
        <f>VLOOKUP(C922,Assumptions!$B$116:$C$162,2,FALSE)</f>
        <v>ELCTRLYZ_LRG_C</v>
      </c>
      <c r="AH922" t="str">
        <f>VLOOKUP(D922,Assumptions!$B$116:$C$162,2,FALSE)</f>
        <v>C_UNDRGRND_STRG</v>
      </c>
      <c r="AI922" t="str">
        <f>VLOOKUP(E922,Assumptions!$B$116:$C$162,2,FALSE)</f>
        <v>ONSITE_USE</v>
      </c>
      <c r="AJ922" t="str">
        <f>VLOOKUP(F922,Assumptions!$B$116:$C$162,2,FALSE)</f>
        <v>H2_FC_DCHP_PWR</v>
      </c>
    </row>
    <row r="923" spans="2:36" x14ac:dyDescent="0.25">
      <c r="B923" t="s">
        <v>112</v>
      </c>
      <c r="C923" t="s">
        <v>49</v>
      </c>
      <c r="D923" t="s">
        <v>155</v>
      </c>
      <c r="E923" t="s">
        <v>157</v>
      </c>
      <c r="F923" t="s">
        <v>549</v>
      </c>
      <c r="G923" t="s">
        <v>114</v>
      </c>
      <c r="H923" t="s">
        <v>433</v>
      </c>
      <c r="I923" t="s">
        <v>32</v>
      </c>
      <c r="J923" t="s">
        <v>77</v>
      </c>
      <c r="K923">
        <f t="shared" si="2774"/>
        <v>1</v>
      </c>
      <c r="L923">
        <f t="shared" si="2775"/>
        <v>1</v>
      </c>
      <c r="M923">
        <f t="shared" si="2776"/>
        <v>0</v>
      </c>
      <c r="N923">
        <f t="shared" si="2777"/>
        <v>0</v>
      </c>
      <c r="O923">
        <f t="shared" si="2778"/>
        <v>2</v>
      </c>
      <c r="P923" t="str">
        <f t="shared" si="2779"/>
        <v>Large centralized electrolysis-Marginal abatement cost</v>
      </c>
      <c r="Q923" t="str">
        <f t="shared" si="2780"/>
        <v>Central gas storage-Marginal abatement cost</v>
      </c>
      <c r="R923" t="str">
        <f t="shared" si="2781"/>
        <v>Blending in natural gas pipeline-Marginal abatement cost</v>
      </c>
      <c r="S923" t="str">
        <f t="shared" si="2782"/>
        <v>District-CHP with H2 fuel cell (power)-Marginal abatement cost</v>
      </c>
      <c r="T923">
        <f>IFERROR(VLOOKUP($P923,'TA database'!$I$8:$J$79,2,FALSE),0)</f>
        <v>0</v>
      </c>
      <c r="U923">
        <f>IFERROR(VLOOKUP($Q923,'TA database'!$I$86:$J$105,2,FALSE),0)</f>
        <v>0</v>
      </c>
      <c r="V923">
        <f>IFERROR(VLOOKUP($R923,'TA database'!$I$112:$J$139,2,FALSE),0)</f>
        <v>0</v>
      </c>
      <c r="W923">
        <f>IFERROR(VLOOKUP($S923,'TA database'!$I$146:$J$193,2,FALSE),0)</f>
        <v>0</v>
      </c>
      <c r="X923">
        <f ca="1">IFERROR(VLOOKUP($S923,'TA database'!$I$200:$J$271,2,FALSE),0)</f>
        <v>133.77540235820089</v>
      </c>
      <c r="Y923" s="59">
        <f t="shared" ca="1" si="2783"/>
        <v>133.77540235820089</v>
      </c>
      <c r="Z923" t="str">
        <f t="shared" si="2784"/>
        <v>ELCTRLYZ_LRG_C   →   C_GAS_STRG   →   H2_BLND_NG_P   →   H2_FC_DCHP_PWR</v>
      </c>
      <c r="AA923" t="str">
        <f t="shared" si="2785"/>
        <v>Grid electricity</v>
      </c>
      <c r="AB923" t="str">
        <f t="shared" si="2786"/>
        <v>Marginal abatement cost</v>
      </c>
      <c r="AC923">
        <f t="shared" ca="1" si="2787"/>
        <v>133.77540235820089</v>
      </c>
      <c r="AD923">
        <v>864</v>
      </c>
      <c r="AE923" t="str">
        <f>IF(AND(ISNUMBER(SEARCH(O923,4)),ISNUMBER(SEARCH('(4) FCH pathway assessment'!$B$16,AB923)),ISNUMBER(SEARCH('(4) FCH pathway assessment'!$B$10,AA923))),AD923,"")</f>
        <v/>
      </c>
      <c r="AF923" t="str">
        <f t="shared" si="2703"/>
        <v/>
      </c>
      <c r="AG923" t="str">
        <f>VLOOKUP(C923,Assumptions!$B$116:$C$162,2,FALSE)</f>
        <v>ELCTRLYZ_LRG_C</v>
      </c>
      <c r="AH923" t="str">
        <f>VLOOKUP(D923,Assumptions!$B$116:$C$162,2,FALSE)</f>
        <v>C_GAS_STRG</v>
      </c>
      <c r="AI923" t="str">
        <f>VLOOKUP(E923,Assumptions!$B$116:$C$162,2,FALSE)</f>
        <v>H2_BLND_NG_P</v>
      </c>
      <c r="AJ923" t="str">
        <f>VLOOKUP(F923,Assumptions!$B$116:$C$162,2,FALSE)</f>
        <v>H2_FC_DCHP_PWR</v>
      </c>
    </row>
    <row r="924" spans="2:36" x14ac:dyDescent="0.25">
      <c r="B924" t="s">
        <v>112</v>
      </c>
      <c r="C924" t="s">
        <v>49</v>
      </c>
      <c r="D924" t="s">
        <v>155</v>
      </c>
      <c r="E924" t="s">
        <v>122</v>
      </c>
      <c r="F924" t="s">
        <v>549</v>
      </c>
      <c r="G924" t="s">
        <v>114</v>
      </c>
      <c r="H924" t="s">
        <v>433</v>
      </c>
      <c r="I924" t="s">
        <v>32</v>
      </c>
      <c r="J924" t="s">
        <v>77</v>
      </c>
      <c r="K924">
        <f t="shared" si="2774"/>
        <v>1</v>
      </c>
      <c r="L924">
        <f t="shared" si="2775"/>
        <v>1</v>
      </c>
      <c r="M924">
        <f t="shared" si="2776"/>
        <v>1</v>
      </c>
      <c r="N924">
        <f t="shared" si="2777"/>
        <v>0</v>
      </c>
      <c r="O924">
        <f t="shared" si="2778"/>
        <v>3</v>
      </c>
      <c r="P924" t="str">
        <f t="shared" si="2779"/>
        <v>Large centralized electrolysis-Marginal abatement cost</v>
      </c>
      <c r="Q924" t="str">
        <f t="shared" si="2780"/>
        <v>Central gas storage-Marginal abatement cost</v>
      </c>
      <c r="R924" t="str">
        <f t="shared" si="2781"/>
        <v>Hydrogen transmission &amp; distribution pipeline-Marginal abatement cost</v>
      </c>
      <c r="S924" t="str">
        <f t="shared" si="2782"/>
        <v>District-CHP with H2 fuel cell (power)-Marginal abatement cost</v>
      </c>
      <c r="T924">
        <f>IFERROR(VLOOKUP($P924,'TA database'!$I$8:$J$79,2,FALSE),0)</f>
        <v>0</v>
      </c>
      <c r="U924">
        <f>IFERROR(VLOOKUP($Q924,'TA database'!$I$86:$J$105,2,FALSE),0)</f>
        <v>0</v>
      </c>
      <c r="V924">
        <f>IFERROR(VLOOKUP($R924,'TA database'!$I$112:$J$139,2,FALSE),0)</f>
        <v>0</v>
      </c>
      <c r="W924">
        <f>IFERROR(VLOOKUP($S924,'TA database'!$I$146:$J$193,2,FALSE),0)</f>
        <v>0</v>
      </c>
      <c r="X924">
        <f ca="1">IFERROR(VLOOKUP($S924,'TA database'!$I$200:$J$271,2,FALSE),0)</f>
        <v>133.77540235820089</v>
      </c>
      <c r="Y924" s="59">
        <f t="shared" ca="1" si="2783"/>
        <v>133.77540235820089</v>
      </c>
      <c r="Z924" t="str">
        <f t="shared" si="2784"/>
        <v>ELCTRLYZ_LRG_C   →   C_GAS_STRG   →   H2_T&amp;D_P   →   H2_FC_DCHP_PWR</v>
      </c>
      <c r="AA924" t="str">
        <f t="shared" si="2785"/>
        <v>Grid electricity</v>
      </c>
      <c r="AB924" t="str">
        <f t="shared" si="2786"/>
        <v>Marginal abatement cost</v>
      </c>
      <c r="AC924">
        <f t="shared" ca="1" si="2787"/>
        <v>133.77540235820089</v>
      </c>
      <c r="AD924">
        <v>865</v>
      </c>
      <c r="AE924" t="str">
        <f>IF(AND(ISNUMBER(SEARCH(O924,4)),ISNUMBER(SEARCH('(4) FCH pathway assessment'!$B$16,AB924)),ISNUMBER(SEARCH('(4) FCH pathway assessment'!$B$10,AA924))),AD924,"")</f>
        <v/>
      </c>
      <c r="AF924" t="str">
        <f t="shared" si="2703"/>
        <v/>
      </c>
      <c r="AG924" t="str">
        <f>VLOOKUP(C924,Assumptions!$B$116:$C$162,2,FALSE)</f>
        <v>ELCTRLYZ_LRG_C</v>
      </c>
      <c r="AH924" t="str">
        <f>VLOOKUP(D924,Assumptions!$B$116:$C$162,2,FALSE)</f>
        <v>C_GAS_STRG</v>
      </c>
      <c r="AI924" t="str">
        <f>VLOOKUP(E924,Assumptions!$B$116:$C$162,2,FALSE)</f>
        <v>H2_T&amp;D_P</v>
      </c>
      <c r="AJ924" t="str">
        <f>VLOOKUP(F924,Assumptions!$B$116:$C$162,2,FALSE)</f>
        <v>H2_FC_DCHP_PWR</v>
      </c>
    </row>
    <row r="925" spans="2:36" x14ac:dyDescent="0.25">
      <c r="B925" t="s">
        <v>112</v>
      </c>
      <c r="C925" t="s">
        <v>49</v>
      </c>
      <c r="D925" t="s">
        <v>155</v>
      </c>
      <c r="E925" t="s">
        <v>116</v>
      </c>
      <c r="F925" t="s">
        <v>549</v>
      </c>
      <c r="G925" t="s">
        <v>114</v>
      </c>
      <c r="H925" t="s">
        <v>433</v>
      </c>
      <c r="I925" t="s">
        <v>32</v>
      </c>
      <c r="J925" t="s">
        <v>77</v>
      </c>
      <c r="K925">
        <f t="shared" si="2774"/>
        <v>1</v>
      </c>
      <c r="L925">
        <f t="shared" si="2775"/>
        <v>1</v>
      </c>
      <c r="M925">
        <f t="shared" si="2776"/>
        <v>1</v>
      </c>
      <c r="N925">
        <f t="shared" si="2777"/>
        <v>0</v>
      </c>
      <c r="O925">
        <f t="shared" si="2778"/>
        <v>3</v>
      </c>
      <c r="P925" t="str">
        <f t="shared" si="2779"/>
        <v>Large centralized electrolysis-Marginal abatement cost</v>
      </c>
      <c r="Q925" t="str">
        <f t="shared" si="2780"/>
        <v>Central gas storage-Marginal abatement cost</v>
      </c>
      <c r="R925" t="str">
        <f t="shared" si="2781"/>
        <v>Liquid hydrogen truck-Marginal abatement cost</v>
      </c>
      <c r="S925" t="str">
        <f t="shared" si="2782"/>
        <v>District-CHP with H2 fuel cell (power)-Marginal abatement cost</v>
      </c>
      <c r="T925">
        <f>IFERROR(VLOOKUP($P925,'TA database'!$I$8:$J$79,2,FALSE),0)</f>
        <v>0</v>
      </c>
      <c r="U925">
        <f>IFERROR(VLOOKUP($Q925,'TA database'!$I$86:$J$105,2,FALSE),0)</f>
        <v>0</v>
      </c>
      <c r="V925">
        <f>IFERROR(VLOOKUP($R925,'TA database'!$I$112:$J$139,2,FALSE),0)</f>
        <v>0</v>
      </c>
      <c r="W925">
        <f>IFERROR(VLOOKUP($S925,'TA database'!$I$146:$J$193,2,FALSE),0)</f>
        <v>0</v>
      </c>
      <c r="X925">
        <f ca="1">IFERROR(VLOOKUP($S925,'TA database'!$I$200:$J$271,2,FALSE),0)</f>
        <v>133.77540235820089</v>
      </c>
      <c r="Y925" s="59">
        <f t="shared" ca="1" si="2783"/>
        <v>133.77540235820089</v>
      </c>
      <c r="Z925" t="str">
        <f t="shared" si="2784"/>
        <v>ELCTRLYZ_LRG_C   →   C_GAS_STRG   →   LQ_TRUCK   →   H2_FC_DCHP_PWR</v>
      </c>
      <c r="AA925" t="str">
        <f t="shared" si="2785"/>
        <v>Grid electricity</v>
      </c>
      <c r="AB925" t="str">
        <f t="shared" si="2786"/>
        <v>Marginal abatement cost</v>
      </c>
      <c r="AC925">
        <f t="shared" ca="1" si="2787"/>
        <v>133.77540235820089</v>
      </c>
      <c r="AD925">
        <v>866</v>
      </c>
      <c r="AE925" t="str">
        <f>IF(AND(ISNUMBER(SEARCH(O925,4)),ISNUMBER(SEARCH('(4) FCH pathway assessment'!$B$16,AB925)),ISNUMBER(SEARCH('(4) FCH pathway assessment'!$B$10,AA925))),AD925,"")</f>
        <v/>
      </c>
      <c r="AF925" t="str">
        <f t="shared" si="2703"/>
        <v/>
      </c>
      <c r="AG925" t="str">
        <f>VLOOKUP(C925,Assumptions!$B$116:$C$162,2,FALSE)</f>
        <v>ELCTRLYZ_LRG_C</v>
      </c>
      <c r="AH925" t="str">
        <f>VLOOKUP(D925,Assumptions!$B$116:$C$162,2,FALSE)</f>
        <v>C_GAS_STRG</v>
      </c>
      <c r="AI925" t="str">
        <f>VLOOKUP(E925,Assumptions!$B$116:$C$162,2,FALSE)</f>
        <v>LQ_TRUCK</v>
      </c>
      <c r="AJ925" t="str">
        <f>VLOOKUP(F925,Assumptions!$B$116:$C$162,2,FALSE)</f>
        <v>H2_FC_DCHP_PWR</v>
      </c>
    </row>
    <row r="926" spans="2:36" x14ac:dyDescent="0.25">
      <c r="B926" t="s">
        <v>112</v>
      </c>
      <c r="C926" t="s">
        <v>49</v>
      </c>
      <c r="D926" t="s">
        <v>155</v>
      </c>
      <c r="E926" t="s">
        <v>66</v>
      </c>
      <c r="F926" t="s">
        <v>549</v>
      </c>
      <c r="G926" t="s">
        <v>114</v>
      </c>
      <c r="H926" t="s">
        <v>433</v>
      </c>
      <c r="I926" t="s">
        <v>32</v>
      </c>
      <c r="J926" t="s">
        <v>77</v>
      </c>
      <c r="K926">
        <f t="shared" si="2774"/>
        <v>1</v>
      </c>
      <c r="L926">
        <f t="shared" si="2775"/>
        <v>1</v>
      </c>
      <c r="M926">
        <f t="shared" si="2776"/>
        <v>1</v>
      </c>
      <c r="N926">
        <f t="shared" si="2777"/>
        <v>0</v>
      </c>
      <c r="O926">
        <f t="shared" si="2778"/>
        <v>3</v>
      </c>
      <c r="P926" t="str">
        <f t="shared" si="2779"/>
        <v>Large centralized electrolysis-Marginal abatement cost</v>
      </c>
      <c r="Q926" t="str">
        <f t="shared" si="2780"/>
        <v>Central gas storage-Marginal abatement cost</v>
      </c>
      <c r="R926" t="str">
        <f t="shared" si="2781"/>
        <v>Onsite-Marginal abatement cost</v>
      </c>
      <c r="S926" t="str">
        <f t="shared" si="2782"/>
        <v>District-CHP with H2 fuel cell (power)-Marginal abatement cost</v>
      </c>
      <c r="T926">
        <f>IFERROR(VLOOKUP($P926,'TA database'!$I$8:$J$79,2,FALSE),0)</f>
        <v>0</v>
      </c>
      <c r="U926">
        <f>IFERROR(VLOOKUP($Q926,'TA database'!$I$86:$J$105,2,FALSE),0)</f>
        <v>0</v>
      </c>
      <c r="V926">
        <f>IFERROR(VLOOKUP($R926,'TA database'!$I$112:$J$139,2,FALSE),0)</f>
        <v>0</v>
      </c>
      <c r="W926">
        <f>IFERROR(VLOOKUP($S926,'TA database'!$I$146:$J$193,2,FALSE),0)</f>
        <v>0</v>
      </c>
      <c r="X926">
        <f ca="1">IFERROR(VLOOKUP($S926,'TA database'!$I$200:$J$271,2,FALSE),0)</f>
        <v>133.77540235820089</v>
      </c>
      <c r="Y926" s="59">
        <f t="shared" ca="1" si="2783"/>
        <v>133.77540235820089</v>
      </c>
      <c r="Z926" t="str">
        <f t="shared" si="2784"/>
        <v>ELCTRLYZ_LRG_C   →   C_GAS_STRG   →   ONSITE_USE   →   H2_FC_DCHP_PWR</v>
      </c>
      <c r="AA926" t="str">
        <f t="shared" si="2785"/>
        <v>Grid electricity</v>
      </c>
      <c r="AB926" t="str">
        <f t="shared" si="2786"/>
        <v>Marginal abatement cost</v>
      </c>
      <c r="AC926">
        <f t="shared" ca="1" si="2787"/>
        <v>133.77540235820089</v>
      </c>
      <c r="AD926">
        <v>867</v>
      </c>
      <c r="AE926" t="str">
        <f>IF(AND(ISNUMBER(SEARCH(O926,4)),ISNUMBER(SEARCH('(4) FCH pathway assessment'!$B$16,AB926)),ISNUMBER(SEARCH('(4) FCH pathway assessment'!$B$10,AA926))),AD926,"")</f>
        <v/>
      </c>
      <c r="AF926" t="str">
        <f t="shared" si="2703"/>
        <v/>
      </c>
      <c r="AG926" t="str">
        <f>VLOOKUP(C926,Assumptions!$B$116:$C$162,2,FALSE)</f>
        <v>ELCTRLYZ_LRG_C</v>
      </c>
      <c r="AH926" t="str">
        <f>VLOOKUP(D926,Assumptions!$B$116:$C$162,2,FALSE)</f>
        <v>C_GAS_STRG</v>
      </c>
      <c r="AI926" t="str">
        <f>VLOOKUP(E926,Assumptions!$B$116:$C$162,2,FALSE)</f>
        <v>ONSITE_USE</v>
      </c>
      <c r="AJ926" t="str">
        <f>VLOOKUP(F926,Assumptions!$B$116:$C$162,2,FALSE)</f>
        <v>H2_FC_DCHP_PWR</v>
      </c>
    </row>
    <row r="927" spans="2:36" x14ac:dyDescent="0.25">
      <c r="B927" t="s">
        <v>112</v>
      </c>
      <c r="C927" t="s">
        <v>51</v>
      </c>
      <c r="D927" t="s">
        <v>155</v>
      </c>
      <c r="E927" t="s">
        <v>157</v>
      </c>
      <c r="F927" t="s">
        <v>549</v>
      </c>
      <c r="G927" t="s">
        <v>114</v>
      </c>
      <c r="H927" t="s">
        <v>433</v>
      </c>
      <c r="I927" t="s">
        <v>32</v>
      </c>
      <c r="J927" t="s">
        <v>77</v>
      </c>
      <c r="K927">
        <f t="shared" ref="K927:K930" si="2788">SUMPRODUCT(($C$7:$C$18=$C927)*($D$6:$H$6=$D927)*($D$7:$H$18))</f>
        <v>1</v>
      </c>
      <c r="L927">
        <f t="shared" ref="L927:L930" si="2789">SUMPRODUCT(($C$19:$C$23=$D927)*($I$6:$O$6=$E927)*($I$19:$O$23))</f>
        <v>1</v>
      </c>
      <c r="M927">
        <f t="shared" ref="M927:M930" si="2790">SUMPRODUCT(($C$24:$C$30=$E927)*($P$6:$AI$6=$F927)*($P$24:$AI$30))</f>
        <v>0</v>
      </c>
      <c r="N927">
        <f t="shared" ref="N927:N930" si="2791">SUMPRODUCT(($C$31:$C$50=$F927)*($AJ$6:$AM$6=$G927)*($AJ$31:$AM$50))</f>
        <v>0</v>
      </c>
      <c r="O927">
        <f t="shared" ref="O927:O930" si="2792">K927+L927+M927+N927</f>
        <v>2</v>
      </c>
      <c r="P927" t="str">
        <f t="shared" ref="P927:P930" si="2793">CONCATENATE(C927,"-",J927)</f>
        <v>Medium centralized electrolysis-Marginal abatement cost</v>
      </c>
      <c r="Q927" t="str">
        <f t="shared" ref="Q927:Q930" si="2794">CONCATENATE(D927,"-",J927)</f>
        <v>Central gas storage-Marginal abatement cost</v>
      </c>
      <c r="R927" t="str">
        <f t="shared" ref="R927:R930" si="2795">CONCATENATE(E927,"-",J927)</f>
        <v>Blending in natural gas pipeline-Marginal abatement cost</v>
      </c>
      <c r="S927" t="str">
        <f t="shared" ref="S927:S930" si="2796">CONCATENATE(F927,"-",J927)</f>
        <v>District-CHP with H2 fuel cell (power)-Marginal abatement cost</v>
      </c>
      <c r="T927">
        <f>IFERROR(VLOOKUP($P927,'TA database'!$I$8:$J$79,2,FALSE),0)</f>
        <v>0</v>
      </c>
      <c r="U927">
        <f>IFERROR(VLOOKUP($Q927,'TA database'!$I$86:$J$105,2,FALSE),0)</f>
        <v>0</v>
      </c>
      <c r="V927">
        <f>IFERROR(VLOOKUP($R927,'TA database'!$I$112:$J$139,2,FALSE),0)</f>
        <v>0</v>
      </c>
      <c r="W927">
        <f>IFERROR(VLOOKUP($S927,'TA database'!$I$146:$J$193,2,FALSE),0)</f>
        <v>0</v>
      </c>
      <c r="X927">
        <f ca="1">IFERROR(VLOOKUP($S927,'TA database'!$I$200:$J$271,2,FALSE),0)</f>
        <v>133.77540235820089</v>
      </c>
      <c r="Y927" s="59">
        <f t="shared" ref="Y927:Y930" ca="1" si="2797">IF($W927=0,T927+U927+V927+X927,T927+U927+V927+W927)</f>
        <v>133.77540235820089</v>
      </c>
      <c r="Z927" t="str">
        <f t="shared" ref="Z927:Z930" si="2798">CONCATENATE(AG927,"   →   ",AH927,"   →   ",AI927,"   →   ",AJ927)</f>
        <v>ELCTRLYZ_MED_C   →   C_GAS_STRG   →   H2_BLND_NG_P   →   H2_FC_DCHP_PWR</v>
      </c>
      <c r="AA927" t="str">
        <f t="shared" ref="AA927:AA930" si="2799">G927</f>
        <v>Grid electricity</v>
      </c>
      <c r="AB927" t="str">
        <f t="shared" ref="AB927:AB930" si="2800">J927</f>
        <v>Marginal abatement cost</v>
      </c>
      <c r="AC927">
        <f t="shared" ref="AC927:AC930" ca="1" si="2801">Y927</f>
        <v>133.77540235820089</v>
      </c>
      <c r="AD927">
        <v>868</v>
      </c>
      <c r="AE927" t="str">
        <f>IF(AND(ISNUMBER(SEARCH(O927,4)),ISNUMBER(SEARCH('(4) FCH pathway assessment'!$B$16,AB927)),ISNUMBER(SEARCH('(4) FCH pathway assessment'!$B$10,AA927))),AD927,"")</f>
        <v/>
      </c>
      <c r="AF927" t="str">
        <f t="shared" si="2703"/>
        <v/>
      </c>
      <c r="AG927" t="str">
        <f>VLOOKUP(C927,Assumptions!$B$116:$C$162,2,FALSE)</f>
        <v>ELCTRLYZ_MED_C</v>
      </c>
      <c r="AH927" t="str">
        <f>VLOOKUP(D927,Assumptions!$B$116:$C$162,2,FALSE)</f>
        <v>C_GAS_STRG</v>
      </c>
      <c r="AI927" t="str">
        <f>VLOOKUP(E927,Assumptions!$B$116:$C$162,2,FALSE)</f>
        <v>H2_BLND_NG_P</v>
      </c>
      <c r="AJ927" t="str">
        <f>VLOOKUP(F927,Assumptions!$B$116:$C$162,2,FALSE)</f>
        <v>H2_FC_DCHP_PWR</v>
      </c>
    </row>
    <row r="928" spans="2:36" x14ac:dyDescent="0.25">
      <c r="B928" t="s">
        <v>112</v>
      </c>
      <c r="C928" t="s">
        <v>51</v>
      </c>
      <c r="D928" t="s">
        <v>155</v>
      </c>
      <c r="E928" t="s">
        <v>122</v>
      </c>
      <c r="F928" t="s">
        <v>549</v>
      </c>
      <c r="G928" t="s">
        <v>114</v>
      </c>
      <c r="H928" t="s">
        <v>433</v>
      </c>
      <c r="I928" t="s">
        <v>32</v>
      </c>
      <c r="J928" t="s">
        <v>77</v>
      </c>
      <c r="K928">
        <f t="shared" si="2788"/>
        <v>1</v>
      </c>
      <c r="L928">
        <f t="shared" si="2789"/>
        <v>1</v>
      </c>
      <c r="M928">
        <f t="shared" si="2790"/>
        <v>1</v>
      </c>
      <c r="N928">
        <f t="shared" si="2791"/>
        <v>0</v>
      </c>
      <c r="O928">
        <f t="shared" si="2792"/>
        <v>3</v>
      </c>
      <c r="P928" t="str">
        <f t="shared" si="2793"/>
        <v>Medium centralized electrolysis-Marginal abatement cost</v>
      </c>
      <c r="Q928" t="str">
        <f t="shared" si="2794"/>
        <v>Central gas storage-Marginal abatement cost</v>
      </c>
      <c r="R928" t="str">
        <f t="shared" si="2795"/>
        <v>Hydrogen transmission &amp; distribution pipeline-Marginal abatement cost</v>
      </c>
      <c r="S928" t="str">
        <f t="shared" si="2796"/>
        <v>District-CHP with H2 fuel cell (power)-Marginal abatement cost</v>
      </c>
      <c r="T928">
        <f>IFERROR(VLOOKUP($P928,'TA database'!$I$8:$J$79,2,FALSE),0)</f>
        <v>0</v>
      </c>
      <c r="U928">
        <f>IFERROR(VLOOKUP($Q928,'TA database'!$I$86:$J$105,2,FALSE),0)</f>
        <v>0</v>
      </c>
      <c r="V928">
        <f>IFERROR(VLOOKUP($R928,'TA database'!$I$112:$J$139,2,FALSE),0)</f>
        <v>0</v>
      </c>
      <c r="W928">
        <f>IFERROR(VLOOKUP($S928,'TA database'!$I$146:$J$193,2,FALSE),0)</f>
        <v>0</v>
      </c>
      <c r="X928">
        <f ca="1">IFERROR(VLOOKUP($S928,'TA database'!$I$200:$J$271,2,FALSE),0)</f>
        <v>133.77540235820089</v>
      </c>
      <c r="Y928" s="59">
        <f t="shared" ca="1" si="2797"/>
        <v>133.77540235820089</v>
      </c>
      <c r="Z928" t="str">
        <f t="shared" si="2798"/>
        <v>ELCTRLYZ_MED_C   →   C_GAS_STRG   →   H2_T&amp;D_P   →   H2_FC_DCHP_PWR</v>
      </c>
      <c r="AA928" t="str">
        <f t="shared" si="2799"/>
        <v>Grid electricity</v>
      </c>
      <c r="AB928" t="str">
        <f t="shared" si="2800"/>
        <v>Marginal abatement cost</v>
      </c>
      <c r="AC928">
        <f t="shared" ca="1" si="2801"/>
        <v>133.77540235820089</v>
      </c>
      <c r="AD928">
        <v>869</v>
      </c>
      <c r="AE928" t="str">
        <f>IF(AND(ISNUMBER(SEARCH(O928,4)),ISNUMBER(SEARCH('(4) FCH pathway assessment'!$B$16,AB928)),ISNUMBER(SEARCH('(4) FCH pathway assessment'!$B$10,AA928))),AD928,"")</f>
        <v/>
      </c>
      <c r="AF928" t="str">
        <f t="shared" si="2703"/>
        <v/>
      </c>
      <c r="AG928" t="str">
        <f>VLOOKUP(C928,Assumptions!$B$116:$C$162,2,FALSE)</f>
        <v>ELCTRLYZ_MED_C</v>
      </c>
      <c r="AH928" t="str">
        <f>VLOOKUP(D928,Assumptions!$B$116:$C$162,2,FALSE)</f>
        <v>C_GAS_STRG</v>
      </c>
      <c r="AI928" t="str">
        <f>VLOOKUP(E928,Assumptions!$B$116:$C$162,2,FALSE)</f>
        <v>H2_T&amp;D_P</v>
      </c>
      <c r="AJ928" t="str">
        <f>VLOOKUP(F928,Assumptions!$B$116:$C$162,2,FALSE)</f>
        <v>H2_FC_DCHP_PWR</v>
      </c>
    </row>
    <row r="929" spans="2:36" x14ac:dyDescent="0.25">
      <c r="B929" t="s">
        <v>112</v>
      </c>
      <c r="C929" t="s">
        <v>51</v>
      </c>
      <c r="D929" t="s">
        <v>155</v>
      </c>
      <c r="E929" t="s">
        <v>116</v>
      </c>
      <c r="F929" t="s">
        <v>549</v>
      </c>
      <c r="G929" t="s">
        <v>114</v>
      </c>
      <c r="H929" t="s">
        <v>433</v>
      </c>
      <c r="I929" t="s">
        <v>32</v>
      </c>
      <c r="J929" t="s">
        <v>77</v>
      </c>
      <c r="K929">
        <f t="shared" si="2788"/>
        <v>1</v>
      </c>
      <c r="L929">
        <f t="shared" si="2789"/>
        <v>1</v>
      </c>
      <c r="M929">
        <f t="shared" si="2790"/>
        <v>1</v>
      </c>
      <c r="N929">
        <f t="shared" si="2791"/>
        <v>0</v>
      </c>
      <c r="O929">
        <f t="shared" si="2792"/>
        <v>3</v>
      </c>
      <c r="P929" t="str">
        <f t="shared" si="2793"/>
        <v>Medium centralized electrolysis-Marginal abatement cost</v>
      </c>
      <c r="Q929" t="str">
        <f t="shared" si="2794"/>
        <v>Central gas storage-Marginal abatement cost</v>
      </c>
      <c r="R929" t="str">
        <f t="shared" si="2795"/>
        <v>Liquid hydrogen truck-Marginal abatement cost</v>
      </c>
      <c r="S929" t="str">
        <f t="shared" si="2796"/>
        <v>District-CHP with H2 fuel cell (power)-Marginal abatement cost</v>
      </c>
      <c r="T929">
        <f>IFERROR(VLOOKUP($P929,'TA database'!$I$8:$J$79,2,FALSE),0)</f>
        <v>0</v>
      </c>
      <c r="U929">
        <f>IFERROR(VLOOKUP($Q929,'TA database'!$I$86:$J$105,2,FALSE),0)</f>
        <v>0</v>
      </c>
      <c r="V929">
        <f>IFERROR(VLOOKUP($R929,'TA database'!$I$112:$J$139,2,FALSE),0)</f>
        <v>0</v>
      </c>
      <c r="W929">
        <f>IFERROR(VLOOKUP($S929,'TA database'!$I$146:$J$193,2,FALSE),0)</f>
        <v>0</v>
      </c>
      <c r="X929">
        <f ca="1">IFERROR(VLOOKUP($S929,'TA database'!$I$200:$J$271,2,FALSE),0)</f>
        <v>133.77540235820089</v>
      </c>
      <c r="Y929" s="59">
        <f t="shared" ca="1" si="2797"/>
        <v>133.77540235820089</v>
      </c>
      <c r="Z929" t="str">
        <f t="shared" si="2798"/>
        <v>ELCTRLYZ_MED_C   →   C_GAS_STRG   →   LQ_TRUCK   →   H2_FC_DCHP_PWR</v>
      </c>
      <c r="AA929" t="str">
        <f t="shared" si="2799"/>
        <v>Grid electricity</v>
      </c>
      <c r="AB929" t="str">
        <f t="shared" si="2800"/>
        <v>Marginal abatement cost</v>
      </c>
      <c r="AC929">
        <f t="shared" ca="1" si="2801"/>
        <v>133.77540235820089</v>
      </c>
      <c r="AD929">
        <v>870</v>
      </c>
      <c r="AE929" t="str">
        <f>IF(AND(ISNUMBER(SEARCH(O929,4)),ISNUMBER(SEARCH('(4) FCH pathway assessment'!$B$16,AB929)),ISNUMBER(SEARCH('(4) FCH pathway assessment'!$B$10,AA929))),AD929,"")</f>
        <v/>
      </c>
      <c r="AF929" t="str">
        <f t="shared" si="2703"/>
        <v/>
      </c>
      <c r="AG929" t="str">
        <f>VLOOKUP(C929,Assumptions!$B$116:$C$162,2,FALSE)</f>
        <v>ELCTRLYZ_MED_C</v>
      </c>
      <c r="AH929" t="str">
        <f>VLOOKUP(D929,Assumptions!$B$116:$C$162,2,FALSE)</f>
        <v>C_GAS_STRG</v>
      </c>
      <c r="AI929" t="str">
        <f>VLOOKUP(E929,Assumptions!$B$116:$C$162,2,FALSE)</f>
        <v>LQ_TRUCK</v>
      </c>
      <c r="AJ929" t="str">
        <f>VLOOKUP(F929,Assumptions!$B$116:$C$162,2,FALSE)</f>
        <v>H2_FC_DCHP_PWR</v>
      </c>
    </row>
    <row r="930" spans="2:36" x14ac:dyDescent="0.25">
      <c r="B930" t="s">
        <v>112</v>
      </c>
      <c r="C930" t="s">
        <v>51</v>
      </c>
      <c r="D930" t="s">
        <v>155</v>
      </c>
      <c r="E930" t="s">
        <v>66</v>
      </c>
      <c r="F930" t="s">
        <v>549</v>
      </c>
      <c r="G930" t="s">
        <v>114</v>
      </c>
      <c r="H930" t="s">
        <v>433</v>
      </c>
      <c r="I930" t="s">
        <v>32</v>
      </c>
      <c r="J930" t="s">
        <v>77</v>
      </c>
      <c r="K930">
        <f t="shared" si="2788"/>
        <v>1</v>
      </c>
      <c r="L930">
        <f t="shared" si="2789"/>
        <v>1</v>
      </c>
      <c r="M930">
        <f t="shared" si="2790"/>
        <v>1</v>
      </c>
      <c r="N930">
        <f t="shared" si="2791"/>
        <v>0</v>
      </c>
      <c r="O930">
        <f t="shared" si="2792"/>
        <v>3</v>
      </c>
      <c r="P930" t="str">
        <f t="shared" si="2793"/>
        <v>Medium centralized electrolysis-Marginal abatement cost</v>
      </c>
      <c r="Q930" t="str">
        <f t="shared" si="2794"/>
        <v>Central gas storage-Marginal abatement cost</v>
      </c>
      <c r="R930" t="str">
        <f t="shared" si="2795"/>
        <v>Onsite-Marginal abatement cost</v>
      </c>
      <c r="S930" t="str">
        <f t="shared" si="2796"/>
        <v>District-CHP with H2 fuel cell (power)-Marginal abatement cost</v>
      </c>
      <c r="T930">
        <f>IFERROR(VLOOKUP($P930,'TA database'!$I$8:$J$79,2,FALSE),0)</f>
        <v>0</v>
      </c>
      <c r="U930">
        <f>IFERROR(VLOOKUP($Q930,'TA database'!$I$86:$J$105,2,FALSE),0)</f>
        <v>0</v>
      </c>
      <c r="V930">
        <f>IFERROR(VLOOKUP($R930,'TA database'!$I$112:$J$139,2,FALSE),0)</f>
        <v>0</v>
      </c>
      <c r="W930">
        <f>IFERROR(VLOOKUP($S930,'TA database'!$I$146:$J$193,2,FALSE),0)</f>
        <v>0</v>
      </c>
      <c r="X930">
        <f ca="1">IFERROR(VLOOKUP($S930,'TA database'!$I$200:$J$271,2,FALSE),0)</f>
        <v>133.77540235820089</v>
      </c>
      <c r="Y930" s="59">
        <f t="shared" ca="1" si="2797"/>
        <v>133.77540235820089</v>
      </c>
      <c r="Z930" t="str">
        <f t="shared" si="2798"/>
        <v>ELCTRLYZ_MED_C   →   C_GAS_STRG   →   ONSITE_USE   →   H2_FC_DCHP_PWR</v>
      </c>
      <c r="AA930" t="str">
        <f t="shared" si="2799"/>
        <v>Grid electricity</v>
      </c>
      <c r="AB930" t="str">
        <f t="shared" si="2800"/>
        <v>Marginal abatement cost</v>
      </c>
      <c r="AC930">
        <f t="shared" ca="1" si="2801"/>
        <v>133.77540235820089</v>
      </c>
      <c r="AD930">
        <v>871</v>
      </c>
      <c r="AE930" t="str">
        <f>IF(AND(ISNUMBER(SEARCH(O930,4)),ISNUMBER(SEARCH('(4) FCH pathway assessment'!$B$16,AB930)),ISNUMBER(SEARCH('(4) FCH pathway assessment'!$B$10,AA930))),AD930,"")</f>
        <v/>
      </c>
      <c r="AF930" t="str">
        <f t="shared" si="2703"/>
        <v/>
      </c>
      <c r="AG930" t="str">
        <f>VLOOKUP(C930,Assumptions!$B$116:$C$162,2,FALSE)</f>
        <v>ELCTRLYZ_MED_C</v>
      </c>
      <c r="AH930" t="str">
        <f>VLOOKUP(D930,Assumptions!$B$116:$C$162,2,FALSE)</f>
        <v>C_GAS_STRG</v>
      </c>
      <c r="AI930" t="str">
        <f>VLOOKUP(E930,Assumptions!$B$116:$C$162,2,FALSE)</f>
        <v>ONSITE_USE</v>
      </c>
      <c r="AJ930" t="str">
        <f>VLOOKUP(F930,Assumptions!$B$116:$C$162,2,FALSE)</f>
        <v>H2_FC_DCHP_PWR</v>
      </c>
    </row>
    <row r="931" spans="2:36" x14ac:dyDescent="0.25">
      <c r="B931" t="s">
        <v>112</v>
      </c>
      <c r="C931" t="s">
        <v>52</v>
      </c>
      <c r="D931" s="60" t="s">
        <v>130</v>
      </c>
      <c r="E931" t="s">
        <v>66</v>
      </c>
      <c r="F931" t="s">
        <v>549</v>
      </c>
      <c r="G931" t="s">
        <v>114</v>
      </c>
      <c r="H931" t="s">
        <v>433</v>
      </c>
      <c r="I931" t="s">
        <v>32</v>
      </c>
      <c r="J931" t="s">
        <v>77</v>
      </c>
      <c r="K931">
        <f t="shared" ref="K931:K937" si="2802">SUMPRODUCT(($C$7:$C$18=$C931)*($D$6:$H$6=$D931)*($D$7:$H$18))</f>
        <v>1</v>
      </c>
      <c r="L931">
        <f t="shared" ref="L931:L937" si="2803">SUMPRODUCT(($C$19:$C$23=$D931)*($I$6:$O$6=$E931)*($I$19:$O$23))</f>
        <v>1</v>
      </c>
      <c r="M931">
        <f t="shared" ref="M931:M937" si="2804">SUMPRODUCT(($C$24:$C$30=$E931)*($P$6:$AI$6=$F931)*($P$24:$AI$30))</f>
        <v>1</v>
      </c>
      <c r="N931">
        <f t="shared" ref="N931:N937" si="2805">SUMPRODUCT(($C$31:$C$50=$F931)*($AJ$6:$AM$6=$G931)*($AJ$31:$AM$50))</f>
        <v>0</v>
      </c>
      <c r="O931">
        <f t="shared" ref="O931:O936" si="2806">K931+L931+M931+N931</f>
        <v>3</v>
      </c>
      <c r="P931" t="str">
        <f t="shared" ref="P931:P937" si="2807">CONCATENATE(C931,"-",J931)</f>
        <v>Small decentralized electrolysis-Marginal abatement cost</v>
      </c>
      <c r="Q931" t="str">
        <f t="shared" ref="Q931:Q937" si="2808">CONCATENATE(D931,"-",J931)</f>
        <v>Distributed gas storage-Marginal abatement cost</v>
      </c>
      <c r="R931" t="str">
        <f t="shared" ref="R931:R937" si="2809">CONCATENATE(E931,"-",J931)</f>
        <v>Onsite-Marginal abatement cost</v>
      </c>
      <c r="S931" t="str">
        <f t="shared" ref="S931:S937" si="2810">CONCATENATE(F931,"-",J931)</f>
        <v>District-CHP with H2 fuel cell (power)-Marginal abatement cost</v>
      </c>
      <c r="T931">
        <f>IFERROR(VLOOKUP($P931,'TA database'!$I$8:$J$79,2,FALSE),0)</f>
        <v>0</v>
      </c>
      <c r="U931">
        <f>IFERROR(VLOOKUP($Q931,'TA database'!$I$86:$J$105,2,FALSE),0)</f>
        <v>0</v>
      </c>
      <c r="V931">
        <f>IFERROR(VLOOKUP($R931,'TA database'!$I$112:$J$139,2,FALSE),0)</f>
        <v>0</v>
      </c>
      <c r="W931">
        <f>IFERROR(VLOOKUP($S931,'TA database'!$I$146:$J$193,2,FALSE),0)</f>
        <v>0</v>
      </c>
      <c r="X931">
        <f ca="1">IFERROR(VLOOKUP($S931,'TA database'!$I$200:$J$271,2,FALSE),0)</f>
        <v>133.77540235820089</v>
      </c>
      <c r="Y931" s="59">
        <f t="shared" ref="Y931:Y936" ca="1" si="2811">IF($W931=0,T931+U931+V931+X931,T931+U931+V931+W931)</f>
        <v>133.77540235820089</v>
      </c>
      <c r="Z931" t="str">
        <f t="shared" ref="Z931:Z936" si="2812">CONCATENATE(AG931,"   →   ",AH931,"   →   ",AI931,"   →   ",AJ931)</f>
        <v>ELCTRLYZ_SML_D   →   D_GAS_STRG   →   ONSITE_USE   →   H2_FC_DCHP_PWR</v>
      </c>
      <c r="AA931" t="str">
        <f t="shared" ref="AA931:AA936" si="2813">G931</f>
        <v>Grid electricity</v>
      </c>
      <c r="AB931" t="str">
        <f t="shared" ref="AB931:AB936" si="2814">J931</f>
        <v>Marginal abatement cost</v>
      </c>
      <c r="AC931">
        <f t="shared" ref="AC931:AC936" ca="1" si="2815">Y931</f>
        <v>133.77540235820089</v>
      </c>
      <c r="AD931">
        <v>872</v>
      </c>
      <c r="AE931" t="str">
        <f>IF(AND(ISNUMBER(SEARCH(O931,4)),ISNUMBER(SEARCH('(4) FCH pathway assessment'!$B$16,AB931)),ISNUMBER(SEARCH('(4) FCH pathway assessment'!$B$10,AA931))),AD931,"")</f>
        <v/>
      </c>
      <c r="AF931" t="str">
        <f t="shared" si="2703"/>
        <v/>
      </c>
      <c r="AG931" t="str">
        <f>VLOOKUP(C931,Assumptions!$B$116:$C$162,2,FALSE)</f>
        <v>ELCTRLYZ_SML_D</v>
      </c>
      <c r="AH931" t="str">
        <f>VLOOKUP(D931,Assumptions!$B$116:$C$162,2,FALSE)</f>
        <v>D_GAS_STRG</v>
      </c>
      <c r="AI931" t="str">
        <f>VLOOKUP(E931,Assumptions!$B$116:$C$162,2,FALSE)</f>
        <v>ONSITE_USE</v>
      </c>
      <c r="AJ931" t="str">
        <f>VLOOKUP(F931,Assumptions!$B$116:$C$162,2,FALSE)</f>
        <v>H2_FC_DCHP_PWR</v>
      </c>
    </row>
    <row r="932" spans="2:36" x14ac:dyDescent="0.25">
      <c r="B932" t="s">
        <v>127</v>
      </c>
      <c r="C932" t="s">
        <v>57</v>
      </c>
      <c r="D932" t="s">
        <v>62</v>
      </c>
      <c r="E932" t="s">
        <v>157</v>
      </c>
      <c r="F932" t="s">
        <v>549</v>
      </c>
      <c r="G932" t="s">
        <v>114</v>
      </c>
      <c r="H932" t="s">
        <v>433</v>
      </c>
      <c r="I932" t="s">
        <v>32</v>
      </c>
      <c r="J932" t="s">
        <v>77</v>
      </c>
      <c r="K932">
        <f t="shared" si="2802"/>
        <v>1</v>
      </c>
      <c r="L932">
        <f t="shared" si="2803"/>
        <v>0</v>
      </c>
      <c r="M932">
        <f t="shared" si="2804"/>
        <v>0</v>
      </c>
      <c r="N932">
        <f t="shared" si="2805"/>
        <v>0</v>
      </c>
      <c r="O932">
        <f t="shared" si="2806"/>
        <v>1</v>
      </c>
      <c r="P932" t="str">
        <f t="shared" si="2807"/>
        <v>Large centralized natural gas steam reforming-Marginal abatement cost</v>
      </c>
      <c r="Q932" t="str">
        <f t="shared" si="2808"/>
        <v>Underground storage-Marginal abatement cost</v>
      </c>
      <c r="R932" t="str">
        <f t="shared" si="2809"/>
        <v>Blending in natural gas pipeline-Marginal abatement cost</v>
      </c>
      <c r="S932" t="str">
        <f t="shared" si="2810"/>
        <v>District-CHP with H2 fuel cell (power)-Marginal abatement cost</v>
      </c>
      <c r="T932">
        <f>IFERROR(VLOOKUP($P932,'TA database'!$I$8:$J$79,2,FALSE),0)</f>
        <v>0</v>
      </c>
      <c r="U932">
        <f>IFERROR(VLOOKUP($Q932,'TA database'!$I$86:$J$105,2,FALSE),0)</f>
        <v>0</v>
      </c>
      <c r="V932">
        <f>IFERROR(VLOOKUP($R932,'TA database'!$I$112:$J$139,2,FALSE),0)</f>
        <v>0</v>
      </c>
      <c r="W932">
        <f>IFERROR(VLOOKUP($S932,'TA database'!$I$146:$J$193,2,FALSE),0)</f>
        <v>0</v>
      </c>
      <c r="X932">
        <f ca="1">IFERROR(VLOOKUP($S932,'TA database'!$I$200:$J$271,2,FALSE),0)</f>
        <v>133.77540235820089</v>
      </c>
      <c r="Y932" s="59">
        <f t="shared" ca="1" si="2811"/>
        <v>133.77540235820089</v>
      </c>
      <c r="Z932" t="str">
        <f t="shared" si="2812"/>
        <v>NG_SR_LRG_C   →   C_UNDRGRND_STRG   →   H2_BLND_NG_P   →   H2_FC_DCHP_PWR</v>
      </c>
      <c r="AA932" t="str">
        <f t="shared" si="2813"/>
        <v>Grid electricity</v>
      </c>
      <c r="AB932" t="str">
        <f t="shared" si="2814"/>
        <v>Marginal abatement cost</v>
      </c>
      <c r="AC932">
        <f t="shared" ca="1" si="2815"/>
        <v>133.77540235820089</v>
      </c>
      <c r="AD932">
        <v>873</v>
      </c>
      <c r="AE932" t="str">
        <f>IF(AND(ISNUMBER(SEARCH(O932,4)),ISNUMBER(SEARCH('(4) FCH pathway assessment'!$B$16,AB932)),ISNUMBER(SEARCH('(4) FCH pathway assessment'!$B$10,AA932))),AD932,"")</f>
        <v/>
      </c>
      <c r="AF932" t="str">
        <f t="shared" si="2703"/>
        <v/>
      </c>
      <c r="AG932" t="str">
        <f>VLOOKUP(C932,Assumptions!$B$116:$C$162,2,FALSE)</f>
        <v>NG_SR_LRG_C</v>
      </c>
      <c r="AH932" t="str">
        <f>VLOOKUP(D932,Assumptions!$B$116:$C$162,2,FALSE)</f>
        <v>C_UNDRGRND_STRG</v>
      </c>
      <c r="AI932" t="str">
        <f>VLOOKUP(E932,Assumptions!$B$116:$C$162,2,FALSE)</f>
        <v>H2_BLND_NG_P</v>
      </c>
      <c r="AJ932" t="str">
        <f>VLOOKUP(F932,Assumptions!$B$116:$C$162,2,FALSE)</f>
        <v>H2_FC_DCHP_PWR</v>
      </c>
    </row>
    <row r="933" spans="2:36" x14ac:dyDescent="0.25">
      <c r="B933" t="s">
        <v>127</v>
      </c>
      <c r="C933" t="s">
        <v>57</v>
      </c>
      <c r="D933" t="s">
        <v>62</v>
      </c>
      <c r="E933" t="s">
        <v>122</v>
      </c>
      <c r="F933" t="s">
        <v>549</v>
      </c>
      <c r="G933" t="s">
        <v>114</v>
      </c>
      <c r="H933" t="s">
        <v>433</v>
      </c>
      <c r="I933" t="s">
        <v>32</v>
      </c>
      <c r="J933" t="s">
        <v>77</v>
      </c>
      <c r="K933">
        <f t="shared" si="2802"/>
        <v>1</v>
      </c>
      <c r="L933">
        <f t="shared" si="2803"/>
        <v>0</v>
      </c>
      <c r="M933">
        <f t="shared" si="2804"/>
        <v>1</v>
      </c>
      <c r="N933">
        <f t="shared" si="2805"/>
        <v>0</v>
      </c>
      <c r="O933">
        <f t="shared" si="2806"/>
        <v>2</v>
      </c>
      <c r="P933" t="str">
        <f t="shared" si="2807"/>
        <v>Large centralized natural gas steam reforming-Marginal abatement cost</v>
      </c>
      <c r="Q933" t="str">
        <f t="shared" si="2808"/>
        <v>Underground storage-Marginal abatement cost</v>
      </c>
      <c r="R933" t="str">
        <f t="shared" si="2809"/>
        <v>Hydrogen transmission &amp; distribution pipeline-Marginal abatement cost</v>
      </c>
      <c r="S933" t="str">
        <f t="shared" si="2810"/>
        <v>District-CHP with H2 fuel cell (power)-Marginal abatement cost</v>
      </c>
      <c r="T933">
        <f>IFERROR(VLOOKUP($P933,'TA database'!$I$8:$J$79,2,FALSE),0)</f>
        <v>0</v>
      </c>
      <c r="U933">
        <f>IFERROR(VLOOKUP($Q933,'TA database'!$I$86:$J$105,2,FALSE),0)</f>
        <v>0</v>
      </c>
      <c r="V933">
        <f>IFERROR(VLOOKUP($R933,'TA database'!$I$112:$J$139,2,FALSE),0)</f>
        <v>0</v>
      </c>
      <c r="W933">
        <f>IFERROR(VLOOKUP($S933,'TA database'!$I$146:$J$193,2,FALSE),0)</f>
        <v>0</v>
      </c>
      <c r="X933">
        <f ca="1">IFERROR(VLOOKUP($S933,'TA database'!$I$200:$J$271,2,FALSE),0)</f>
        <v>133.77540235820089</v>
      </c>
      <c r="Y933" s="59">
        <f t="shared" ca="1" si="2811"/>
        <v>133.77540235820089</v>
      </c>
      <c r="Z933" t="str">
        <f t="shared" si="2812"/>
        <v>NG_SR_LRG_C   →   C_UNDRGRND_STRG   →   H2_T&amp;D_P   →   H2_FC_DCHP_PWR</v>
      </c>
      <c r="AA933" t="str">
        <f t="shared" si="2813"/>
        <v>Grid electricity</v>
      </c>
      <c r="AB933" t="str">
        <f t="shared" si="2814"/>
        <v>Marginal abatement cost</v>
      </c>
      <c r="AC933">
        <f t="shared" ca="1" si="2815"/>
        <v>133.77540235820089</v>
      </c>
      <c r="AD933">
        <v>874</v>
      </c>
      <c r="AE933" t="str">
        <f>IF(AND(ISNUMBER(SEARCH(O933,4)),ISNUMBER(SEARCH('(4) FCH pathway assessment'!$B$16,AB933)),ISNUMBER(SEARCH('(4) FCH pathway assessment'!$B$10,AA933))),AD933,"")</f>
        <v/>
      </c>
      <c r="AF933" t="str">
        <f t="shared" si="2703"/>
        <v/>
      </c>
      <c r="AG933" t="str">
        <f>VLOOKUP(C933,Assumptions!$B$116:$C$162,2,FALSE)</f>
        <v>NG_SR_LRG_C</v>
      </c>
      <c r="AH933" t="str">
        <f>VLOOKUP(D933,Assumptions!$B$116:$C$162,2,FALSE)</f>
        <v>C_UNDRGRND_STRG</v>
      </c>
      <c r="AI933" t="str">
        <f>VLOOKUP(E933,Assumptions!$B$116:$C$162,2,FALSE)</f>
        <v>H2_T&amp;D_P</v>
      </c>
      <c r="AJ933" t="str">
        <f>VLOOKUP(F933,Assumptions!$B$116:$C$162,2,FALSE)</f>
        <v>H2_FC_DCHP_PWR</v>
      </c>
    </row>
    <row r="934" spans="2:36" x14ac:dyDescent="0.25">
      <c r="B934" t="s">
        <v>127</v>
      </c>
      <c r="C934" t="s">
        <v>57</v>
      </c>
      <c r="D934" t="s">
        <v>62</v>
      </c>
      <c r="E934" t="s">
        <v>116</v>
      </c>
      <c r="F934" t="s">
        <v>549</v>
      </c>
      <c r="G934" t="s">
        <v>114</v>
      </c>
      <c r="H934" t="s">
        <v>433</v>
      </c>
      <c r="I934" t="s">
        <v>32</v>
      </c>
      <c r="J934" t="s">
        <v>77</v>
      </c>
      <c r="K934">
        <f t="shared" si="2802"/>
        <v>1</v>
      </c>
      <c r="L934">
        <f t="shared" si="2803"/>
        <v>0</v>
      </c>
      <c r="M934">
        <f t="shared" si="2804"/>
        <v>1</v>
      </c>
      <c r="N934">
        <f t="shared" si="2805"/>
        <v>0</v>
      </c>
      <c r="O934">
        <f t="shared" si="2806"/>
        <v>2</v>
      </c>
      <c r="P934" t="str">
        <f t="shared" si="2807"/>
        <v>Large centralized natural gas steam reforming-Marginal abatement cost</v>
      </c>
      <c r="Q934" t="str">
        <f t="shared" si="2808"/>
        <v>Underground storage-Marginal abatement cost</v>
      </c>
      <c r="R934" t="str">
        <f t="shared" si="2809"/>
        <v>Liquid hydrogen truck-Marginal abatement cost</v>
      </c>
      <c r="S934" t="str">
        <f t="shared" si="2810"/>
        <v>District-CHP with H2 fuel cell (power)-Marginal abatement cost</v>
      </c>
      <c r="T934">
        <f>IFERROR(VLOOKUP($P934,'TA database'!$I$8:$J$79,2,FALSE),0)</f>
        <v>0</v>
      </c>
      <c r="U934">
        <f>IFERROR(VLOOKUP($Q934,'TA database'!$I$86:$J$105,2,FALSE),0)</f>
        <v>0</v>
      </c>
      <c r="V934">
        <f>IFERROR(VLOOKUP($R934,'TA database'!$I$112:$J$139,2,FALSE),0)</f>
        <v>0</v>
      </c>
      <c r="W934">
        <f>IFERROR(VLOOKUP($S934,'TA database'!$I$146:$J$193,2,FALSE),0)</f>
        <v>0</v>
      </c>
      <c r="X934">
        <f ca="1">IFERROR(VLOOKUP($S934,'TA database'!$I$200:$J$271,2,FALSE),0)</f>
        <v>133.77540235820089</v>
      </c>
      <c r="Y934" s="59">
        <f t="shared" ca="1" si="2811"/>
        <v>133.77540235820089</v>
      </c>
      <c r="Z934" t="str">
        <f t="shared" si="2812"/>
        <v>NG_SR_LRG_C   →   C_UNDRGRND_STRG   →   LQ_TRUCK   →   H2_FC_DCHP_PWR</v>
      </c>
      <c r="AA934" t="str">
        <f t="shared" si="2813"/>
        <v>Grid electricity</v>
      </c>
      <c r="AB934" t="str">
        <f t="shared" si="2814"/>
        <v>Marginal abatement cost</v>
      </c>
      <c r="AC934">
        <f t="shared" ca="1" si="2815"/>
        <v>133.77540235820089</v>
      </c>
      <c r="AD934">
        <v>875</v>
      </c>
      <c r="AE934" t="str">
        <f>IF(AND(ISNUMBER(SEARCH(O934,4)),ISNUMBER(SEARCH('(4) FCH pathway assessment'!$B$16,AB934)),ISNUMBER(SEARCH('(4) FCH pathway assessment'!$B$10,AA934))),AD934,"")</f>
        <v/>
      </c>
      <c r="AF934" t="str">
        <f t="shared" si="2703"/>
        <v/>
      </c>
      <c r="AG934" t="str">
        <f>VLOOKUP(C934,Assumptions!$B$116:$C$162,2,FALSE)</f>
        <v>NG_SR_LRG_C</v>
      </c>
      <c r="AH934" t="str">
        <f>VLOOKUP(D934,Assumptions!$B$116:$C$162,2,FALSE)</f>
        <v>C_UNDRGRND_STRG</v>
      </c>
      <c r="AI934" t="str">
        <f>VLOOKUP(E934,Assumptions!$B$116:$C$162,2,FALSE)</f>
        <v>LQ_TRUCK</v>
      </c>
      <c r="AJ934" t="str">
        <f>VLOOKUP(F934,Assumptions!$B$116:$C$162,2,FALSE)</f>
        <v>H2_FC_DCHP_PWR</v>
      </c>
    </row>
    <row r="935" spans="2:36" x14ac:dyDescent="0.25">
      <c r="B935" t="s">
        <v>127</v>
      </c>
      <c r="C935" t="s">
        <v>57</v>
      </c>
      <c r="D935" t="s">
        <v>62</v>
      </c>
      <c r="E935" t="s">
        <v>66</v>
      </c>
      <c r="F935" t="s">
        <v>549</v>
      </c>
      <c r="G935" t="s">
        <v>114</v>
      </c>
      <c r="H935" t="s">
        <v>433</v>
      </c>
      <c r="I935" t="s">
        <v>32</v>
      </c>
      <c r="J935" t="s">
        <v>77</v>
      </c>
      <c r="K935">
        <f t="shared" si="2802"/>
        <v>1</v>
      </c>
      <c r="L935">
        <f t="shared" si="2803"/>
        <v>0</v>
      </c>
      <c r="M935">
        <f t="shared" si="2804"/>
        <v>1</v>
      </c>
      <c r="N935">
        <f t="shared" si="2805"/>
        <v>0</v>
      </c>
      <c r="O935">
        <f t="shared" si="2806"/>
        <v>2</v>
      </c>
      <c r="P935" t="str">
        <f t="shared" si="2807"/>
        <v>Large centralized natural gas steam reforming-Marginal abatement cost</v>
      </c>
      <c r="Q935" t="str">
        <f t="shared" si="2808"/>
        <v>Underground storage-Marginal abatement cost</v>
      </c>
      <c r="R935" t="str">
        <f t="shared" si="2809"/>
        <v>Onsite-Marginal abatement cost</v>
      </c>
      <c r="S935" t="str">
        <f t="shared" si="2810"/>
        <v>District-CHP with H2 fuel cell (power)-Marginal abatement cost</v>
      </c>
      <c r="T935">
        <f>IFERROR(VLOOKUP($P935,'TA database'!$I$8:$J$79,2,FALSE),0)</f>
        <v>0</v>
      </c>
      <c r="U935">
        <f>IFERROR(VLOOKUP($Q935,'TA database'!$I$86:$J$105,2,FALSE),0)</f>
        <v>0</v>
      </c>
      <c r="V935">
        <f>IFERROR(VLOOKUP($R935,'TA database'!$I$112:$J$139,2,FALSE),0)</f>
        <v>0</v>
      </c>
      <c r="W935">
        <f>IFERROR(VLOOKUP($S935,'TA database'!$I$146:$J$193,2,FALSE),0)</f>
        <v>0</v>
      </c>
      <c r="X935">
        <f ca="1">IFERROR(VLOOKUP($S935,'TA database'!$I$200:$J$271,2,FALSE),0)</f>
        <v>133.77540235820089</v>
      </c>
      <c r="Y935" s="59">
        <f t="shared" ca="1" si="2811"/>
        <v>133.77540235820089</v>
      </c>
      <c r="Z935" t="str">
        <f t="shared" si="2812"/>
        <v>NG_SR_LRG_C   →   C_UNDRGRND_STRG   →   ONSITE_USE   →   H2_FC_DCHP_PWR</v>
      </c>
      <c r="AA935" t="str">
        <f t="shared" si="2813"/>
        <v>Grid electricity</v>
      </c>
      <c r="AB935" t="str">
        <f t="shared" si="2814"/>
        <v>Marginal abatement cost</v>
      </c>
      <c r="AC935">
        <f t="shared" ca="1" si="2815"/>
        <v>133.77540235820089</v>
      </c>
      <c r="AD935">
        <v>876</v>
      </c>
      <c r="AE935" t="str">
        <f>IF(AND(ISNUMBER(SEARCH(O935,4)),ISNUMBER(SEARCH('(4) FCH pathway assessment'!$B$16,AB935)),ISNUMBER(SEARCH('(4) FCH pathway assessment'!$B$10,AA935))),AD935,"")</f>
        <v/>
      </c>
      <c r="AF935" t="str">
        <f t="shared" si="2703"/>
        <v/>
      </c>
      <c r="AG935" t="str">
        <f>VLOOKUP(C935,Assumptions!$B$116:$C$162,2,FALSE)</f>
        <v>NG_SR_LRG_C</v>
      </c>
      <c r="AH935" t="str">
        <f>VLOOKUP(D935,Assumptions!$B$116:$C$162,2,FALSE)</f>
        <v>C_UNDRGRND_STRG</v>
      </c>
      <c r="AI935" t="str">
        <f>VLOOKUP(E935,Assumptions!$B$116:$C$162,2,FALSE)</f>
        <v>ONSITE_USE</v>
      </c>
      <c r="AJ935" t="str">
        <f>VLOOKUP(F935,Assumptions!$B$116:$C$162,2,FALSE)</f>
        <v>H2_FC_DCHP_PWR</v>
      </c>
    </row>
    <row r="936" spans="2:36" x14ac:dyDescent="0.25">
      <c r="B936" t="s">
        <v>127</v>
      </c>
      <c r="C936" t="s">
        <v>57</v>
      </c>
      <c r="D936" s="61" t="s">
        <v>63</v>
      </c>
      <c r="E936" t="s">
        <v>122</v>
      </c>
      <c r="F936" t="s">
        <v>549</v>
      </c>
      <c r="G936" t="s">
        <v>114</v>
      </c>
      <c r="H936" t="s">
        <v>433</v>
      </c>
      <c r="I936" t="s">
        <v>32</v>
      </c>
      <c r="J936" t="s">
        <v>77</v>
      </c>
      <c r="K936">
        <f t="shared" si="2802"/>
        <v>1</v>
      </c>
      <c r="L936">
        <f t="shared" si="2803"/>
        <v>1</v>
      </c>
      <c r="M936">
        <f t="shared" si="2804"/>
        <v>1</v>
      </c>
      <c r="N936">
        <f t="shared" si="2805"/>
        <v>0</v>
      </c>
      <c r="O936">
        <f t="shared" si="2806"/>
        <v>3</v>
      </c>
      <c r="P936" t="str">
        <f t="shared" si="2807"/>
        <v>Large centralized natural gas steam reforming-Marginal abatement cost</v>
      </c>
      <c r="Q936" t="str">
        <f t="shared" si="2808"/>
        <v>No storage-Marginal abatement cost</v>
      </c>
      <c r="R936" t="str">
        <f t="shared" si="2809"/>
        <v>Hydrogen transmission &amp; distribution pipeline-Marginal abatement cost</v>
      </c>
      <c r="S936" t="str">
        <f t="shared" si="2810"/>
        <v>District-CHP with H2 fuel cell (power)-Marginal abatement cost</v>
      </c>
      <c r="T936">
        <f>IFERROR(VLOOKUP($P936,'TA database'!$I$8:$J$79,2,FALSE),0)</f>
        <v>0</v>
      </c>
      <c r="U936">
        <f>IFERROR(VLOOKUP($Q936,'TA database'!$I$86:$J$105,2,FALSE),0)</f>
        <v>0</v>
      </c>
      <c r="V936">
        <f>IFERROR(VLOOKUP($R936,'TA database'!$I$112:$J$139,2,FALSE),0)</f>
        <v>0</v>
      </c>
      <c r="W936">
        <f>IFERROR(VLOOKUP($S936,'TA database'!$I$146:$J$193,2,FALSE),0)</f>
        <v>0</v>
      </c>
      <c r="X936">
        <f ca="1">IFERROR(VLOOKUP($S936,'TA database'!$I$200:$J$271,2,FALSE),0)</f>
        <v>133.77540235820089</v>
      </c>
      <c r="Y936" s="59">
        <f t="shared" ca="1" si="2811"/>
        <v>133.77540235820089</v>
      </c>
      <c r="Z936" t="str">
        <f t="shared" si="2812"/>
        <v>NG_SR_LRG_C   →   NO_STRG   →   H2_T&amp;D_P   →   H2_FC_DCHP_PWR</v>
      </c>
      <c r="AA936" t="str">
        <f t="shared" si="2813"/>
        <v>Grid electricity</v>
      </c>
      <c r="AB936" t="str">
        <f t="shared" si="2814"/>
        <v>Marginal abatement cost</v>
      </c>
      <c r="AC936">
        <f t="shared" ca="1" si="2815"/>
        <v>133.77540235820089</v>
      </c>
      <c r="AD936">
        <v>877</v>
      </c>
      <c r="AE936" t="str">
        <f>IF(AND(ISNUMBER(SEARCH(O936,4)),ISNUMBER(SEARCH('(4) FCH pathway assessment'!$B$16,AB936)),ISNUMBER(SEARCH('(4) FCH pathway assessment'!$B$10,AA936))),AD936,"")</f>
        <v/>
      </c>
      <c r="AF936" t="str">
        <f t="shared" si="2703"/>
        <v/>
      </c>
      <c r="AG936" t="str">
        <f>VLOOKUP(C936,Assumptions!$B$116:$C$162,2,FALSE)</f>
        <v>NG_SR_LRG_C</v>
      </c>
      <c r="AH936" t="str">
        <f>VLOOKUP(D936,Assumptions!$B$116:$C$162,2,FALSE)</f>
        <v>NO_STRG</v>
      </c>
      <c r="AI936" t="str">
        <f>VLOOKUP(E936,Assumptions!$B$116:$C$162,2,FALSE)</f>
        <v>H2_T&amp;D_P</v>
      </c>
      <c r="AJ936" t="str">
        <f>VLOOKUP(F936,Assumptions!$B$116:$C$162,2,FALSE)</f>
        <v>H2_FC_DCHP_PWR</v>
      </c>
    </row>
    <row r="937" spans="2:36" x14ac:dyDescent="0.25">
      <c r="B937" t="s">
        <v>127</v>
      </c>
      <c r="C937" t="s">
        <v>58</v>
      </c>
      <c r="D937" t="s">
        <v>155</v>
      </c>
      <c r="E937" t="s">
        <v>157</v>
      </c>
      <c r="F937" t="s">
        <v>549</v>
      </c>
      <c r="G937" t="s">
        <v>114</v>
      </c>
      <c r="H937" t="s">
        <v>433</v>
      </c>
      <c r="I937" t="s">
        <v>32</v>
      </c>
      <c r="J937" t="s">
        <v>77</v>
      </c>
      <c r="K937">
        <f t="shared" si="2802"/>
        <v>1</v>
      </c>
      <c r="L937">
        <f t="shared" si="2803"/>
        <v>1</v>
      </c>
      <c r="M937">
        <f t="shared" si="2804"/>
        <v>0</v>
      </c>
      <c r="N937">
        <f t="shared" si="2805"/>
        <v>0</v>
      </c>
      <c r="O937">
        <f t="shared" ref="O937:O941" si="2816">K937+L937+M937+N937</f>
        <v>2</v>
      </c>
      <c r="P937" t="str">
        <f t="shared" si="2807"/>
        <v>Small centralized natural gas steam reforming-Marginal abatement cost</v>
      </c>
      <c r="Q937" t="str">
        <f t="shared" si="2808"/>
        <v>Central gas storage-Marginal abatement cost</v>
      </c>
      <c r="R937" t="str">
        <f t="shared" si="2809"/>
        <v>Blending in natural gas pipeline-Marginal abatement cost</v>
      </c>
      <c r="S937" t="str">
        <f t="shared" si="2810"/>
        <v>District-CHP with H2 fuel cell (power)-Marginal abatement cost</v>
      </c>
      <c r="T937">
        <f>IFERROR(VLOOKUP($P937,'TA database'!$I$8:$J$79,2,FALSE),0)</f>
        <v>0</v>
      </c>
      <c r="U937">
        <f>IFERROR(VLOOKUP($Q937,'TA database'!$I$86:$J$105,2,FALSE),0)</f>
        <v>0</v>
      </c>
      <c r="V937">
        <f>IFERROR(VLOOKUP($R937,'TA database'!$I$112:$J$139,2,FALSE),0)</f>
        <v>0</v>
      </c>
      <c r="W937">
        <f>IFERROR(VLOOKUP($S937,'TA database'!$I$146:$J$193,2,FALSE),0)</f>
        <v>0</v>
      </c>
      <c r="X937">
        <f ca="1">IFERROR(VLOOKUP($S937,'TA database'!$I$200:$J$271,2,FALSE),0)</f>
        <v>133.77540235820089</v>
      </c>
      <c r="Y937" s="59">
        <f t="shared" ref="Y937:Y941" ca="1" si="2817">IF($W937=0,T937+U937+V937+X937,T937+U937+V937+W937)</f>
        <v>133.77540235820089</v>
      </c>
      <c r="Z937" t="str">
        <f t="shared" ref="Z937:Z941" si="2818">CONCATENATE(AG937,"   →   ",AH937,"   →   ",AI937,"   →   ",AJ937)</f>
        <v>NG_SR_SML_C   →   C_GAS_STRG   →   H2_BLND_NG_P   →   H2_FC_DCHP_PWR</v>
      </c>
      <c r="AA937" t="str">
        <f t="shared" ref="AA937:AA941" si="2819">G937</f>
        <v>Grid electricity</v>
      </c>
      <c r="AB937" t="str">
        <f t="shared" ref="AB937:AB941" si="2820">J937</f>
        <v>Marginal abatement cost</v>
      </c>
      <c r="AC937">
        <f t="shared" ref="AC937:AC941" ca="1" si="2821">Y937</f>
        <v>133.77540235820089</v>
      </c>
      <c r="AD937">
        <v>878</v>
      </c>
      <c r="AE937" t="str">
        <f>IF(AND(ISNUMBER(SEARCH(O937,4)),ISNUMBER(SEARCH('(4) FCH pathway assessment'!$B$16,AB937)),ISNUMBER(SEARCH('(4) FCH pathway assessment'!$B$10,AA937))),AD937,"")</f>
        <v/>
      </c>
      <c r="AF937" t="str">
        <f t="shared" si="2703"/>
        <v/>
      </c>
      <c r="AG937" t="str">
        <f>VLOOKUP(C937,Assumptions!$B$116:$C$162,2,FALSE)</f>
        <v>NG_SR_SML_C</v>
      </c>
      <c r="AH937" t="str">
        <f>VLOOKUP(D937,Assumptions!$B$116:$C$162,2,FALSE)</f>
        <v>C_GAS_STRG</v>
      </c>
      <c r="AI937" t="str">
        <f>VLOOKUP(E937,Assumptions!$B$116:$C$162,2,FALSE)</f>
        <v>H2_BLND_NG_P</v>
      </c>
      <c r="AJ937" t="str">
        <f>VLOOKUP(F937,Assumptions!$B$116:$C$162,2,FALSE)</f>
        <v>H2_FC_DCHP_PWR</v>
      </c>
    </row>
    <row r="938" spans="2:36" x14ac:dyDescent="0.25">
      <c r="B938" t="s">
        <v>127</v>
      </c>
      <c r="C938" t="s">
        <v>58</v>
      </c>
      <c r="D938" t="s">
        <v>155</v>
      </c>
      <c r="E938" t="s">
        <v>122</v>
      </c>
      <c r="F938" t="s">
        <v>549</v>
      </c>
      <c r="G938" t="s">
        <v>114</v>
      </c>
      <c r="H938" t="s">
        <v>433</v>
      </c>
      <c r="I938" t="s">
        <v>32</v>
      </c>
      <c r="J938" t="s">
        <v>77</v>
      </c>
      <c r="K938">
        <f t="shared" ref="K938:K941" si="2822">SUMPRODUCT(($C$7:$C$18=$C938)*($D$6:$H$6=$D938)*($D$7:$H$18))</f>
        <v>1</v>
      </c>
      <c r="L938">
        <f t="shared" ref="L938:L941" si="2823">SUMPRODUCT(($C$19:$C$23=$D938)*($I$6:$O$6=$E938)*($I$19:$O$23))</f>
        <v>1</v>
      </c>
      <c r="M938">
        <f t="shared" ref="M938:M941" si="2824">SUMPRODUCT(($C$24:$C$30=$E938)*($P$6:$AI$6=$F938)*($P$24:$AI$30))</f>
        <v>1</v>
      </c>
      <c r="N938">
        <f t="shared" ref="N938:N941" si="2825">SUMPRODUCT(($C$31:$C$50=$F938)*($AJ$6:$AM$6=$G938)*($AJ$31:$AM$50))</f>
        <v>0</v>
      </c>
      <c r="O938">
        <f t="shared" si="2816"/>
        <v>3</v>
      </c>
      <c r="P938" t="str">
        <f t="shared" ref="P938:P941" si="2826">CONCATENATE(C938,"-",J938)</f>
        <v>Small centralized natural gas steam reforming-Marginal abatement cost</v>
      </c>
      <c r="Q938" t="str">
        <f t="shared" ref="Q938:Q941" si="2827">CONCATENATE(D938,"-",J938)</f>
        <v>Central gas storage-Marginal abatement cost</v>
      </c>
      <c r="R938" t="str">
        <f t="shared" ref="R938:R941" si="2828">CONCATENATE(E938,"-",J938)</f>
        <v>Hydrogen transmission &amp; distribution pipeline-Marginal abatement cost</v>
      </c>
      <c r="S938" t="str">
        <f t="shared" ref="S938:S941" si="2829">CONCATENATE(F938,"-",J938)</f>
        <v>District-CHP with H2 fuel cell (power)-Marginal abatement cost</v>
      </c>
      <c r="T938">
        <f>IFERROR(VLOOKUP($P938,'TA database'!$I$8:$J$79,2,FALSE),0)</f>
        <v>0</v>
      </c>
      <c r="U938">
        <f>IFERROR(VLOOKUP($Q938,'TA database'!$I$86:$J$105,2,FALSE),0)</f>
        <v>0</v>
      </c>
      <c r="V938">
        <f>IFERROR(VLOOKUP($R938,'TA database'!$I$112:$J$139,2,FALSE),0)</f>
        <v>0</v>
      </c>
      <c r="W938">
        <f>IFERROR(VLOOKUP($S938,'TA database'!$I$146:$J$193,2,FALSE),0)</f>
        <v>0</v>
      </c>
      <c r="X938">
        <f ca="1">IFERROR(VLOOKUP($S938,'TA database'!$I$200:$J$271,2,FALSE),0)</f>
        <v>133.77540235820089</v>
      </c>
      <c r="Y938" s="59">
        <f t="shared" ca="1" si="2817"/>
        <v>133.77540235820089</v>
      </c>
      <c r="Z938" t="str">
        <f t="shared" si="2818"/>
        <v>NG_SR_SML_C   →   C_GAS_STRG   →   H2_T&amp;D_P   →   H2_FC_DCHP_PWR</v>
      </c>
      <c r="AA938" t="str">
        <f t="shared" si="2819"/>
        <v>Grid electricity</v>
      </c>
      <c r="AB938" t="str">
        <f t="shared" si="2820"/>
        <v>Marginal abatement cost</v>
      </c>
      <c r="AC938">
        <f t="shared" ca="1" si="2821"/>
        <v>133.77540235820089</v>
      </c>
      <c r="AD938">
        <v>879</v>
      </c>
      <c r="AE938" t="str">
        <f>IF(AND(ISNUMBER(SEARCH(O938,4)),ISNUMBER(SEARCH('(4) FCH pathway assessment'!$B$16,AB938)),ISNUMBER(SEARCH('(4) FCH pathway assessment'!$B$10,AA938))),AD938,"")</f>
        <v/>
      </c>
      <c r="AF938" t="str">
        <f t="shared" si="2703"/>
        <v/>
      </c>
      <c r="AG938" t="str">
        <f>VLOOKUP(C938,Assumptions!$B$116:$C$162,2,FALSE)</f>
        <v>NG_SR_SML_C</v>
      </c>
      <c r="AH938" t="str">
        <f>VLOOKUP(D938,Assumptions!$B$116:$C$162,2,FALSE)</f>
        <v>C_GAS_STRG</v>
      </c>
      <c r="AI938" t="str">
        <f>VLOOKUP(E938,Assumptions!$B$116:$C$162,2,FALSE)</f>
        <v>H2_T&amp;D_P</v>
      </c>
      <c r="AJ938" t="str">
        <f>VLOOKUP(F938,Assumptions!$B$116:$C$162,2,FALSE)</f>
        <v>H2_FC_DCHP_PWR</v>
      </c>
    </row>
    <row r="939" spans="2:36" x14ac:dyDescent="0.25">
      <c r="B939" t="s">
        <v>127</v>
      </c>
      <c r="C939" t="s">
        <v>58</v>
      </c>
      <c r="D939" t="s">
        <v>155</v>
      </c>
      <c r="E939" t="s">
        <v>116</v>
      </c>
      <c r="F939" t="s">
        <v>549</v>
      </c>
      <c r="G939" t="s">
        <v>114</v>
      </c>
      <c r="H939" t="s">
        <v>433</v>
      </c>
      <c r="I939" t="s">
        <v>32</v>
      </c>
      <c r="J939" t="s">
        <v>77</v>
      </c>
      <c r="K939">
        <f t="shared" si="2822"/>
        <v>1</v>
      </c>
      <c r="L939">
        <f t="shared" si="2823"/>
        <v>1</v>
      </c>
      <c r="M939">
        <f t="shared" si="2824"/>
        <v>1</v>
      </c>
      <c r="N939">
        <f t="shared" si="2825"/>
        <v>0</v>
      </c>
      <c r="O939">
        <f t="shared" si="2816"/>
        <v>3</v>
      </c>
      <c r="P939" t="str">
        <f t="shared" si="2826"/>
        <v>Small centralized natural gas steam reforming-Marginal abatement cost</v>
      </c>
      <c r="Q939" t="str">
        <f t="shared" si="2827"/>
        <v>Central gas storage-Marginal abatement cost</v>
      </c>
      <c r="R939" t="str">
        <f t="shared" si="2828"/>
        <v>Liquid hydrogen truck-Marginal abatement cost</v>
      </c>
      <c r="S939" t="str">
        <f t="shared" si="2829"/>
        <v>District-CHP with H2 fuel cell (power)-Marginal abatement cost</v>
      </c>
      <c r="T939">
        <f>IFERROR(VLOOKUP($P939,'TA database'!$I$8:$J$79,2,FALSE),0)</f>
        <v>0</v>
      </c>
      <c r="U939">
        <f>IFERROR(VLOOKUP($Q939,'TA database'!$I$86:$J$105,2,FALSE),0)</f>
        <v>0</v>
      </c>
      <c r="V939">
        <f>IFERROR(VLOOKUP($R939,'TA database'!$I$112:$J$139,2,FALSE),0)</f>
        <v>0</v>
      </c>
      <c r="W939">
        <f>IFERROR(VLOOKUP($S939,'TA database'!$I$146:$J$193,2,FALSE),0)</f>
        <v>0</v>
      </c>
      <c r="X939">
        <f ca="1">IFERROR(VLOOKUP($S939,'TA database'!$I$200:$J$271,2,FALSE),0)</f>
        <v>133.77540235820089</v>
      </c>
      <c r="Y939" s="59">
        <f t="shared" ca="1" si="2817"/>
        <v>133.77540235820089</v>
      </c>
      <c r="Z939" t="str">
        <f t="shared" si="2818"/>
        <v>NG_SR_SML_C   →   C_GAS_STRG   →   LQ_TRUCK   →   H2_FC_DCHP_PWR</v>
      </c>
      <c r="AA939" t="str">
        <f t="shared" si="2819"/>
        <v>Grid electricity</v>
      </c>
      <c r="AB939" t="str">
        <f t="shared" si="2820"/>
        <v>Marginal abatement cost</v>
      </c>
      <c r="AC939">
        <f t="shared" ca="1" si="2821"/>
        <v>133.77540235820089</v>
      </c>
      <c r="AD939">
        <v>880</v>
      </c>
      <c r="AE939" t="str">
        <f>IF(AND(ISNUMBER(SEARCH(O939,4)),ISNUMBER(SEARCH('(4) FCH pathway assessment'!$B$16,AB939)),ISNUMBER(SEARCH('(4) FCH pathway assessment'!$B$10,AA939))),AD939,"")</f>
        <v/>
      </c>
      <c r="AF939" t="str">
        <f t="shared" si="2703"/>
        <v/>
      </c>
      <c r="AG939" t="str">
        <f>VLOOKUP(C939,Assumptions!$B$116:$C$162,2,FALSE)</f>
        <v>NG_SR_SML_C</v>
      </c>
      <c r="AH939" t="str">
        <f>VLOOKUP(D939,Assumptions!$B$116:$C$162,2,FALSE)</f>
        <v>C_GAS_STRG</v>
      </c>
      <c r="AI939" t="str">
        <f>VLOOKUP(E939,Assumptions!$B$116:$C$162,2,FALSE)</f>
        <v>LQ_TRUCK</v>
      </c>
      <c r="AJ939" t="str">
        <f>VLOOKUP(F939,Assumptions!$B$116:$C$162,2,FALSE)</f>
        <v>H2_FC_DCHP_PWR</v>
      </c>
    </row>
    <row r="940" spans="2:36" x14ac:dyDescent="0.25">
      <c r="B940" t="s">
        <v>127</v>
      </c>
      <c r="C940" t="s">
        <v>58</v>
      </c>
      <c r="D940" t="s">
        <v>155</v>
      </c>
      <c r="E940" t="s">
        <v>66</v>
      </c>
      <c r="F940" t="s">
        <v>549</v>
      </c>
      <c r="G940" t="s">
        <v>114</v>
      </c>
      <c r="H940" t="s">
        <v>433</v>
      </c>
      <c r="I940" t="s">
        <v>32</v>
      </c>
      <c r="J940" t="s">
        <v>77</v>
      </c>
      <c r="K940">
        <f t="shared" si="2822"/>
        <v>1</v>
      </c>
      <c r="L940">
        <f t="shared" si="2823"/>
        <v>1</v>
      </c>
      <c r="M940">
        <f t="shared" si="2824"/>
        <v>1</v>
      </c>
      <c r="N940">
        <f t="shared" si="2825"/>
        <v>0</v>
      </c>
      <c r="O940">
        <f t="shared" si="2816"/>
        <v>3</v>
      </c>
      <c r="P940" t="str">
        <f t="shared" si="2826"/>
        <v>Small centralized natural gas steam reforming-Marginal abatement cost</v>
      </c>
      <c r="Q940" t="str">
        <f t="shared" si="2827"/>
        <v>Central gas storage-Marginal abatement cost</v>
      </c>
      <c r="R940" t="str">
        <f t="shared" si="2828"/>
        <v>Onsite-Marginal abatement cost</v>
      </c>
      <c r="S940" t="str">
        <f t="shared" si="2829"/>
        <v>District-CHP with H2 fuel cell (power)-Marginal abatement cost</v>
      </c>
      <c r="T940">
        <f>IFERROR(VLOOKUP($P940,'TA database'!$I$8:$J$79,2,FALSE),0)</f>
        <v>0</v>
      </c>
      <c r="U940">
        <f>IFERROR(VLOOKUP($Q940,'TA database'!$I$86:$J$105,2,FALSE),0)</f>
        <v>0</v>
      </c>
      <c r="V940">
        <f>IFERROR(VLOOKUP($R940,'TA database'!$I$112:$J$139,2,FALSE),0)</f>
        <v>0</v>
      </c>
      <c r="W940">
        <f>IFERROR(VLOOKUP($S940,'TA database'!$I$146:$J$193,2,FALSE),0)</f>
        <v>0</v>
      </c>
      <c r="X940">
        <f ca="1">IFERROR(VLOOKUP($S940,'TA database'!$I$200:$J$271,2,FALSE),0)</f>
        <v>133.77540235820089</v>
      </c>
      <c r="Y940" s="59">
        <f t="shared" ca="1" si="2817"/>
        <v>133.77540235820089</v>
      </c>
      <c r="Z940" t="str">
        <f t="shared" si="2818"/>
        <v>NG_SR_SML_C   →   C_GAS_STRG   →   ONSITE_USE   →   H2_FC_DCHP_PWR</v>
      </c>
      <c r="AA940" t="str">
        <f t="shared" si="2819"/>
        <v>Grid electricity</v>
      </c>
      <c r="AB940" t="str">
        <f t="shared" si="2820"/>
        <v>Marginal abatement cost</v>
      </c>
      <c r="AC940">
        <f t="shared" ca="1" si="2821"/>
        <v>133.77540235820089</v>
      </c>
      <c r="AD940">
        <v>881</v>
      </c>
      <c r="AE940" t="str">
        <f>IF(AND(ISNUMBER(SEARCH(O940,4)),ISNUMBER(SEARCH('(4) FCH pathway assessment'!$B$16,AB940)),ISNUMBER(SEARCH('(4) FCH pathway assessment'!$B$10,AA940))),AD940,"")</f>
        <v/>
      </c>
      <c r="AF940" t="str">
        <f t="shared" si="2703"/>
        <v/>
      </c>
      <c r="AG940" t="str">
        <f>VLOOKUP(C940,Assumptions!$B$116:$C$162,2,FALSE)</f>
        <v>NG_SR_SML_C</v>
      </c>
      <c r="AH940" t="str">
        <f>VLOOKUP(D940,Assumptions!$B$116:$C$162,2,FALSE)</f>
        <v>C_GAS_STRG</v>
      </c>
      <c r="AI940" t="str">
        <f>VLOOKUP(E940,Assumptions!$B$116:$C$162,2,FALSE)</f>
        <v>ONSITE_USE</v>
      </c>
      <c r="AJ940" t="str">
        <f>VLOOKUP(F940,Assumptions!$B$116:$C$162,2,FALSE)</f>
        <v>H2_FC_DCHP_PWR</v>
      </c>
    </row>
    <row r="941" spans="2:36" x14ac:dyDescent="0.25">
      <c r="B941" t="s">
        <v>127</v>
      </c>
      <c r="C941" t="s">
        <v>59</v>
      </c>
      <c r="D941" s="60" t="s">
        <v>130</v>
      </c>
      <c r="E941" t="s">
        <v>66</v>
      </c>
      <c r="F941" t="s">
        <v>549</v>
      </c>
      <c r="G941" t="s">
        <v>114</v>
      </c>
      <c r="H941" t="s">
        <v>433</v>
      </c>
      <c r="I941" t="s">
        <v>32</v>
      </c>
      <c r="J941" t="s">
        <v>77</v>
      </c>
      <c r="K941">
        <f t="shared" si="2822"/>
        <v>1</v>
      </c>
      <c r="L941">
        <f t="shared" si="2823"/>
        <v>1</v>
      </c>
      <c r="M941">
        <f t="shared" si="2824"/>
        <v>1</v>
      </c>
      <c r="N941">
        <f t="shared" si="2825"/>
        <v>0</v>
      </c>
      <c r="O941">
        <f t="shared" si="2816"/>
        <v>3</v>
      </c>
      <c r="P941" t="str">
        <f t="shared" si="2826"/>
        <v>Medium decentralized natural gas steam reforming-Marginal abatement cost</v>
      </c>
      <c r="Q941" t="str">
        <f t="shared" si="2827"/>
        <v>Distributed gas storage-Marginal abatement cost</v>
      </c>
      <c r="R941" t="str">
        <f t="shared" si="2828"/>
        <v>Onsite-Marginal abatement cost</v>
      </c>
      <c r="S941" t="str">
        <f t="shared" si="2829"/>
        <v>District-CHP with H2 fuel cell (power)-Marginal abatement cost</v>
      </c>
      <c r="T941">
        <f>IFERROR(VLOOKUP($P941,'TA database'!$I$8:$J$79,2,FALSE),0)</f>
        <v>0</v>
      </c>
      <c r="U941">
        <f>IFERROR(VLOOKUP($Q941,'TA database'!$I$86:$J$105,2,FALSE),0)</f>
        <v>0</v>
      </c>
      <c r="V941">
        <f>IFERROR(VLOOKUP($R941,'TA database'!$I$112:$J$139,2,FALSE),0)</f>
        <v>0</v>
      </c>
      <c r="W941">
        <f>IFERROR(VLOOKUP($S941,'TA database'!$I$146:$J$193,2,FALSE),0)</f>
        <v>0</v>
      </c>
      <c r="X941">
        <f ca="1">IFERROR(VLOOKUP($S941,'TA database'!$I$200:$J$271,2,FALSE),0)</f>
        <v>133.77540235820089</v>
      </c>
      <c r="Y941" s="59">
        <f t="shared" ca="1" si="2817"/>
        <v>133.77540235820089</v>
      </c>
      <c r="Z941" t="str">
        <f t="shared" si="2818"/>
        <v>NG_SR_MED_D   →   D_GAS_STRG   →   ONSITE_USE   →   H2_FC_DCHP_PWR</v>
      </c>
      <c r="AA941" t="str">
        <f t="shared" si="2819"/>
        <v>Grid electricity</v>
      </c>
      <c r="AB941" t="str">
        <f t="shared" si="2820"/>
        <v>Marginal abatement cost</v>
      </c>
      <c r="AC941">
        <f t="shared" ca="1" si="2821"/>
        <v>133.77540235820089</v>
      </c>
      <c r="AD941">
        <v>882</v>
      </c>
      <c r="AE941" t="str">
        <f>IF(AND(ISNUMBER(SEARCH(O941,4)),ISNUMBER(SEARCH('(4) FCH pathway assessment'!$B$16,AB941)),ISNUMBER(SEARCH('(4) FCH pathway assessment'!$B$10,AA941))),AD941,"")</f>
        <v/>
      </c>
      <c r="AF941" t="str">
        <f t="shared" si="2703"/>
        <v/>
      </c>
      <c r="AG941" t="str">
        <f>VLOOKUP(C941,Assumptions!$B$116:$C$162,2,FALSE)</f>
        <v>NG_SR_MED_D</v>
      </c>
      <c r="AH941" t="str">
        <f>VLOOKUP(D941,Assumptions!$B$116:$C$162,2,FALSE)</f>
        <v>D_GAS_STRG</v>
      </c>
      <c r="AI941" t="str">
        <f>VLOOKUP(E941,Assumptions!$B$116:$C$162,2,FALSE)</f>
        <v>ONSITE_USE</v>
      </c>
      <c r="AJ941" t="str">
        <f>VLOOKUP(F941,Assumptions!$B$116:$C$162,2,FALSE)</f>
        <v>H2_FC_DCHP_PWR</v>
      </c>
    </row>
    <row r="942" spans="2:36" x14ac:dyDescent="0.25">
      <c r="B942" t="s">
        <v>127</v>
      </c>
      <c r="C942" t="s">
        <v>60</v>
      </c>
      <c r="D942" s="60" t="s">
        <v>130</v>
      </c>
      <c r="E942" t="s">
        <v>66</v>
      </c>
      <c r="F942" t="s">
        <v>549</v>
      </c>
      <c r="G942" t="s">
        <v>114</v>
      </c>
      <c r="H942" t="s">
        <v>433</v>
      </c>
      <c r="I942" t="s">
        <v>32</v>
      </c>
      <c r="J942" t="s">
        <v>77</v>
      </c>
      <c r="K942">
        <f t="shared" ref="K942" si="2830">SUMPRODUCT(($C$7:$C$18=$C942)*($D$6:$H$6=$D942)*($D$7:$H$18))</f>
        <v>1</v>
      </c>
      <c r="L942">
        <f t="shared" ref="L942" si="2831">SUMPRODUCT(($C$19:$C$23=$D942)*($I$6:$O$6=$E942)*($I$19:$O$23))</f>
        <v>1</v>
      </c>
      <c r="M942">
        <f t="shared" ref="M942" si="2832">SUMPRODUCT(($C$24:$C$30=$E942)*($P$6:$AI$6=$F942)*($P$24:$AI$30))</f>
        <v>1</v>
      </c>
      <c r="N942">
        <f t="shared" ref="N942" si="2833">SUMPRODUCT(($C$31:$C$50=$F942)*($AJ$6:$AM$6=$G942)*($AJ$31:$AM$50))</f>
        <v>0</v>
      </c>
      <c r="O942">
        <f t="shared" ref="O942" si="2834">K942+L942+M942+N942</f>
        <v>3</v>
      </c>
      <c r="P942" t="str">
        <f t="shared" ref="P942" si="2835">CONCATENATE(C942,"-",J942)</f>
        <v>Small decentralized natural gas steam reforming-Marginal abatement cost</v>
      </c>
      <c r="Q942" t="str">
        <f t="shared" ref="Q942" si="2836">CONCATENATE(D942,"-",J942)</f>
        <v>Distributed gas storage-Marginal abatement cost</v>
      </c>
      <c r="R942" t="str">
        <f t="shared" ref="R942" si="2837">CONCATENATE(E942,"-",J942)</f>
        <v>Onsite-Marginal abatement cost</v>
      </c>
      <c r="S942" t="str">
        <f t="shared" ref="S942" si="2838">CONCATENATE(F942,"-",J942)</f>
        <v>District-CHP with H2 fuel cell (power)-Marginal abatement cost</v>
      </c>
      <c r="T942">
        <f>IFERROR(VLOOKUP($P942,'TA database'!$I$8:$J$79,2,FALSE),0)</f>
        <v>0</v>
      </c>
      <c r="U942">
        <f>IFERROR(VLOOKUP($Q942,'TA database'!$I$86:$J$105,2,FALSE),0)</f>
        <v>0</v>
      </c>
      <c r="V942">
        <f>IFERROR(VLOOKUP($R942,'TA database'!$I$112:$J$139,2,FALSE),0)</f>
        <v>0</v>
      </c>
      <c r="W942">
        <f>IFERROR(VLOOKUP($S942,'TA database'!$I$146:$J$193,2,FALSE),0)</f>
        <v>0</v>
      </c>
      <c r="X942">
        <f ca="1">IFERROR(VLOOKUP($S942,'TA database'!$I$200:$J$271,2,FALSE),0)</f>
        <v>133.77540235820089</v>
      </c>
      <c r="Y942" s="59">
        <f t="shared" ref="Y942" ca="1" si="2839">IF($W942=0,T942+U942+V942+X942,T942+U942+V942+W942)</f>
        <v>133.77540235820089</v>
      </c>
      <c r="Z942" t="str">
        <f t="shared" ref="Z942" si="2840">CONCATENATE(AG942,"   →   ",AH942,"   →   ",AI942,"   →   ",AJ942)</f>
        <v>NG_SR_SML_D   →   D_GAS_STRG   →   ONSITE_USE   →   H2_FC_DCHP_PWR</v>
      </c>
      <c r="AA942" t="str">
        <f t="shared" ref="AA942" si="2841">G942</f>
        <v>Grid electricity</v>
      </c>
      <c r="AB942" t="str">
        <f t="shared" ref="AB942" si="2842">J942</f>
        <v>Marginal abatement cost</v>
      </c>
      <c r="AC942">
        <f t="shared" ref="AC942" ca="1" si="2843">Y942</f>
        <v>133.77540235820089</v>
      </c>
      <c r="AD942">
        <v>883</v>
      </c>
      <c r="AE942" t="str">
        <f>IF(AND(ISNUMBER(SEARCH(O942,4)),ISNUMBER(SEARCH('(4) FCH pathway assessment'!$B$16,AB942)),ISNUMBER(SEARCH('(4) FCH pathway assessment'!$B$10,AA942))),AD942,"")</f>
        <v/>
      </c>
      <c r="AF942" t="str">
        <f t="shared" si="2703"/>
        <v/>
      </c>
      <c r="AG942" t="str">
        <f>VLOOKUP(C942,Assumptions!$B$116:$C$162,2,FALSE)</f>
        <v>NG_SR_SML_D</v>
      </c>
      <c r="AH942" t="str">
        <f>VLOOKUP(D942,Assumptions!$B$116:$C$162,2,FALSE)</f>
        <v>D_GAS_STRG</v>
      </c>
      <c r="AI942" t="str">
        <f>VLOOKUP(E942,Assumptions!$B$116:$C$162,2,FALSE)</f>
        <v>ONSITE_USE</v>
      </c>
      <c r="AJ942" t="str">
        <f>VLOOKUP(F942,Assumptions!$B$116:$C$162,2,FALSE)</f>
        <v>H2_FC_DCHP_PWR</v>
      </c>
    </row>
    <row r="943" spans="2:36" x14ac:dyDescent="0.25">
      <c r="B943" t="s">
        <v>117</v>
      </c>
      <c r="C943" t="s">
        <v>53</v>
      </c>
      <c r="D943" t="s">
        <v>155</v>
      </c>
      <c r="E943" t="s">
        <v>65</v>
      </c>
      <c r="F943" t="s">
        <v>550</v>
      </c>
      <c r="G943" t="s">
        <v>114</v>
      </c>
      <c r="H943" t="s">
        <v>433</v>
      </c>
      <c r="I943" t="s">
        <v>32</v>
      </c>
      <c r="J943" t="s">
        <v>77</v>
      </c>
      <c r="K943">
        <f t="shared" ref="K943:K944" si="2844">SUMPRODUCT(($C$7:$C$18=$C943)*($D$6:$H$6=$D943)*($D$7:$H$18))</f>
        <v>0</v>
      </c>
      <c r="L943">
        <f t="shared" ref="L943:L944" si="2845">SUMPRODUCT(($C$19:$C$23=$D943)*($I$6:$O$6=$E943)*($I$19:$O$23))</f>
        <v>1</v>
      </c>
      <c r="M943">
        <f t="shared" ref="M943:M944" si="2846">SUMPRODUCT(($C$24:$C$30=$E943)*($P$6:$AI$6=$F943)*($P$24:$AI$30))</f>
        <v>0</v>
      </c>
      <c r="N943">
        <f t="shared" ref="N943:N944" si="2847">SUMPRODUCT(($C$31:$C$50=$F943)*($AJ$6:$AM$6=$G943)*($AJ$31:$AM$50))</f>
        <v>1</v>
      </c>
      <c r="O943">
        <f t="shared" ref="O943:O944" si="2848">K943+L943+M943+N943</f>
        <v>2</v>
      </c>
      <c r="P943" t="str">
        <f t="shared" ref="P943:P944" si="2849">CONCATENATE(C943,"-",J943)</f>
        <v>Medium centralized biomass gasification-Marginal abatement cost</v>
      </c>
      <c r="Q943" t="str">
        <f t="shared" ref="Q943:Q944" si="2850">CONCATENATE(D943,"-",J943)</f>
        <v>Central gas storage-Marginal abatement cost</v>
      </c>
      <c r="R943" t="str">
        <f t="shared" ref="R943:R944" si="2851">CONCATENATE(E943,"-",J943)</f>
        <v>Methanation-Marginal abatement cost</v>
      </c>
      <c r="S943" t="str">
        <f t="shared" ref="S943:S944" si="2852">CONCATENATE(F943,"-",J943)</f>
        <v>District-CHP with natural gas fuel cell (power)-Marginal abatement cost</v>
      </c>
      <c r="T943">
        <f>IFERROR(VLOOKUP($P943,'TA database'!$I$8:$J$79,2,FALSE),0)</f>
        <v>0</v>
      </c>
      <c r="U943">
        <f>IFERROR(VLOOKUP($Q943,'TA database'!$I$86:$J$105,2,FALSE),0)</f>
        <v>0</v>
      </c>
      <c r="V943">
        <f>IFERROR(VLOOKUP($R943,'TA database'!$I$112:$J$139,2,FALSE),0)</f>
        <v>0</v>
      </c>
      <c r="W943">
        <f>IFERROR(VLOOKUP($S943,'TA database'!$I$146:$J$193,2,FALSE),0)</f>
        <v>0</v>
      </c>
      <c r="X943">
        <f ca="1">IFERROR(VLOOKUP($S943,'TA database'!$I$200:$J$271,2,FALSE),0)</f>
        <v>383.65775770653852</v>
      </c>
      <c r="Y943" s="59">
        <f t="shared" ref="Y943:Y944" ca="1" si="2853">IF($W943=0,T943+U943+V943+X943,T943+U943+V943+W943)</f>
        <v>383.65775770653852</v>
      </c>
      <c r="Z943" t="str">
        <f t="shared" ref="Z943:Z944" si="2854">CONCATENATE(AG943,"   →   ",AH943,"   →   ",AI943,"   →   ",AJ943)</f>
        <v>BIO_GSF_MED_C   →   C_GAS_STRG   →   METHANATION   →   NG_FC_DCHP_PWR</v>
      </c>
      <c r="AA943" t="str">
        <f t="shared" ref="AA943:AA944" si="2855">G943</f>
        <v>Grid electricity</v>
      </c>
      <c r="AB943" t="str">
        <f t="shared" ref="AB943:AB944" si="2856">J943</f>
        <v>Marginal abatement cost</v>
      </c>
      <c r="AC943">
        <f t="shared" ref="AC943:AC944" ca="1" si="2857">Y943</f>
        <v>383.65775770653852</v>
      </c>
      <c r="AD943">
        <v>884</v>
      </c>
      <c r="AE943" t="str">
        <f>IF(AND(ISNUMBER(SEARCH(O943,4)),ISNUMBER(SEARCH('(4) FCH pathway assessment'!$B$16,AB943)),ISNUMBER(SEARCH('(4) FCH pathway assessment'!$B$10,AA943))),AD943,"")</f>
        <v/>
      </c>
      <c r="AF943" t="str">
        <f t="shared" si="2703"/>
        <v/>
      </c>
      <c r="AG943" t="str">
        <f>VLOOKUP(C943,Assumptions!$B$116:$C$162,2,FALSE)</f>
        <v>BIO_GSF_MED_C</v>
      </c>
      <c r="AH943" t="str">
        <f>VLOOKUP(D943,Assumptions!$B$116:$C$162,2,FALSE)</f>
        <v>C_GAS_STRG</v>
      </c>
      <c r="AI943" t="str">
        <f>VLOOKUP(E943,Assumptions!$B$116:$C$162,2,FALSE)</f>
        <v>METHANATION</v>
      </c>
      <c r="AJ943" t="str">
        <f>VLOOKUP(F943,Assumptions!$B$116:$C$162,2,FALSE)</f>
        <v>NG_FC_DCHP_PWR</v>
      </c>
    </row>
    <row r="944" spans="2:36" x14ac:dyDescent="0.25">
      <c r="B944" t="s">
        <v>117</v>
      </c>
      <c r="C944" t="s">
        <v>54</v>
      </c>
      <c r="D944" t="s">
        <v>155</v>
      </c>
      <c r="E944" t="s">
        <v>65</v>
      </c>
      <c r="F944" t="s">
        <v>550</v>
      </c>
      <c r="G944" t="s">
        <v>114</v>
      </c>
      <c r="H944" t="s">
        <v>433</v>
      </c>
      <c r="I944" t="s">
        <v>32</v>
      </c>
      <c r="J944" t="s">
        <v>77</v>
      </c>
      <c r="K944">
        <f t="shared" si="2844"/>
        <v>0</v>
      </c>
      <c r="L944">
        <f t="shared" si="2845"/>
        <v>1</v>
      </c>
      <c r="M944">
        <f t="shared" si="2846"/>
        <v>0</v>
      </c>
      <c r="N944">
        <f t="shared" si="2847"/>
        <v>1</v>
      </c>
      <c r="O944">
        <f t="shared" si="2848"/>
        <v>2</v>
      </c>
      <c r="P944" t="str">
        <f t="shared" si="2849"/>
        <v>Medium centralized biomass gasification w/ CCS-Marginal abatement cost</v>
      </c>
      <c r="Q944" t="str">
        <f t="shared" si="2850"/>
        <v>Central gas storage-Marginal abatement cost</v>
      </c>
      <c r="R944" t="str">
        <f t="shared" si="2851"/>
        <v>Methanation-Marginal abatement cost</v>
      </c>
      <c r="S944" t="str">
        <f t="shared" si="2852"/>
        <v>District-CHP with natural gas fuel cell (power)-Marginal abatement cost</v>
      </c>
      <c r="T944">
        <f>IFERROR(VLOOKUP($P944,'TA database'!$I$8:$J$79,2,FALSE),0)</f>
        <v>0</v>
      </c>
      <c r="U944">
        <f>IFERROR(VLOOKUP($Q944,'TA database'!$I$86:$J$105,2,FALSE),0)</f>
        <v>0</v>
      </c>
      <c r="V944">
        <f>IFERROR(VLOOKUP($R944,'TA database'!$I$112:$J$139,2,FALSE),0)</f>
        <v>0</v>
      </c>
      <c r="W944">
        <f>IFERROR(VLOOKUP($S944,'TA database'!$I$146:$J$193,2,FALSE),0)</f>
        <v>0</v>
      </c>
      <c r="X944">
        <f ca="1">IFERROR(VLOOKUP($S944,'TA database'!$I$200:$J$271,2,FALSE),0)</f>
        <v>383.65775770653852</v>
      </c>
      <c r="Y944" s="59">
        <f t="shared" ca="1" si="2853"/>
        <v>383.65775770653852</v>
      </c>
      <c r="Z944" t="str">
        <f t="shared" si="2854"/>
        <v>BIO_GSF_CCS_MED_C   →   C_GAS_STRG   →   METHANATION   →   NG_FC_DCHP_PWR</v>
      </c>
      <c r="AA944" t="str">
        <f t="shared" si="2855"/>
        <v>Grid electricity</v>
      </c>
      <c r="AB944" t="str">
        <f t="shared" si="2856"/>
        <v>Marginal abatement cost</v>
      </c>
      <c r="AC944">
        <f t="shared" ca="1" si="2857"/>
        <v>383.65775770653852</v>
      </c>
      <c r="AD944">
        <v>885</v>
      </c>
      <c r="AE944" t="str">
        <f>IF(AND(ISNUMBER(SEARCH(O944,4)),ISNUMBER(SEARCH('(4) FCH pathway assessment'!$B$16,AB944)),ISNUMBER(SEARCH('(4) FCH pathway assessment'!$B$10,AA944))),AD944,"")</f>
        <v/>
      </c>
      <c r="AF944" t="str">
        <f t="shared" si="2703"/>
        <v/>
      </c>
      <c r="AG944" t="str">
        <f>VLOOKUP(C944,Assumptions!$B$116:$C$162,2,FALSE)</f>
        <v>BIO_GSF_CCS_MED_C</v>
      </c>
      <c r="AH944" t="str">
        <f>VLOOKUP(D944,Assumptions!$B$116:$C$162,2,FALSE)</f>
        <v>C_GAS_STRG</v>
      </c>
      <c r="AI944" t="str">
        <f>VLOOKUP(E944,Assumptions!$B$116:$C$162,2,FALSE)</f>
        <v>METHANATION</v>
      </c>
      <c r="AJ944" t="str">
        <f>VLOOKUP(F944,Assumptions!$B$116:$C$162,2,FALSE)</f>
        <v>NG_FC_DCHP_PWR</v>
      </c>
    </row>
    <row r="945" spans="2:36" x14ac:dyDescent="0.25">
      <c r="B945" t="s">
        <v>117</v>
      </c>
      <c r="C945" t="s">
        <v>56</v>
      </c>
      <c r="D945" t="s">
        <v>62</v>
      </c>
      <c r="E945" t="s">
        <v>65</v>
      </c>
      <c r="F945" t="s">
        <v>550</v>
      </c>
      <c r="G945" t="s">
        <v>114</v>
      </c>
      <c r="H945" t="s">
        <v>433</v>
      </c>
      <c r="I945" t="s">
        <v>32</v>
      </c>
      <c r="J945" t="s">
        <v>77</v>
      </c>
      <c r="K945">
        <f t="shared" ref="K945" si="2858">SUMPRODUCT(($C$7:$C$18=$C945)*($D$6:$H$6=$D945)*($D$7:$H$18))</f>
        <v>0</v>
      </c>
      <c r="L945">
        <f t="shared" ref="L945" si="2859">SUMPRODUCT(($C$19:$C$23=$D945)*($I$6:$O$6=$E945)*($I$19:$O$23))</f>
        <v>0</v>
      </c>
      <c r="M945">
        <f t="shared" ref="M945" si="2860">SUMPRODUCT(($C$24:$C$30=$E945)*($P$6:$AI$6=$F945)*($P$24:$AI$30))</f>
        <v>0</v>
      </c>
      <c r="N945">
        <f t="shared" ref="N945" si="2861">SUMPRODUCT(($C$31:$C$50=$F945)*($AJ$6:$AM$6=$G945)*($AJ$31:$AM$50))</f>
        <v>1</v>
      </c>
      <c r="O945">
        <f t="shared" ref="O945" si="2862">K945+L945+M945+N945</f>
        <v>1</v>
      </c>
      <c r="P945" t="str">
        <f t="shared" ref="P945" si="2863">CONCATENATE(C945,"-",J945)</f>
        <v>Large centralized biomass steam reforming -Marginal abatement cost</v>
      </c>
      <c r="Q945" t="str">
        <f t="shared" ref="Q945" si="2864">CONCATENATE(D945,"-",J945)</f>
        <v>Underground storage-Marginal abatement cost</v>
      </c>
      <c r="R945" t="str">
        <f t="shared" ref="R945" si="2865">CONCATENATE(E945,"-",J945)</f>
        <v>Methanation-Marginal abatement cost</v>
      </c>
      <c r="S945" t="str">
        <f t="shared" ref="S945" si="2866">CONCATENATE(F945,"-",J945)</f>
        <v>District-CHP with natural gas fuel cell (power)-Marginal abatement cost</v>
      </c>
      <c r="T945">
        <f>IFERROR(VLOOKUP($P945,'TA database'!$I$8:$J$79,2,FALSE),0)</f>
        <v>0</v>
      </c>
      <c r="U945">
        <f>IFERROR(VLOOKUP($Q945,'TA database'!$I$86:$J$105,2,FALSE),0)</f>
        <v>0</v>
      </c>
      <c r="V945">
        <f>IFERROR(VLOOKUP($R945,'TA database'!$I$112:$J$139,2,FALSE),0)</f>
        <v>0</v>
      </c>
      <c r="W945">
        <f>IFERROR(VLOOKUP($S945,'TA database'!$I$146:$J$193,2,FALSE),0)</f>
        <v>0</v>
      </c>
      <c r="X945">
        <f ca="1">IFERROR(VLOOKUP($S945,'TA database'!$I$200:$J$271,2,FALSE),0)</f>
        <v>383.65775770653852</v>
      </c>
      <c r="Y945" s="59">
        <f t="shared" ref="Y945" ca="1" si="2867">IF($W945=0,T945+U945+V945+X945,T945+U945+V945+W945)</f>
        <v>383.65775770653852</v>
      </c>
      <c r="Z945" t="str">
        <f t="shared" ref="Z945" si="2868">CONCATENATE(AG945,"   →   ",AH945,"   →   ",AI945,"   →   ",AJ945)</f>
        <v>BIO_SR_LRG_C   →   C_UNDRGRND_STRG   →   METHANATION   →   NG_FC_DCHP_PWR</v>
      </c>
      <c r="AA945" t="str">
        <f t="shared" ref="AA945" si="2869">G945</f>
        <v>Grid electricity</v>
      </c>
      <c r="AB945" t="str">
        <f t="shared" ref="AB945" si="2870">J945</f>
        <v>Marginal abatement cost</v>
      </c>
      <c r="AC945">
        <f t="shared" ref="AC945" ca="1" si="2871">Y945</f>
        <v>383.65775770653852</v>
      </c>
      <c r="AD945">
        <v>886</v>
      </c>
      <c r="AE945" t="str">
        <f>IF(AND(ISNUMBER(SEARCH(O945,4)),ISNUMBER(SEARCH('(4) FCH pathway assessment'!$B$16,AB945)),ISNUMBER(SEARCH('(4) FCH pathway assessment'!$B$10,AA945))),AD945,"")</f>
        <v/>
      </c>
      <c r="AF945" t="str">
        <f t="shared" si="2703"/>
        <v/>
      </c>
      <c r="AG945" t="str">
        <f>VLOOKUP(C945,Assumptions!$B$116:$C$162,2,FALSE)</f>
        <v>BIO_SR_LRG_C</v>
      </c>
      <c r="AH945" t="str">
        <f>VLOOKUP(D945,Assumptions!$B$116:$C$162,2,FALSE)</f>
        <v>C_UNDRGRND_STRG</v>
      </c>
      <c r="AI945" t="str">
        <f>VLOOKUP(E945,Assumptions!$B$116:$C$162,2,FALSE)</f>
        <v>METHANATION</v>
      </c>
      <c r="AJ945" t="str">
        <f>VLOOKUP(F945,Assumptions!$B$116:$C$162,2,FALSE)</f>
        <v>NG_FC_DCHP_PWR</v>
      </c>
    </row>
    <row r="946" spans="2:36" x14ac:dyDescent="0.25">
      <c r="B946" t="s">
        <v>112</v>
      </c>
      <c r="C946" t="s">
        <v>49</v>
      </c>
      <c r="D946" t="s">
        <v>62</v>
      </c>
      <c r="E946" t="s">
        <v>65</v>
      </c>
      <c r="F946" t="s">
        <v>550</v>
      </c>
      <c r="G946" t="s">
        <v>114</v>
      </c>
      <c r="H946" t="s">
        <v>433</v>
      </c>
      <c r="I946" t="s">
        <v>32</v>
      </c>
      <c r="J946" t="s">
        <v>77</v>
      </c>
      <c r="K946">
        <f t="shared" ref="K946:K948" si="2872">SUMPRODUCT(($C$7:$C$18=$C946)*($D$6:$H$6=$D946)*($D$7:$H$18))</f>
        <v>1</v>
      </c>
      <c r="L946">
        <f t="shared" ref="L946:L948" si="2873">SUMPRODUCT(($C$19:$C$23=$D946)*($I$6:$O$6=$E946)*($I$19:$O$23))</f>
        <v>0</v>
      </c>
      <c r="M946">
        <f t="shared" ref="M946:M948" si="2874">SUMPRODUCT(($C$24:$C$30=$E946)*($P$6:$AI$6=$F946)*($P$24:$AI$30))</f>
        <v>0</v>
      </c>
      <c r="N946">
        <f t="shared" ref="N946:N948" si="2875">SUMPRODUCT(($C$31:$C$50=$F946)*($AJ$6:$AM$6=$G946)*($AJ$31:$AM$50))</f>
        <v>1</v>
      </c>
      <c r="O946">
        <f t="shared" ref="O946:O948" si="2876">K946+L946+M946+N946</f>
        <v>2</v>
      </c>
      <c r="P946" t="str">
        <f t="shared" ref="P946:P948" si="2877">CONCATENATE(C946,"-",J946)</f>
        <v>Large centralized electrolysis-Marginal abatement cost</v>
      </c>
      <c r="Q946" t="str">
        <f t="shared" ref="Q946:Q948" si="2878">CONCATENATE(D946,"-",J946)</f>
        <v>Underground storage-Marginal abatement cost</v>
      </c>
      <c r="R946" t="str">
        <f t="shared" ref="R946:R948" si="2879">CONCATENATE(E946,"-",J946)</f>
        <v>Methanation-Marginal abatement cost</v>
      </c>
      <c r="S946" t="str">
        <f t="shared" ref="S946:S948" si="2880">CONCATENATE(F946,"-",J946)</f>
        <v>District-CHP with natural gas fuel cell (power)-Marginal abatement cost</v>
      </c>
      <c r="T946">
        <f>IFERROR(VLOOKUP($P946,'TA database'!$I$8:$J$79,2,FALSE),0)</f>
        <v>0</v>
      </c>
      <c r="U946">
        <f>IFERROR(VLOOKUP($Q946,'TA database'!$I$86:$J$105,2,FALSE),0)</f>
        <v>0</v>
      </c>
      <c r="V946">
        <f>IFERROR(VLOOKUP($R946,'TA database'!$I$112:$J$139,2,FALSE),0)</f>
        <v>0</v>
      </c>
      <c r="W946">
        <f>IFERROR(VLOOKUP($S946,'TA database'!$I$146:$J$193,2,FALSE),0)</f>
        <v>0</v>
      </c>
      <c r="X946">
        <f ca="1">IFERROR(VLOOKUP($S946,'TA database'!$I$200:$J$271,2,FALSE),0)</f>
        <v>383.65775770653852</v>
      </c>
      <c r="Y946" s="59">
        <f t="shared" ref="Y946:Y947" ca="1" si="2881">IF($W946=0,T946+U946+V946+X946,T946+U946+V946+W946)</f>
        <v>383.65775770653852</v>
      </c>
      <c r="Z946" t="str">
        <f t="shared" ref="Z946:Z948" si="2882">CONCATENATE(AG946,"   →   ",AH946,"   →   ",AI946,"   →   ",AJ946)</f>
        <v>ELCTRLYZ_LRG_C   →   C_UNDRGRND_STRG   →   METHANATION   →   NG_FC_DCHP_PWR</v>
      </c>
      <c r="AA946" t="str">
        <f t="shared" ref="AA946:AA948" si="2883">G946</f>
        <v>Grid electricity</v>
      </c>
      <c r="AB946" t="str">
        <f t="shared" ref="AB946:AB948" si="2884">J946</f>
        <v>Marginal abatement cost</v>
      </c>
      <c r="AC946">
        <f t="shared" ref="AC946:AC948" ca="1" si="2885">Y946</f>
        <v>383.65775770653852</v>
      </c>
      <c r="AD946">
        <v>887</v>
      </c>
      <c r="AE946" t="str">
        <f>IF(AND(ISNUMBER(SEARCH(O946,4)),ISNUMBER(SEARCH('(4) FCH pathway assessment'!$B$16,AB946)),ISNUMBER(SEARCH('(4) FCH pathway assessment'!$B$10,AA946))),AD946,"")</f>
        <v/>
      </c>
      <c r="AF946" t="str">
        <f t="shared" si="2703"/>
        <v/>
      </c>
      <c r="AG946" t="str">
        <f>VLOOKUP(C946,Assumptions!$B$116:$C$162,2,FALSE)</f>
        <v>ELCTRLYZ_LRG_C</v>
      </c>
      <c r="AH946" t="str">
        <f>VLOOKUP(D946,Assumptions!$B$116:$C$162,2,FALSE)</f>
        <v>C_UNDRGRND_STRG</v>
      </c>
      <c r="AI946" t="str">
        <f>VLOOKUP(E946,Assumptions!$B$116:$C$162,2,FALSE)</f>
        <v>METHANATION</v>
      </c>
      <c r="AJ946" t="str">
        <f>VLOOKUP(F946,Assumptions!$B$116:$C$162,2,FALSE)</f>
        <v>NG_FC_DCHP_PWR</v>
      </c>
    </row>
    <row r="947" spans="2:36" x14ac:dyDescent="0.25">
      <c r="B947" t="s">
        <v>112</v>
      </c>
      <c r="C947" t="s">
        <v>49</v>
      </c>
      <c r="D947" t="s">
        <v>155</v>
      </c>
      <c r="E947" t="s">
        <v>65</v>
      </c>
      <c r="F947" t="s">
        <v>550</v>
      </c>
      <c r="G947" t="s">
        <v>114</v>
      </c>
      <c r="H947" t="s">
        <v>433</v>
      </c>
      <c r="I947" t="s">
        <v>32</v>
      </c>
      <c r="J947" t="s">
        <v>77</v>
      </c>
      <c r="K947">
        <f t="shared" si="2872"/>
        <v>1</v>
      </c>
      <c r="L947">
        <f t="shared" si="2873"/>
        <v>1</v>
      </c>
      <c r="M947">
        <f t="shared" si="2874"/>
        <v>0</v>
      </c>
      <c r="N947">
        <f t="shared" si="2875"/>
        <v>1</v>
      </c>
      <c r="O947">
        <f t="shared" si="2876"/>
        <v>3</v>
      </c>
      <c r="P947" t="str">
        <f t="shared" si="2877"/>
        <v>Large centralized electrolysis-Marginal abatement cost</v>
      </c>
      <c r="Q947" t="str">
        <f t="shared" si="2878"/>
        <v>Central gas storage-Marginal abatement cost</v>
      </c>
      <c r="R947" t="str">
        <f t="shared" si="2879"/>
        <v>Methanation-Marginal abatement cost</v>
      </c>
      <c r="S947" t="str">
        <f t="shared" si="2880"/>
        <v>District-CHP with natural gas fuel cell (power)-Marginal abatement cost</v>
      </c>
      <c r="T947">
        <f>IFERROR(VLOOKUP($P947,'TA database'!$I$8:$J$79,2,FALSE),0)</f>
        <v>0</v>
      </c>
      <c r="U947">
        <f>IFERROR(VLOOKUP($Q947,'TA database'!$I$86:$J$105,2,FALSE),0)</f>
        <v>0</v>
      </c>
      <c r="V947">
        <f>IFERROR(VLOOKUP($R947,'TA database'!$I$112:$J$139,2,FALSE),0)</f>
        <v>0</v>
      </c>
      <c r="W947">
        <f>IFERROR(VLOOKUP($S947,'TA database'!$I$146:$J$193,2,FALSE),0)</f>
        <v>0</v>
      </c>
      <c r="X947">
        <f ca="1">IFERROR(VLOOKUP($S947,'TA database'!$I$200:$J$271,2,FALSE),0)</f>
        <v>383.65775770653852</v>
      </c>
      <c r="Y947" s="59">
        <f t="shared" ca="1" si="2881"/>
        <v>383.65775770653852</v>
      </c>
      <c r="Z947" t="str">
        <f t="shared" si="2882"/>
        <v>ELCTRLYZ_LRG_C   →   C_GAS_STRG   →   METHANATION   →   NG_FC_DCHP_PWR</v>
      </c>
      <c r="AA947" t="str">
        <f t="shared" si="2883"/>
        <v>Grid electricity</v>
      </c>
      <c r="AB947" t="str">
        <f t="shared" si="2884"/>
        <v>Marginal abatement cost</v>
      </c>
      <c r="AC947">
        <f t="shared" ca="1" si="2885"/>
        <v>383.65775770653852</v>
      </c>
      <c r="AD947">
        <v>888</v>
      </c>
      <c r="AE947" t="str">
        <f>IF(AND(ISNUMBER(SEARCH(O947,4)),ISNUMBER(SEARCH('(4) FCH pathway assessment'!$B$16,AB947)),ISNUMBER(SEARCH('(4) FCH pathway assessment'!$B$10,AA947))),AD947,"")</f>
        <v/>
      </c>
      <c r="AF947" t="str">
        <f t="shared" si="2703"/>
        <v/>
      </c>
      <c r="AG947" t="str">
        <f>VLOOKUP(C947,Assumptions!$B$116:$C$162,2,FALSE)</f>
        <v>ELCTRLYZ_LRG_C</v>
      </c>
      <c r="AH947" t="str">
        <f>VLOOKUP(D947,Assumptions!$B$116:$C$162,2,FALSE)</f>
        <v>C_GAS_STRG</v>
      </c>
      <c r="AI947" t="str">
        <f>VLOOKUP(E947,Assumptions!$B$116:$C$162,2,FALSE)</f>
        <v>METHANATION</v>
      </c>
      <c r="AJ947" t="str">
        <f>VLOOKUP(F947,Assumptions!$B$116:$C$162,2,FALSE)</f>
        <v>NG_FC_DCHP_PWR</v>
      </c>
    </row>
    <row r="948" spans="2:36" x14ac:dyDescent="0.25">
      <c r="B948" t="s">
        <v>112</v>
      </c>
      <c r="C948" t="s">
        <v>51</v>
      </c>
      <c r="D948" t="s">
        <v>155</v>
      </c>
      <c r="E948" t="s">
        <v>65</v>
      </c>
      <c r="F948" t="s">
        <v>550</v>
      </c>
      <c r="G948" t="s">
        <v>114</v>
      </c>
      <c r="H948" t="s">
        <v>433</v>
      </c>
      <c r="I948" t="s">
        <v>32</v>
      </c>
      <c r="J948" t="s">
        <v>77</v>
      </c>
      <c r="K948">
        <f t="shared" si="2872"/>
        <v>1</v>
      </c>
      <c r="L948">
        <f t="shared" si="2873"/>
        <v>1</v>
      </c>
      <c r="M948">
        <f t="shared" si="2874"/>
        <v>0</v>
      </c>
      <c r="N948">
        <f t="shared" si="2875"/>
        <v>1</v>
      </c>
      <c r="O948">
        <f t="shared" si="2876"/>
        <v>3</v>
      </c>
      <c r="P948" t="str">
        <f t="shared" si="2877"/>
        <v>Medium centralized electrolysis-Marginal abatement cost</v>
      </c>
      <c r="Q948" t="str">
        <f t="shared" si="2878"/>
        <v>Central gas storage-Marginal abatement cost</v>
      </c>
      <c r="R948" t="str">
        <f t="shared" si="2879"/>
        <v>Methanation-Marginal abatement cost</v>
      </c>
      <c r="S948" t="str">
        <f t="shared" si="2880"/>
        <v>District-CHP with natural gas fuel cell (power)-Marginal abatement cost</v>
      </c>
      <c r="T948">
        <f>IFERROR(VLOOKUP($P948,'TA database'!$I$8:$J$79,2,FALSE),0)</f>
        <v>0</v>
      </c>
      <c r="U948">
        <f>IFERROR(VLOOKUP($Q948,'TA database'!$I$86:$J$105,2,FALSE),0)</f>
        <v>0</v>
      </c>
      <c r="V948">
        <f>IFERROR(VLOOKUP($R948,'TA database'!$I$112:$J$139,2,FALSE),0)</f>
        <v>0</v>
      </c>
      <c r="W948">
        <f>IFERROR(VLOOKUP($S948,'TA database'!$I$146:$J$193,2,FALSE),0)</f>
        <v>0</v>
      </c>
      <c r="X948">
        <f ca="1">IFERROR(VLOOKUP($S948,'TA database'!$I$200:$J$271,2,FALSE),0)</f>
        <v>383.65775770653852</v>
      </c>
      <c r="Y948" s="59">
        <f t="shared" ref="Y948" ca="1" si="2886">IF($W948=0,T948+U948+V948+X948,T948+U948+V948+W948)</f>
        <v>383.65775770653852</v>
      </c>
      <c r="Z948" t="str">
        <f t="shared" si="2882"/>
        <v>ELCTRLYZ_MED_C   →   C_GAS_STRG   →   METHANATION   →   NG_FC_DCHP_PWR</v>
      </c>
      <c r="AA948" t="str">
        <f t="shared" si="2883"/>
        <v>Grid electricity</v>
      </c>
      <c r="AB948" t="str">
        <f t="shared" si="2884"/>
        <v>Marginal abatement cost</v>
      </c>
      <c r="AC948">
        <f t="shared" ca="1" si="2885"/>
        <v>383.65775770653852</v>
      </c>
      <c r="AD948">
        <v>889</v>
      </c>
      <c r="AE948" t="str">
        <f>IF(AND(ISNUMBER(SEARCH(O948,4)),ISNUMBER(SEARCH('(4) FCH pathway assessment'!$B$16,AB948)),ISNUMBER(SEARCH('(4) FCH pathway assessment'!$B$10,AA948))),AD948,"")</f>
        <v/>
      </c>
      <c r="AF948" t="str">
        <f t="shared" si="2703"/>
        <v/>
      </c>
      <c r="AG948" t="str">
        <f>VLOOKUP(C948,Assumptions!$B$116:$C$162,2,FALSE)</f>
        <v>ELCTRLYZ_MED_C</v>
      </c>
      <c r="AH948" t="str">
        <f>VLOOKUP(D948,Assumptions!$B$116:$C$162,2,FALSE)</f>
        <v>C_GAS_STRG</v>
      </c>
      <c r="AI948" t="str">
        <f>VLOOKUP(E948,Assumptions!$B$116:$C$162,2,FALSE)</f>
        <v>METHANATION</v>
      </c>
      <c r="AJ948" t="str">
        <f>VLOOKUP(F948,Assumptions!$B$116:$C$162,2,FALSE)</f>
        <v>NG_FC_DCHP_PWR</v>
      </c>
    </row>
    <row r="949" spans="2:36" x14ac:dyDescent="0.25">
      <c r="B949" t="s">
        <v>127</v>
      </c>
      <c r="C949" t="s">
        <v>57</v>
      </c>
      <c r="D949" t="s">
        <v>62</v>
      </c>
      <c r="E949" t="s">
        <v>65</v>
      </c>
      <c r="F949" t="s">
        <v>550</v>
      </c>
      <c r="G949" t="s">
        <v>114</v>
      </c>
      <c r="H949" t="s">
        <v>433</v>
      </c>
      <c r="I949" t="s">
        <v>32</v>
      </c>
      <c r="J949" t="s">
        <v>77</v>
      </c>
      <c r="K949">
        <f t="shared" ref="K949" si="2887">SUMPRODUCT(($C$7:$C$18=$C949)*($D$6:$H$6=$D949)*($D$7:$H$18))</f>
        <v>1</v>
      </c>
      <c r="L949">
        <f t="shared" ref="L949" si="2888">SUMPRODUCT(($C$19:$C$23=$D949)*($I$6:$O$6=$E949)*($I$19:$O$23))</f>
        <v>0</v>
      </c>
      <c r="M949">
        <f t="shared" ref="M949" si="2889">SUMPRODUCT(($C$24:$C$30=$E949)*($P$6:$AI$6=$F949)*($P$24:$AI$30))</f>
        <v>0</v>
      </c>
      <c r="N949">
        <f t="shared" ref="N949" si="2890">SUMPRODUCT(($C$31:$C$50=$F949)*($AJ$6:$AM$6=$G949)*($AJ$31:$AM$50))</f>
        <v>1</v>
      </c>
      <c r="O949">
        <f t="shared" ref="O949" si="2891">K949+L949+M949+N949</f>
        <v>2</v>
      </c>
      <c r="P949" t="str">
        <f t="shared" ref="P949" si="2892">CONCATENATE(C949,"-",J949)</f>
        <v>Large centralized natural gas steam reforming-Marginal abatement cost</v>
      </c>
      <c r="Q949" t="str">
        <f t="shared" ref="Q949" si="2893">CONCATENATE(D949,"-",J949)</f>
        <v>Underground storage-Marginal abatement cost</v>
      </c>
      <c r="R949" t="str">
        <f t="shared" ref="R949" si="2894">CONCATENATE(E949,"-",J949)</f>
        <v>Methanation-Marginal abatement cost</v>
      </c>
      <c r="S949" t="str">
        <f t="shared" ref="S949" si="2895">CONCATENATE(F949,"-",J949)</f>
        <v>District-CHP with natural gas fuel cell (power)-Marginal abatement cost</v>
      </c>
      <c r="T949">
        <f>IFERROR(VLOOKUP($P949,'TA database'!$I$8:$J$79,2,FALSE),0)</f>
        <v>0</v>
      </c>
      <c r="U949">
        <f>IFERROR(VLOOKUP($Q949,'TA database'!$I$86:$J$105,2,FALSE),0)</f>
        <v>0</v>
      </c>
      <c r="V949">
        <f>IFERROR(VLOOKUP($R949,'TA database'!$I$112:$J$139,2,FALSE),0)</f>
        <v>0</v>
      </c>
      <c r="W949">
        <f>IFERROR(VLOOKUP($S949,'TA database'!$I$146:$J$193,2,FALSE),0)</f>
        <v>0</v>
      </c>
      <c r="X949">
        <f ca="1">IFERROR(VLOOKUP($S949,'TA database'!$I$200:$J$271,2,FALSE),0)</f>
        <v>383.65775770653852</v>
      </c>
      <c r="Y949" s="59">
        <f t="shared" ref="Y949:Y950" ca="1" si="2896">IF($W949=0,T949+U949+V949+X949,T949+U949+V949+W949)</f>
        <v>383.65775770653852</v>
      </c>
      <c r="Z949" t="str">
        <f t="shared" ref="Z949" si="2897">CONCATENATE(AG949,"   →   ",AH949,"   →   ",AI949,"   →   ",AJ949)</f>
        <v>NG_SR_LRG_C   →   C_UNDRGRND_STRG   →   METHANATION   →   NG_FC_DCHP_PWR</v>
      </c>
      <c r="AA949" t="str">
        <f t="shared" ref="AA949" si="2898">G949</f>
        <v>Grid electricity</v>
      </c>
      <c r="AB949" t="str">
        <f t="shared" ref="AB949" si="2899">J949</f>
        <v>Marginal abatement cost</v>
      </c>
      <c r="AC949">
        <f t="shared" ref="AC949" ca="1" si="2900">Y949</f>
        <v>383.65775770653852</v>
      </c>
      <c r="AD949">
        <v>890</v>
      </c>
      <c r="AE949" t="str">
        <f>IF(AND(ISNUMBER(SEARCH(O949,4)),ISNUMBER(SEARCH('(4) FCH pathway assessment'!$B$16,AB949)),ISNUMBER(SEARCH('(4) FCH pathway assessment'!$B$10,AA949))),AD949,"")</f>
        <v/>
      </c>
      <c r="AF949" t="str">
        <f t="shared" si="2703"/>
        <v/>
      </c>
      <c r="AG949" t="str">
        <f>VLOOKUP(C949,Assumptions!$B$116:$C$162,2,FALSE)</f>
        <v>NG_SR_LRG_C</v>
      </c>
      <c r="AH949" t="str">
        <f>VLOOKUP(D949,Assumptions!$B$116:$C$162,2,FALSE)</f>
        <v>C_UNDRGRND_STRG</v>
      </c>
      <c r="AI949" t="str">
        <f>VLOOKUP(E949,Assumptions!$B$116:$C$162,2,FALSE)</f>
        <v>METHANATION</v>
      </c>
      <c r="AJ949" t="str">
        <f>VLOOKUP(F949,Assumptions!$B$116:$C$162,2,FALSE)</f>
        <v>NG_FC_DCHP_PWR</v>
      </c>
    </row>
    <row r="950" spans="2:36" x14ac:dyDescent="0.25">
      <c r="B950" t="s">
        <v>127</v>
      </c>
      <c r="C950" t="s">
        <v>58</v>
      </c>
      <c r="D950" t="s">
        <v>155</v>
      </c>
      <c r="E950" t="s">
        <v>65</v>
      </c>
      <c r="F950" t="s">
        <v>550</v>
      </c>
      <c r="G950" t="s">
        <v>114</v>
      </c>
      <c r="H950" t="s">
        <v>433</v>
      </c>
      <c r="I950" t="s">
        <v>32</v>
      </c>
      <c r="J950" t="s">
        <v>77</v>
      </c>
      <c r="K950">
        <f t="shared" ref="K950" si="2901">SUMPRODUCT(($C$7:$C$18=$C950)*($D$6:$H$6=$D950)*($D$7:$H$18))</f>
        <v>1</v>
      </c>
      <c r="L950">
        <f t="shared" ref="L950" si="2902">SUMPRODUCT(($C$19:$C$23=$D950)*($I$6:$O$6=$E950)*($I$19:$O$23))</f>
        <v>1</v>
      </c>
      <c r="M950">
        <f t="shared" ref="M950" si="2903">SUMPRODUCT(($C$24:$C$30=$E950)*($P$6:$AI$6=$F950)*($P$24:$AI$30))</f>
        <v>0</v>
      </c>
      <c r="N950">
        <f t="shared" ref="N950" si="2904">SUMPRODUCT(($C$31:$C$50=$F950)*($AJ$6:$AM$6=$G950)*($AJ$31:$AM$50))</f>
        <v>1</v>
      </c>
      <c r="O950">
        <f t="shared" ref="O950" si="2905">K950+L950+M950+N950</f>
        <v>3</v>
      </c>
      <c r="P950" t="str">
        <f t="shared" ref="P950" si="2906">CONCATENATE(C950,"-",J950)</f>
        <v>Small centralized natural gas steam reforming-Marginal abatement cost</v>
      </c>
      <c r="Q950" t="str">
        <f t="shared" ref="Q950" si="2907">CONCATENATE(D950,"-",J950)</f>
        <v>Central gas storage-Marginal abatement cost</v>
      </c>
      <c r="R950" t="str">
        <f t="shared" ref="R950" si="2908">CONCATENATE(E950,"-",J950)</f>
        <v>Methanation-Marginal abatement cost</v>
      </c>
      <c r="S950" t="str">
        <f t="shared" ref="S950" si="2909">CONCATENATE(F950,"-",J950)</f>
        <v>District-CHP with natural gas fuel cell (power)-Marginal abatement cost</v>
      </c>
      <c r="T950">
        <f>IFERROR(VLOOKUP($P950,'TA database'!$I$8:$J$79,2,FALSE),0)</f>
        <v>0</v>
      </c>
      <c r="U950">
        <f>IFERROR(VLOOKUP($Q950,'TA database'!$I$86:$J$105,2,FALSE),0)</f>
        <v>0</v>
      </c>
      <c r="V950">
        <f>IFERROR(VLOOKUP($R950,'TA database'!$I$112:$J$139,2,FALSE),0)</f>
        <v>0</v>
      </c>
      <c r="W950">
        <f>IFERROR(VLOOKUP($S950,'TA database'!$I$146:$J$193,2,FALSE),0)</f>
        <v>0</v>
      </c>
      <c r="X950">
        <f ca="1">IFERROR(VLOOKUP($S950,'TA database'!$I$200:$J$271,2,FALSE),0)</f>
        <v>383.65775770653852</v>
      </c>
      <c r="Y950" s="59">
        <f t="shared" ca="1" si="2896"/>
        <v>383.65775770653852</v>
      </c>
      <c r="Z950" t="str">
        <f t="shared" ref="Z950" si="2910">CONCATENATE(AG950,"   →   ",AH950,"   →   ",AI950,"   →   ",AJ950)</f>
        <v>NG_SR_SML_C   →   C_GAS_STRG   →   METHANATION   →   NG_FC_DCHP_PWR</v>
      </c>
      <c r="AA950" t="str">
        <f t="shared" ref="AA950" si="2911">G950</f>
        <v>Grid electricity</v>
      </c>
      <c r="AB950" t="str">
        <f t="shared" ref="AB950" si="2912">J950</f>
        <v>Marginal abatement cost</v>
      </c>
      <c r="AC950">
        <f t="shared" ref="AC950" ca="1" si="2913">Y950</f>
        <v>383.65775770653852</v>
      </c>
      <c r="AD950">
        <v>891</v>
      </c>
      <c r="AE950" t="str">
        <f>IF(AND(ISNUMBER(SEARCH(O950,4)),ISNUMBER(SEARCH('(4) FCH pathway assessment'!$B$16,AB950)),ISNUMBER(SEARCH('(4) FCH pathway assessment'!$B$10,AA950))),AD950,"")</f>
        <v/>
      </c>
      <c r="AF950" t="str">
        <f t="shared" si="2703"/>
        <v/>
      </c>
      <c r="AG950" t="str">
        <f>VLOOKUP(C950,Assumptions!$B$116:$C$162,2,FALSE)</f>
        <v>NG_SR_SML_C</v>
      </c>
      <c r="AH950" t="str">
        <f>VLOOKUP(D950,Assumptions!$B$116:$C$162,2,FALSE)</f>
        <v>C_GAS_STRG</v>
      </c>
      <c r="AI950" t="str">
        <f>VLOOKUP(E950,Assumptions!$B$116:$C$162,2,FALSE)</f>
        <v>METHANATION</v>
      </c>
      <c r="AJ950" t="str">
        <f>VLOOKUP(F950,Assumptions!$B$116:$C$162,2,FALSE)</f>
        <v>NG_FC_DCHP_PWR</v>
      </c>
    </row>
    <row r="951" spans="2:36" x14ac:dyDescent="0.25">
      <c r="B951" t="s">
        <v>127</v>
      </c>
      <c r="C951" t="s">
        <v>174</v>
      </c>
      <c r="D951" s="61" t="s">
        <v>177</v>
      </c>
      <c r="E951" t="s">
        <v>180</v>
      </c>
      <c r="F951" t="s">
        <v>550</v>
      </c>
      <c r="G951" t="s">
        <v>114</v>
      </c>
      <c r="H951" t="s">
        <v>433</v>
      </c>
      <c r="I951" t="s">
        <v>32</v>
      </c>
      <c r="J951" t="s">
        <v>77</v>
      </c>
      <c r="K951">
        <f t="shared" ref="K951:K955" si="2914">SUMPRODUCT(($C$7:$C$18=$C951)*($D$6:$H$6=$D951)*($D$7:$H$18))</f>
        <v>1</v>
      </c>
      <c r="L951">
        <f t="shared" ref="L951:L955" si="2915">SUMPRODUCT(($C$19:$C$23=$D951)*($I$6:$O$6=$E951)*($I$19:$O$23))</f>
        <v>1</v>
      </c>
      <c r="M951">
        <f t="shared" ref="M951:M955" si="2916">SUMPRODUCT(($C$24:$C$30=$E951)*($P$6:$AI$6=$F951)*($P$24:$AI$30))</f>
        <v>1</v>
      </c>
      <c r="N951">
        <f t="shared" ref="N951:N955" si="2917">SUMPRODUCT(($C$31:$C$50=$F951)*($AJ$6:$AM$6=$G951)*($AJ$31:$AM$50))</f>
        <v>1</v>
      </c>
      <c r="O951">
        <f t="shared" ref="O951:O955" si="2918">K951+L951+M951+N951</f>
        <v>4</v>
      </c>
      <c r="P951" t="str">
        <f t="shared" ref="P951:P955" si="2919">CONCATENATE(C951,"-",J951)</f>
        <v>Natural gas production-Marginal abatement cost</v>
      </c>
      <c r="Q951" t="str">
        <f t="shared" ref="Q951:Q955" si="2920">CONCATENATE(D951,"-",J951)</f>
        <v>Natural gas storage-Marginal abatement cost</v>
      </c>
      <c r="R951" t="str">
        <f t="shared" ref="R951:R955" si="2921">CONCATENATE(E951,"-",J951)</f>
        <v>Natural gas transport-Marginal abatement cost</v>
      </c>
      <c r="S951" t="str">
        <f t="shared" ref="S951:S955" si="2922">CONCATENATE(F951,"-",J951)</f>
        <v>District-CHP with natural gas fuel cell (power)-Marginal abatement cost</v>
      </c>
      <c r="T951">
        <f>IFERROR(VLOOKUP($P951,'TA database'!$I$8:$J$79,2,FALSE),0)</f>
        <v>0</v>
      </c>
      <c r="U951">
        <f>IFERROR(VLOOKUP($Q951,'TA database'!$I$86:$J$105,2,FALSE),0)</f>
        <v>0</v>
      </c>
      <c r="V951">
        <f>IFERROR(VLOOKUP($R951,'TA database'!$I$112:$J$139,2,FALSE),0)</f>
        <v>0</v>
      </c>
      <c r="W951">
        <f>IFERROR(VLOOKUP($S951,'TA database'!$I$146:$J$193,2,FALSE),0)</f>
        <v>0</v>
      </c>
      <c r="X951">
        <f ca="1">IFERROR(VLOOKUP($S951,'TA database'!$I$200:$J$271,2,FALSE),0)</f>
        <v>383.65775770653852</v>
      </c>
      <c r="Y951" s="59">
        <f t="shared" ref="Y951:Y955" ca="1" si="2923">IF($W951=0,T951+U951+V951+X951,T951+U951+V951+W951)</f>
        <v>383.65775770653852</v>
      </c>
      <c r="Z951" t="str">
        <f t="shared" ref="Z951:Z955" si="2924">CONCATENATE(AG951,"   →   ",AH951,"   →   ",AI951,"   →   ",AJ951)</f>
        <v>[NG_PROD]   →   [NG_STRG]   →   [NG_TRNSP]   →   NG_FC_DCHP_PWR</v>
      </c>
      <c r="AA951" t="str">
        <f t="shared" ref="AA951:AA955" si="2925">G951</f>
        <v>Grid electricity</v>
      </c>
      <c r="AB951" t="str">
        <f t="shared" ref="AB951:AB955" si="2926">J951</f>
        <v>Marginal abatement cost</v>
      </c>
      <c r="AC951">
        <f t="shared" ref="AC951:AC955" ca="1" si="2927">Y951</f>
        <v>383.65775770653852</v>
      </c>
      <c r="AD951">
        <v>892</v>
      </c>
      <c r="AE951" t="str">
        <f>IF(AND(ISNUMBER(SEARCH(O951,4)),ISNUMBER(SEARCH('(4) FCH pathway assessment'!$B$16,AB951)),ISNUMBER(SEARCH('(4) FCH pathway assessment'!$B$10,AA951))),AD951,"")</f>
        <v/>
      </c>
      <c r="AF951" t="str">
        <f t="shared" si="2703"/>
        <v/>
      </c>
      <c r="AG951" t="str">
        <f>VLOOKUP(C951,Assumptions!$B$116:$C$162,2,FALSE)</f>
        <v>[NG_PROD]</v>
      </c>
      <c r="AH951" t="str">
        <f>VLOOKUP(D951,Assumptions!$B$116:$C$162,2,FALSE)</f>
        <v>[NG_STRG]</v>
      </c>
      <c r="AI951" t="str">
        <f>VLOOKUP(E951,Assumptions!$B$116:$C$162,2,FALSE)</f>
        <v>[NG_TRNSP]</v>
      </c>
      <c r="AJ951" t="str">
        <f>VLOOKUP(F951,Assumptions!$B$116:$C$162,2,FALSE)</f>
        <v>NG_FC_DCHP_PWR</v>
      </c>
    </row>
    <row r="952" spans="2:36" x14ac:dyDescent="0.25">
      <c r="B952" t="s">
        <v>117</v>
      </c>
      <c r="C952" t="s">
        <v>53</v>
      </c>
      <c r="D952" t="s">
        <v>155</v>
      </c>
      <c r="E952" t="s">
        <v>157</v>
      </c>
      <c r="F952" t="s">
        <v>163</v>
      </c>
      <c r="G952" t="s">
        <v>114</v>
      </c>
      <c r="H952" t="s">
        <v>433</v>
      </c>
      <c r="I952" t="s">
        <v>32</v>
      </c>
      <c r="J952" t="s">
        <v>77</v>
      </c>
      <c r="K952">
        <f t="shared" si="2914"/>
        <v>0</v>
      </c>
      <c r="L952">
        <f t="shared" si="2915"/>
        <v>1</v>
      </c>
      <c r="M952">
        <f t="shared" si="2916"/>
        <v>0</v>
      </c>
      <c r="N952">
        <f t="shared" si="2917"/>
        <v>0</v>
      </c>
      <c r="O952">
        <f t="shared" si="2918"/>
        <v>1</v>
      </c>
      <c r="P952" t="str">
        <f t="shared" si="2919"/>
        <v>Medium centralized biomass gasification-Marginal abatement cost</v>
      </c>
      <c r="Q952" t="str">
        <f t="shared" si="2920"/>
        <v>Central gas storage-Marginal abatement cost</v>
      </c>
      <c r="R952" t="str">
        <f t="shared" si="2921"/>
        <v>Blending in natural gas pipeline-Marginal abatement cost</v>
      </c>
      <c r="S952" t="str">
        <f t="shared" si="2922"/>
        <v>Hydrogen turbine (CC)-Marginal abatement cost</v>
      </c>
      <c r="T952">
        <f>IFERROR(VLOOKUP($P952,'TA database'!$I$8:$J$79,2,FALSE),0)</f>
        <v>0</v>
      </c>
      <c r="U952">
        <f>IFERROR(VLOOKUP($Q952,'TA database'!$I$86:$J$105,2,FALSE),0)</f>
        <v>0</v>
      </c>
      <c r="V952">
        <f>IFERROR(VLOOKUP($R952,'TA database'!$I$112:$J$139,2,FALSE),0)</f>
        <v>0</v>
      </c>
      <c r="W952">
        <f>IFERROR(VLOOKUP($S952,'TA database'!$I$146:$J$193,2,FALSE),0)</f>
        <v>0</v>
      </c>
      <c r="X952">
        <f ca="1">IFERROR(VLOOKUP($S952,'TA database'!$I$200:$J$271,2,FALSE),0)</f>
        <v>-14.763904930875372</v>
      </c>
      <c r="Y952" s="59">
        <f t="shared" ca="1" si="2923"/>
        <v>-14.763904930875372</v>
      </c>
      <c r="Z952" t="str">
        <f t="shared" si="2924"/>
        <v>BIO_GSF_MED_C   →   C_GAS_STRG   →   H2_BLND_NG_P   →   H2_CCGT_PWR</v>
      </c>
      <c r="AA952" t="str">
        <f t="shared" si="2925"/>
        <v>Grid electricity</v>
      </c>
      <c r="AB952" t="str">
        <f t="shared" si="2926"/>
        <v>Marginal abatement cost</v>
      </c>
      <c r="AC952">
        <f t="shared" ca="1" si="2927"/>
        <v>-14.763904930875372</v>
      </c>
      <c r="AD952">
        <v>893</v>
      </c>
      <c r="AE952" t="str">
        <f>IF(AND(ISNUMBER(SEARCH(O952,4)),ISNUMBER(SEARCH('(4) FCH pathway assessment'!$B$16,AB952)),ISNUMBER(SEARCH('(4) FCH pathway assessment'!$B$10,AA952))),AD952,"")</f>
        <v/>
      </c>
      <c r="AF952" t="str">
        <f t="shared" si="2703"/>
        <v/>
      </c>
      <c r="AG952" t="str">
        <f>VLOOKUP(C952,Assumptions!$B$116:$C$162,2,FALSE)</f>
        <v>BIO_GSF_MED_C</v>
      </c>
      <c r="AH952" t="str">
        <f>VLOOKUP(D952,Assumptions!$B$116:$C$162,2,FALSE)</f>
        <v>C_GAS_STRG</v>
      </c>
      <c r="AI952" t="str">
        <f>VLOOKUP(E952,Assumptions!$B$116:$C$162,2,FALSE)</f>
        <v>H2_BLND_NG_P</v>
      </c>
      <c r="AJ952" t="str">
        <f>VLOOKUP(F952,Assumptions!$B$116:$C$162,2,FALSE)</f>
        <v>H2_CCGT_PWR</v>
      </c>
    </row>
    <row r="953" spans="2:36" x14ac:dyDescent="0.25">
      <c r="B953" t="s">
        <v>117</v>
      </c>
      <c r="C953" t="s">
        <v>53</v>
      </c>
      <c r="D953" t="s">
        <v>155</v>
      </c>
      <c r="E953" t="s">
        <v>122</v>
      </c>
      <c r="F953" t="s">
        <v>163</v>
      </c>
      <c r="G953" t="s">
        <v>114</v>
      </c>
      <c r="H953" t="s">
        <v>433</v>
      </c>
      <c r="I953" t="s">
        <v>32</v>
      </c>
      <c r="J953" t="s">
        <v>77</v>
      </c>
      <c r="K953">
        <f t="shared" si="2914"/>
        <v>0</v>
      </c>
      <c r="L953">
        <f t="shared" si="2915"/>
        <v>1</v>
      </c>
      <c r="M953">
        <f t="shared" si="2916"/>
        <v>1</v>
      </c>
      <c r="N953">
        <f t="shared" si="2917"/>
        <v>0</v>
      </c>
      <c r="O953">
        <f t="shared" si="2918"/>
        <v>2</v>
      </c>
      <c r="P953" t="str">
        <f t="shared" si="2919"/>
        <v>Medium centralized biomass gasification-Marginal abatement cost</v>
      </c>
      <c r="Q953" t="str">
        <f t="shared" si="2920"/>
        <v>Central gas storage-Marginal abatement cost</v>
      </c>
      <c r="R953" t="str">
        <f t="shared" si="2921"/>
        <v>Hydrogen transmission &amp; distribution pipeline-Marginal abatement cost</v>
      </c>
      <c r="S953" t="str">
        <f t="shared" si="2922"/>
        <v>Hydrogen turbine (CC)-Marginal abatement cost</v>
      </c>
      <c r="T953">
        <f>IFERROR(VLOOKUP($P953,'TA database'!$I$8:$J$79,2,FALSE),0)</f>
        <v>0</v>
      </c>
      <c r="U953">
        <f>IFERROR(VLOOKUP($Q953,'TA database'!$I$86:$J$105,2,FALSE),0)</f>
        <v>0</v>
      </c>
      <c r="V953">
        <f>IFERROR(VLOOKUP($R953,'TA database'!$I$112:$J$139,2,FALSE),0)</f>
        <v>0</v>
      </c>
      <c r="W953">
        <f>IFERROR(VLOOKUP($S953,'TA database'!$I$146:$J$193,2,FALSE),0)</f>
        <v>0</v>
      </c>
      <c r="X953">
        <f ca="1">IFERROR(VLOOKUP($S953,'TA database'!$I$200:$J$271,2,FALSE),0)</f>
        <v>-14.763904930875372</v>
      </c>
      <c r="Y953" s="59">
        <f t="shared" ca="1" si="2923"/>
        <v>-14.763904930875372</v>
      </c>
      <c r="Z953" t="str">
        <f t="shared" si="2924"/>
        <v>BIO_GSF_MED_C   →   C_GAS_STRG   →   H2_T&amp;D_P   →   H2_CCGT_PWR</v>
      </c>
      <c r="AA953" t="str">
        <f t="shared" si="2925"/>
        <v>Grid electricity</v>
      </c>
      <c r="AB953" t="str">
        <f t="shared" si="2926"/>
        <v>Marginal abatement cost</v>
      </c>
      <c r="AC953">
        <f t="shared" ca="1" si="2927"/>
        <v>-14.763904930875372</v>
      </c>
      <c r="AD953">
        <v>894</v>
      </c>
      <c r="AE953" t="str">
        <f>IF(AND(ISNUMBER(SEARCH(O953,4)),ISNUMBER(SEARCH('(4) FCH pathway assessment'!$B$16,AB953)),ISNUMBER(SEARCH('(4) FCH pathway assessment'!$B$10,AA953))),AD953,"")</f>
        <v/>
      </c>
      <c r="AF953" t="str">
        <f t="shared" si="2703"/>
        <v/>
      </c>
      <c r="AG953" t="str">
        <f>VLOOKUP(C953,Assumptions!$B$116:$C$162,2,FALSE)</f>
        <v>BIO_GSF_MED_C</v>
      </c>
      <c r="AH953" t="str">
        <f>VLOOKUP(D953,Assumptions!$B$116:$C$162,2,FALSE)</f>
        <v>C_GAS_STRG</v>
      </c>
      <c r="AI953" t="str">
        <f>VLOOKUP(E953,Assumptions!$B$116:$C$162,2,FALSE)</f>
        <v>H2_T&amp;D_P</v>
      </c>
      <c r="AJ953" t="str">
        <f>VLOOKUP(F953,Assumptions!$B$116:$C$162,2,FALSE)</f>
        <v>H2_CCGT_PWR</v>
      </c>
    </row>
    <row r="954" spans="2:36" x14ac:dyDescent="0.25">
      <c r="B954" t="s">
        <v>117</v>
      </c>
      <c r="C954" t="s">
        <v>53</v>
      </c>
      <c r="D954" t="s">
        <v>155</v>
      </c>
      <c r="E954" t="s">
        <v>116</v>
      </c>
      <c r="F954" t="s">
        <v>163</v>
      </c>
      <c r="G954" t="s">
        <v>114</v>
      </c>
      <c r="H954" t="s">
        <v>433</v>
      </c>
      <c r="I954" t="s">
        <v>32</v>
      </c>
      <c r="J954" t="s">
        <v>77</v>
      </c>
      <c r="K954">
        <f t="shared" si="2914"/>
        <v>0</v>
      </c>
      <c r="L954">
        <f t="shared" si="2915"/>
        <v>1</v>
      </c>
      <c r="M954">
        <f t="shared" si="2916"/>
        <v>1</v>
      </c>
      <c r="N954">
        <f t="shared" si="2917"/>
        <v>0</v>
      </c>
      <c r="O954">
        <f t="shared" si="2918"/>
        <v>2</v>
      </c>
      <c r="P954" t="str">
        <f t="shared" si="2919"/>
        <v>Medium centralized biomass gasification-Marginal abatement cost</v>
      </c>
      <c r="Q954" t="str">
        <f t="shared" si="2920"/>
        <v>Central gas storage-Marginal abatement cost</v>
      </c>
      <c r="R954" t="str">
        <f t="shared" si="2921"/>
        <v>Liquid hydrogen truck-Marginal abatement cost</v>
      </c>
      <c r="S954" t="str">
        <f t="shared" si="2922"/>
        <v>Hydrogen turbine (CC)-Marginal abatement cost</v>
      </c>
      <c r="T954">
        <f>IFERROR(VLOOKUP($P954,'TA database'!$I$8:$J$79,2,FALSE),0)</f>
        <v>0</v>
      </c>
      <c r="U954">
        <f>IFERROR(VLOOKUP($Q954,'TA database'!$I$86:$J$105,2,FALSE),0)</f>
        <v>0</v>
      </c>
      <c r="V954">
        <f>IFERROR(VLOOKUP($R954,'TA database'!$I$112:$J$139,2,FALSE),0)</f>
        <v>0</v>
      </c>
      <c r="W954">
        <f>IFERROR(VLOOKUP($S954,'TA database'!$I$146:$J$193,2,FALSE),0)</f>
        <v>0</v>
      </c>
      <c r="X954">
        <f ca="1">IFERROR(VLOOKUP($S954,'TA database'!$I$200:$J$271,2,FALSE),0)</f>
        <v>-14.763904930875372</v>
      </c>
      <c r="Y954" s="59">
        <f t="shared" ca="1" si="2923"/>
        <v>-14.763904930875372</v>
      </c>
      <c r="Z954" t="str">
        <f t="shared" si="2924"/>
        <v>BIO_GSF_MED_C   →   C_GAS_STRG   →   LQ_TRUCK   →   H2_CCGT_PWR</v>
      </c>
      <c r="AA954" t="str">
        <f t="shared" si="2925"/>
        <v>Grid electricity</v>
      </c>
      <c r="AB954" t="str">
        <f t="shared" si="2926"/>
        <v>Marginal abatement cost</v>
      </c>
      <c r="AC954">
        <f t="shared" ca="1" si="2927"/>
        <v>-14.763904930875372</v>
      </c>
      <c r="AD954">
        <v>895</v>
      </c>
      <c r="AE954" t="str">
        <f>IF(AND(ISNUMBER(SEARCH(O954,4)),ISNUMBER(SEARCH('(4) FCH pathway assessment'!$B$16,AB954)),ISNUMBER(SEARCH('(4) FCH pathway assessment'!$B$10,AA954))),AD954,"")</f>
        <v/>
      </c>
      <c r="AF954" t="str">
        <f t="shared" si="2703"/>
        <v/>
      </c>
      <c r="AG954" t="str">
        <f>VLOOKUP(C954,Assumptions!$B$116:$C$162,2,FALSE)</f>
        <v>BIO_GSF_MED_C</v>
      </c>
      <c r="AH954" t="str">
        <f>VLOOKUP(D954,Assumptions!$B$116:$C$162,2,FALSE)</f>
        <v>C_GAS_STRG</v>
      </c>
      <c r="AI954" t="str">
        <f>VLOOKUP(E954,Assumptions!$B$116:$C$162,2,FALSE)</f>
        <v>LQ_TRUCK</v>
      </c>
      <c r="AJ954" t="str">
        <f>VLOOKUP(F954,Assumptions!$B$116:$C$162,2,FALSE)</f>
        <v>H2_CCGT_PWR</v>
      </c>
    </row>
    <row r="955" spans="2:36" x14ac:dyDescent="0.25">
      <c r="B955" t="s">
        <v>117</v>
      </c>
      <c r="C955" t="s">
        <v>53</v>
      </c>
      <c r="D955" t="s">
        <v>155</v>
      </c>
      <c r="E955" t="s">
        <v>66</v>
      </c>
      <c r="F955" t="s">
        <v>163</v>
      </c>
      <c r="G955" t="s">
        <v>114</v>
      </c>
      <c r="H955" t="s">
        <v>433</v>
      </c>
      <c r="I955" t="s">
        <v>32</v>
      </c>
      <c r="J955" t="s">
        <v>77</v>
      </c>
      <c r="K955">
        <f t="shared" si="2914"/>
        <v>0</v>
      </c>
      <c r="L955">
        <f t="shared" si="2915"/>
        <v>1</v>
      </c>
      <c r="M955">
        <f t="shared" si="2916"/>
        <v>1</v>
      </c>
      <c r="N955">
        <f t="shared" si="2917"/>
        <v>0</v>
      </c>
      <c r="O955">
        <f t="shared" si="2918"/>
        <v>2</v>
      </c>
      <c r="P955" t="str">
        <f t="shared" si="2919"/>
        <v>Medium centralized biomass gasification-Marginal abatement cost</v>
      </c>
      <c r="Q955" t="str">
        <f t="shared" si="2920"/>
        <v>Central gas storage-Marginal abatement cost</v>
      </c>
      <c r="R955" t="str">
        <f t="shared" si="2921"/>
        <v>Onsite-Marginal abatement cost</v>
      </c>
      <c r="S955" t="str">
        <f t="shared" si="2922"/>
        <v>Hydrogen turbine (CC)-Marginal abatement cost</v>
      </c>
      <c r="T955">
        <f>IFERROR(VLOOKUP($P955,'TA database'!$I$8:$J$79,2,FALSE),0)</f>
        <v>0</v>
      </c>
      <c r="U955">
        <f>IFERROR(VLOOKUP($Q955,'TA database'!$I$86:$J$105,2,FALSE),0)</f>
        <v>0</v>
      </c>
      <c r="V955">
        <f>IFERROR(VLOOKUP($R955,'TA database'!$I$112:$J$139,2,FALSE),0)</f>
        <v>0</v>
      </c>
      <c r="W955">
        <f>IFERROR(VLOOKUP($S955,'TA database'!$I$146:$J$193,2,FALSE),0)</f>
        <v>0</v>
      </c>
      <c r="X955">
        <f ca="1">IFERROR(VLOOKUP($S955,'TA database'!$I$200:$J$271,2,FALSE),0)</f>
        <v>-14.763904930875372</v>
      </c>
      <c r="Y955" s="59">
        <f t="shared" ca="1" si="2923"/>
        <v>-14.763904930875372</v>
      </c>
      <c r="Z955" t="str">
        <f t="shared" si="2924"/>
        <v>BIO_GSF_MED_C   →   C_GAS_STRG   →   ONSITE_USE   →   H2_CCGT_PWR</v>
      </c>
      <c r="AA955" t="str">
        <f t="shared" si="2925"/>
        <v>Grid electricity</v>
      </c>
      <c r="AB955" t="str">
        <f t="shared" si="2926"/>
        <v>Marginal abatement cost</v>
      </c>
      <c r="AC955">
        <f t="shared" ca="1" si="2927"/>
        <v>-14.763904930875372</v>
      </c>
      <c r="AD955">
        <v>896</v>
      </c>
      <c r="AE955" t="str">
        <f>IF(AND(ISNUMBER(SEARCH(O955,4)),ISNUMBER(SEARCH('(4) FCH pathway assessment'!$B$16,AB955)),ISNUMBER(SEARCH('(4) FCH pathway assessment'!$B$10,AA955))),AD955,"")</f>
        <v/>
      </c>
      <c r="AF955" t="str">
        <f t="shared" si="2703"/>
        <v/>
      </c>
      <c r="AG955" t="str">
        <f>VLOOKUP(C955,Assumptions!$B$116:$C$162,2,FALSE)</f>
        <v>BIO_GSF_MED_C</v>
      </c>
      <c r="AH955" t="str">
        <f>VLOOKUP(D955,Assumptions!$B$116:$C$162,2,FALSE)</f>
        <v>C_GAS_STRG</v>
      </c>
      <c r="AI955" t="str">
        <f>VLOOKUP(E955,Assumptions!$B$116:$C$162,2,FALSE)</f>
        <v>ONSITE_USE</v>
      </c>
      <c r="AJ955" t="str">
        <f>VLOOKUP(F955,Assumptions!$B$116:$C$162,2,FALSE)</f>
        <v>H2_CCGT_PWR</v>
      </c>
    </row>
    <row r="956" spans="2:36" x14ac:dyDescent="0.25">
      <c r="B956" t="s">
        <v>117</v>
      </c>
      <c r="C956" t="s">
        <v>54</v>
      </c>
      <c r="D956" t="s">
        <v>155</v>
      </c>
      <c r="E956" t="s">
        <v>157</v>
      </c>
      <c r="F956" t="s">
        <v>163</v>
      </c>
      <c r="G956" t="s">
        <v>114</v>
      </c>
      <c r="H956" t="s">
        <v>433</v>
      </c>
      <c r="I956" t="s">
        <v>32</v>
      </c>
      <c r="J956" t="s">
        <v>77</v>
      </c>
      <c r="K956">
        <f t="shared" ref="K956:K959" si="2928">SUMPRODUCT(($C$7:$C$18=$C956)*($D$6:$H$6=$D956)*($D$7:$H$18))</f>
        <v>0</v>
      </c>
      <c r="L956">
        <f t="shared" ref="L956:L959" si="2929">SUMPRODUCT(($C$19:$C$23=$D956)*($I$6:$O$6=$E956)*($I$19:$O$23))</f>
        <v>1</v>
      </c>
      <c r="M956">
        <f t="shared" ref="M956:M959" si="2930">SUMPRODUCT(($C$24:$C$30=$E956)*($P$6:$AI$6=$F956)*($P$24:$AI$30))</f>
        <v>0</v>
      </c>
      <c r="N956">
        <f t="shared" ref="N956:N959" si="2931">SUMPRODUCT(($C$31:$C$50=$F956)*($AJ$6:$AM$6=$G956)*($AJ$31:$AM$50))</f>
        <v>0</v>
      </c>
      <c r="O956">
        <f t="shared" ref="O956:O959" si="2932">K956+L956+M956+N956</f>
        <v>1</v>
      </c>
      <c r="P956" t="str">
        <f t="shared" ref="P956:P959" si="2933">CONCATENATE(C956,"-",J956)</f>
        <v>Medium centralized biomass gasification w/ CCS-Marginal abatement cost</v>
      </c>
      <c r="Q956" t="str">
        <f t="shared" ref="Q956:Q959" si="2934">CONCATENATE(D956,"-",J956)</f>
        <v>Central gas storage-Marginal abatement cost</v>
      </c>
      <c r="R956" t="str">
        <f t="shared" ref="R956:R959" si="2935">CONCATENATE(E956,"-",J956)</f>
        <v>Blending in natural gas pipeline-Marginal abatement cost</v>
      </c>
      <c r="S956" t="str">
        <f t="shared" ref="S956:S959" si="2936">CONCATENATE(F956,"-",J956)</f>
        <v>Hydrogen turbine (CC)-Marginal abatement cost</v>
      </c>
      <c r="T956">
        <f>IFERROR(VLOOKUP($P956,'TA database'!$I$8:$J$79,2,FALSE),0)</f>
        <v>0</v>
      </c>
      <c r="U956">
        <f>IFERROR(VLOOKUP($Q956,'TA database'!$I$86:$J$105,2,FALSE),0)</f>
        <v>0</v>
      </c>
      <c r="V956">
        <f>IFERROR(VLOOKUP($R956,'TA database'!$I$112:$J$139,2,FALSE),0)</f>
        <v>0</v>
      </c>
      <c r="W956">
        <f>IFERROR(VLOOKUP($S956,'TA database'!$I$146:$J$193,2,FALSE),0)</f>
        <v>0</v>
      </c>
      <c r="X956">
        <f ca="1">IFERROR(VLOOKUP($S956,'TA database'!$I$200:$J$271,2,FALSE),0)</f>
        <v>-14.763904930875372</v>
      </c>
      <c r="Y956" s="59">
        <f t="shared" ref="Y956:Y959" ca="1" si="2937">IF($W956=0,T956+U956+V956+X956,T956+U956+V956+W956)</f>
        <v>-14.763904930875372</v>
      </c>
      <c r="Z956" t="str">
        <f t="shared" ref="Z956:Z959" si="2938">CONCATENATE(AG956,"   →   ",AH956,"   →   ",AI956,"   →   ",AJ956)</f>
        <v>BIO_GSF_CCS_MED_C   →   C_GAS_STRG   →   H2_BLND_NG_P   →   H2_CCGT_PWR</v>
      </c>
      <c r="AA956" t="str">
        <f t="shared" ref="AA956:AA959" si="2939">G956</f>
        <v>Grid electricity</v>
      </c>
      <c r="AB956" t="str">
        <f t="shared" ref="AB956:AB959" si="2940">J956</f>
        <v>Marginal abatement cost</v>
      </c>
      <c r="AC956">
        <f t="shared" ref="AC956:AC959" ca="1" si="2941">Y956</f>
        <v>-14.763904930875372</v>
      </c>
      <c r="AD956">
        <v>897</v>
      </c>
      <c r="AE956" t="str">
        <f>IF(AND(ISNUMBER(SEARCH(O956,4)),ISNUMBER(SEARCH('(4) FCH pathway assessment'!$B$16,AB956)),ISNUMBER(SEARCH('(4) FCH pathway assessment'!$B$10,AA956))),AD956,"")</f>
        <v/>
      </c>
      <c r="AF956" t="str">
        <f t="shared" ref="AF956:AF1019" si="2942">IFERROR(SMALL($AE$60:$AE$1991,AD956),"")</f>
        <v/>
      </c>
      <c r="AG956" t="str">
        <f>VLOOKUP(C956,Assumptions!$B$116:$C$162,2,FALSE)</f>
        <v>BIO_GSF_CCS_MED_C</v>
      </c>
      <c r="AH956" t="str">
        <f>VLOOKUP(D956,Assumptions!$B$116:$C$162,2,FALSE)</f>
        <v>C_GAS_STRG</v>
      </c>
      <c r="AI956" t="str">
        <f>VLOOKUP(E956,Assumptions!$B$116:$C$162,2,FALSE)</f>
        <v>H2_BLND_NG_P</v>
      </c>
      <c r="AJ956" t="str">
        <f>VLOOKUP(F956,Assumptions!$B$116:$C$162,2,FALSE)</f>
        <v>H2_CCGT_PWR</v>
      </c>
    </row>
    <row r="957" spans="2:36" x14ac:dyDescent="0.25">
      <c r="B957" t="s">
        <v>117</v>
      </c>
      <c r="C957" t="s">
        <v>54</v>
      </c>
      <c r="D957" t="s">
        <v>155</v>
      </c>
      <c r="E957" t="s">
        <v>122</v>
      </c>
      <c r="F957" t="s">
        <v>163</v>
      </c>
      <c r="G957" t="s">
        <v>114</v>
      </c>
      <c r="H957" t="s">
        <v>433</v>
      </c>
      <c r="I957" t="s">
        <v>32</v>
      </c>
      <c r="J957" t="s">
        <v>77</v>
      </c>
      <c r="K957">
        <f t="shared" si="2928"/>
        <v>0</v>
      </c>
      <c r="L957">
        <f t="shared" si="2929"/>
        <v>1</v>
      </c>
      <c r="M957">
        <f t="shared" si="2930"/>
        <v>1</v>
      </c>
      <c r="N957">
        <f t="shared" si="2931"/>
        <v>0</v>
      </c>
      <c r="O957">
        <f t="shared" si="2932"/>
        <v>2</v>
      </c>
      <c r="P957" t="str">
        <f t="shared" si="2933"/>
        <v>Medium centralized biomass gasification w/ CCS-Marginal abatement cost</v>
      </c>
      <c r="Q957" t="str">
        <f t="shared" si="2934"/>
        <v>Central gas storage-Marginal abatement cost</v>
      </c>
      <c r="R957" t="str">
        <f t="shared" si="2935"/>
        <v>Hydrogen transmission &amp; distribution pipeline-Marginal abatement cost</v>
      </c>
      <c r="S957" t="str">
        <f t="shared" si="2936"/>
        <v>Hydrogen turbine (CC)-Marginal abatement cost</v>
      </c>
      <c r="T957">
        <f>IFERROR(VLOOKUP($P957,'TA database'!$I$8:$J$79,2,FALSE),0)</f>
        <v>0</v>
      </c>
      <c r="U957">
        <f>IFERROR(VLOOKUP($Q957,'TA database'!$I$86:$J$105,2,FALSE),0)</f>
        <v>0</v>
      </c>
      <c r="V957">
        <f>IFERROR(VLOOKUP($R957,'TA database'!$I$112:$J$139,2,FALSE),0)</f>
        <v>0</v>
      </c>
      <c r="W957">
        <f>IFERROR(VLOOKUP($S957,'TA database'!$I$146:$J$193,2,FALSE),0)</f>
        <v>0</v>
      </c>
      <c r="X957">
        <f ca="1">IFERROR(VLOOKUP($S957,'TA database'!$I$200:$J$271,2,FALSE),0)</f>
        <v>-14.763904930875372</v>
      </c>
      <c r="Y957" s="59">
        <f t="shared" ca="1" si="2937"/>
        <v>-14.763904930875372</v>
      </c>
      <c r="Z957" t="str">
        <f t="shared" si="2938"/>
        <v>BIO_GSF_CCS_MED_C   →   C_GAS_STRG   →   H2_T&amp;D_P   →   H2_CCGT_PWR</v>
      </c>
      <c r="AA957" t="str">
        <f t="shared" si="2939"/>
        <v>Grid electricity</v>
      </c>
      <c r="AB957" t="str">
        <f t="shared" si="2940"/>
        <v>Marginal abatement cost</v>
      </c>
      <c r="AC957">
        <f t="shared" ca="1" si="2941"/>
        <v>-14.763904930875372</v>
      </c>
      <c r="AD957">
        <v>898</v>
      </c>
      <c r="AE957" t="str">
        <f>IF(AND(ISNUMBER(SEARCH(O957,4)),ISNUMBER(SEARCH('(4) FCH pathway assessment'!$B$16,AB957)),ISNUMBER(SEARCH('(4) FCH pathway assessment'!$B$10,AA957))),AD957,"")</f>
        <v/>
      </c>
      <c r="AF957" t="str">
        <f t="shared" si="2942"/>
        <v/>
      </c>
      <c r="AG957" t="str">
        <f>VLOOKUP(C957,Assumptions!$B$116:$C$162,2,FALSE)</f>
        <v>BIO_GSF_CCS_MED_C</v>
      </c>
      <c r="AH957" t="str">
        <f>VLOOKUP(D957,Assumptions!$B$116:$C$162,2,FALSE)</f>
        <v>C_GAS_STRG</v>
      </c>
      <c r="AI957" t="str">
        <f>VLOOKUP(E957,Assumptions!$B$116:$C$162,2,FALSE)</f>
        <v>H2_T&amp;D_P</v>
      </c>
      <c r="AJ957" t="str">
        <f>VLOOKUP(F957,Assumptions!$B$116:$C$162,2,FALSE)</f>
        <v>H2_CCGT_PWR</v>
      </c>
    </row>
    <row r="958" spans="2:36" x14ac:dyDescent="0.25">
      <c r="B958" t="s">
        <v>117</v>
      </c>
      <c r="C958" t="s">
        <v>54</v>
      </c>
      <c r="D958" t="s">
        <v>155</v>
      </c>
      <c r="E958" t="s">
        <v>116</v>
      </c>
      <c r="F958" t="s">
        <v>163</v>
      </c>
      <c r="G958" t="s">
        <v>114</v>
      </c>
      <c r="H958" t="s">
        <v>433</v>
      </c>
      <c r="I958" t="s">
        <v>32</v>
      </c>
      <c r="J958" t="s">
        <v>77</v>
      </c>
      <c r="K958">
        <f t="shared" si="2928"/>
        <v>0</v>
      </c>
      <c r="L958">
        <f t="shared" si="2929"/>
        <v>1</v>
      </c>
      <c r="M958">
        <f t="shared" si="2930"/>
        <v>1</v>
      </c>
      <c r="N958">
        <f t="shared" si="2931"/>
        <v>0</v>
      </c>
      <c r="O958">
        <f t="shared" si="2932"/>
        <v>2</v>
      </c>
      <c r="P958" t="str">
        <f t="shared" si="2933"/>
        <v>Medium centralized biomass gasification w/ CCS-Marginal abatement cost</v>
      </c>
      <c r="Q958" t="str">
        <f t="shared" si="2934"/>
        <v>Central gas storage-Marginal abatement cost</v>
      </c>
      <c r="R958" t="str">
        <f t="shared" si="2935"/>
        <v>Liquid hydrogen truck-Marginal abatement cost</v>
      </c>
      <c r="S958" t="str">
        <f t="shared" si="2936"/>
        <v>Hydrogen turbine (CC)-Marginal abatement cost</v>
      </c>
      <c r="T958">
        <f>IFERROR(VLOOKUP($P958,'TA database'!$I$8:$J$79,2,FALSE),0)</f>
        <v>0</v>
      </c>
      <c r="U958">
        <f>IFERROR(VLOOKUP($Q958,'TA database'!$I$86:$J$105,2,FALSE),0)</f>
        <v>0</v>
      </c>
      <c r="V958">
        <f>IFERROR(VLOOKUP($R958,'TA database'!$I$112:$J$139,2,FALSE),0)</f>
        <v>0</v>
      </c>
      <c r="W958">
        <f>IFERROR(VLOOKUP($S958,'TA database'!$I$146:$J$193,2,FALSE),0)</f>
        <v>0</v>
      </c>
      <c r="X958">
        <f ca="1">IFERROR(VLOOKUP($S958,'TA database'!$I$200:$J$271,2,FALSE),0)</f>
        <v>-14.763904930875372</v>
      </c>
      <c r="Y958" s="59">
        <f t="shared" ca="1" si="2937"/>
        <v>-14.763904930875372</v>
      </c>
      <c r="Z958" t="str">
        <f t="shared" si="2938"/>
        <v>BIO_GSF_CCS_MED_C   →   C_GAS_STRG   →   LQ_TRUCK   →   H2_CCGT_PWR</v>
      </c>
      <c r="AA958" t="str">
        <f t="shared" si="2939"/>
        <v>Grid electricity</v>
      </c>
      <c r="AB958" t="str">
        <f t="shared" si="2940"/>
        <v>Marginal abatement cost</v>
      </c>
      <c r="AC958">
        <f t="shared" ca="1" si="2941"/>
        <v>-14.763904930875372</v>
      </c>
      <c r="AD958">
        <v>899</v>
      </c>
      <c r="AE958" t="str">
        <f>IF(AND(ISNUMBER(SEARCH(O958,4)),ISNUMBER(SEARCH('(4) FCH pathway assessment'!$B$16,AB958)),ISNUMBER(SEARCH('(4) FCH pathway assessment'!$B$10,AA958))),AD958,"")</f>
        <v/>
      </c>
      <c r="AF958" t="str">
        <f t="shared" si="2942"/>
        <v/>
      </c>
      <c r="AG958" t="str">
        <f>VLOOKUP(C958,Assumptions!$B$116:$C$162,2,FALSE)</f>
        <v>BIO_GSF_CCS_MED_C</v>
      </c>
      <c r="AH958" t="str">
        <f>VLOOKUP(D958,Assumptions!$B$116:$C$162,2,FALSE)</f>
        <v>C_GAS_STRG</v>
      </c>
      <c r="AI958" t="str">
        <f>VLOOKUP(E958,Assumptions!$B$116:$C$162,2,FALSE)</f>
        <v>LQ_TRUCK</v>
      </c>
      <c r="AJ958" t="str">
        <f>VLOOKUP(F958,Assumptions!$B$116:$C$162,2,FALSE)</f>
        <v>H2_CCGT_PWR</v>
      </c>
    </row>
    <row r="959" spans="2:36" x14ac:dyDescent="0.25">
      <c r="B959" t="s">
        <v>117</v>
      </c>
      <c r="C959" t="s">
        <v>54</v>
      </c>
      <c r="D959" t="s">
        <v>155</v>
      </c>
      <c r="E959" t="s">
        <v>66</v>
      </c>
      <c r="F959" t="s">
        <v>163</v>
      </c>
      <c r="G959" t="s">
        <v>114</v>
      </c>
      <c r="H959" t="s">
        <v>433</v>
      </c>
      <c r="I959" t="s">
        <v>32</v>
      </c>
      <c r="J959" t="s">
        <v>77</v>
      </c>
      <c r="K959">
        <f t="shared" si="2928"/>
        <v>0</v>
      </c>
      <c r="L959">
        <f t="shared" si="2929"/>
        <v>1</v>
      </c>
      <c r="M959">
        <f t="shared" si="2930"/>
        <v>1</v>
      </c>
      <c r="N959">
        <f t="shared" si="2931"/>
        <v>0</v>
      </c>
      <c r="O959">
        <f t="shared" si="2932"/>
        <v>2</v>
      </c>
      <c r="P959" t="str">
        <f t="shared" si="2933"/>
        <v>Medium centralized biomass gasification w/ CCS-Marginal abatement cost</v>
      </c>
      <c r="Q959" t="str">
        <f t="shared" si="2934"/>
        <v>Central gas storage-Marginal abatement cost</v>
      </c>
      <c r="R959" t="str">
        <f t="shared" si="2935"/>
        <v>Onsite-Marginal abatement cost</v>
      </c>
      <c r="S959" t="str">
        <f t="shared" si="2936"/>
        <v>Hydrogen turbine (CC)-Marginal abatement cost</v>
      </c>
      <c r="T959">
        <f>IFERROR(VLOOKUP($P959,'TA database'!$I$8:$J$79,2,FALSE),0)</f>
        <v>0</v>
      </c>
      <c r="U959">
        <f>IFERROR(VLOOKUP($Q959,'TA database'!$I$86:$J$105,2,FALSE),0)</f>
        <v>0</v>
      </c>
      <c r="V959">
        <f>IFERROR(VLOOKUP($R959,'TA database'!$I$112:$J$139,2,FALSE),0)</f>
        <v>0</v>
      </c>
      <c r="W959">
        <f>IFERROR(VLOOKUP($S959,'TA database'!$I$146:$J$193,2,FALSE),0)</f>
        <v>0</v>
      </c>
      <c r="X959">
        <f ca="1">IFERROR(VLOOKUP($S959,'TA database'!$I$200:$J$271,2,FALSE),0)</f>
        <v>-14.763904930875372</v>
      </c>
      <c r="Y959" s="59">
        <f t="shared" ca="1" si="2937"/>
        <v>-14.763904930875372</v>
      </c>
      <c r="Z959" t="str">
        <f t="shared" si="2938"/>
        <v>BIO_GSF_CCS_MED_C   →   C_GAS_STRG   →   ONSITE_USE   →   H2_CCGT_PWR</v>
      </c>
      <c r="AA959" t="str">
        <f t="shared" si="2939"/>
        <v>Grid electricity</v>
      </c>
      <c r="AB959" t="str">
        <f t="shared" si="2940"/>
        <v>Marginal abatement cost</v>
      </c>
      <c r="AC959">
        <f t="shared" ca="1" si="2941"/>
        <v>-14.763904930875372</v>
      </c>
      <c r="AD959">
        <v>900</v>
      </c>
      <c r="AE959" t="str">
        <f>IF(AND(ISNUMBER(SEARCH(O959,4)),ISNUMBER(SEARCH('(4) FCH pathway assessment'!$B$16,AB959)),ISNUMBER(SEARCH('(4) FCH pathway assessment'!$B$10,AA959))),AD959,"")</f>
        <v/>
      </c>
      <c r="AF959" t="str">
        <f t="shared" si="2942"/>
        <v/>
      </c>
      <c r="AG959" t="str">
        <f>VLOOKUP(C959,Assumptions!$B$116:$C$162,2,FALSE)</f>
        <v>BIO_GSF_CCS_MED_C</v>
      </c>
      <c r="AH959" t="str">
        <f>VLOOKUP(D959,Assumptions!$B$116:$C$162,2,FALSE)</f>
        <v>C_GAS_STRG</v>
      </c>
      <c r="AI959" t="str">
        <f>VLOOKUP(E959,Assumptions!$B$116:$C$162,2,FALSE)</f>
        <v>ONSITE_USE</v>
      </c>
      <c r="AJ959" t="str">
        <f>VLOOKUP(F959,Assumptions!$B$116:$C$162,2,FALSE)</f>
        <v>H2_CCGT_PWR</v>
      </c>
    </row>
    <row r="960" spans="2:36" x14ac:dyDescent="0.25">
      <c r="B960" t="s">
        <v>117</v>
      </c>
      <c r="C960" t="s">
        <v>55</v>
      </c>
      <c r="D960" s="60" t="s">
        <v>130</v>
      </c>
      <c r="E960" t="s">
        <v>66</v>
      </c>
      <c r="F960" t="s">
        <v>163</v>
      </c>
      <c r="G960" t="s">
        <v>114</v>
      </c>
      <c r="H960" t="s">
        <v>433</v>
      </c>
      <c r="I960" t="s">
        <v>32</v>
      </c>
      <c r="J960" t="s">
        <v>77</v>
      </c>
      <c r="K960">
        <f t="shared" ref="K960:K973" si="2943">SUMPRODUCT(($C$7:$C$18=$C960)*($D$6:$H$6=$D960)*($D$7:$H$18))</f>
        <v>0</v>
      </c>
      <c r="L960">
        <f t="shared" ref="L960:L973" si="2944">SUMPRODUCT(($C$19:$C$23=$D960)*($I$6:$O$6=$E960)*($I$19:$O$23))</f>
        <v>1</v>
      </c>
      <c r="M960">
        <f t="shared" ref="M960:M973" si="2945">SUMPRODUCT(($C$24:$C$30=$E960)*($P$6:$AI$6=$F960)*($P$24:$AI$30))</f>
        <v>1</v>
      </c>
      <c r="N960">
        <f t="shared" ref="N960:N973" si="2946">SUMPRODUCT(($C$31:$C$50=$F960)*($AJ$6:$AM$6=$G960)*($AJ$31:$AM$50))</f>
        <v>0</v>
      </c>
      <c r="O960">
        <f t="shared" ref="O960:O972" si="2947">K960+L960+M960+N960</f>
        <v>2</v>
      </c>
      <c r="P960" t="str">
        <f t="shared" ref="P960:P973" si="2948">CONCATENATE(C960,"-",J960)</f>
        <v>Small decentralized biomass gasification-Marginal abatement cost</v>
      </c>
      <c r="Q960" t="str">
        <f t="shared" ref="Q960:Q973" si="2949">CONCATENATE(D960,"-",J960)</f>
        <v>Distributed gas storage-Marginal abatement cost</v>
      </c>
      <c r="R960" t="str">
        <f t="shared" ref="R960:R973" si="2950">CONCATENATE(E960,"-",J960)</f>
        <v>Onsite-Marginal abatement cost</v>
      </c>
      <c r="S960" t="str">
        <f t="shared" ref="S960:S973" si="2951">CONCATENATE(F960,"-",J960)</f>
        <v>Hydrogen turbine (CC)-Marginal abatement cost</v>
      </c>
      <c r="T960">
        <f>IFERROR(VLOOKUP($P960,'TA database'!$I$8:$J$79,2,FALSE),0)</f>
        <v>0</v>
      </c>
      <c r="U960">
        <f>IFERROR(VLOOKUP($Q960,'TA database'!$I$86:$J$105,2,FALSE),0)</f>
        <v>0</v>
      </c>
      <c r="V960">
        <f>IFERROR(VLOOKUP($R960,'TA database'!$I$112:$J$139,2,FALSE),0)</f>
        <v>0</v>
      </c>
      <c r="W960">
        <f>IFERROR(VLOOKUP($S960,'TA database'!$I$146:$J$193,2,FALSE),0)</f>
        <v>0</v>
      </c>
      <c r="X960">
        <f ca="1">IFERROR(VLOOKUP($S960,'TA database'!$I$200:$J$271,2,FALSE),0)</f>
        <v>-14.763904930875372</v>
      </c>
      <c r="Y960" s="59">
        <f t="shared" ref="Y960:Y970" ca="1" si="2952">IF($W960=0,T960+U960+V960+X960,T960+U960+V960+W960)</f>
        <v>-14.763904930875372</v>
      </c>
      <c r="Z960" t="str">
        <f t="shared" ref="Z960:Z972" si="2953">CONCATENATE(AG960,"   →   ",AH960,"   →   ",AI960,"   →   ",AJ960)</f>
        <v>BIO_GSF_SML_D   →   D_GAS_STRG   →   ONSITE_USE   →   H2_CCGT_PWR</v>
      </c>
      <c r="AA960" t="str">
        <f t="shared" ref="AA960:AA972" si="2954">G960</f>
        <v>Grid electricity</v>
      </c>
      <c r="AB960" t="str">
        <f t="shared" ref="AB960:AB972" si="2955">J960</f>
        <v>Marginal abatement cost</v>
      </c>
      <c r="AC960">
        <f t="shared" ref="AC960:AC972" ca="1" si="2956">Y960</f>
        <v>-14.763904930875372</v>
      </c>
      <c r="AD960">
        <v>901</v>
      </c>
      <c r="AE960" t="str">
        <f>IF(AND(ISNUMBER(SEARCH(O960,4)),ISNUMBER(SEARCH('(4) FCH pathway assessment'!$B$16,AB960)),ISNUMBER(SEARCH('(4) FCH pathway assessment'!$B$10,AA960))),AD960,"")</f>
        <v/>
      </c>
      <c r="AF960" t="str">
        <f t="shared" si="2942"/>
        <v/>
      </c>
      <c r="AG960" t="str">
        <f>VLOOKUP(C960,Assumptions!$B$116:$C$162,2,FALSE)</f>
        <v>BIO_GSF_SML_D</v>
      </c>
      <c r="AH960" t="str">
        <f>VLOOKUP(D960,Assumptions!$B$116:$C$162,2,FALSE)</f>
        <v>D_GAS_STRG</v>
      </c>
      <c r="AI960" t="str">
        <f>VLOOKUP(E960,Assumptions!$B$116:$C$162,2,FALSE)</f>
        <v>ONSITE_USE</v>
      </c>
      <c r="AJ960" t="str">
        <f>VLOOKUP(F960,Assumptions!$B$116:$C$162,2,FALSE)</f>
        <v>H2_CCGT_PWR</v>
      </c>
    </row>
    <row r="961" spans="2:36" x14ac:dyDescent="0.25">
      <c r="B961" t="s">
        <v>117</v>
      </c>
      <c r="C961" t="s">
        <v>56</v>
      </c>
      <c r="D961" t="s">
        <v>62</v>
      </c>
      <c r="E961" t="s">
        <v>157</v>
      </c>
      <c r="F961" t="s">
        <v>163</v>
      </c>
      <c r="G961" t="s">
        <v>114</v>
      </c>
      <c r="H961" t="s">
        <v>433</v>
      </c>
      <c r="I961" t="s">
        <v>32</v>
      </c>
      <c r="J961" t="s">
        <v>77</v>
      </c>
      <c r="K961">
        <f t="shared" si="2943"/>
        <v>0</v>
      </c>
      <c r="L961">
        <f t="shared" si="2944"/>
        <v>0</v>
      </c>
      <c r="M961">
        <f t="shared" si="2945"/>
        <v>0</v>
      </c>
      <c r="N961">
        <f t="shared" si="2946"/>
        <v>0</v>
      </c>
      <c r="O961">
        <f t="shared" si="2947"/>
        <v>0</v>
      </c>
      <c r="P961" t="str">
        <f t="shared" si="2948"/>
        <v>Large centralized biomass steam reforming -Marginal abatement cost</v>
      </c>
      <c r="Q961" t="str">
        <f t="shared" si="2949"/>
        <v>Underground storage-Marginal abatement cost</v>
      </c>
      <c r="R961" t="str">
        <f t="shared" si="2950"/>
        <v>Blending in natural gas pipeline-Marginal abatement cost</v>
      </c>
      <c r="S961" t="str">
        <f t="shared" si="2951"/>
        <v>Hydrogen turbine (CC)-Marginal abatement cost</v>
      </c>
      <c r="T961">
        <f>IFERROR(VLOOKUP($P961,'TA database'!$I$8:$J$79,2,FALSE),0)</f>
        <v>0</v>
      </c>
      <c r="U961">
        <f>IFERROR(VLOOKUP($Q961,'TA database'!$I$86:$J$105,2,FALSE),0)</f>
        <v>0</v>
      </c>
      <c r="V961">
        <f>IFERROR(VLOOKUP($R961,'TA database'!$I$112:$J$139,2,FALSE),0)</f>
        <v>0</v>
      </c>
      <c r="W961">
        <f>IFERROR(VLOOKUP($S961,'TA database'!$I$146:$J$193,2,FALSE),0)</f>
        <v>0</v>
      </c>
      <c r="X961">
        <f ca="1">IFERROR(VLOOKUP($S961,'TA database'!$I$200:$J$271,2,FALSE),0)</f>
        <v>-14.763904930875372</v>
      </c>
      <c r="Y961" s="59">
        <f t="shared" ca="1" si="2952"/>
        <v>-14.763904930875372</v>
      </c>
      <c r="Z961" t="str">
        <f t="shared" si="2953"/>
        <v>BIO_SR_LRG_C   →   C_UNDRGRND_STRG   →   H2_BLND_NG_P   →   H2_CCGT_PWR</v>
      </c>
      <c r="AA961" t="str">
        <f t="shared" si="2954"/>
        <v>Grid electricity</v>
      </c>
      <c r="AB961" t="str">
        <f t="shared" si="2955"/>
        <v>Marginal abatement cost</v>
      </c>
      <c r="AC961">
        <f t="shared" ca="1" si="2956"/>
        <v>-14.763904930875372</v>
      </c>
      <c r="AD961">
        <v>902</v>
      </c>
      <c r="AE961" t="str">
        <f>IF(AND(ISNUMBER(SEARCH(O961,4)),ISNUMBER(SEARCH('(4) FCH pathway assessment'!$B$16,AB961)),ISNUMBER(SEARCH('(4) FCH pathway assessment'!$B$10,AA961))),AD961,"")</f>
        <v/>
      </c>
      <c r="AF961" t="str">
        <f t="shared" si="2942"/>
        <v/>
      </c>
      <c r="AG961" t="str">
        <f>VLOOKUP(C961,Assumptions!$B$116:$C$162,2,FALSE)</f>
        <v>BIO_SR_LRG_C</v>
      </c>
      <c r="AH961" t="str">
        <f>VLOOKUP(D961,Assumptions!$B$116:$C$162,2,FALSE)</f>
        <v>C_UNDRGRND_STRG</v>
      </c>
      <c r="AI961" t="str">
        <f>VLOOKUP(E961,Assumptions!$B$116:$C$162,2,FALSE)</f>
        <v>H2_BLND_NG_P</v>
      </c>
      <c r="AJ961" t="str">
        <f>VLOOKUP(F961,Assumptions!$B$116:$C$162,2,FALSE)</f>
        <v>H2_CCGT_PWR</v>
      </c>
    </row>
    <row r="962" spans="2:36" x14ac:dyDescent="0.25">
      <c r="B962" t="s">
        <v>117</v>
      </c>
      <c r="C962" t="s">
        <v>56</v>
      </c>
      <c r="D962" t="s">
        <v>62</v>
      </c>
      <c r="E962" t="s">
        <v>122</v>
      </c>
      <c r="F962" t="s">
        <v>163</v>
      </c>
      <c r="G962" t="s">
        <v>114</v>
      </c>
      <c r="H962" t="s">
        <v>433</v>
      </c>
      <c r="I962" t="s">
        <v>32</v>
      </c>
      <c r="J962" t="s">
        <v>77</v>
      </c>
      <c r="K962">
        <f t="shared" si="2943"/>
        <v>0</v>
      </c>
      <c r="L962">
        <f t="shared" si="2944"/>
        <v>0</v>
      </c>
      <c r="M962">
        <f t="shared" si="2945"/>
        <v>1</v>
      </c>
      <c r="N962">
        <f t="shared" si="2946"/>
        <v>0</v>
      </c>
      <c r="O962">
        <f t="shared" si="2947"/>
        <v>1</v>
      </c>
      <c r="P962" t="str">
        <f t="shared" si="2948"/>
        <v>Large centralized biomass steam reforming -Marginal abatement cost</v>
      </c>
      <c r="Q962" t="str">
        <f t="shared" si="2949"/>
        <v>Underground storage-Marginal abatement cost</v>
      </c>
      <c r="R962" t="str">
        <f t="shared" si="2950"/>
        <v>Hydrogen transmission &amp; distribution pipeline-Marginal abatement cost</v>
      </c>
      <c r="S962" t="str">
        <f t="shared" si="2951"/>
        <v>Hydrogen turbine (CC)-Marginal abatement cost</v>
      </c>
      <c r="T962">
        <f>IFERROR(VLOOKUP($P962,'TA database'!$I$8:$J$79,2,FALSE),0)</f>
        <v>0</v>
      </c>
      <c r="U962">
        <f>IFERROR(VLOOKUP($Q962,'TA database'!$I$86:$J$105,2,FALSE),0)</f>
        <v>0</v>
      </c>
      <c r="V962">
        <f>IFERROR(VLOOKUP($R962,'TA database'!$I$112:$J$139,2,FALSE),0)</f>
        <v>0</v>
      </c>
      <c r="W962">
        <f>IFERROR(VLOOKUP($S962,'TA database'!$I$146:$J$193,2,FALSE),0)</f>
        <v>0</v>
      </c>
      <c r="X962">
        <f ca="1">IFERROR(VLOOKUP($S962,'TA database'!$I$200:$J$271,2,FALSE),0)</f>
        <v>-14.763904930875372</v>
      </c>
      <c r="Y962" s="59">
        <f t="shared" ca="1" si="2952"/>
        <v>-14.763904930875372</v>
      </c>
      <c r="Z962" t="str">
        <f t="shared" si="2953"/>
        <v>BIO_SR_LRG_C   →   C_UNDRGRND_STRG   →   H2_T&amp;D_P   →   H2_CCGT_PWR</v>
      </c>
      <c r="AA962" t="str">
        <f t="shared" si="2954"/>
        <v>Grid electricity</v>
      </c>
      <c r="AB962" t="str">
        <f t="shared" si="2955"/>
        <v>Marginal abatement cost</v>
      </c>
      <c r="AC962">
        <f t="shared" ca="1" si="2956"/>
        <v>-14.763904930875372</v>
      </c>
      <c r="AD962">
        <v>903</v>
      </c>
      <c r="AE962" t="str">
        <f>IF(AND(ISNUMBER(SEARCH(O962,4)),ISNUMBER(SEARCH('(4) FCH pathway assessment'!$B$16,AB962)),ISNUMBER(SEARCH('(4) FCH pathway assessment'!$B$10,AA962))),AD962,"")</f>
        <v/>
      </c>
      <c r="AF962" t="str">
        <f t="shared" si="2942"/>
        <v/>
      </c>
      <c r="AG962" t="str">
        <f>VLOOKUP(C962,Assumptions!$B$116:$C$162,2,FALSE)</f>
        <v>BIO_SR_LRG_C</v>
      </c>
      <c r="AH962" t="str">
        <f>VLOOKUP(D962,Assumptions!$B$116:$C$162,2,FALSE)</f>
        <v>C_UNDRGRND_STRG</v>
      </c>
      <c r="AI962" t="str">
        <f>VLOOKUP(E962,Assumptions!$B$116:$C$162,2,FALSE)</f>
        <v>H2_T&amp;D_P</v>
      </c>
      <c r="AJ962" t="str">
        <f>VLOOKUP(F962,Assumptions!$B$116:$C$162,2,FALSE)</f>
        <v>H2_CCGT_PWR</v>
      </c>
    </row>
    <row r="963" spans="2:36" x14ac:dyDescent="0.25">
      <c r="B963" t="s">
        <v>117</v>
      </c>
      <c r="C963" t="s">
        <v>56</v>
      </c>
      <c r="D963" t="s">
        <v>62</v>
      </c>
      <c r="E963" t="s">
        <v>116</v>
      </c>
      <c r="F963" t="s">
        <v>163</v>
      </c>
      <c r="G963" t="s">
        <v>114</v>
      </c>
      <c r="H963" t="s">
        <v>433</v>
      </c>
      <c r="I963" t="s">
        <v>32</v>
      </c>
      <c r="J963" t="s">
        <v>77</v>
      </c>
      <c r="K963">
        <f t="shared" si="2943"/>
        <v>0</v>
      </c>
      <c r="L963">
        <f t="shared" si="2944"/>
        <v>0</v>
      </c>
      <c r="M963">
        <f t="shared" si="2945"/>
        <v>1</v>
      </c>
      <c r="N963">
        <f t="shared" si="2946"/>
        <v>0</v>
      </c>
      <c r="O963">
        <f t="shared" si="2947"/>
        <v>1</v>
      </c>
      <c r="P963" t="str">
        <f t="shared" si="2948"/>
        <v>Large centralized biomass steam reforming -Marginal abatement cost</v>
      </c>
      <c r="Q963" t="str">
        <f t="shared" si="2949"/>
        <v>Underground storage-Marginal abatement cost</v>
      </c>
      <c r="R963" t="str">
        <f t="shared" si="2950"/>
        <v>Liquid hydrogen truck-Marginal abatement cost</v>
      </c>
      <c r="S963" t="str">
        <f t="shared" si="2951"/>
        <v>Hydrogen turbine (CC)-Marginal abatement cost</v>
      </c>
      <c r="T963">
        <f>IFERROR(VLOOKUP($P963,'TA database'!$I$8:$J$79,2,FALSE),0)</f>
        <v>0</v>
      </c>
      <c r="U963">
        <f>IFERROR(VLOOKUP($Q963,'TA database'!$I$86:$J$105,2,FALSE),0)</f>
        <v>0</v>
      </c>
      <c r="V963">
        <f>IFERROR(VLOOKUP($R963,'TA database'!$I$112:$J$139,2,FALSE),0)</f>
        <v>0</v>
      </c>
      <c r="W963">
        <f>IFERROR(VLOOKUP($S963,'TA database'!$I$146:$J$193,2,FALSE),0)</f>
        <v>0</v>
      </c>
      <c r="X963">
        <f ca="1">IFERROR(VLOOKUP($S963,'TA database'!$I$200:$J$271,2,FALSE),0)</f>
        <v>-14.763904930875372</v>
      </c>
      <c r="Y963" s="59">
        <f t="shared" ca="1" si="2952"/>
        <v>-14.763904930875372</v>
      </c>
      <c r="Z963" t="str">
        <f t="shared" si="2953"/>
        <v>BIO_SR_LRG_C   →   C_UNDRGRND_STRG   →   LQ_TRUCK   →   H2_CCGT_PWR</v>
      </c>
      <c r="AA963" t="str">
        <f t="shared" si="2954"/>
        <v>Grid electricity</v>
      </c>
      <c r="AB963" t="str">
        <f t="shared" si="2955"/>
        <v>Marginal abatement cost</v>
      </c>
      <c r="AC963">
        <f t="shared" ca="1" si="2956"/>
        <v>-14.763904930875372</v>
      </c>
      <c r="AD963">
        <v>904</v>
      </c>
      <c r="AE963" t="str">
        <f>IF(AND(ISNUMBER(SEARCH(O963,4)),ISNUMBER(SEARCH('(4) FCH pathway assessment'!$B$16,AB963)),ISNUMBER(SEARCH('(4) FCH pathway assessment'!$B$10,AA963))),AD963,"")</f>
        <v/>
      </c>
      <c r="AF963" t="str">
        <f t="shared" si="2942"/>
        <v/>
      </c>
      <c r="AG963" t="str">
        <f>VLOOKUP(C963,Assumptions!$B$116:$C$162,2,FALSE)</f>
        <v>BIO_SR_LRG_C</v>
      </c>
      <c r="AH963" t="str">
        <f>VLOOKUP(D963,Assumptions!$B$116:$C$162,2,FALSE)</f>
        <v>C_UNDRGRND_STRG</v>
      </c>
      <c r="AI963" t="str">
        <f>VLOOKUP(E963,Assumptions!$B$116:$C$162,2,FALSE)</f>
        <v>LQ_TRUCK</v>
      </c>
      <c r="AJ963" t="str">
        <f>VLOOKUP(F963,Assumptions!$B$116:$C$162,2,FALSE)</f>
        <v>H2_CCGT_PWR</v>
      </c>
    </row>
    <row r="964" spans="2:36" x14ac:dyDescent="0.25">
      <c r="B964" t="s">
        <v>117</v>
      </c>
      <c r="C964" t="s">
        <v>56</v>
      </c>
      <c r="D964" t="s">
        <v>62</v>
      </c>
      <c r="E964" t="s">
        <v>66</v>
      </c>
      <c r="F964" t="s">
        <v>163</v>
      </c>
      <c r="G964" t="s">
        <v>114</v>
      </c>
      <c r="H964" t="s">
        <v>433</v>
      </c>
      <c r="I964" t="s">
        <v>32</v>
      </c>
      <c r="J964" t="s">
        <v>77</v>
      </c>
      <c r="K964">
        <f t="shared" si="2943"/>
        <v>0</v>
      </c>
      <c r="L964">
        <f t="shared" si="2944"/>
        <v>0</v>
      </c>
      <c r="M964">
        <f t="shared" si="2945"/>
        <v>1</v>
      </c>
      <c r="N964">
        <f t="shared" si="2946"/>
        <v>0</v>
      </c>
      <c r="O964">
        <f t="shared" si="2947"/>
        <v>1</v>
      </c>
      <c r="P964" t="str">
        <f t="shared" si="2948"/>
        <v>Large centralized biomass steam reforming -Marginal abatement cost</v>
      </c>
      <c r="Q964" t="str">
        <f t="shared" si="2949"/>
        <v>Underground storage-Marginal abatement cost</v>
      </c>
      <c r="R964" t="str">
        <f t="shared" si="2950"/>
        <v>Onsite-Marginal abatement cost</v>
      </c>
      <c r="S964" t="str">
        <f t="shared" si="2951"/>
        <v>Hydrogen turbine (CC)-Marginal abatement cost</v>
      </c>
      <c r="T964">
        <f>IFERROR(VLOOKUP($P964,'TA database'!$I$8:$J$79,2,FALSE),0)</f>
        <v>0</v>
      </c>
      <c r="U964">
        <f>IFERROR(VLOOKUP($Q964,'TA database'!$I$86:$J$105,2,FALSE),0)</f>
        <v>0</v>
      </c>
      <c r="V964">
        <f>IFERROR(VLOOKUP($R964,'TA database'!$I$112:$J$139,2,FALSE),0)</f>
        <v>0</v>
      </c>
      <c r="W964">
        <f>IFERROR(VLOOKUP($S964,'TA database'!$I$146:$J$193,2,FALSE),0)</f>
        <v>0</v>
      </c>
      <c r="X964">
        <f ca="1">IFERROR(VLOOKUP($S964,'TA database'!$I$200:$J$271,2,FALSE),0)</f>
        <v>-14.763904930875372</v>
      </c>
      <c r="Y964" s="59">
        <f t="shared" ca="1" si="2952"/>
        <v>-14.763904930875372</v>
      </c>
      <c r="Z964" t="str">
        <f t="shared" si="2953"/>
        <v>BIO_SR_LRG_C   →   C_UNDRGRND_STRG   →   ONSITE_USE   →   H2_CCGT_PWR</v>
      </c>
      <c r="AA964" t="str">
        <f t="shared" si="2954"/>
        <v>Grid electricity</v>
      </c>
      <c r="AB964" t="str">
        <f t="shared" si="2955"/>
        <v>Marginal abatement cost</v>
      </c>
      <c r="AC964">
        <f t="shared" ca="1" si="2956"/>
        <v>-14.763904930875372</v>
      </c>
      <c r="AD964">
        <v>905</v>
      </c>
      <c r="AE964" t="str">
        <f>IF(AND(ISNUMBER(SEARCH(O964,4)),ISNUMBER(SEARCH('(4) FCH pathway assessment'!$B$16,AB964)),ISNUMBER(SEARCH('(4) FCH pathway assessment'!$B$10,AA964))),AD964,"")</f>
        <v/>
      </c>
      <c r="AF964" t="str">
        <f t="shared" si="2942"/>
        <v/>
      </c>
      <c r="AG964" t="str">
        <f>VLOOKUP(C964,Assumptions!$B$116:$C$162,2,FALSE)</f>
        <v>BIO_SR_LRG_C</v>
      </c>
      <c r="AH964" t="str">
        <f>VLOOKUP(D964,Assumptions!$B$116:$C$162,2,FALSE)</f>
        <v>C_UNDRGRND_STRG</v>
      </c>
      <c r="AI964" t="str">
        <f>VLOOKUP(E964,Assumptions!$B$116:$C$162,2,FALSE)</f>
        <v>ONSITE_USE</v>
      </c>
      <c r="AJ964" t="str">
        <f>VLOOKUP(F964,Assumptions!$B$116:$C$162,2,FALSE)</f>
        <v>H2_CCGT_PWR</v>
      </c>
    </row>
    <row r="965" spans="2:36" x14ac:dyDescent="0.25">
      <c r="B965" t="s">
        <v>117</v>
      </c>
      <c r="C965" t="s">
        <v>56</v>
      </c>
      <c r="D965" s="61" t="s">
        <v>63</v>
      </c>
      <c r="E965" t="s">
        <v>122</v>
      </c>
      <c r="F965" t="s">
        <v>163</v>
      </c>
      <c r="G965" t="s">
        <v>114</v>
      </c>
      <c r="H965" t="s">
        <v>433</v>
      </c>
      <c r="I965" t="s">
        <v>32</v>
      </c>
      <c r="J965" t="s">
        <v>77</v>
      </c>
      <c r="K965">
        <f t="shared" si="2943"/>
        <v>0</v>
      </c>
      <c r="L965">
        <f t="shared" si="2944"/>
        <v>1</v>
      </c>
      <c r="M965">
        <f t="shared" si="2945"/>
        <v>1</v>
      </c>
      <c r="N965">
        <f t="shared" si="2946"/>
        <v>0</v>
      </c>
      <c r="O965">
        <f t="shared" si="2947"/>
        <v>2</v>
      </c>
      <c r="P965" t="str">
        <f t="shared" si="2948"/>
        <v>Large centralized biomass steam reforming -Marginal abatement cost</v>
      </c>
      <c r="Q965" t="str">
        <f t="shared" si="2949"/>
        <v>No storage-Marginal abatement cost</v>
      </c>
      <c r="R965" t="str">
        <f t="shared" si="2950"/>
        <v>Hydrogen transmission &amp; distribution pipeline-Marginal abatement cost</v>
      </c>
      <c r="S965" t="str">
        <f t="shared" si="2951"/>
        <v>Hydrogen turbine (CC)-Marginal abatement cost</v>
      </c>
      <c r="T965">
        <f>IFERROR(VLOOKUP($P965,'TA database'!$I$8:$J$79,2,FALSE),0)</f>
        <v>0</v>
      </c>
      <c r="U965">
        <f>IFERROR(VLOOKUP($Q965,'TA database'!$I$86:$J$105,2,FALSE),0)</f>
        <v>0</v>
      </c>
      <c r="V965">
        <f>IFERROR(VLOOKUP($R965,'TA database'!$I$112:$J$139,2,FALSE),0)</f>
        <v>0</v>
      </c>
      <c r="W965">
        <f>IFERROR(VLOOKUP($S965,'TA database'!$I$146:$J$193,2,FALSE),0)</f>
        <v>0</v>
      </c>
      <c r="X965">
        <f ca="1">IFERROR(VLOOKUP($S965,'TA database'!$I$200:$J$271,2,FALSE),0)</f>
        <v>-14.763904930875372</v>
      </c>
      <c r="Y965" s="59">
        <f t="shared" ca="1" si="2952"/>
        <v>-14.763904930875372</v>
      </c>
      <c r="Z965" t="str">
        <f t="shared" si="2953"/>
        <v>BIO_SR_LRG_C   →   NO_STRG   →   H2_T&amp;D_P   →   H2_CCGT_PWR</v>
      </c>
      <c r="AA965" t="str">
        <f t="shared" si="2954"/>
        <v>Grid electricity</v>
      </c>
      <c r="AB965" t="str">
        <f t="shared" si="2955"/>
        <v>Marginal abatement cost</v>
      </c>
      <c r="AC965">
        <f t="shared" ca="1" si="2956"/>
        <v>-14.763904930875372</v>
      </c>
      <c r="AD965">
        <v>906</v>
      </c>
      <c r="AE965" t="str">
        <f>IF(AND(ISNUMBER(SEARCH(O965,4)),ISNUMBER(SEARCH('(4) FCH pathway assessment'!$B$16,AB965)),ISNUMBER(SEARCH('(4) FCH pathway assessment'!$B$10,AA965))),AD965,"")</f>
        <v/>
      </c>
      <c r="AF965" t="str">
        <f t="shared" si="2942"/>
        <v/>
      </c>
      <c r="AG965" t="str">
        <f>VLOOKUP(C965,Assumptions!$B$116:$C$162,2,FALSE)</f>
        <v>BIO_SR_LRG_C</v>
      </c>
      <c r="AH965" t="str">
        <f>VLOOKUP(D965,Assumptions!$B$116:$C$162,2,FALSE)</f>
        <v>NO_STRG</v>
      </c>
      <c r="AI965" t="str">
        <f>VLOOKUP(E965,Assumptions!$B$116:$C$162,2,FALSE)</f>
        <v>H2_T&amp;D_P</v>
      </c>
      <c r="AJ965" t="str">
        <f>VLOOKUP(F965,Assumptions!$B$116:$C$162,2,FALSE)</f>
        <v>H2_CCGT_PWR</v>
      </c>
    </row>
    <row r="966" spans="2:36" x14ac:dyDescent="0.25">
      <c r="B966" t="s">
        <v>112</v>
      </c>
      <c r="C966" t="s">
        <v>49</v>
      </c>
      <c r="D966" t="s">
        <v>62</v>
      </c>
      <c r="E966" t="s">
        <v>157</v>
      </c>
      <c r="F966" t="s">
        <v>163</v>
      </c>
      <c r="G966" t="s">
        <v>114</v>
      </c>
      <c r="H966" t="s">
        <v>433</v>
      </c>
      <c r="I966" t="s">
        <v>32</v>
      </c>
      <c r="J966" t="s">
        <v>77</v>
      </c>
      <c r="K966">
        <f t="shared" si="2943"/>
        <v>1</v>
      </c>
      <c r="L966">
        <f t="shared" si="2944"/>
        <v>0</v>
      </c>
      <c r="M966">
        <f t="shared" si="2945"/>
        <v>0</v>
      </c>
      <c r="N966">
        <f t="shared" si="2946"/>
        <v>0</v>
      </c>
      <c r="O966">
        <f t="shared" si="2947"/>
        <v>1</v>
      </c>
      <c r="P966" t="str">
        <f t="shared" si="2948"/>
        <v>Large centralized electrolysis-Marginal abatement cost</v>
      </c>
      <c r="Q966" t="str">
        <f t="shared" si="2949"/>
        <v>Underground storage-Marginal abatement cost</v>
      </c>
      <c r="R966" t="str">
        <f t="shared" si="2950"/>
        <v>Blending in natural gas pipeline-Marginal abatement cost</v>
      </c>
      <c r="S966" t="str">
        <f t="shared" si="2951"/>
        <v>Hydrogen turbine (CC)-Marginal abatement cost</v>
      </c>
      <c r="T966">
        <f>IFERROR(VLOOKUP($P966,'TA database'!$I$8:$J$79,2,FALSE),0)</f>
        <v>0</v>
      </c>
      <c r="U966">
        <f>IFERROR(VLOOKUP($Q966,'TA database'!$I$86:$J$105,2,FALSE),0)</f>
        <v>0</v>
      </c>
      <c r="V966">
        <f>IFERROR(VLOOKUP($R966,'TA database'!$I$112:$J$139,2,FALSE),0)</f>
        <v>0</v>
      </c>
      <c r="W966">
        <f>IFERROR(VLOOKUP($S966,'TA database'!$I$146:$J$193,2,FALSE),0)</f>
        <v>0</v>
      </c>
      <c r="X966">
        <f ca="1">IFERROR(VLOOKUP($S966,'TA database'!$I$200:$J$271,2,FALSE),0)</f>
        <v>-14.763904930875372</v>
      </c>
      <c r="Y966" s="59">
        <f t="shared" ca="1" si="2952"/>
        <v>-14.763904930875372</v>
      </c>
      <c r="Z966" t="str">
        <f t="shared" si="2953"/>
        <v>ELCTRLYZ_LRG_C   →   C_UNDRGRND_STRG   →   H2_BLND_NG_P   →   H2_CCGT_PWR</v>
      </c>
      <c r="AA966" t="str">
        <f t="shared" si="2954"/>
        <v>Grid electricity</v>
      </c>
      <c r="AB966" t="str">
        <f t="shared" si="2955"/>
        <v>Marginal abatement cost</v>
      </c>
      <c r="AC966">
        <f t="shared" ca="1" si="2956"/>
        <v>-14.763904930875372</v>
      </c>
      <c r="AD966">
        <v>907</v>
      </c>
      <c r="AE966" t="str">
        <f>IF(AND(ISNUMBER(SEARCH(O966,4)),ISNUMBER(SEARCH('(4) FCH pathway assessment'!$B$16,AB966)),ISNUMBER(SEARCH('(4) FCH pathway assessment'!$B$10,AA966))),AD966,"")</f>
        <v/>
      </c>
      <c r="AF966" t="str">
        <f t="shared" si="2942"/>
        <v/>
      </c>
      <c r="AG966" t="str">
        <f>VLOOKUP(C966,Assumptions!$B$116:$C$162,2,FALSE)</f>
        <v>ELCTRLYZ_LRG_C</v>
      </c>
      <c r="AH966" t="str">
        <f>VLOOKUP(D966,Assumptions!$B$116:$C$162,2,FALSE)</f>
        <v>C_UNDRGRND_STRG</v>
      </c>
      <c r="AI966" t="str">
        <f>VLOOKUP(E966,Assumptions!$B$116:$C$162,2,FALSE)</f>
        <v>H2_BLND_NG_P</v>
      </c>
      <c r="AJ966" t="str">
        <f>VLOOKUP(F966,Assumptions!$B$116:$C$162,2,FALSE)</f>
        <v>H2_CCGT_PWR</v>
      </c>
    </row>
    <row r="967" spans="2:36" x14ac:dyDescent="0.25">
      <c r="B967" t="s">
        <v>112</v>
      </c>
      <c r="C967" t="s">
        <v>49</v>
      </c>
      <c r="D967" t="s">
        <v>62</v>
      </c>
      <c r="E967" t="s">
        <v>122</v>
      </c>
      <c r="F967" t="s">
        <v>163</v>
      </c>
      <c r="G967" t="s">
        <v>114</v>
      </c>
      <c r="H967" t="s">
        <v>433</v>
      </c>
      <c r="I967" t="s">
        <v>32</v>
      </c>
      <c r="J967" t="s">
        <v>77</v>
      </c>
      <c r="K967">
        <f t="shared" si="2943"/>
        <v>1</v>
      </c>
      <c r="L967">
        <f t="shared" si="2944"/>
        <v>0</v>
      </c>
      <c r="M967">
        <f t="shared" si="2945"/>
        <v>1</v>
      </c>
      <c r="N967">
        <f t="shared" si="2946"/>
        <v>0</v>
      </c>
      <c r="O967">
        <f t="shared" si="2947"/>
        <v>2</v>
      </c>
      <c r="P967" t="str">
        <f t="shared" si="2948"/>
        <v>Large centralized electrolysis-Marginal abatement cost</v>
      </c>
      <c r="Q967" t="str">
        <f t="shared" si="2949"/>
        <v>Underground storage-Marginal abatement cost</v>
      </c>
      <c r="R967" t="str">
        <f t="shared" si="2950"/>
        <v>Hydrogen transmission &amp; distribution pipeline-Marginal abatement cost</v>
      </c>
      <c r="S967" t="str">
        <f t="shared" si="2951"/>
        <v>Hydrogen turbine (CC)-Marginal abatement cost</v>
      </c>
      <c r="T967">
        <f>IFERROR(VLOOKUP($P967,'TA database'!$I$8:$J$79,2,FALSE),0)</f>
        <v>0</v>
      </c>
      <c r="U967">
        <f>IFERROR(VLOOKUP($Q967,'TA database'!$I$86:$J$105,2,FALSE),0)</f>
        <v>0</v>
      </c>
      <c r="V967">
        <f>IFERROR(VLOOKUP($R967,'TA database'!$I$112:$J$139,2,FALSE),0)</f>
        <v>0</v>
      </c>
      <c r="W967">
        <f>IFERROR(VLOOKUP($S967,'TA database'!$I$146:$J$193,2,FALSE),0)</f>
        <v>0</v>
      </c>
      <c r="X967">
        <f ca="1">IFERROR(VLOOKUP($S967,'TA database'!$I$200:$J$271,2,FALSE),0)</f>
        <v>-14.763904930875372</v>
      </c>
      <c r="Y967" s="59">
        <f t="shared" ca="1" si="2952"/>
        <v>-14.763904930875372</v>
      </c>
      <c r="Z967" t="str">
        <f t="shared" si="2953"/>
        <v>ELCTRLYZ_LRG_C   →   C_UNDRGRND_STRG   →   H2_T&amp;D_P   →   H2_CCGT_PWR</v>
      </c>
      <c r="AA967" t="str">
        <f t="shared" si="2954"/>
        <v>Grid electricity</v>
      </c>
      <c r="AB967" t="str">
        <f t="shared" si="2955"/>
        <v>Marginal abatement cost</v>
      </c>
      <c r="AC967">
        <f t="shared" ca="1" si="2956"/>
        <v>-14.763904930875372</v>
      </c>
      <c r="AD967">
        <v>908</v>
      </c>
      <c r="AE967" t="str">
        <f>IF(AND(ISNUMBER(SEARCH(O967,4)),ISNUMBER(SEARCH('(4) FCH pathway assessment'!$B$16,AB967)),ISNUMBER(SEARCH('(4) FCH pathway assessment'!$B$10,AA967))),AD967,"")</f>
        <v/>
      </c>
      <c r="AF967" t="str">
        <f t="shared" si="2942"/>
        <v/>
      </c>
      <c r="AG967" t="str">
        <f>VLOOKUP(C967,Assumptions!$B$116:$C$162,2,FALSE)</f>
        <v>ELCTRLYZ_LRG_C</v>
      </c>
      <c r="AH967" t="str">
        <f>VLOOKUP(D967,Assumptions!$B$116:$C$162,2,FALSE)</f>
        <v>C_UNDRGRND_STRG</v>
      </c>
      <c r="AI967" t="str">
        <f>VLOOKUP(E967,Assumptions!$B$116:$C$162,2,FALSE)</f>
        <v>H2_T&amp;D_P</v>
      </c>
      <c r="AJ967" t="str">
        <f>VLOOKUP(F967,Assumptions!$B$116:$C$162,2,FALSE)</f>
        <v>H2_CCGT_PWR</v>
      </c>
    </row>
    <row r="968" spans="2:36" x14ac:dyDescent="0.25">
      <c r="B968" t="s">
        <v>112</v>
      </c>
      <c r="C968" t="s">
        <v>49</v>
      </c>
      <c r="D968" t="s">
        <v>62</v>
      </c>
      <c r="E968" t="s">
        <v>116</v>
      </c>
      <c r="F968" t="s">
        <v>163</v>
      </c>
      <c r="G968" t="s">
        <v>114</v>
      </c>
      <c r="H968" t="s">
        <v>433</v>
      </c>
      <c r="I968" t="s">
        <v>32</v>
      </c>
      <c r="J968" t="s">
        <v>77</v>
      </c>
      <c r="K968">
        <f t="shared" si="2943"/>
        <v>1</v>
      </c>
      <c r="L968">
        <f t="shared" si="2944"/>
        <v>0</v>
      </c>
      <c r="M968">
        <f t="shared" si="2945"/>
        <v>1</v>
      </c>
      <c r="N968">
        <f t="shared" si="2946"/>
        <v>0</v>
      </c>
      <c r="O968">
        <f t="shared" si="2947"/>
        <v>2</v>
      </c>
      <c r="P968" t="str">
        <f t="shared" si="2948"/>
        <v>Large centralized electrolysis-Marginal abatement cost</v>
      </c>
      <c r="Q968" t="str">
        <f t="shared" si="2949"/>
        <v>Underground storage-Marginal abatement cost</v>
      </c>
      <c r="R968" t="str">
        <f t="shared" si="2950"/>
        <v>Liquid hydrogen truck-Marginal abatement cost</v>
      </c>
      <c r="S968" t="str">
        <f t="shared" si="2951"/>
        <v>Hydrogen turbine (CC)-Marginal abatement cost</v>
      </c>
      <c r="T968">
        <f>IFERROR(VLOOKUP($P968,'TA database'!$I$8:$J$79,2,FALSE),0)</f>
        <v>0</v>
      </c>
      <c r="U968">
        <f>IFERROR(VLOOKUP($Q968,'TA database'!$I$86:$J$105,2,FALSE),0)</f>
        <v>0</v>
      </c>
      <c r="V968">
        <f>IFERROR(VLOOKUP($R968,'TA database'!$I$112:$J$139,2,FALSE),0)</f>
        <v>0</v>
      </c>
      <c r="W968">
        <f>IFERROR(VLOOKUP($S968,'TA database'!$I$146:$J$193,2,FALSE),0)</f>
        <v>0</v>
      </c>
      <c r="X968">
        <f ca="1">IFERROR(VLOOKUP($S968,'TA database'!$I$200:$J$271,2,FALSE),0)</f>
        <v>-14.763904930875372</v>
      </c>
      <c r="Y968" s="59">
        <f t="shared" ca="1" si="2952"/>
        <v>-14.763904930875372</v>
      </c>
      <c r="Z968" t="str">
        <f t="shared" si="2953"/>
        <v>ELCTRLYZ_LRG_C   →   C_UNDRGRND_STRG   →   LQ_TRUCK   →   H2_CCGT_PWR</v>
      </c>
      <c r="AA968" t="str">
        <f t="shared" si="2954"/>
        <v>Grid electricity</v>
      </c>
      <c r="AB968" t="str">
        <f t="shared" si="2955"/>
        <v>Marginal abatement cost</v>
      </c>
      <c r="AC968">
        <f t="shared" ca="1" si="2956"/>
        <v>-14.763904930875372</v>
      </c>
      <c r="AD968">
        <v>909</v>
      </c>
      <c r="AE968" t="str">
        <f>IF(AND(ISNUMBER(SEARCH(O968,4)),ISNUMBER(SEARCH('(4) FCH pathway assessment'!$B$16,AB968)),ISNUMBER(SEARCH('(4) FCH pathway assessment'!$B$10,AA968))),AD968,"")</f>
        <v/>
      </c>
      <c r="AF968" t="str">
        <f t="shared" si="2942"/>
        <v/>
      </c>
      <c r="AG968" t="str">
        <f>VLOOKUP(C968,Assumptions!$B$116:$C$162,2,FALSE)</f>
        <v>ELCTRLYZ_LRG_C</v>
      </c>
      <c r="AH968" t="str">
        <f>VLOOKUP(D968,Assumptions!$B$116:$C$162,2,FALSE)</f>
        <v>C_UNDRGRND_STRG</v>
      </c>
      <c r="AI968" t="str">
        <f>VLOOKUP(E968,Assumptions!$B$116:$C$162,2,FALSE)</f>
        <v>LQ_TRUCK</v>
      </c>
      <c r="AJ968" t="str">
        <f>VLOOKUP(F968,Assumptions!$B$116:$C$162,2,FALSE)</f>
        <v>H2_CCGT_PWR</v>
      </c>
    </row>
    <row r="969" spans="2:36" x14ac:dyDescent="0.25">
      <c r="B969" t="s">
        <v>112</v>
      </c>
      <c r="C969" t="s">
        <v>49</v>
      </c>
      <c r="D969" t="s">
        <v>62</v>
      </c>
      <c r="E969" t="s">
        <v>66</v>
      </c>
      <c r="F969" t="s">
        <v>163</v>
      </c>
      <c r="G969" t="s">
        <v>114</v>
      </c>
      <c r="H969" t="s">
        <v>433</v>
      </c>
      <c r="I969" t="s">
        <v>32</v>
      </c>
      <c r="J969" t="s">
        <v>77</v>
      </c>
      <c r="K969">
        <f t="shared" si="2943"/>
        <v>1</v>
      </c>
      <c r="L969">
        <f t="shared" si="2944"/>
        <v>0</v>
      </c>
      <c r="M969">
        <f t="shared" si="2945"/>
        <v>1</v>
      </c>
      <c r="N969">
        <f t="shared" si="2946"/>
        <v>0</v>
      </c>
      <c r="O969">
        <f t="shared" si="2947"/>
        <v>2</v>
      </c>
      <c r="P969" t="str">
        <f t="shared" si="2948"/>
        <v>Large centralized electrolysis-Marginal abatement cost</v>
      </c>
      <c r="Q969" t="str">
        <f t="shared" si="2949"/>
        <v>Underground storage-Marginal abatement cost</v>
      </c>
      <c r="R969" t="str">
        <f t="shared" si="2950"/>
        <v>Onsite-Marginal abatement cost</v>
      </c>
      <c r="S969" t="str">
        <f t="shared" si="2951"/>
        <v>Hydrogen turbine (CC)-Marginal abatement cost</v>
      </c>
      <c r="T969">
        <f>IFERROR(VLOOKUP($P969,'TA database'!$I$8:$J$79,2,FALSE),0)</f>
        <v>0</v>
      </c>
      <c r="U969">
        <f>IFERROR(VLOOKUP($Q969,'TA database'!$I$86:$J$105,2,FALSE),0)</f>
        <v>0</v>
      </c>
      <c r="V969">
        <f>IFERROR(VLOOKUP($R969,'TA database'!$I$112:$J$139,2,FALSE),0)</f>
        <v>0</v>
      </c>
      <c r="W969">
        <f>IFERROR(VLOOKUP($S969,'TA database'!$I$146:$J$193,2,FALSE),0)</f>
        <v>0</v>
      </c>
      <c r="X969">
        <f ca="1">IFERROR(VLOOKUP($S969,'TA database'!$I$200:$J$271,2,FALSE),0)</f>
        <v>-14.763904930875372</v>
      </c>
      <c r="Y969" s="59">
        <f t="shared" ca="1" si="2952"/>
        <v>-14.763904930875372</v>
      </c>
      <c r="Z969" t="str">
        <f t="shared" si="2953"/>
        <v>ELCTRLYZ_LRG_C   →   C_UNDRGRND_STRG   →   ONSITE_USE   →   H2_CCGT_PWR</v>
      </c>
      <c r="AA969" t="str">
        <f t="shared" si="2954"/>
        <v>Grid electricity</v>
      </c>
      <c r="AB969" t="str">
        <f t="shared" si="2955"/>
        <v>Marginal abatement cost</v>
      </c>
      <c r="AC969">
        <f t="shared" ca="1" si="2956"/>
        <v>-14.763904930875372</v>
      </c>
      <c r="AD969">
        <v>910</v>
      </c>
      <c r="AE969" t="str">
        <f>IF(AND(ISNUMBER(SEARCH(O969,4)),ISNUMBER(SEARCH('(4) FCH pathway assessment'!$B$16,AB969)),ISNUMBER(SEARCH('(4) FCH pathway assessment'!$B$10,AA969))),AD969,"")</f>
        <v/>
      </c>
      <c r="AF969" t="str">
        <f t="shared" si="2942"/>
        <v/>
      </c>
      <c r="AG969" t="str">
        <f>VLOOKUP(C969,Assumptions!$B$116:$C$162,2,FALSE)</f>
        <v>ELCTRLYZ_LRG_C</v>
      </c>
      <c r="AH969" t="str">
        <f>VLOOKUP(D969,Assumptions!$B$116:$C$162,2,FALSE)</f>
        <v>C_UNDRGRND_STRG</v>
      </c>
      <c r="AI969" t="str">
        <f>VLOOKUP(E969,Assumptions!$B$116:$C$162,2,FALSE)</f>
        <v>ONSITE_USE</v>
      </c>
      <c r="AJ969" t="str">
        <f>VLOOKUP(F969,Assumptions!$B$116:$C$162,2,FALSE)</f>
        <v>H2_CCGT_PWR</v>
      </c>
    </row>
    <row r="970" spans="2:36" x14ac:dyDescent="0.25">
      <c r="B970" t="s">
        <v>112</v>
      </c>
      <c r="C970" t="s">
        <v>49</v>
      </c>
      <c r="D970" t="s">
        <v>155</v>
      </c>
      <c r="E970" t="s">
        <v>157</v>
      </c>
      <c r="F970" t="s">
        <v>163</v>
      </c>
      <c r="G970" t="s">
        <v>114</v>
      </c>
      <c r="H970" t="s">
        <v>433</v>
      </c>
      <c r="I970" t="s">
        <v>32</v>
      </c>
      <c r="J970" t="s">
        <v>77</v>
      </c>
      <c r="K970">
        <f t="shared" si="2943"/>
        <v>1</v>
      </c>
      <c r="L970">
        <f t="shared" si="2944"/>
        <v>1</v>
      </c>
      <c r="M970">
        <f t="shared" si="2945"/>
        <v>0</v>
      </c>
      <c r="N970">
        <f t="shared" si="2946"/>
        <v>0</v>
      </c>
      <c r="O970">
        <f t="shared" si="2947"/>
        <v>2</v>
      </c>
      <c r="P970" t="str">
        <f t="shared" si="2948"/>
        <v>Large centralized electrolysis-Marginal abatement cost</v>
      </c>
      <c r="Q970" t="str">
        <f t="shared" si="2949"/>
        <v>Central gas storage-Marginal abatement cost</v>
      </c>
      <c r="R970" t="str">
        <f t="shared" si="2950"/>
        <v>Blending in natural gas pipeline-Marginal abatement cost</v>
      </c>
      <c r="S970" t="str">
        <f t="shared" si="2951"/>
        <v>Hydrogen turbine (CC)-Marginal abatement cost</v>
      </c>
      <c r="T970">
        <f>IFERROR(VLOOKUP($P970,'TA database'!$I$8:$J$79,2,FALSE),0)</f>
        <v>0</v>
      </c>
      <c r="U970">
        <f>IFERROR(VLOOKUP($Q970,'TA database'!$I$86:$J$105,2,FALSE),0)</f>
        <v>0</v>
      </c>
      <c r="V970">
        <f>IFERROR(VLOOKUP($R970,'TA database'!$I$112:$J$139,2,FALSE),0)</f>
        <v>0</v>
      </c>
      <c r="W970">
        <f>IFERROR(VLOOKUP($S970,'TA database'!$I$146:$J$193,2,FALSE),0)</f>
        <v>0</v>
      </c>
      <c r="X970">
        <f ca="1">IFERROR(VLOOKUP($S970,'TA database'!$I$200:$J$271,2,FALSE),0)</f>
        <v>-14.763904930875372</v>
      </c>
      <c r="Y970" s="59">
        <f t="shared" ca="1" si="2952"/>
        <v>-14.763904930875372</v>
      </c>
      <c r="Z970" t="str">
        <f t="shared" si="2953"/>
        <v>ELCTRLYZ_LRG_C   →   C_GAS_STRG   →   H2_BLND_NG_P   →   H2_CCGT_PWR</v>
      </c>
      <c r="AA970" t="str">
        <f t="shared" si="2954"/>
        <v>Grid electricity</v>
      </c>
      <c r="AB970" t="str">
        <f t="shared" si="2955"/>
        <v>Marginal abatement cost</v>
      </c>
      <c r="AC970">
        <f t="shared" ca="1" si="2956"/>
        <v>-14.763904930875372</v>
      </c>
      <c r="AD970">
        <v>911</v>
      </c>
      <c r="AE970" t="str">
        <f>IF(AND(ISNUMBER(SEARCH(O970,4)),ISNUMBER(SEARCH('(4) FCH pathway assessment'!$B$16,AB970)),ISNUMBER(SEARCH('(4) FCH pathway assessment'!$B$10,AA970))),AD970,"")</f>
        <v/>
      </c>
      <c r="AF970" t="str">
        <f t="shared" si="2942"/>
        <v/>
      </c>
      <c r="AG970" t="str">
        <f>VLOOKUP(C970,Assumptions!$B$116:$C$162,2,FALSE)</f>
        <v>ELCTRLYZ_LRG_C</v>
      </c>
      <c r="AH970" t="str">
        <f>VLOOKUP(D970,Assumptions!$B$116:$C$162,2,FALSE)</f>
        <v>C_GAS_STRG</v>
      </c>
      <c r="AI970" t="str">
        <f>VLOOKUP(E970,Assumptions!$B$116:$C$162,2,FALSE)</f>
        <v>H2_BLND_NG_P</v>
      </c>
      <c r="AJ970" t="str">
        <f>VLOOKUP(F970,Assumptions!$B$116:$C$162,2,FALSE)</f>
        <v>H2_CCGT_PWR</v>
      </c>
    </row>
    <row r="971" spans="2:36" x14ac:dyDescent="0.25">
      <c r="B971" t="s">
        <v>112</v>
      </c>
      <c r="C971" t="s">
        <v>49</v>
      </c>
      <c r="D971" t="s">
        <v>155</v>
      </c>
      <c r="E971" t="s">
        <v>122</v>
      </c>
      <c r="F971" t="s">
        <v>163</v>
      </c>
      <c r="G971" t="s">
        <v>114</v>
      </c>
      <c r="H971" t="s">
        <v>433</v>
      </c>
      <c r="I971" t="s">
        <v>32</v>
      </c>
      <c r="J971" t="s">
        <v>77</v>
      </c>
      <c r="K971">
        <f t="shared" si="2943"/>
        <v>1</v>
      </c>
      <c r="L971">
        <f t="shared" si="2944"/>
        <v>1</v>
      </c>
      <c r="M971">
        <f t="shared" si="2945"/>
        <v>1</v>
      </c>
      <c r="N971">
        <f t="shared" si="2946"/>
        <v>0</v>
      </c>
      <c r="O971">
        <f t="shared" si="2947"/>
        <v>3</v>
      </c>
      <c r="P971" t="str">
        <f t="shared" si="2948"/>
        <v>Large centralized electrolysis-Marginal abatement cost</v>
      </c>
      <c r="Q971" t="str">
        <f t="shared" si="2949"/>
        <v>Central gas storage-Marginal abatement cost</v>
      </c>
      <c r="R971" t="str">
        <f t="shared" si="2950"/>
        <v>Hydrogen transmission &amp; distribution pipeline-Marginal abatement cost</v>
      </c>
      <c r="S971" t="str">
        <f t="shared" si="2951"/>
        <v>Hydrogen turbine (CC)-Marginal abatement cost</v>
      </c>
      <c r="T971">
        <f>IFERROR(VLOOKUP($P971,'TA database'!$I$8:$J$79,2,FALSE),0)</f>
        <v>0</v>
      </c>
      <c r="U971">
        <f>IFERROR(VLOOKUP($Q971,'TA database'!$I$86:$J$105,2,FALSE),0)</f>
        <v>0</v>
      </c>
      <c r="V971">
        <f>IFERROR(VLOOKUP($R971,'TA database'!$I$112:$J$139,2,FALSE),0)</f>
        <v>0</v>
      </c>
      <c r="W971">
        <f>IFERROR(VLOOKUP($S971,'TA database'!$I$146:$J$193,2,FALSE),0)</f>
        <v>0</v>
      </c>
      <c r="X971">
        <f ca="1">IFERROR(VLOOKUP($S971,'TA database'!$I$200:$J$271,2,FALSE),0)</f>
        <v>-14.763904930875372</v>
      </c>
      <c r="Y971" s="59">
        <f t="shared" ref="Y971:Y977" ca="1" si="2957">IF($W971=0,T971+U971+V971+X971,T971+U971+V971+W971)</f>
        <v>-14.763904930875372</v>
      </c>
      <c r="Z971" t="str">
        <f t="shared" si="2953"/>
        <v>ELCTRLYZ_LRG_C   →   C_GAS_STRG   →   H2_T&amp;D_P   →   H2_CCGT_PWR</v>
      </c>
      <c r="AA971" t="str">
        <f t="shared" si="2954"/>
        <v>Grid electricity</v>
      </c>
      <c r="AB971" t="str">
        <f t="shared" si="2955"/>
        <v>Marginal abatement cost</v>
      </c>
      <c r="AC971">
        <f t="shared" ca="1" si="2956"/>
        <v>-14.763904930875372</v>
      </c>
      <c r="AD971">
        <v>912</v>
      </c>
      <c r="AE971" t="str">
        <f>IF(AND(ISNUMBER(SEARCH(O971,4)),ISNUMBER(SEARCH('(4) FCH pathway assessment'!$B$16,AB971)),ISNUMBER(SEARCH('(4) FCH pathway assessment'!$B$10,AA971))),AD971,"")</f>
        <v/>
      </c>
      <c r="AF971" t="str">
        <f t="shared" si="2942"/>
        <v/>
      </c>
      <c r="AG971" t="str">
        <f>VLOOKUP(C971,Assumptions!$B$116:$C$162,2,FALSE)</f>
        <v>ELCTRLYZ_LRG_C</v>
      </c>
      <c r="AH971" t="str">
        <f>VLOOKUP(D971,Assumptions!$B$116:$C$162,2,FALSE)</f>
        <v>C_GAS_STRG</v>
      </c>
      <c r="AI971" t="str">
        <f>VLOOKUP(E971,Assumptions!$B$116:$C$162,2,FALSE)</f>
        <v>H2_T&amp;D_P</v>
      </c>
      <c r="AJ971" t="str">
        <f>VLOOKUP(F971,Assumptions!$B$116:$C$162,2,FALSE)</f>
        <v>H2_CCGT_PWR</v>
      </c>
    </row>
    <row r="972" spans="2:36" x14ac:dyDescent="0.25">
      <c r="B972" t="s">
        <v>112</v>
      </c>
      <c r="C972" t="s">
        <v>49</v>
      </c>
      <c r="D972" t="s">
        <v>155</v>
      </c>
      <c r="E972" t="s">
        <v>116</v>
      </c>
      <c r="F972" t="s">
        <v>163</v>
      </c>
      <c r="G972" t="s">
        <v>114</v>
      </c>
      <c r="H972" t="s">
        <v>433</v>
      </c>
      <c r="I972" t="s">
        <v>32</v>
      </c>
      <c r="J972" t="s">
        <v>77</v>
      </c>
      <c r="K972">
        <f t="shared" si="2943"/>
        <v>1</v>
      </c>
      <c r="L972">
        <f t="shared" si="2944"/>
        <v>1</v>
      </c>
      <c r="M972">
        <f t="shared" si="2945"/>
        <v>1</v>
      </c>
      <c r="N972">
        <f t="shared" si="2946"/>
        <v>0</v>
      </c>
      <c r="O972">
        <f t="shared" si="2947"/>
        <v>3</v>
      </c>
      <c r="P972" t="str">
        <f t="shared" si="2948"/>
        <v>Large centralized electrolysis-Marginal abatement cost</v>
      </c>
      <c r="Q972" t="str">
        <f t="shared" si="2949"/>
        <v>Central gas storage-Marginal abatement cost</v>
      </c>
      <c r="R972" t="str">
        <f t="shared" si="2950"/>
        <v>Liquid hydrogen truck-Marginal abatement cost</v>
      </c>
      <c r="S972" t="str">
        <f t="shared" si="2951"/>
        <v>Hydrogen turbine (CC)-Marginal abatement cost</v>
      </c>
      <c r="T972">
        <f>IFERROR(VLOOKUP($P972,'TA database'!$I$8:$J$79,2,FALSE),0)</f>
        <v>0</v>
      </c>
      <c r="U972">
        <f>IFERROR(VLOOKUP($Q972,'TA database'!$I$86:$J$105,2,FALSE),0)</f>
        <v>0</v>
      </c>
      <c r="V972">
        <f>IFERROR(VLOOKUP($R972,'TA database'!$I$112:$J$139,2,FALSE),0)</f>
        <v>0</v>
      </c>
      <c r="W972">
        <f>IFERROR(VLOOKUP($S972,'TA database'!$I$146:$J$193,2,FALSE),0)</f>
        <v>0</v>
      </c>
      <c r="X972">
        <f ca="1">IFERROR(VLOOKUP($S972,'TA database'!$I$200:$J$271,2,FALSE),0)</f>
        <v>-14.763904930875372</v>
      </c>
      <c r="Y972" s="59">
        <f t="shared" ca="1" si="2957"/>
        <v>-14.763904930875372</v>
      </c>
      <c r="Z972" t="str">
        <f t="shared" si="2953"/>
        <v>ELCTRLYZ_LRG_C   →   C_GAS_STRG   →   LQ_TRUCK   →   H2_CCGT_PWR</v>
      </c>
      <c r="AA972" t="str">
        <f t="shared" si="2954"/>
        <v>Grid electricity</v>
      </c>
      <c r="AB972" t="str">
        <f t="shared" si="2955"/>
        <v>Marginal abatement cost</v>
      </c>
      <c r="AC972">
        <f t="shared" ca="1" si="2956"/>
        <v>-14.763904930875372</v>
      </c>
      <c r="AD972">
        <v>913</v>
      </c>
      <c r="AE972" t="str">
        <f>IF(AND(ISNUMBER(SEARCH(O972,4)),ISNUMBER(SEARCH('(4) FCH pathway assessment'!$B$16,AB972)),ISNUMBER(SEARCH('(4) FCH pathway assessment'!$B$10,AA972))),AD972,"")</f>
        <v/>
      </c>
      <c r="AF972" t="str">
        <f t="shared" si="2942"/>
        <v/>
      </c>
      <c r="AG972" t="str">
        <f>VLOOKUP(C972,Assumptions!$B$116:$C$162,2,FALSE)</f>
        <v>ELCTRLYZ_LRG_C</v>
      </c>
      <c r="AH972" t="str">
        <f>VLOOKUP(D972,Assumptions!$B$116:$C$162,2,FALSE)</f>
        <v>C_GAS_STRG</v>
      </c>
      <c r="AI972" t="str">
        <f>VLOOKUP(E972,Assumptions!$B$116:$C$162,2,FALSE)</f>
        <v>LQ_TRUCK</v>
      </c>
      <c r="AJ972" t="str">
        <f>VLOOKUP(F972,Assumptions!$B$116:$C$162,2,FALSE)</f>
        <v>H2_CCGT_PWR</v>
      </c>
    </row>
    <row r="973" spans="2:36" x14ac:dyDescent="0.25">
      <c r="B973" t="s">
        <v>112</v>
      </c>
      <c r="C973" t="s">
        <v>49</v>
      </c>
      <c r="D973" t="s">
        <v>155</v>
      </c>
      <c r="E973" t="s">
        <v>66</v>
      </c>
      <c r="F973" t="s">
        <v>163</v>
      </c>
      <c r="G973" t="s">
        <v>114</v>
      </c>
      <c r="H973" t="s">
        <v>433</v>
      </c>
      <c r="I973" t="s">
        <v>32</v>
      </c>
      <c r="J973" t="s">
        <v>77</v>
      </c>
      <c r="K973">
        <f t="shared" si="2943"/>
        <v>1</v>
      </c>
      <c r="L973">
        <f t="shared" si="2944"/>
        <v>1</v>
      </c>
      <c r="M973">
        <f t="shared" si="2945"/>
        <v>1</v>
      </c>
      <c r="N973">
        <f t="shared" si="2946"/>
        <v>0</v>
      </c>
      <c r="O973">
        <f t="shared" ref="O973:O977" si="2958">K973+L973+M973+N973</f>
        <v>3</v>
      </c>
      <c r="P973" t="str">
        <f t="shared" si="2948"/>
        <v>Large centralized electrolysis-Marginal abatement cost</v>
      </c>
      <c r="Q973" t="str">
        <f t="shared" si="2949"/>
        <v>Central gas storage-Marginal abatement cost</v>
      </c>
      <c r="R973" t="str">
        <f t="shared" si="2950"/>
        <v>Onsite-Marginal abatement cost</v>
      </c>
      <c r="S973" t="str">
        <f t="shared" si="2951"/>
        <v>Hydrogen turbine (CC)-Marginal abatement cost</v>
      </c>
      <c r="T973">
        <f>IFERROR(VLOOKUP($P973,'TA database'!$I$8:$J$79,2,FALSE),0)</f>
        <v>0</v>
      </c>
      <c r="U973">
        <f>IFERROR(VLOOKUP($Q973,'TA database'!$I$86:$J$105,2,FALSE),0)</f>
        <v>0</v>
      </c>
      <c r="V973">
        <f>IFERROR(VLOOKUP($R973,'TA database'!$I$112:$J$139,2,FALSE),0)</f>
        <v>0</v>
      </c>
      <c r="W973">
        <f>IFERROR(VLOOKUP($S973,'TA database'!$I$146:$J$193,2,FALSE),0)</f>
        <v>0</v>
      </c>
      <c r="X973">
        <f ca="1">IFERROR(VLOOKUP($S973,'TA database'!$I$200:$J$271,2,FALSE),0)</f>
        <v>-14.763904930875372</v>
      </c>
      <c r="Y973" s="59">
        <f t="shared" ca="1" si="2957"/>
        <v>-14.763904930875372</v>
      </c>
      <c r="Z973" t="str">
        <f t="shared" ref="Z973:Z977" si="2959">CONCATENATE(AG973,"   →   ",AH973,"   →   ",AI973,"   →   ",AJ973)</f>
        <v>ELCTRLYZ_LRG_C   →   C_GAS_STRG   →   ONSITE_USE   →   H2_CCGT_PWR</v>
      </c>
      <c r="AA973" t="str">
        <f t="shared" ref="AA973:AA977" si="2960">G973</f>
        <v>Grid electricity</v>
      </c>
      <c r="AB973" t="str">
        <f t="shared" ref="AB973:AB977" si="2961">J973</f>
        <v>Marginal abatement cost</v>
      </c>
      <c r="AC973">
        <f t="shared" ref="AC973:AC977" ca="1" si="2962">Y973</f>
        <v>-14.763904930875372</v>
      </c>
      <c r="AD973">
        <v>914</v>
      </c>
      <c r="AE973" t="str">
        <f>IF(AND(ISNUMBER(SEARCH(O973,4)),ISNUMBER(SEARCH('(4) FCH pathway assessment'!$B$16,AB973)),ISNUMBER(SEARCH('(4) FCH pathway assessment'!$B$10,AA973))),AD973,"")</f>
        <v/>
      </c>
      <c r="AF973" t="str">
        <f t="shared" si="2942"/>
        <v/>
      </c>
      <c r="AG973" t="str">
        <f>VLOOKUP(C973,Assumptions!$B$116:$C$162,2,FALSE)</f>
        <v>ELCTRLYZ_LRG_C</v>
      </c>
      <c r="AH973" t="str">
        <f>VLOOKUP(D973,Assumptions!$B$116:$C$162,2,FALSE)</f>
        <v>C_GAS_STRG</v>
      </c>
      <c r="AI973" t="str">
        <f>VLOOKUP(E973,Assumptions!$B$116:$C$162,2,FALSE)</f>
        <v>ONSITE_USE</v>
      </c>
      <c r="AJ973" t="str">
        <f>VLOOKUP(F973,Assumptions!$B$116:$C$162,2,FALSE)</f>
        <v>H2_CCGT_PWR</v>
      </c>
    </row>
    <row r="974" spans="2:36" x14ac:dyDescent="0.25">
      <c r="B974" t="s">
        <v>112</v>
      </c>
      <c r="C974" t="s">
        <v>51</v>
      </c>
      <c r="D974" t="s">
        <v>155</v>
      </c>
      <c r="E974" t="s">
        <v>157</v>
      </c>
      <c r="F974" t="s">
        <v>163</v>
      </c>
      <c r="G974" t="s">
        <v>114</v>
      </c>
      <c r="H974" t="s">
        <v>433</v>
      </c>
      <c r="I974" t="s">
        <v>32</v>
      </c>
      <c r="J974" t="s">
        <v>77</v>
      </c>
      <c r="K974">
        <f t="shared" ref="K974:K977" si="2963">SUMPRODUCT(($C$7:$C$18=$C974)*($D$6:$H$6=$D974)*($D$7:$H$18))</f>
        <v>1</v>
      </c>
      <c r="L974">
        <f t="shared" ref="L974:L977" si="2964">SUMPRODUCT(($C$19:$C$23=$D974)*($I$6:$O$6=$E974)*($I$19:$O$23))</f>
        <v>1</v>
      </c>
      <c r="M974">
        <f t="shared" ref="M974:M977" si="2965">SUMPRODUCT(($C$24:$C$30=$E974)*($P$6:$AI$6=$F974)*($P$24:$AI$30))</f>
        <v>0</v>
      </c>
      <c r="N974">
        <f t="shared" ref="N974:N977" si="2966">SUMPRODUCT(($C$31:$C$50=$F974)*($AJ$6:$AM$6=$G974)*($AJ$31:$AM$50))</f>
        <v>0</v>
      </c>
      <c r="O974">
        <f t="shared" si="2958"/>
        <v>2</v>
      </c>
      <c r="P974" t="str">
        <f t="shared" ref="P974:P977" si="2967">CONCATENATE(C974,"-",J974)</f>
        <v>Medium centralized electrolysis-Marginal abatement cost</v>
      </c>
      <c r="Q974" t="str">
        <f t="shared" ref="Q974:Q977" si="2968">CONCATENATE(D974,"-",J974)</f>
        <v>Central gas storage-Marginal abatement cost</v>
      </c>
      <c r="R974" t="str">
        <f t="shared" ref="R974:R977" si="2969">CONCATENATE(E974,"-",J974)</f>
        <v>Blending in natural gas pipeline-Marginal abatement cost</v>
      </c>
      <c r="S974" t="str">
        <f t="shared" ref="S974:S977" si="2970">CONCATENATE(F974,"-",J974)</f>
        <v>Hydrogen turbine (CC)-Marginal abatement cost</v>
      </c>
      <c r="T974">
        <f>IFERROR(VLOOKUP($P974,'TA database'!$I$8:$J$79,2,FALSE),0)</f>
        <v>0</v>
      </c>
      <c r="U974">
        <f>IFERROR(VLOOKUP($Q974,'TA database'!$I$86:$J$105,2,FALSE),0)</f>
        <v>0</v>
      </c>
      <c r="V974">
        <f>IFERROR(VLOOKUP($R974,'TA database'!$I$112:$J$139,2,FALSE),0)</f>
        <v>0</v>
      </c>
      <c r="W974">
        <f>IFERROR(VLOOKUP($S974,'TA database'!$I$146:$J$193,2,FALSE),0)</f>
        <v>0</v>
      </c>
      <c r="X974">
        <f ca="1">IFERROR(VLOOKUP($S974,'TA database'!$I$200:$J$271,2,FALSE),0)</f>
        <v>-14.763904930875372</v>
      </c>
      <c r="Y974" s="59">
        <f t="shared" ca="1" si="2957"/>
        <v>-14.763904930875372</v>
      </c>
      <c r="Z974" t="str">
        <f t="shared" si="2959"/>
        <v>ELCTRLYZ_MED_C   →   C_GAS_STRG   →   H2_BLND_NG_P   →   H2_CCGT_PWR</v>
      </c>
      <c r="AA974" t="str">
        <f t="shared" si="2960"/>
        <v>Grid electricity</v>
      </c>
      <c r="AB974" t="str">
        <f t="shared" si="2961"/>
        <v>Marginal abatement cost</v>
      </c>
      <c r="AC974">
        <f t="shared" ca="1" si="2962"/>
        <v>-14.763904930875372</v>
      </c>
      <c r="AD974">
        <v>915</v>
      </c>
      <c r="AE974" t="str">
        <f>IF(AND(ISNUMBER(SEARCH(O974,4)),ISNUMBER(SEARCH('(4) FCH pathway assessment'!$B$16,AB974)),ISNUMBER(SEARCH('(4) FCH pathway assessment'!$B$10,AA974))),AD974,"")</f>
        <v/>
      </c>
      <c r="AF974" t="str">
        <f t="shared" si="2942"/>
        <v/>
      </c>
      <c r="AG974" t="str">
        <f>VLOOKUP(C974,Assumptions!$B$116:$C$162,2,FALSE)</f>
        <v>ELCTRLYZ_MED_C</v>
      </c>
      <c r="AH974" t="str">
        <f>VLOOKUP(D974,Assumptions!$B$116:$C$162,2,FALSE)</f>
        <v>C_GAS_STRG</v>
      </c>
      <c r="AI974" t="str">
        <f>VLOOKUP(E974,Assumptions!$B$116:$C$162,2,FALSE)</f>
        <v>H2_BLND_NG_P</v>
      </c>
      <c r="AJ974" t="str">
        <f>VLOOKUP(F974,Assumptions!$B$116:$C$162,2,FALSE)</f>
        <v>H2_CCGT_PWR</v>
      </c>
    </row>
    <row r="975" spans="2:36" x14ac:dyDescent="0.25">
      <c r="B975" t="s">
        <v>112</v>
      </c>
      <c r="C975" t="s">
        <v>51</v>
      </c>
      <c r="D975" t="s">
        <v>155</v>
      </c>
      <c r="E975" t="s">
        <v>122</v>
      </c>
      <c r="F975" t="s">
        <v>163</v>
      </c>
      <c r="G975" t="s">
        <v>114</v>
      </c>
      <c r="H975" t="s">
        <v>433</v>
      </c>
      <c r="I975" t="s">
        <v>32</v>
      </c>
      <c r="J975" t="s">
        <v>77</v>
      </c>
      <c r="K975">
        <f t="shared" si="2963"/>
        <v>1</v>
      </c>
      <c r="L975">
        <f t="shared" si="2964"/>
        <v>1</v>
      </c>
      <c r="M975">
        <f t="shared" si="2965"/>
        <v>1</v>
      </c>
      <c r="N975">
        <f t="shared" si="2966"/>
        <v>0</v>
      </c>
      <c r="O975">
        <f t="shared" si="2958"/>
        <v>3</v>
      </c>
      <c r="P975" t="str">
        <f t="shared" si="2967"/>
        <v>Medium centralized electrolysis-Marginal abatement cost</v>
      </c>
      <c r="Q975" t="str">
        <f t="shared" si="2968"/>
        <v>Central gas storage-Marginal abatement cost</v>
      </c>
      <c r="R975" t="str">
        <f t="shared" si="2969"/>
        <v>Hydrogen transmission &amp; distribution pipeline-Marginal abatement cost</v>
      </c>
      <c r="S975" t="str">
        <f t="shared" si="2970"/>
        <v>Hydrogen turbine (CC)-Marginal abatement cost</v>
      </c>
      <c r="T975">
        <f>IFERROR(VLOOKUP($P975,'TA database'!$I$8:$J$79,2,FALSE),0)</f>
        <v>0</v>
      </c>
      <c r="U975">
        <f>IFERROR(VLOOKUP($Q975,'TA database'!$I$86:$J$105,2,FALSE),0)</f>
        <v>0</v>
      </c>
      <c r="V975">
        <f>IFERROR(VLOOKUP($R975,'TA database'!$I$112:$J$139,2,FALSE),0)</f>
        <v>0</v>
      </c>
      <c r="W975">
        <f>IFERROR(VLOOKUP($S975,'TA database'!$I$146:$J$193,2,FALSE),0)</f>
        <v>0</v>
      </c>
      <c r="X975">
        <f ca="1">IFERROR(VLOOKUP($S975,'TA database'!$I$200:$J$271,2,FALSE),0)</f>
        <v>-14.763904930875372</v>
      </c>
      <c r="Y975" s="59">
        <f t="shared" ca="1" si="2957"/>
        <v>-14.763904930875372</v>
      </c>
      <c r="Z975" t="str">
        <f t="shared" si="2959"/>
        <v>ELCTRLYZ_MED_C   →   C_GAS_STRG   →   H2_T&amp;D_P   →   H2_CCGT_PWR</v>
      </c>
      <c r="AA975" t="str">
        <f t="shared" si="2960"/>
        <v>Grid electricity</v>
      </c>
      <c r="AB975" t="str">
        <f t="shared" si="2961"/>
        <v>Marginal abatement cost</v>
      </c>
      <c r="AC975">
        <f t="shared" ca="1" si="2962"/>
        <v>-14.763904930875372</v>
      </c>
      <c r="AD975">
        <v>916</v>
      </c>
      <c r="AE975" t="str">
        <f>IF(AND(ISNUMBER(SEARCH(O975,4)),ISNUMBER(SEARCH('(4) FCH pathway assessment'!$B$16,AB975)),ISNUMBER(SEARCH('(4) FCH pathway assessment'!$B$10,AA975))),AD975,"")</f>
        <v/>
      </c>
      <c r="AF975" t="str">
        <f t="shared" si="2942"/>
        <v/>
      </c>
      <c r="AG975" t="str">
        <f>VLOOKUP(C975,Assumptions!$B$116:$C$162,2,FALSE)</f>
        <v>ELCTRLYZ_MED_C</v>
      </c>
      <c r="AH975" t="str">
        <f>VLOOKUP(D975,Assumptions!$B$116:$C$162,2,FALSE)</f>
        <v>C_GAS_STRG</v>
      </c>
      <c r="AI975" t="str">
        <f>VLOOKUP(E975,Assumptions!$B$116:$C$162,2,FALSE)</f>
        <v>H2_T&amp;D_P</v>
      </c>
      <c r="AJ975" t="str">
        <f>VLOOKUP(F975,Assumptions!$B$116:$C$162,2,FALSE)</f>
        <v>H2_CCGT_PWR</v>
      </c>
    </row>
    <row r="976" spans="2:36" x14ac:dyDescent="0.25">
      <c r="B976" t="s">
        <v>112</v>
      </c>
      <c r="C976" t="s">
        <v>51</v>
      </c>
      <c r="D976" t="s">
        <v>155</v>
      </c>
      <c r="E976" t="s">
        <v>116</v>
      </c>
      <c r="F976" t="s">
        <v>163</v>
      </c>
      <c r="G976" t="s">
        <v>114</v>
      </c>
      <c r="H976" t="s">
        <v>433</v>
      </c>
      <c r="I976" t="s">
        <v>32</v>
      </c>
      <c r="J976" t="s">
        <v>77</v>
      </c>
      <c r="K976">
        <f t="shared" si="2963"/>
        <v>1</v>
      </c>
      <c r="L976">
        <f t="shared" si="2964"/>
        <v>1</v>
      </c>
      <c r="M976">
        <f t="shared" si="2965"/>
        <v>1</v>
      </c>
      <c r="N976">
        <f t="shared" si="2966"/>
        <v>0</v>
      </c>
      <c r="O976">
        <f t="shared" si="2958"/>
        <v>3</v>
      </c>
      <c r="P976" t="str">
        <f t="shared" si="2967"/>
        <v>Medium centralized electrolysis-Marginal abatement cost</v>
      </c>
      <c r="Q976" t="str">
        <f t="shared" si="2968"/>
        <v>Central gas storage-Marginal abatement cost</v>
      </c>
      <c r="R976" t="str">
        <f t="shared" si="2969"/>
        <v>Liquid hydrogen truck-Marginal abatement cost</v>
      </c>
      <c r="S976" t="str">
        <f t="shared" si="2970"/>
        <v>Hydrogen turbine (CC)-Marginal abatement cost</v>
      </c>
      <c r="T976">
        <f>IFERROR(VLOOKUP($P976,'TA database'!$I$8:$J$79,2,FALSE),0)</f>
        <v>0</v>
      </c>
      <c r="U976">
        <f>IFERROR(VLOOKUP($Q976,'TA database'!$I$86:$J$105,2,FALSE),0)</f>
        <v>0</v>
      </c>
      <c r="V976">
        <f>IFERROR(VLOOKUP($R976,'TA database'!$I$112:$J$139,2,FALSE),0)</f>
        <v>0</v>
      </c>
      <c r="W976">
        <f>IFERROR(VLOOKUP($S976,'TA database'!$I$146:$J$193,2,FALSE),0)</f>
        <v>0</v>
      </c>
      <c r="X976">
        <f ca="1">IFERROR(VLOOKUP($S976,'TA database'!$I$200:$J$271,2,FALSE),0)</f>
        <v>-14.763904930875372</v>
      </c>
      <c r="Y976" s="59">
        <f t="shared" ca="1" si="2957"/>
        <v>-14.763904930875372</v>
      </c>
      <c r="Z976" t="str">
        <f t="shared" si="2959"/>
        <v>ELCTRLYZ_MED_C   →   C_GAS_STRG   →   LQ_TRUCK   →   H2_CCGT_PWR</v>
      </c>
      <c r="AA976" t="str">
        <f t="shared" si="2960"/>
        <v>Grid electricity</v>
      </c>
      <c r="AB976" t="str">
        <f t="shared" si="2961"/>
        <v>Marginal abatement cost</v>
      </c>
      <c r="AC976">
        <f t="shared" ca="1" si="2962"/>
        <v>-14.763904930875372</v>
      </c>
      <c r="AD976">
        <v>917</v>
      </c>
      <c r="AE976" t="str">
        <f>IF(AND(ISNUMBER(SEARCH(O976,4)),ISNUMBER(SEARCH('(4) FCH pathway assessment'!$B$16,AB976)),ISNUMBER(SEARCH('(4) FCH pathway assessment'!$B$10,AA976))),AD976,"")</f>
        <v/>
      </c>
      <c r="AF976" t="str">
        <f t="shared" si="2942"/>
        <v/>
      </c>
      <c r="AG976" t="str">
        <f>VLOOKUP(C976,Assumptions!$B$116:$C$162,2,FALSE)</f>
        <v>ELCTRLYZ_MED_C</v>
      </c>
      <c r="AH976" t="str">
        <f>VLOOKUP(D976,Assumptions!$B$116:$C$162,2,FALSE)</f>
        <v>C_GAS_STRG</v>
      </c>
      <c r="AI976" t="str">
        <f>VLOOKUP(E976,Assumptions!$B$116:$C$162,2,FALSE)</f>
        <v>LQ_TRUCK</v>
      </c>
      <c r="AJ976" t="str">
        <f>VLOOKUP(F976,Assumptions!$B$116:$C$162,2,FALSE)</f>
        <v>H2_CCGT_PWR</v>
      </c>
    </row>
    <row r="977" spans="2:36" x14ac:dyDescent="0.25">
      <c r="B977" t="s">
        <v>112</v>
      </c>
      <c r="C977" t="s">
        <v>51</v>
      </c>
      <c r="D977" t="s">
        <v>155</v>
      </c>
      <c r="E977" t="s">
        <v>66</v>
      </c>
      <c r="F977" t="s">
        <v>163</v>
      </c>
      <c r="G977" t="s">
        <v>114</v>
      </c>
      <c r="H977" t="s">
        <v>433</v>
      </c>
      <c r="I977" t="s">
        <v>32</v>
      </c>
      <c r="J977" t="s">
        <v>77</v>
      </c>
      <c r="K977">
        <f t="shared" si="2963"/>
        <v>1</v>
      </c>
      <c r="L977">
        <f t="shared" si="2964"/>
        <v>1</v>
      </c>
      <c r="M977">
        <f t="shared" si="2965"/>
        <v>1</v>
      </c>
      <c r="N977">
        <f t="shared" si="2966"/>
        <v>0</v>
      </c>
      <c r="O977">
        <f t="shared" si="2958"/>
        <v>3</v>
      </c>
      <c r="P977" t="str">
        <f t="shared" si="2967"/>
        <v>Medium centralized electrolysis-Marginal abatement cost</v>
      </c>
      <c r="Q977" t="str">
        <f t="shared" si="2968"/>
        <v>Central gas storage-Marginal abatement cost</v>
      </c>
      <c r="R977" t="str">
        <f t="shared" si="2969"/>
        <v>Onsite-Marginal abatement cost</v>
      </c>
      <c r="S977" t="str">
        <f t="shared" si="2970"/>
        <v>Hydrogen turbine (CC)-Marginal abatement cost</v>
      </c>
      <c r="T977">
        <f>IFERROR(VLOOKUP($P977,'TA database'!$I$8:$J$79,2,FALSE),0)</f>
        <v>0</v>
      </c>
      <c r="U977">
        <f>IFERROR(VLOOKUP($Q977,'TA database'!$I$86:$J$105,2,FALSE),0)</f>
        <v>0</v>
      </c>
      <c r="V977">
        <f>IFERROR(VLOOKUP($R977,'TA database'!$I$112:$J$139,2,FALSE),0)</f>
        <v>0</v>
      </c>
      <c r="W977">
        <f>IFERROR(VLOOKUP($S977,'TA database'!$I$146:$J$193,2,FALSE),0)</f>
        <v>0</v>
      </c>
      <c r="X977">
        <f ca="1">IFERROR(VLOOKUP($S977,'TA database'!$I$200:$J$271,2,FALSE),0)</f>
        <v>-14.763904930875372</v>
      </c>
      <c r="Y977" s="59">
        <f t="shared" ca="1" si="2957"/>
        <v>-14.763904930875372</v>
      </c>
      <c r="Z977" t="str">
        <f t="shared" si="2959"/>
        <v>ELCTRLYZ_MED_C   →   C_GAS_STRG   →   ONSITE_USE   →   H2_CCGT_PWR</v>
      </c>
      <c r="AA977" t="str">
        <f t="shared" si="2960"/>
        <v>Grid electricity</v>
      </c>
      <c r="AB977" t="str">
        <f t="shared" si="2961"/>
        <v>Marginal abatement cost</v>
      </c>
      <c r="AC977">
        <f t="shared" ca="1" si="2962"/>
        <v>-14.763904930875372</v>
      </c>
      <c r="AD977">
        <v>918</v>
      </c>
      <c r="AE977" t="str">
        <f>IF(AND(ISNUMBER(SEARCH(O977,4)),ISNUMBER(SEARCH('(4) FCH pathway assessment'!$B$16,AB977)),ISNUMBER(SEARCH('(4) FCH pathway assessment'!$B$10,AA977))),AD977,"")</f>
        <v/>
      </c>
      <c r="AF977" t="str">
        <f t="shared" si="2942"/>
        <v/>
      </c>
      <c r="AG977" t="str">
        <f>VLOOKUP(C977,Assumptions!$B$116:$C$162,2,FALSE)</f>
        <v>ELCTRLYZ_MED_C</v>
      </c>
      <c r="AH977" t="str">
        <f>VLOOKUP(D977,Assumptions!$B$116:$C$162,2,FALSE)</f>
        <v>C_GAS_STRG</v>
      </c>
      <c r="AI977" t="str">
        <f>VLOOKUP(E977,Assumptions!$B$116:$C$162,2,FALSE)</f>
        <v>ONSITE_USE</v>
      </c>
      <c r="AJ977" t="str">
        <f>VLOOKUP(F977,Assumptions!$B$116:$C$162,2,FALSE)</f>
        <v>H2_CCGT_PWR</v>
      </c>
    </row>
    <row r="978" spans="2:36" x14ac:dyDescent="0.25">
      <c r="B978" t="s">
        <v>112</v>
      </c>
      <c r="C978" t="s">
        <v>52</v>
      </c>
      <c r="D978" s="60" t="s">
        <v>130</v>
      </c>
      <c r="E978" t="s">
        <v>66</v>
      </c>
      <c r="F978" t="s">
        <v>163</v>
      </c>
      <c r="G978" t="s">
        <v>114</v>
      </c>
      <c r="H978" t="s">
        <v>433</v>
      </c>
      <c r="I978" t="s">
        <v>32</v>
      </c>
      <c r="J978" t="s">
        <v>77</v>
      </c>
      <c r="K978">
        <f t="shared" ref="K978:K983" si="2971">SUMPRODUCT(($C$7:$C$18=$C978)*($D$6:$H$6=$D978)*($D$7:$H$18))</f>
        <v>1</v>
      </c>
      <c r="L978">
        <f t="shared" ref="L978:L983" si="2972">SUMPRODUCT(($C$19:$C$23=$D978)*($I$6:$O$6=$E978)*($I$19:$O$23))</f>
        <v>1</v>
      </c>
      <c r="M978">
        <f t="shared" ref="M978:M983" si="2973">SUMPRODUCT(($C$24:$C$30=$E978)*($P$6:$AI$6=$F978)*($P$24:$AI$30))</f>
        <v>1</v>
      </c>
      <c r="N978">
        <f t="shared" ref="N978:N983" si="2974">SUMPRODUCT(($C$31:$C$50=$F978)*($AJ$6:$AM$6=$G978)*($AJ$31:$AM$50))</f>
        <v>0</v>
      </c>
      <c r="O978">
        <f t="shared" ref="O978:O983" si="2975">K978+L978+M978+N978</f>
        <v>3</v>
      </c>
      <c r="P978" t="str">
        <f t="shared" ref="P978:P983" si="2976">CONCATENATE(C978,"-",J978)</f>
        <v>Small decentralized electrolysis-Marginal abatement cost</v>
      </c>
      <c r="Q978" t="str">
        <f t="shared" ref="Q978:Q983" si="2977">CONCATENATE(D978,"-",J978)</f>
        <v>Distributed gas storage-Marginal abatement cost</v>
      </c>
      <c r="R978" t="str">
        <f t="shared" ref="R978:R983" si="2978">CONCATENATE(E978,"-",J978)</f>
        <v>Onsite-Marginal abatement cost</v>
      </c>
      <c r="S978" t="str">
        <f t="shared" ref="S978:S983" si="2979">CONCATENATE(F978,"-",J978)</f>
        <v>Hydrogen turbine (CC)-Marginal abatement cost</v>
      </c>
      <c r="T978">
        <f>IFERROR(VLOOKUP($P978,'TA database'!$I$8:$J$79,2,FALSE),0)</f>
        <v>0</v>
      </c>
      <c r="U978">
        <f>IFERROR(VLOOKUP($Q978,'TA database'!$I$86:$J$105,2,FALSE),0)</f>
        <v>0</v>
      </c>
      <c r="V978">
        <f>IFERROR(VLOOKUP($R978,'TA database'!$I$112:$J$139,2,FALSE),0)</f>
        <v>0</v>
      </c>
      <c r="W978">
        <f>IFERROR(VLOOKUP($S978,'TA database'!$I$146:$J$193,2,FALSE),0)</f>
        <v>0</v>
      </c>
      <c r="X978">
        <f ca="1">IFERROR(VLOOKUP($S978,'TA database'!$I$200:$J$271,2,FALSE),0)</f>
        <v>-14.763904930875372</v>
      </c>
      <c r="Y978" s="59">
        <f t="shared" ref="Y978:Y983" ca="1" si="2980">IF($W978=0,T978+U978+V978+X978,T978+U978+V978+W978)</f>
        <v>-14.763904930875372</v>
      </c>
      <c r="Z978" t="str">
        <f t="shared" ref="Z978:Z983" si="2981">CONCATENATE(AG978,"   →   ",AH978,"   →   ",AI978,"   →   ",AJ978)</f>
        <v>ELCTRLYZ_SML_D   →   D_GAS_STRG   →   ONSITE_USE   →   H2_CCGT_PWR</v>
      </c>
      <c r="AA978" t="str">
        <f t="shared" ref="AA978:AA983" si="2982">G978</f>
        <v>Grid electricity</v>
      </c>
      <c r="AB978" t="str">
        <f t="shared" ref="AB978:AB983" si="2983">J978</f>
        <v>Marginal abatement cost</v>
      </c>
      <c r="AC978">
        <f t="shared" ref="AC978:AC983" ca="1" si="2984">Y978</f>
        <v>-14.763904930875372</v>
      </c>
      <c r="AD978">
        <v>919</v>
      </c>
      <c r="AE978" t="str">
        <f>IF(AND(ISNUMBER(SEARCH(O978,4)),ISNUMBER(SEARCH('(4) FCH pathway assessment'!$B$16,AB978)),ISNUMBER(SEARCH('(4) FCH pathway assessment'!$B$10,AA978))),AD978,"")</f>
        <v/>
      </c>
      <c r="AF978" t="str">
        <f t="shared" si="2942"/>
        <v/>
      </c>
      <c r="AG978" t="str">
        <f>VLOOKUP(C978,Assumptions!$B$116:$C$162,2,FALSE)</f>
        <v>ELCTRLYZ_SML_D</v>
      </c>
      <c r="AH978" t="str">
        <f>VLOOKUP(D978,Assumptions!$B$116:$C$162,2,FALSE)</f>
        <v>D_GAS_STRG</v>
      </c>
      <c r="AI978" t="str">
        <f>VLOOKUP(E978,Assumptions!$B$116:$C$162,2,FALSE)</f>
        <v>ONSITE_USE</v>
      </c>
      <c r="AJ978" t="str">
        <f>VLOOKUP(F978,Assumptions!$B$116:$C$162,2,FALSE)</f>
        <v>H2_CCGT_PWR</v>
      </c>
    </row>
    <row r="979" spans="2:36" x14ac:dyDescent="0.25">
      <c r="B979" t="s">
        <v>127</v>
      </c>
      <c r="C979" t="s">
        <v>57</v>
      </c>
      <c r="D979" t="s">
        <v>62</v>
      </c>
      <c r="E979" t="s">
        <v>157</v>
      </c>
      <c r="F979" t="s">
        <v>163</v>
      </c>
      <c r="G979" t="s">
        <v>114</v>
      </c>
      <c r="H979" t="s">
        <v>433</v>
      </c>
      <c r="I979" t="s">
        <v>32</v>
      </c>
      <c r="J979" t="s">
        <v>77</v>
      </c>
      <c r="K979">
        <f t="shared" si="2971"/>
        <v>1</v>
      </c>
      <c r="L979">
        <f t="shared" si="2972"/>
        <v>0</v>
      </c>
      <c r="M979">
        <f t="shared" si="2973"/>
        <v>0</v>
      </c>
      <c r="N979">
        <f t="shared" si="2974"/>
        <v>0</v>
      </c>
      <c r="O979">
        <f t="shared" si="2975"/>
        <v>1</v>
      </c>
      <c r="P979" t="str">
        <f t="shared" si="2976"/>
        <v>Large centralized natural gas steam reforming-Marginal abatement cost</v>
      </c>
      <c r="Q979" t="str">
        <f t="shared" si="2977"/>
        <v>Underground storage-Marginal abatement cost</v>
      </c>
      <c r="R979" t="str">
        <f t="shared" si="2978"/>
        <v>Blending in natural gas pipeline-Marginal abatement cost</v>
      </c>
      <c r="S979" t="str">
        <f t="shared" si="2979"/>
        <v>Hydrogen turbine (CC)-Marginal abatement cost</v>
      </c>
      <c r="T979">
        <f>IFERROR(VLOOKUP($P979,'TA database'!$I$8:$J$79,2,FALSE),0)</f>
        <v>0</v>
      </c>
      <c r="U979">
        <f>IFERROR(VLOOKUP($Q979,'TA database'!$I$86:$J$105,2,FALSE),0)</f>
        <v>0</v>
      </c>
      <c r="V979">
        <f>IFERROR(VLOOKUP($R979,'TA database'!$I$112:$J$139,2,FALSE),0)</f>
        <v>0</v>
      </c>
      <c r="W979">
        <f>IFERROR(VLOOKUP($S979,'TA database'!$I$146:$J$193,2,FALSE),0)</f>
        <v>0</v>
      </c>
      <c r="X979">
        <f ca="1">IFERROR(VLOOKUP($S979,'TA database'!$I$200:$J$271,2,FALSE),0)</f>
        <v>-14.763904930875372</v>
      </c>
      <c r="Y979" s="59">
        <f t="shared" ca="1" si="2980"/>
        <v>-14.763904930875372</v>
      </c>
      <c r="Z979" t="str">
        <f t="shared" si="2981"/>
        <v>NG_SR_LRG_C   →   C_UNDRGRND_STRG   →   H2_BLND_NG_P   →   H2_CCGT_PWR</v>
      </c>
      <c r="AA979" t="str">
        <f t="shared" si="2982"/>
        <v>Grid electricity</v>
      </c>
      <c r="AB979" t="str">
        <f t="shared" si="2983"/>
        <v>Marginal abatement cost</v>
      </c>
      <c r="AC979">
        <f t="shared" ca="1" si="2984"/>
        <v>-14.763904930875372</v>
      </c>
      <c r="AD979">
        <v>920</v>
      </c>
      <c r="AE979" t="str">
        <f>IF(AND(ISNUMBER(SEARCH(O979,4)),ISNUMBER(SEARCH('(4) FCH pathway assessment'!$B$16,AB979)),ISNUMBER(SEARCH('(4) FCH pathway assessment'!$B$10,AA979))),AD979,"")</f>
        <v/>
      </c>
      <c r="AF979" t="str">
        <f t="shared" si="2942"/>
        <v/>
      </c>
      <c r="AG979" t="str">
        <f>VLOOKUP(C979,Assumptions!$B$116:$C$162,2,FALSE)</f>
        <v>NG_SR_LRG_C</v>
      </c>
      <c r="AH979" t="str">
        <f>VLOOKUP(D979,Assumptions!$B$116:$C$162,2,FALSE)</f>
        <v>C_UNDRGRND_STRG</v>
      </c>
      <c r="AI979" t="str">
        <f>VLOOKUP(E979,Assumptions!$B$116:$C$162,2,FALSE)</f>
        <v>H2_BLND_NG_P</v>
      </c>
      <c r="AJ979" t="str">
        <f>VLOOKUP(F979,Assumptions!$B$116:$C$162,2,FALSE)</f>
        <v>H2_CCGT_PWR</v>
      </c>
    </row>
    <row r="980" spans="2:36" x14ac:dyDescent="0.25">
      <c r="B980" t="s">
        <v>127</v>
      </c>
      <c r="C980" t="s">
        <v>57</v>
      </c>
      <c r="D980" t="s">
        <v>62</v>
      </c>
      <c r="E980" t="s">
        <v>122</v>
      </c>
      <c r="F980" t="s">
        <v>163</v>
      </c>
      <c r="G980" t="s">
        <v>114</v>
      </c>
      <c r="H980" t="s">
        <v>433</v>
      </c>
      <c r="I980" t="s">
        <v>32</v>
      </c>
      <c r="J980" t="s">
        <v>77</v>
      </c>
      <c r="K980">
        <f t="shared" si="2971"/>
        <v>1</v>
      </c>
      <c r="L980">
        <f t="shared" si="2972"/>
        <v>0</v>
      </c>
      <c r="M980">
        <f t="shared" si="2973"/>
        <v>1</v>
      </c>
      <c r="N980">
        <f t="shared" si="2974"/>
        <v>0</v>
      </c>
      <c r="O980">
        <f t="shared" si="2975"/>
        <v>2</v>
      </c>
      <c r="P980" t="str">
        <f t="shared" si="2976"/>
        <v>Large centralized natural gas steam reforming-Marginal abatement cost</v>
      </c>
      <c r="Q980" t="str">
        <f t="shared" si="2977"/>
        <v>Underground storage-Marginal abatement cost</v>
      </c>
      <c r="R980" t="str">
        <f t="shared" si="2978"/>
        <v>Hydrogen transmission &amp; distribution pipeline-Marginal abatement cost</v>
      </c>
      <c r="S980" t="str">
        <f t="shared" si="2979"/>
        <v>Hydrogen turbine (CC)-Marginal abatement cost</v>
      </c>
      <c r="T980">
        <f>IFERROR(VLOOKUP($P980,'TA database'!$I$8:$J$79,2,FALSE),0)</f>
        <v>0</v>
      </c>
      <c r="U980">
        <f>IFERROR(VLOOKUP($Q980,'TA database'!$I$86:$J$105,2,FALSE),0)</f>
        <v>0</v>
      </c>
      <c r="V980">
        <f>IFERROR(VLOOKUP($R980,'TA database'!$I$112:$J$139,2,FALSE),0)</f>
        <v>0</v>
      </c>
      <c r="W980">
        <f>IFERROR(VLOOKUP($S980,'TA database'!$I$146:$J$193,2,FALSE),0)</f>
        <v>0</v>
      </c>
      <c r="X980">
        <f ca="1">IFERROR(VLOOKUP($S980,'TA database'!$I$200:$J$271,2,FALSE),0)</f>
        <v>-14.763904930875372</v>
      </c>
      <c r="Y980" s="59">
        <f t="shared" ca="1" si="2980"/>
        <v>-14.763904930875372</v>
      </c>
      <c r="Z980" t="str">
        <f t="shared" si="2981"/>
        <v>NG_SR_LRG_C   →   C_UNDRGRND_STRG   →   H2_T&amp;D_P   →   H2_CCGT_PWR</v>
      </c>
      <c r="AA980" t="str">
        <f t="shared" si="2982"/>
        <v>Grid electricity</v>
      </c>
      <c r="AB980" t="str">
        <f t="shared" si="2983"/>
        <v>Marginal abatement cost</v>
      </c>
      <c r="AC980">
        <f t="shared" ca="1" si="2984"/>
        <v>-14.763904930875372</v>
      </c>
      <c r="AD980">
        <v>921</v>
      </c>
      <c r="AE980" t="str">
        <f>IF(AND(ISNUMBER(SEARCH(O980,4)),ISNUMBER(SEARCH('(4) FCH pathway assessment'!$B$16,AB980)),ISNUMBER(SEARCH('(4) FCH pathway assessment'!$B$10,AA980))),AD980,"")</f>
        <v/>
      </c>
      <c r="AF980" t="str">
        <f t="shared" si="2942"/>
        <v/>
      </c>
      <c r="AG980" t="str">
        <f>VLOOKUP(C980,Assumptions!$B$116:$C$162,2,FALSE)</f>
        <v>NG_SR_LRG_C</v>
      </c>
      <c r="AH980" t="str">
        <f>VLOOKUP(D980,Assumptions!$B$116:$C$162,2,FALSE)</f>
        <v>C_UNDRGRND_STRG</v>
      </c>
      <c r="AI980" t="str">
        <f>VLOOKUP(E980,Assumptions!$B$116:$C$162,2,FALSE)</f>
        <v>H2_T&amp;D_P</v>
      </c>
      <c r="AJ980" t="str">
        <f>VLOOKUP(F980,Assumptions!$B$116:$C$162,2,FALSE)</f>
        <v>H2_CCGT_PWR</v>
      </c>
    </row>
    <row r="981" spans="2:36" x14ac:dyDescent="0.25">
      <c r="B981" t="s">
        <v>127</v>
      </c>
      <c r="C981" t="s">
        <v>57</v>
      </c>
      <c r="D981" t="s">
        <v>62</v>
      </c>
      <c r="E981" t="s">
        <v>116</v>
      </c>
      <c r="F981" t="s">
        <v>163</v>
      </c>
      <c r="G981" t="s">
        <v>114</v>
      </c>
      <c r="H981" t="s">
        <v>433</v>
      </c>
      <c r="I981" t="s">
        <v>32</v>
      </c>
      <c r="J981" t="s">
        <v>77</v>
      </c>
      <c r="K981">
        <f t="shared" si="2971"/>
        <v>1</v>
      </c>
      <c r="L981">
        <f t="shared" si="2972"/>
        <v>0</v>
      </c>
      <c r="M981">
        <f t="shared" si="2973"/>
        <v>1</v>
      </c>
      <c r="N981">
        <f t="shared" si="2974"/>
        <v>0</v>
      </c>
      <c r="O981">
        <f t="shared" si="2975"/>
        <v>2</v>
      </c>
      <c r="P981" t="str">
        <f t="shared" si="2976"/>
        <v>Large centralized natural gas steam reforming-Marginal abatement cost</v>
      </c>
      <c r="Q981" t="str">
        <f t="shared" si="2977"/>
        <v>Underground storage-Marginal abatement cost</v>
      </c>
      <c r="R981" t="str">
        <f t="shared" si="2978"/>
        <v>Liquid hydrogen truck-Marginal abatement cost</v>
      </c>
      <c r="S981" t="str">
        <f t="shared" si="2979"/>
        <v>Hydrogen turbine (CC)-Marginal abatement cost</v>
      </c>
      <c r="T981">
        <f>IFERROR(VLOOKUP($P981,'TA database'!$I$8:$J$79,2,FALSE),0)</f>
        <v>0</v>
      </c>
      <c r="U981">
        <f>IFERROR(VLOOKUP($Q981,'TA database'!$I$86:$J$105,2,FALSE),0)</f>
        <v>0</v>
      </c>
      <c r="V981">
        <f>IFERROR(VLOOKUP($R981,'TA database'!$I$112:$J$139,2,FALSE),0)</f>
        <v>0</v>
      </c>
      <c r="W981">
        <f>IFERROR(VLOOKUP($S981,'TA database'!$I$146:$J$193,2,FALSE),0)</f>
        <v>0</v>
      </c>
      <c r="X981">
        <f ca="1">IFERROR(VLOOKUP($S981,'TA database'!$I$200:$J$271,2,FALSE),0)</f>
        <v>-14.763904930875372</v>
      </c>
      <c r="Y981" s="59">
        <f t="shared" ca="1" si="2980"/>
        <v>-14.763904930875372</v>
      </c>
      <c r="Z981" t="str">
        <f t="shared" si="2981"/>
        <v>NG_SR_LRG_C   →   C_UNDRGRND_STRG   →   LQ_TRUCK   →   H2_CCGT_PWR</v>
      </c>
      <c r="AA981" t="str">
        <f t="shared" si="2982"/>
        <v>Grid electricity</v>
      </c>
      <c r="AB981" t="str">
        <f t="shared" si="2983"/>
        <v>Marginal abatement cost</v>
      </c>
      <c r="AC981">
        <f t="shared" ca="1" si="2984"/>
        <v>-14.763904930875372</v>
      </c>
      <c r="AD981">
        <v>922</v>
      </c>
      <c r="AE981" t="str">
        <f>IF(AND(ISNUMBER(SEARCH(O981,4)),ISNUMBER(SEARCH('(4) FCH pathway assessment'!$B$16,AB981)),ISNUMBER(SEARCH('(4) FCH pathway assessment'!$B$10,AA981))),AD981,"")</f>
        <v/>
      </c>
      <c r="AF981" t="str">
        <f t="shared" si="2942"/>
        <v/>
      </c>
      <c r="AG981" t="str">
        <f>VLOOKUP(C981,Assumptions!$B$116:$C$162,2,FALSE)</f>
        <v>NG_SR_LRG_C</v>
      </c>
      <c r="AH981" t="str">
        <f>VLOOKUP(D981,Assumptions!$B$116:$C$162,2,FALSE)</f>
        <v>C_UNDRGRND_STRG</v>
      </c>
      <c r="AI981" t="str">
        <f>VLOOKUP(E981,Assumptions!$B$116:$C$162,2,FALSE)</f>
        <v>LQ_TRUCK</v>
      </c>
      <c r="AJ981" t="str">
        <f>VLOOKUP(F981,Assumptions!$B$116:$C$162,2,FALSE)</f>
        <v>H2_CCGT_PWR</v>
      </c>
    </row>
    <row r="982" spans="2:36" x14ac:dyDescent="0.25">
      <c r="B982" t="s">
        <v>127</v>
      </c>
      <c r="C982" t="s">
        <v>57</v>
      </c>
      <c r="D982" t="s">
        <v>62</v>
      </c>
      <c r="E982" t="s">
        <v>66</v>
      </c>
      <c r="F982" t="s">
        <v>163</v>
      </c>
      <c r="G982" t="s">
        <v>114</v>
      </c>
      <c r="H982" t="s">
        <v>433</v>
      </c>
      <c r="I982" t="s">
        <v>32</v>
      </c>
      <c r="J982" t="s">
        <v>77</v>
      </c>
      <c r="K982">
        <f t="shared" si="2971"/>
        <v>1</v>
      </c>
      <c r="L982">
        <f t="shared" si="2972"/>
        <v>0</v>
      </c>
      <c r="M982">
        <f t="shared" si="2973"/>
        <v>1</v>
      </c>
      <c r="N982">
        <f t="shared" si="2974"/>
        <v>0</v>
      </c>
      <c r="O982">
        <f t="shared" si="2975"/>
        <v>2</v>
      </c>
      <c r="P982" t="str">
        <f t="shared" si="2976"/>
        <v>Large centralized natural gas steam reforming-Marginal abatement cost</v>
      </c>
      <c r="Q982" t="str">
        <f t="shared" si="2977"/>
        <v>Underground storage-Marginal abatement cost</v>
      </c>
      <c r="R982" t="str">
        <f t="shared" si="2978"/>
        <v>Onsite-Marginal abatement cost</v>
      </c>
      <c r="S982" t="str">
        <f t="shared" si="2979"/>
        <v>Hydrogen turbine (CC)-Marginal abatement cost</v>
      </c>
      <c r="T982">
        <f>IFERROR(VLOOKUP($P982,'TA database'!$I$8:$J$79,2,FALSE),0)</f>
        <v>0</v>
      </c>
      <c r="U982">
        <f>IFERROR(VLOOKUP($Q982,'TA database'!$I$86:$J$105,2,FALSE),0)</f>
        <v>0</v>
      </c>
      <c r="V982">
        <f>IFERROR(VLOOKUP($R982,'TA database'!$I$112:$J$139,2,FALSE),0)</f>
        <v>0</v>
      </c>
      <c r="W982">
        <f>IFERROR(VLOOKUP($S982,'TA database'!$I$146:$J$193,2,FALSE),0)</f>
        <v>0</v>
      </c>
      <c r="X982">
        <f ca="1">IFERROR(VLOOKUP($S982,'TA database'!$I$200:$J$271,2,FALSE),0)</f>
        <v>-14.763904930875372</v>
      </c>
      <c r="Y982" s="59">
        <f t="shared" ca="1" si="2980"/>
        <v>-14.763904930875372</v>
      </c>
      <c r="Z982" t="str">
        <f t="shared" si="2981"/>
        <v>NG_SR_LRG_C   →   C_UNDRGRND_STRG   →   ONSITE_USE   →   H2_CCGT_PWR</v>
      </c>
      <c r="AA982" t="str">
        <f t="shared" si="2982"/>
        <v>Grid electricity</v>
      </c>
      <c r="AB982" t="str">
        <f t="shared" si="2983"/>
        <v>Marginal abatement cost</v>
      </c>
      <c r="AC982">
        <f t="shared" ca="1" si="2984"/>
        <v>-14.763904930875372</v>
      </c>
      <c r="AD982">
        <v>923</v>
      </c>
      <c r="AE982" t="str">
        <f>IF(AND(ISNUMBER(SEARCH(O982,4)),ISNUMBER(SEARCH('(4) FCH pathway assessment'!$B$16,AB982)),ISNUMBER(SEARCH('(4) FCH pathway assessment'!$B$10,AA982))),AD982,"")</f>
        <v/>
      </c>
      <c r="AF982" t="str">
        <f t="shared" si="2942"/>
        <v/>
      </c>
      <c r="AG982" t="str">
        <f>VLOOKUP(C982,Assumptions!$B$116:$C$162,2,FALSE)</f>
        <v>NG_SR_LRG_C</v>
      </c>
      <c r="AH982" t="str">
        <f>VLOOKUP(D982,Assumptions!$B$116:$C$162,2,FALSE)</f>
        <v>C_UNDRGRND_STRG</v>
      </c>
      <c r="AI982" t="str">
        <f>VLOOKUP(E982,Assumptions!$B$116:$C$162,2,FALSE)</f>
        <v>ONSITE_USE</v>
      </c>
      <c r="AJ982" t="str">
        <f>VLOOKUP(F982,Assumptions!$B$116:$C$162,2,FALSE)</f>
        <v>H2_CCGT_PWR</v>
      </c>
    </row>
    <row r="983" spans="2:36" x14ac:dyDescent="0.25">
      <c r="B983" t="s">
        <v>127</v>
      </c>
      <c r="C983" t="s">
        <v>57</v>
      </c>
      <c r="D983" s="61" t="s">
        <v>63</v>
      </c>
      <c r="E983" t="s">
        <v>122</v>
      </c>
      <c r="F983" t="s">
        <v>163</v>
      </c>
      <c r="G983" t="s">
        <v>114</v>
      </c>
      <c r="H983" t="s">
        <v>433</v>
      </c>
      <c r="I983" t="s">
        <v>32</v>
      </c>
      <c r="J983" t="s">
        <v>77</v>
      </c>
      <c r="K983">
        <f t="shared" si="2971"/>
        <v>1</v>
      </c>
      <c r="L983">
        <f t="shared" si="2972"/>
        <v>1</v>
      </c>
      <c r="M983">
        <f t="shared" si="2973"/>
        <v>1</v>
      </c>
      <c r="N983">
        <f t="shared" si="2974"/>
        <v>0</v>
      </c>
      <c r="O983">
        <f t="shared" si="2975"/>
        <v>3</v>
      </c>
      <c r="P983" t="str">
        <f t="shared" si="2976"/>
        <v>Large centralized natural gas steam reforming-Marginal abatement cost</v>
      </c>
      <c r="Q983" t="str">
        <f t="shared" si="2977"/>
        <v>No storage-Marginal abatement cost</v>
      </c>
      <c r="R983" t="str">
        <f t="shared" si="2978"/>
        <v>Hydrogen transmission &amp; distribution pipeline-Marginal abatement cost</v>
      </c>
      <c r="S983" t="str">
        <f t="shared" si="2979"/>
        <v>Hydrogen turbine (CC)-Marginal abatement cost</v>
      </c>
      <c r="T983">
        <f>IFERROR(VLOOKUP($P983,'TA database'!$I$8:$J$79,2,FALSE),0)</f>
        <v>0</v>
      </c>
      <c r="U983">
        <f>IFERROR(VLOOKUP($Q983,'TA database'!$I$86:$J$105,2,FALSE),0)</f>
        <v>0</v>
      </c>
      <c r="V983">
        <f>IFERROR(VLOOKUP($R983,'TA database'!$I$112:$J$139,2,FALSE),0)</f>
        <v>0</v>
      </c>
      <c r="W983">
        <f>IFERROR(VLOOKUP($S983,'TA database'!$I$146:$J$193,2,FALSE),0)</f>
        <v>0</v>
      </c>
      <c r="X983">
        <f ca="1">IFERROR(VLOOKUP($S983,'TA database'!$I$200:$J$271,2,FALSE),0)</f>
        <v>-14.763904930875372</v>
      </c>
      <c r="Y983" s="59">
        <f t="shared" ca="1" si="2980"/>
        <v>-14.763904930875372</v>
      </c>
      <c r="Z983" t="str">
        <f t="shared" si="2981"/>
        <v>NG_SR_LRG_C   →   NO_STRG   →   H2_T&amp;D_P   →   H2_CCGT_PWR</v>
      </c>
      <c r="AA983" t="str">
        <f t="shared" si="2982"/>
        <v>Grid electricity</v>
      </c>
      <c r="AB983" t="str">
        <f t="shared" si="2983"/>
        <v>Marginal abatement cost</v>
      </c>
      <c r="AC983">
        <f t="shared" ca="1" si="2984"/>
        <v>-14.763904930875372</v>
      </c>
      <c r="AD983">
        <v>924</v>
      </c>
      <c r="AE983" t="str">
        <f>IF(AND(ISNUMBER(SEARCH(O983,4)),ISNUMBER(SEARCH('(4) FCH pathway assessment'!$B$16,AB983)),ISNUMBER(SEARCH('(4) FCH pathway assessment'!$B$10,AA983))),AD983,"")</f>
        <v/>
      </c>
      <c r="AF983" t="str">
        <f t="shared" si="2942"/>
        <v/>
      </c>
      <c r="AG983" t="str">
        <f>VLOOKUP(C983,Assumptions!$B$116:$C$162,2,FALSE)</f>
        <v>NG_SR_LRG_C</v>
      </c>
      <c r="AH983" t="str">
        <f>VLOOKUP(D983,Assumptions!$B$116:$C$162,2,FALSE)</f>
        <v>NO_STRG</v>
      </c>
      <c r="AI983" t="str">
        <f>VLOOKUP(E983,Assumptions!$B$116:$C$162,2,FALSE)</f>
        <v>H2_T&amp;D_P</v>
      </c>
      <c r="AJ983" t="str">
        <f>VLOOKUP(F983,Assumptions!$B$116:$C$162,2,FALSE)</f>
        <v>H2_CCGT_PWR</v>
      </c>
    </row>
    <row r="984" spans="2:36" x14ac:dyDescent="0.25">
      <c r="B984" t="s">
        <v>127</v>
      </c>
      <c r="C984" t="s">
        <v>58</v>
      </c>
      <c r="D984" t="s">
        <v>155</v>
      </c>
      <c r="E984" t="s">
        <v>157</v>
      </c>
      <c r="F984" t="s">
        <v>163</v>
      </c>
      <c r="G984" t="s">
        <v>114</v>
      </c>
      <c r="H984" t="s">
        <v>433</v>
      </c>
      <c r="I984" t="s">
        <v>32</v>
      </c>
      <c r="J984" t="s">
        <v>77</v>
      </c>
      <c r="K984">
        <f t="shared" ref="K984:K988" si="2985">SUMPRODUCT(($C$7:$C$18=$C984)*($D$6:$H$6=$D984)*($D$7:$H$18))</f>
        <v>1</v>
      </c>
      <c r="L984">
        <f t="shared" ref="L984:L988" si="2986">SUMPRODUCT(($C$19:$C$23=$D984)*($I$6:$O$6=$E984)*($I$19:$O$23))</f>
        <v>1</v>
      </c>
      <c r="M984">
        <f t="shared" ref="M984:M988" si="2987">SUMPRODUCT(($C$24:$C$30=$E984)*($P$6:$AI$6=$F984)*($P$24:$AI$30))</f>
        <v>0</v>
      </c>
      <c r="N984">
        <f t="shared" ref="N984:N988" si="2988">SUMPRODUCT(($C$31:$C$50=$F984)*($AJ$6:$AM$6=$G984)*($AJ$31:$AM$50))</f>
        <v>0</v>
      </c>
      <c r="O984">
        <f t="shared" ref="O984:O988" si="2989">K984+L984+M984+N984</f>
        <v>2</v>
      </c>
      <c r="P984" t="str">
        <f t="shared" ref="P984:P988" si="2990">CONCATENATE(C984,"-",J984)</f>
        <v>Small centralized natural gas steam reforming-Marginal abatement cost</v>
      </c>
      <c r="Q984" t="str">
        <f t="shared" ref="Q984:Q988" si="2991">CONCATENATE(D984,"-",J984)</f>
        <v>Central gas storage-Marginal abatement cost</v>
      </c>
      <c r="R984" t="str">
        <f t="shared" ref="R984:R988" si="2992">CONCATENATE(E984,"-",J984)</f>
        <v>Blending in natural gas pipeline-Marginal abatement cost</v>
      </c>
      <c r="S984" t="str">
        <f t="shared" ref="S984:S988" si="2993">CONCATENATE(F984,"-",J984)</f>
        <v>Hydrogen turbine (CC)-Marginal abatement cost</v>
      </c>
      <c r="T984">
        <f>IFERROR(VLOOKUP($P984,'TA database'!$I$8:$J$79,2,FALSE),0)</f>
        <v>0</v>
      </c>
      <c r="U984">
        <f>IFERROR(VLOOKUP($Q984,'TA database'!$I$86:$J$105,2,FALSE),0)</f>
        <v>0</v>
      </c>
      <c r="V984">
        <f>IFERROR(VLOOKUP($R984,'TA database'!$I$112:$J$139,2,FALSE),0)</f>
        <v>0</v>
      </c>
      <c r="W984">
        <f>IFERROR(VLOOKUP($S984,'TA database'!$I$146:$J$193,2,FALSE),0)</f>
        <v>0</v>
      </c>
      <c r="X984">
        <f ca="1">IFERROR(VLOOKUP($S984,'TA database'!$I$200:$J$271,2,FALSE),0)</f>
        <v>-14.763904930875372</v>
      </c>
      <c r="Y984" s="59">
        <f t="shared" ref="Y984:Y988" ca="1" si="2994">IF($W984=0,T984+U984+V984+X984,T984+U984+V984+W984)</f>
        <v>-14.763904930875372</v>
      </c>
      <c r="Z984" t="str">
        <f t="shared" ref="Z984:Z988" si="2995">CONCATENATE(AG984,"   →   ",AH984,"   →   ",AI984,"   →   ",AJ984)</f>
        <v>NG_SR_SML_C   →   C_GAS_STRG   →   H2_BLND_NG_P   →   H2_CCGT_PWR</v>
      </c>
      <c r="AA984" t="str">
        <f t="shared" ref="AA984:AA988" si="2996">G984</f>
        <v>Grid electricity</v>
      </c>
      <c r="AB984" t="str">
        <f t="shared" ref="AB984:AB988" si="2997">J984</f>
        <v>Marginal abatement cost</v>
      </c>
      <c r="AC984">
        <f t="shared" ref="AC984:AC988" ca="1" si="2998">Y984</f>
        <v>-14.763904930875372</v>
      </c>
      <c r="AD984">
        <v>925</v>
      </c>
      <c r="AE984" t="str">
        <f>IF(AND(ISNUMBER(SEARCH(O984,4)),ISNUMBER(SEARCH('(4) FCH pathway assessment'!$B$16,AB984)),ISNUMBER(SEARCH('(4) FCH pathway assessment'!$B$10,AA984))),AD984,"")</f>
        <v/>
      </c>
      <c r="AF984" t="str">
        <f t="shared" si="2942"/>
        <v/>
      </c>
      <c r="AG984" t="str">
        <f>VLOOKUP(C984,Assumptions!$B$116:$C$162,2,FALSE)</f>
        <v>NG_SR_SML_C</v>
      </c>
      <c r="AH984" t="str">
        <f>VLOOKUP(D984,Assumptions!$B$116:$C$162,2,FALSE)</f>
        <v>C_GAS_STRG</v>
      </c>
      <c r="AI984" t="str">
        <f>VLOOKUP(E984,Assumptions!$B$116:$C$162,2,FALSE)</f>
        <v>H2_BLND_NG_P</v>
      </c>
      <c r="AJ984" t="str">
        <f>VLOOKUP(F984,Assumptions!$B$116:$C$162,2,FALSE)</f>
        <v>H2_CCGT_PWR</v>
      </c>
    </row>
    <row r="985" spans="2:36" x14ac:dyDescent="0.25">
      <c r="B985" t="s">
        <v>127</v>
      </c>
      <c r="C985" t="s">
        <v>58</v>
      </c>
      <c r="D985" t="s">
        <v>155</v>
      </c>
      <c r="E985" t="s">
        <v>122</v>
      </c>
      <c r="F985" t="s">
        <v>163</v>
      </c>
      <c r="G985" t="s">
        <v>114</v>
      </c>
      <c r="H985" t="s">
        <v>433</v>
      </c>
      <c r="I985" t="s">
        <v>32</v>
      </c>
      <c r="J985" t="s">
        <v>77</v>
      </c>
      <c r="K985">
        <f t="shared" si="2985"/>
        <v>1</v>
      </c>
      <c r="L985">
        <f t="shared" si="2986"/>
        <v>1</v>
      </c>
      <c r="M985">
        <f t="shared" si="2987"/>
        <v>1</v>
      </c>
      <c r="N985">
        <f t="shared" si="2988"/>
        <v>0</v>
      </c>
      <c r="O985">
        <f t="shared" si="2989"/>
        <v>3</v>
      </c>
      <c r="P985" t="str">
        <f t="shared" si="2990"/>
        <v>Small centralized natural gas steam reforming-Marginal abatement cost</v>
      </c>
      <c r="Q985" t="str">
        <f t="shared" si="2991"/>
        <v>Central gas storage-Marginal abatement cost</v>
      </c>
      <c r="R985" t="str">
        <f t="shared" si="2992"/>
        <v>Hydrogen transmission &amp; distribution pipeline-Marginal abatement cost</v>
      </c>
      <c r="S985" t="str">
        <f t="shared" si="2993"/>
        <v>Hydrogen turbine (CC)-Marginal abatement cost</v>
      </c>
      <c r="T985">
        <f>IFERROR(VLOOKUP($P985,'TA database'!$I$8:$J$79,2,FALSE),0)</f>
        <v>0</v>
      </c>
      <c r="U985">
        <f>IFERROR(VLOOKUP($Q985,'TA database'!$I$86:$J$105,2,FALSE),0)</f>
        <v>0</v>
      </c>
      <c r="V985">
        <f>IFERROR(VLOOKUP($R985,'TA database'!$I$112:$J$139,2,FALSE),0)</f>
        <v>0</v>
      </c>
      <c r="W985">
        <f>IFERROR(VLOOKUP($S985,'TA database'!$I$146:$J$193,2,FALSE),0)</f>
        <v>0</v>
      </c>
      <c r="X985">
        <f ca="1">IFERROR(VLOOKUP($S985,'TA database'!$I$200:$J$271,2,FALSE),0)</f>
        <v>-14.763904930875372</v>
      </c>
      <c r="Y985" s="59">
        <f t="shared" ca="1" si="2994"/>
        <v>-14.763904930875372</v>
      </c>
      <c r="Z985" t="str">
        <f t="shared" si="2995"/>
        <v>NG_SR_SML_C   →   C_GAS_STRG   →   H2_T&amp;D_P   →   H2_CCGT_PWR</v>
      </c>
      <c r="AA985" t="str">
        <f t="shared" si="2996"/>
        <v>Grid electricity</v>
      </c>
      <c r="AB985" t="str">
        <f t="shared" si="2997"/>
        <v>Marginal abatement cost</v>
      </c>
      <c r="AC985">
        <f t="shared" ca="1" si="2998"/>
        <v>-14.763904930875372</v>
      </c>
      <c r="AD985">
        <v>926</v>
      </c>
      <c r="AE985" t="str">
        <f>IF(AND(ISNUMBER(SEARCH(O985,4)),ISNUMBER(SEARCH('(4) FCH pathway assessment'!$B$16,AB985)),ISNUMBER(SEARCH('(4) FCH pathway assessment'!$B$10,AA985))),AD985,"")</f>
        <v/>
      </c>
      <c r="AF985" t="str">
        <f t="shared" si="2942"/>
        <v/>
      </c>
      <c r="AG985" t="str">
        <f>VLOOKUP(C985,Assumptions!$B$116:$C$162,2,FALSE)</f>
        <v>NG_SR_SML_C</v>
      </c>
      <c r="AH985" t="str">
        <f>VLOOKUP(D985,Assumptions!$B$116:$C$162,2,FALSE)</f>
        <v>C_GAS_STRG</v>
      </c>
      <c r="AI985" t="str">
        <f>VLOOKUP(E985,Assumptions!$B$116:$C$162,2,FALSE)</f>
        <v>H2_T&amp;D_P</v>
      </c>
      <c r="AJ985" t="str">
        <f>VLOOKUP(F985,Assumptions!$B$116:$C$162,2,FALSE)</f>
        <v>H2_CCGT_PWR</v>
      </c>
    </row>
    <row r="986" spans="2:36" x14ac:dyDescent="0.25">
      <c r="B986" t="s">
        <v>127</v>
      </c>
      <c r="C986" t="s">
        <v>58</v>
      </c>
      <c r="D986" t="s">
        <v>155</v>
      </c>
      <c r="E986" t="s">
        <v>116</v>
      </c>
      <c r="F986" t="s">
        <v>163</v>
      </c>
      <c r="G986" t="s">
        <v>114</v>
      </c>
      <c r="H986" t="s">
        <v>433</v>
      </c>
      <c r="I986" t="s">
        <v>32</v>
      </c>
      <c r="J986" t="s">
        <v>77</v>
      </c>
      <c r="K986">
        <f t="shared" si="2985"/>
        <v>1</v>
      </c>
      <c r="L986">
        <f t="shared" si="2986"/>
        <v>1</v>
      </c>
      <c r="M986">
        <f t="shared" si="2987"/>
        <v>1</v>
      </c>
      <c r="N986">
        <f t="shared" si="2988"/>
        <v>0</v>
      </c>
      <c r="O986">
        <f t="shared" si="2989"/>
        <v>3</v>
      </c>
      <c r="P986" t="str">
        <f t="shared" si="2990"/>
        <v>Small centralized natural gas steam reforming-Marginal abatement cost</v>
      </c>
      <c r="Q986" t="str">
        <f t="shared" si="2991"/>
        <v>Central gas storage-Marginal abatement cost</v>
      </c>
      <c r="R986" t="str">
        <f t="shared" si="2992"/>
        <v>Liquid hydrogen truck-Marginal abatement cost</v>
      </c>
      <c r="S986" t="str">
        <f t="shared" si="2993"/>
        <v>Hydrogen turbine (CC)-Marginal abatement cost</v>
      </c>
      <c r="T986">
        <f>IFERROR(VLOOKUP($P986,'TA database'!$I$8:$J$79,2,FALSE),0)</f>
        <v>0</v>
      </c>
      <c r="U986">
        <f>IFERROR(VLOOKUP($Q986,'TA database'!$I$86:$J$105,2,FALSE),0)</f>
        <v>0</v>
      </c>
      <c r="V986">
        <f>IFERROR(VLOOKUP($R986,'TA database'!$I$112:$J$139,2,FALSE),0)</f>
        <v>0</v>
      </c>
      <c r="W986">
        <f>IFERROR(VLOOKUP($S986,'TA database'!$I$146:$J$193,2,FALSE),0)</f>
        <v>0</v>
      </c>
      <c r="X986">
        <f ca="1">IFERROR(VLOOKUP($S986,'TA database'!$I$200:$J$271,2,FALSE),0)</f>
        <v>-14.763904930875372</v>
      </c>
      <c r="Y986" s="59">
        <f t="shared" ca="1" si="2994"/>
        <v>-14.763904930875372</v>
      </c>
      <c r="Z986" t="str">
        <f t="shared" si="2995"/>
        <v>NG_SR_SML_C   →   C_GAS_STRG   →   LQ_TRUCK   →   H2_CCGT_PWR</v>
      </c>
      <c r="AA986" t="str">
        <f t="shared" si="2996"/>
        <v>Grid electricity</v>
      </c>
      <c r="AB986" t="str">
        <f t="shared" si="2997"/>
        <v>Marginal abatement cost</v>
      </c>
      <c r="AC986">
        <f t="shared" ca="1" si="2998"/>
        <v>-14.763904930875372</v>
      </c>
      <c r="AD986">
        <v>927</v>
      </c>
      <c r="AE986" t="str">
        <f>IF(AND(ISNUMBER(SEARCH(O986,4)),ISNUMBER(SEARCH('(4) FCH pathway assessment'!$B$16,AB986)),ISNUMBER(SEARCH('(4) FCH pathway assessment'!$B$10,AA986))),AD986,"")</f>
        <v/>
      </c>
      <c r="AF986" t="str">
        <f t="shared" si="2942"/>
        <v/>
      </c>
      <c r="AG986" t="str">
        <f>VLOOKUP(C986,Assumptions!$B$116:$C$162,2,FALSE)</f>
        <v>NG_SR_SML_C</v>
      </c>
      <c r="AH986" t="str">
        <f>VLOOKUP(D986,Assumptions!$B$116:$C$162,2,FALSE)</f>
        <v>C_GAS_STRG</v>
      </c>
      <c r="AI986" t="str">
        <f>VLOOKUP(E986,Assumptions!$B$116:$C$162,2,FALSE)</f>
        <v>LQ_TRUCK</v>
      </c>
      <c r="AJ986" t="str">
        <f>VLOOKUP(F986,Assumptions!$B$116:$C$162,2,FALSE)</f>
        <v>H2_CCGT_PWR</v>
      </c>
    </row>
    <row r="987" spans="2:36" x14ac:dyDescent="0.25">
      <c r="B987" t="s">
        <v>127</v>
      </c>
      <c r="C987" t="s">
        <v>58</v>
      </c>
      <c r="D987" t="s">
        <v>155</v>
      </c>
      <c r="E987" t="s">
        <v>66</v>
      </c>
      <c r="F987" t="s">
        <v>163</v>
      </c>
      <c r="G987" t="s">
        <v>114</v>
      </c>
      <c r="H987" t="s">
        <v>433</v>
      </c>
      <c r="I987" t="s">
        <v>32</v>
      </c>
      <c r="J987" t="s">
        <v>77</v>
      </c>
      <c r="K987">
        <f t="shared" si="2985"/>
        <v>1</v>
      </c>
      <c r="L987">
        <f t="shared" si="2986"/>
        <v>1</v>
      </c>
      <c r="M987">
        <f t="shared" si="2987"/>
        <v>1</v>
      </c>
      <c r="N987">
        <f t="shared" si="2988"/>
        <v>0</v>
      </c>
      <c r="O987">
        <f t="shared" si="2989"/>
        <v>3</v>
      </c>
      <c r="P987" t="str">
        <f t="shared" si="2990"/>
        <v>Small centralized natural gas steam reforming-Marginal abatement cost</v>
      </c>
      <c r="Q987" t="str">
        <f t="shared" si="2991"/>
        <v>Central gas storage-Marginal abatement cost</v>
      </c>
      <c r="R987" t="str">
        <f t="shared" si="2992"/>
        <v>Onsite-Marginal abatement cost</v>
      </c>
      <c r="S987" t="str">
        <f t="shared" si="2993"/>
        <v>Hydrogen turbine (CC)-Marginal abatement cost</v>
      </c>
      <c r="T987">
        <f>IFERROR(VLOOKUP($P987,'TA database'!$I$8:$J$79,2,FALSE),0)</f>
        <v>0</v>
      </c>
      <c r="U987">
        <f>IFERROR(VLOOKUP($Q987,'TA database'!$I$86:$J$105,2,FALSE),0)</f>
        <v>0</v>
      </c>
      <c r="V987">
        <f>IFERROR(VLOOKUP($R987,'TA database'!$I$112:$J$139,2,FALSE),0)</f>
        <v>0</v>
      </c>
      <c r="W987">
        <f>IFERROR(VLOOKUP($S987,'TA database'!$I$146:$J$193,2,FALSE),0)</f>
        <v>0</v>
      </c>
      <c r="X987">
        <f ca="1">IFERROR(VLOOKUP($S987,'TA database'!$I$200:$J$271,2,FALSE),0)</f>
        <v>-14.763904930875372</v>
      </c>
      <c r="Y987" s="59">
        <f t="shared" ca="1" si="2994"/>
        <v>-14.763904930875372</v>
      </c>
      <c r="Z987" t="str">
        <f t="shared" si="2995"/>
        <v>NG_SR_SML_C   →   C_GAS_STRG   →   ONSITE_USE   →   H2_CCGT_PWR</v>
      </c>
      <c r="AA987" t="str">
        <f t="shared" si="2996"/>
        <v>Grid electricity</v>
      </c>
      <c r="AB987" t="str">
        <f t="shared" si="2997"/>
        <v>Marginal abatement cost</v>
      </c>
      <c r="AC987">
        <f t="shared" ca="1" si="2998"/>
        <v>-14.763904930875372</v>
      </c>
      <c r="AD987">
        <v>928</v>
      </c>
      <c r="AE987" t="str">
        <f>IF(AND(ISNUMBER(SEARCH(O987,4)),ISNUMBER(SEARCH('(4) FCH pathway assessment'!$B$16,AB987)),ISNUMBER(SEARCH('(4) FCH pathway assessment'!$B$10,AA987))),AD987,"")</f>
        <v/>
      </c>
      <c r="AF987" t="str">
        <f t="shared" si="2942"/>
        <v/>
      </c>
      <c r="AG987" t="str">
        <f>VLOOKUP(C987,Assumptions!$B$116:$C$162,2,FALSE)</f>
        <v>NG_SR_SML_C</v>
      </c>
      <c r="AH987" t="str">
        <f>VLOOKUP(D987,Assumptions!$B$116:$C$162,2,FALSE)</f>
        <v>C_GAS_STRG</v>
      </c>
      <c r="AI987" t="str">
        <f>VLOOKUP(E987,Assumptions!$B$116:$C$162,2,FALSE)</f>
        <v>ONSITE_USE</v>
      </c>
      <c r="AJ987" t="str">
        <f>VLOOKUP(F987,Assumptions!$B$116:$C$162,2,FALSE)</f>
        <v>H2_CCGT_PWR</v>
      </c>
    </row>
    <row r="988" spans="2:36" x14ac:dyDescent="0.25">
      <c r="B988" t="s">
        <v>127</v>
      </c>
      <c r="C988" t="s">
        <v>59</v>
      </c>
      <c r="D988" s="60" t="s">
        <v>130</v>
      </c>
      <c r="E988" t="s">
        <v>66</v>
      </c>
      <c r="F988" t="s">
        <v>163</v>
      </c>
      <c r="G988" t="s">
        <v>114</v>
      </c>
      <c r="H988" t="s">
        <v>433</v>
      </c>
      <c r="I988" t="s">
        <v>32</v>
      </c>
      <c r="J988" t="s">
        <v>77</v>
      </c>
      <c r="K988">
        <f t="shared" si="2985"/>
        <v>1</v>
      </c>
      <c r="L988">
        <f t="shared" si="2986"/>
        <v>1</v>
      </c>
      <c r="M988">
        <f t="shared" si="2987"/>
        <v>1</v>
      </c>
      <c r="N988">
        <f t="shared" si="2988"/>
        <v>0</v>
      </c>
      <c r="O988">
        <f t="shared" si="2989"/>
        <v>3</v>
      </c>
      <c r="P988" t="str">
        <f t="shared" si="2990"/>
        <v>Medium decentralized natural gas steam reforming-Marginal abatement cost</v>
      </c>
      <c r="Q988" t="str">
        <f t="shared" si="2991"/>
        <v>Distributed gas storage-Marginal abatement cost</v>
      </c>
      <c r="R988" t="str">
        <f t="shared" si="2992"/>
        <v>Onsite-Marginal abatement cost</v>
      </c>
      <c r="S988" t="str">
        <f t="shared" si="2993"/>
        <v>Hydrogen turbine (CC)-Marginal abatement cost</v>
      </c>
      <c r="T988">
        <f>IFERROR(VLOOKUP($P988,'TA database'!$I$8:$J$79,2,FALSE),0)</f>
        <v>0</v>
      </c>
      <c r="U988">
        <f>IFERROR(VLOOKUP($Q988,'TA database'!$I$86:$J$105,2,FALSE),0)</f>
        <v>0</v>
      </c>
      <c r="V988">
        <f>IFERROR(VLOOKUP($R988,'TA database'!$I$112:$J$139,2,FALSE),0)</f>
        <v>0</v>
      </c>
      <c r="W988">
        <f>IFERROR(VLOOKUP($S988,'TA database'!$I$146:$J$193,2,FALSE),0)</f>
        <v>0</v>
      </c>
      <c r="X988">
        <f ca="1">IFERROR(VLOOKUP($S988,'TA database'!$I$200:$J$271,2,FALSE),0)</f>
        <v>-14.763904930875372</v>
      </c>
      <c r="Y988" s="59">
        <f t="shared" ca="1" si="2994"/>
        <v>-14.763904930875372</v>
      </c>
      <c r="Z988" t="str">
        <f t="shared" si="2995"/>
        <v>NG_SR_MED_D   →   D_GAS_STRG   →   ONSITE_USE   →   H2_CCGT_PWR</v>
      </c>
      <c r="AA988" t="str">
        <f t="shared" si="2996"/>
        <v>Grid electricity</v>
      </c>
      <c r="AB988" t="str">
        <f t="shared" si="2997"/>
        <v>Marginal abatement cost</v>
      </c>
      <c r="AC988">
        <f t="shared" ca="1" si="2998"/>
        <v>-14.763904930875372</v>
      </c>
      <c r="AD988">
        <v>929</v>
      </c>
      <c r="AE988" t="str">
        <f>IF(AND(ISNUMBER(SEARCH(O988,4)),ISNUMBER(SEARCH('(4) FCH pathway assessment'!$B$16,AB988)),ISNUMBER(SEARCH('(4) FCH pathway assessment'!$B$10,AA988))),AD988,"")</f>
        <v/>
      </c>
      <c r="AF988" t="str">
        <f t="shared" si="2942"/>
        <v/>
      </c>
      <c r="AG988" t="str">
        <f>VLOOKUP(C988,Assumptions!$B$116:$C$162,2,FALSE)</f>
        <v>NG_SR_MED_D</v>
      </c>
      <c r="AH988" t="str">
        <f>VLOOKUP(D988,Assumptions!$B$116:$C$162,2,FALSE)</f>
        <v>D_GAS_STRG</v>
      </c>
      <c r="AI988" t="str">
        <f>VLOOKUP(E988,Assumptions!$B$116:$C$162,2,FALSE)</f>
        <v>ONSITE_USE</v>
      </c>
      <c r="AJ988" t="str">
        <f>VLOOKUP(F988,Assumptions!$B$116:$C$162,2,FALSE)</f>
        <v>H2_CCGT_PWR</v>
      </c>
    </row>
    <row r="989" spans="2:36" x14ac:dyDescent="0.25">
      <c r="B989" t="s">
        <v>127</v>
      </c>
      <c r="C989" t="s">
        <v>60</v>
      </c>
      <c r="D989" s="60" t="s">
        <v>130</v>
      </c>
      <c r="E989" t="s">
        <v>66</v>
      </c>
      <c r="F989" t="s">
        <v>163</v>
      </c>
      <c r="G989" t="s">
        <v>114</v>
      </c>
      <c r="H989" t="s">
        <v>433</v>
      </c>
      <c r="I989" t="s">
        <v>32</v>
      </c>
      <c r="J989" t="s">
        <v>77</v>
      </c>
      <c r="K989">
        <f t="shared" ref="K989" si="2999">SUMPRODUCT(($C$7:$C$18=$C989)*($D$6:$H$6=$D989)*($D$7:$H$18))</f>
        <v>1</v>
      </c>
      <c r="L989">
        <f t="shared" ref="L989" si="3000">SUMPRODUCT(($C$19:$C$23=$D989)*($I$6:$O$6=$E989)*($I$19:$O$23))</f>
        <v>1</v>
      </c>
      <c r="M989">
        <f t="shared" ref="M989" si="3001">SUMPRODUCT(($C$24:$C$30=$E989)*($P$6:$AI$6=$F989)*($P$24:$AI$30))</f>
        <v>1</v>
      </c>
      <c r="N989">
        <f t="shared" ref="N989" si="3002">SUMPRODUCT(($C$31:$C$50=$F989)*($AJ$6:$AM$6=$G989)*($AJ$31:$AM$50))</f>
        <v>0</v>
      </c>
      <c r="O989">
        <f t="shared" ref="O989" si="3003">K989+L989+M989+N989</f>
        <v>3</v>
      </c>
      <c r="P989" t="str">
        <f t="shared" ref="P989" si="3004">CONCATENATE(C989,"-",J989)</f>
        <v>Small decentralized natural gas steam reforming-Marginal abatement cost</v>
      </c>
      <c r="Q989" t="str">
        <f t="shared" ref="Q989" si="3005">CONCATENATE(D989,"-",J989)</f>
        <v>Distributed gas storage-Marginal abatement cost</v>
      </c>
      <c r="R989" t="str">
        <f t="shared" ref="R989" si="3006">CONCATENATE(E989,"-",J989)</f>
        <v>Onsite-Marginal abatement cost</v>
      </c>
      <c r="S989" t="str">
        <f t="shared" ref="S989" si="3007">CONCATENATE(F989,"-",J989)</f>
        <v>Hydrogen turbine (CC)-Marginal abatement cost</v>
      </c>
      <c r="T989">
        <f>IFERROR(VLOOKUP($P989,'TA database'!$I$8:$J$79,2,FALSE),0)</f>
        <v>0</v>
      </c>
      <c r="U989">
        <f>IFERROR(VLOOKUP($Q989,'TA database'!$I$86:$J$105,2,FALSE),0)</f>
        <v>0</v>
      </c>
      <c r="V989">
        <f>IFERROR(VLOOKUP($R989,'TA database'!$I$112:$J$139,2,FALSE),0)</f>
        <v>0</v>
      </c>
      <c r="W989">
        <f>IFERROR(VLOOKUP($S989,'TA database'!$I$146:$J$193,2,FALSE),0)</f>
        <v>0</v>
      </c>
      <c r="X989">
        <f ca="1">IFERROR(VLOOKUP($S989,'TA database'!$I$200:$J$271,2,FALSE),0)</f>
        <v>-14.763904930875372</v>
      </c>
      <c r="Y989" s="59">
        <f t="shared" ref="Y989" ca="1" si="3008">IF($W989=0,T989+U989+V989+X989,T989+U989+V989+W989)</f>
        <v>-14.763904930875372</v>
      </c>
      <c r="Z989" t="str">
        <f t="shared" ref="Z989" si="3009">CONCATENATE(AG989,"   →   ",AH989,"   →   ",AI989,"   →   ",AJ989)</f>
        <v>NG_SR_SML_D   →   D_GAS_STRG   →   ONSITE_USE   →   H2_CCGT_PWR</v>
      </c>
      <c r="AA989" t="str">
        <f t="shared" ref="AA989" si="3010">G989</f>
        <v>Grid electricity</v>
      </c>
      <c r="AB989" t="str">
        <f t="shared" ref="AB989" si="3011">J989</f>
        <v>Marginal abatement cost</v>
      </c>
      <c r="AC989">
        <f t="shared" ref="AC989" ca="1" si="3012">Y989</f>
        <v>-14.763904930875372</v>
      </c>
      <c r="AD989">
        <v>930</v>
      </c>
      <c r="AE989" t="str">
        <f>IF(AND(ISNUMBER(SEARCH(O989,4)),ISNUMBER(SEARCH('(4) FCH pathway assessment'!$B$16,AB989)),ISNUMBER(SEARCH('(4) FCH pathway assessment'!$B$10,AA989))),AD989,"")</f>
        <v/>
      </c>
      <c r="AF989" t="str">
        <f t="shared" si="2942"/>
        <v/>
      </c>
      <c r="AG989" t="str">
        <f>VLOOKUP(C989,Assumptions!$B$116:$C$162,2,FALSE)</f>
        <v>NG_SR_SML_D</v>
      </c>
      <c r="AH989" t="str">
        <f>VLOOKUP(D989,Assumptions!$B$116:$C$162,2,FALSE)</f>
        <v>D_GAS_STRG</v>
      </c>
      <c r="AI989" t="str">
        <f>VLOOKUP(E989,Assumptions!$B$116:$C$162,2,FALSE)</f>
        <v>ONSITE_USE</v>
      </c>
      <c r="AJ989" t="str">
        <f>VLOOKUP(F989,Assumptions!$B$116:$C$162,2,FALSE)</f>
        <v>H2_CCGT_PWR</v>
      </c>
    </row>
    <row r="990" spans="2:36" x14ac:dyDescent="0.25">
      <c r="B990" t="s">
        <v>117</v>
      </c>
      <c r="C990" t="s">
        <v>53</v>
      </c>
      <c r="D990" t="s">
        <v>155</v>
      </c>
      <c r="E990" t="s">
        <v>157</v>
      </c>
      <c r="F990" t="s">
        <v>162</v>
      </c>
      <c r="G990" t="s">
        <v>114</v>
      </c>
      <c r="H990" t="s">
        <v>433</v>
      </c>
      <c r="I990" t="s">
        <v>32</v>
      </c>
      <c r="J990" t="s">
        <v>77</v>
      </c>
      <c r="K990">
        <f t="shared" ref="K990:K997" si="3013">SUMPRODUCT(($C$7:$C$18=$C990)*($D$6:$H$6=$D990)*($D$7:$H$18))</f>
        <v>0</v>
      </c>
      <c r="L990">
        <f t="shared" ref="L990:L997" si="3014">SUMPRODUCT(($C$19:$C$23=$D990)*($I$6:$O$6=$E990)*($I$19:$O$23))</f>
        <v>1</v>
      </c>
      <c r="M990">
        <f t="shared" ref="M990:M997" si="3015">SUMPRODUCT(($C$24:$C$30=$E990)*($P$6:$AI$6=$F990)*($P$24:$AI$30))</f>
        <v>0</v>
      </c>
      <c r="N990">
        <f t="shared" ref="N990:N997" si="3016">SUMPRODUCT(($C$31:$C$50=$F990)*($AJ$6:$AM$6=$G990)*($AJ$31:$AM$50))</f>
        <v>0</v>
      </c>
      <c r="O990">
        <f t="shared" ref="O990:O997" si="3017">K990+L990+M990+N990</f>
        <v>1</v>
      </c>
      <c r="P990" t="str">
        <f t="shared" ref="P990:P997" si="3018">CONCATENATE(C990,"-",J990)</f>
        <v>Medium centralized biomass gasification-Marginal abatement cost</v>
      </c>
      <c r="Q990" t="str">
        <f t="shared" ref="Q990:Q997" si="3019">CONCATENATE(D990,"-",J990)</f>
        <v>Central gas storage-Marginal abatement cost</v>
      </c>
      <c r="R990" t="str">
        <f t="shared" ref="R990:R997" si="3020">CONCATENATE(E990,"-",J990)</f>
        <v>Blending in natural gas pipeline-Marginal abatement cost</v>
      </c>
      <c r="S990" t="str">
        <f t="shared" ref="S990:S997" si="3021">CONCATENATE(F990,"-",J990)</f>
        <v>Hydrogen turbine (OC)-Marginal abatement cost</v>
      </c>
      <c r="T990">
        <f>IFERROR(VLOOKUP($P990,'TA database'!$I$8:$J$79,2,FALSE),0)</f>
        <v>0</v>
      </c>
      <c r="U990">
        <f>IFERROR(VLOOKUP($Q990,'TA database'!$I$86:$J$105,2,FALSE),0)</f>
        <v>0</v>
      </c>
      <c r="V990">
        <f>IFERROR(VLOOKUP($R990,'TA database'!$I$112:$J$139,2,FALSE),0)</f>
        <v>0</v>
      </c>
      <c r="W990">
        <f>IFERROR(VLOOKUP($S990,'TA database'!$I$146:$J$193,2,FALSE),0)</f>
        <v>0</v>
      </c>
      <c r="X990">
        <f ca="1">IFERROR(VLOOKUP($S990,'TA database'!$I$200:$J$271,2,FALSE),0)</f>
        <v>-3.6295604090846156</v>
      </c>
      <c r="Y990" s="59">
        <f t="shared" ref="Y990:Y997" ca="1" si="3022">IF($W990=0,T990+U990+V990+X990,T990+U990+V990+W990)</f>
        <v>-3.6295604090846156</v>
      </c>
      <c r="Z990" t="str">
        <f t="shared" ref="Z990:Z997" si="3023">CONCATENATE(AG990,"   →   ",AH990,"   →   ",AI990,"   →   ",AJ990)</f>
        <v>BIO_GSF_MED_C   →   C_GAS_STRG   →   H2_BLND_NG_P   →   H2_OCGT_PWR</v>
      </c>
      <c r="AA990" t="str">
        <f t="shared" ref="AA990:AA997" si="3024">G990</f>
        <v>Grid electricity</v>
      </c>
      <c r="AB990" t="str">
        <f t="shared" ref="AB990:AB997" si="3025">J990</f>
        <v>Marginal abatement cost</v>
      </c>
      <c r="AC990">
        <f t="shared" ref="AC990:AC997" ca="1" si="3026">Y990</f>
        <v>-3.6295604090846156</v>
      </c>
      <c r="AD990">
        <v>931</v>
      </c>
      <c r="AE990" t="str">
        <f>IF(AND(ISNUMBER(SEARCH(O990,4)),ISNUMBER(SEARCH('(4) FCH pathway assessment'!$B$16,AB990)),ISNUMBER(SEARCH('(4) FCH pathway assessment'!$B$10,AA990))),AD990,"")</f>
        <v/>
      </c>
      <c r="AF990" t="str">
        <f t="shared" si="2942"/>
        <v/>
      </c>
      <c r="AG990" t="str">
        <f>VLOOKUP(C990,Assumptions!$B$116:$C$162,2,FALSE)</f>
        <v>BIO_GSF_MED_C</v>
      </c>
      <c r="AH990" t="str">
        <f>VLOOKUP(D990,Assumptions!$B$116:$C$162,2,FALSE)</f>
        <v>C_GAS_STRG</v>
      </c>
      <c r="AI990" t="str">
        <f>VLOOKUP(E990,Assumptions!$B$116:$C$162,2,FALSE)</f>
        <v>H2_BLND_NG_P</v>
      </c>
      <c r="AJ990" t="str">
        <f>VLOOKUP(F990,Assumptions!$B$116:$C$162,2,FALSE)</f>
        <v>H2_OCGT_PWR</v>
      </c>
    </row>
    <row r="991" spans="2:36" x14ac:dyDescent="0.25">
      <c r="B991" t="s">
        <v>117</v>
      </c>
      <c r="C991" t="s">
        <v>53</v>
      </c>
      <c r="D991" t="s">
        <v>155</v>
      </c>
      <c r="E991" t="s">
        <v>122</v>
      </c>
      <c r="F991" t="s">
        <v>162</v>
      </c>
      <c r="G991" t="s">
        <v>114</v>
      </c>
      <c r="H991" t="s">
        <v>433</v>
      </c>
      <c r="I991" t="s">
        <v>32</v>
      </c>
      <c r="J991" t="s">
        <v>77</v>
      </c>
      <c r="K991">
        <f t="shared" si="3013"/>
        <v>0</v>
      </c>
      <c r="L991">
        <f t="shared" si="3014"/>
        <v>1</v>
      </c>
      <c r="M991">
        <f t="shared" si="3015"/>
        <v>1</v>
      </c>
      <c r="N991">
        <f t="shared" si="3016"/>
        <v>0</v>
      </c>
      <c r="O991">
        <f t="shared" si="3017"/>
        <v>2</v>
      </c>
      <c r="P991" t="str">
        <f t="shared" si="3018"/>
        <v>Medium centralized biomass gasification-Marginal abatement cost</v>
      </c>
      <c r="Q991" t="str">
        <f t="shared" si="3019"/>
        <v>Central gas storage-Marginal abatement cost</v>
      </c>
      <c r="R991" t="str">
        <f t="shared" si="3020"/>
        <v>Hydrogen transmission &amp; distribution pipeline-Marginal abatement cost</v>
      </c>
      <c r="S991" t="str">
        <f t="shared" si="3021"/>
        <v>Hydrogen turbine (OC)-Marginal abatement cost</v>
      </c>
      <c r="T991">
        <f>IFERROR(VLOOKUP($P991,'TA database'!$I$8:$J$79,2,FALSE),0)</f>
        <v>0</v>
      </c>
      <c r="U991">
        <f>IFERROR(VLOOKUP($Q991,'TA database'!$I$86:$J$105,2,FALSE),0)</f>
        <v>0</v>
      </c>
      <c r="V991">
        <f>IFERROR(VLOOKUP($R991,'TA database'!$I$112:$J$139,2,FALSE),0)</f>
        <v>0</v>
      </c>
      <c r="W991">
        <f>IFERROR(VLOOKUP($S991,'TA database'!$I$146:$J$193,2,FALSE),0)</f>
        <v>0</v>
      </c>
      <c r="X991">
        <f ca="1">IFERROR(VLOOKUP($S991,'TA database'!$I$200:$J$271,2,FALSE),0)</f>
        <v>-3.6295604090846156</v>
      </c>
      <c r="Y991" s="59">
        <f t="shared" ca="1" si="3022"/>
        <v>-3.6295604090846156</v>
      </c>
      <c r="Z991" t="str">
        <f t="shared" si="3023"/>
        <v>BIO_GSF_MED_C   →   C_GAS_STRG   →   H2_T&amp;D_P   →   H2_OCGT_PWR</v>
      </c>
      <c r="AA991" t="str">
        <f t="shared" si="3024"/>
        <v>Grid electricity</v>
      </c>
      <c r="AB991" t="str">
        <f t="shared" si="3025"/>
        <v>Marginal abatement cost</v>
      </c>
      <c r="AC991">
        <f t="shared" ca="1" si="3026"/>
        <v>-3.6295604090846156</v>
      </c>
      <c r="AD991">
        <v>932</v>
      </c>
      <c r="AE991" t="str">
        <f>IF(AND(ISNUMBER(SEARCH(O991,4)),ISNUMBER(SEARCH('(4) FCH pathway assessment'!$B$16,AB991)),ISNUMBER(SEARCH('(4) FCH pathway assessment'!$B$10,AA991))),AD991,"")</f>
        <v/>
      </c>
      <c r="AF991" t="str">
        <f t="shared" si="2942"/>
        <v/>
      </c>
      <c r="AG991" t="str">
        <f>VLOOKUP(C991,Assumptions!$B$116:$C$162,2,FALSE)</f>
        <v>BIO_GSF_MED_C</v>
      </c>
      <c r="AH991" t="str">
        <f>VLOOKUP(D991,Assumptions!$B$116:$C$162,2,FALSE)</f>
        <v>C_GAS_STRG</v>
      </c>
      <c r="AI991" t="str">
        <f>VLOOKUP(E991,Assumptions!$B$116:$C$162,2,FALSE)</f>
        <v>H2_T&amp;D_P</v>
      </c>
      <c r="AJ991" t="str">
        <f>VLOOKUP(F991,Assumptions!$B$116:$C$162,2,FALSE)</f>
        <v>H2_OCGT_PWR</v>
      </c>
    </row>
    <row r="992" spans="2:36" x14ac:dyDescent="0.25">
      <c r="B992" t="s">
        <v>117</v>
      </c>
      <c r="C992" t="s">
        <v>53</v>
      </c>
      <c r="D992" t="s">
        <v>155</v>
      </c>
      <c r="E992" t="s">
        <v>116</v>
      </c>
      <c r="F992" t="s">
        <v>162</v>
      </c>
      <c r="G992" t="s">
        <v>114</v>
      </c>
      <c r="H992" t="s">
        <v>433</v>
      </c>
      <c r="I992" t="s">
        <v>32</v>
      </c>
      <c r="J992" t="s">
        <v>77</v>
      </c>
      <c r="K992">
        <f t="shared" si="3013"/>
        <v>0</v>
      </c>
      <c r="L992">
        <f t="shared" si="3014"/>
        <v>1</v>
      </c>
      <c r="M992">
        <f t="shared" si="3015"/>
        <v>1</v>
      </c>
      <c r="N992">
        <f t="shared" si="3016"/>
        <v>0</v>
      </c>
      <c r="O992">
        <f t="shared" si="3017"/>
        <v>2</v>
      </c>
      <c r="P992" t="str">
        <f t="shared" si="3018"/>
        <v>Medium centralized biomass gasification-Marginal abatement cost</v>
      </c>
      <c r="Q992" t="str">
        <f t="shared" si="3019"/>
        <v>Central gas storage-Marginal abatement cost</v>
      </c>
      <c r="R992" t="str">
        <f t="shared" si="3020"/>
        <v>Liquid hydrogen truck-Marginal abatement cost</v>
      </c>
      <c r="S992" t="str">
        <f t="shared" si="3021"/>
        <v>Hydrogen turbine (OC)-Marginal abatement cost</v>
      </c>
      <c r="T992">
        <f>IFERROR(VLOOKUP($P992,'TA database'!$I$8:$J$79,2,FALSE),0)</f>
        <v>0</v>
      </c>
      <c r="U992">
        <f>IFERROR(VLOOKUP($Q992,'TA database'!$I$86:$J$105,2,FALSE),0)</f>
        <v>0</v>
      </c>
      <c r="V992">
        <f>IFERROR(VLOOKUP($R992,'TA database'!$I$112:$J$139,2,FALSE),0)</f>
        <v>0</v>
      </c>
      <c r="W992">
        <f>IFERROR(VLOOKUP($S992,'TA database'!$I$146:$J$193,2,FALSE),0)</f>
        <v>0</v>
      </c>
      <c r="X992">
        <f ca="1">IFERROR(VLOOKUP($S992,'TA database'!$I$200:$J$271,2,FALSE),0)</f>
        <v>-3.6295604090846156</v>
      </c>
      <c r="Y992" s="59">
        <f t="shared" ca="1" si="3022"/>
        <v>-3.6295604090846156</v>
      </c>
      <c r="Z992" t="str">
        <f t="shared" si="3023"/>
        <v>BIO_GSF_MED_C   →   C_GAS_STRG   →   LQ_TRUCK   →   H2_OCGT_PWR</v>
      </c>
      <c r="AA992" t="str">
        <f t="shared" si="3024"/>
        <v>Grid electricity</v>
      </c>
      <c r="AB992" t="str">
        <f t="shared" si="3025"/>
        <v>Marginal abatement cost</v>
      </c>
      <c r="AC992">
        <f t="shared" ca="1" si="3026"/>
        <v>-3.6295604090846156</v>
      </c>
      <c r="AD992">
        <v>933</v>
      </c>
      <c r="AE992" t="str">
        <f>IF(AND(ISNUMBER(SEARCH(O992,4)),ISNUMBER(SEARCH('(4) FCH pathway assessment'!$B$16,AB992)),ISNUMBER(SEARCH('(4) FCH pathway assessment'!$B$10,AA992))),AD992,"")</f>
        <v/>
      </c>
      <c r="AF992" t="str">
        <f t="shared" si="2942"/>
        <v/>
      </c>
      <c r="AG992" t="str">
        <f>VLOOKUP(C992,Assumptions!$B$116:$C$162,2,FALSE)</f>
        <v>BIO_GSF_MED_C</v>
      </c>
      <c r="AH992" t="str">
        <f>VLOOKUP(D992,Assumptions!$B$116:$C$162,2,FALSE)</f>
        <v>C_GAS_STRG</v>
      </c>
      <c r="AI992" t="str">
        <f>VLOOKUP(E992,Assumptions!$B$116:$C$162,2,FALSE)</f>
        <v>LQ_TRUCK</v>
      </c>
      <c r="AJ992" t="str">
        <f>VLOOKUP(F992,Assumptions!$B$116:$C$162,2,FALSE)</f>
        <v>H2_OCGT_PWR</v>
      </c>
    </row>
    <row r="993" spans="2:36" x14ac:dyDescent="0.25">
      <c r="B993" t="s">
        <v>117</v>
      </c>
      <c r="C993" t="s">
        <v>53</v>
      </c>
      <c r="D993" t="s">
        <v>155</v>
      </c>
      <c r="E993" t="s">
        <v>66</v>
      </c>
      <c r="F993" t="s">
        <v>162</v>
      </c>
      <c r="G993" t="s">
        <v>114</v>
      </c>
      <c r="H993" t="s">
        <v>433</v>
      </c>
      <c r="I993" t="s">
        <v>32</v>
      </c>
      <c r="J993" t="s">
        <v>77</v>
      </c>
      <c r="K993">
        <f t="shared" si="3013"/>
        <v>0</v>
      </c>
      <c r="L993">
        <f t="shared" si="3014"/>
        <v>1</v>
      </c>
      <c r="M993">
        <f t="shared" si="3015"/>
        <v>1</v>
      </c>
      <c r="N993">
        <f t="shared" si="3016"/>
        <v>0</v>
      </c>
      <c r="O993">
        <f t="shared" si="3017"/>
        <v>2</v>
      </c>
      <c r="P993" t="str">
        <f t="shared" si="3018"/>
        <v>Medium centralized biomass gasification-Marginal abatement cost</v>
      </c>
      <c r="Q993" t="str">
        <f t="shared" si="3019"/>
        <v>Central gas storage-Marginal abatement cost</v>
      </c>
      <c r="R993" t="str">
        <f t="shared" si="3020"/>
        <v>Onsite-Marginal abatement cost</v>
      </c>
      <c r="S993" t="str">
        <f t="shared" si="3021"/>
        <v>Hydrogen turbine (OC)-Marginal abatement cost</v>
      </c>
      <c r="T993">
        <f>IFERROR(VLOOKUP($P993,'TA database'!$I$8:$J$79,2,FALSE),0)</f>
        <v>0</v>
      </c>
      <c r="U993">
        <f>IFERROR(VLOOKUP($Q993,'TA database'!$I$86:$J$105,2,FALSE),0)</f>
        <v>0</v>
      </c>
      <c r="V993">
        <f>IFERROR(VLOOKUP($R993,'TA database'!$I$112:$J$139,2,FALSE),0)</f>
        <v>0</v>
      </c>
      <c r="W993">
        <f>IFERROR(VLOOKUP($S993,'TA database'!$I$146:$J$193,2,FALSE),0)</f>
        <v>0</v>
      </c>
      <c r="X993">
        <f ca="1">IFERROR(VLOOKUP($S993,'TA database'!$I$200:$J$271,2,FALSE),0)</f>
        <v>-3.6295604090846156</v>
      </c>
      <c r="Y993" s="59">
        <f t="shared" ca="1" si="3022"/>
        <v>-3.6295604090846156</v>
      </c>
      <c r="Z993" t="str">
        <f t="shared" si="3023"/>
        <v>BIO_GSF_MED_C   →   C_GAS_STRG   →   ONSITE_USE   →   H2_OCGT_PWR</v>
      </c>
      <c r="AA993" t="str">
        <f t="shared" si="3024"/>
        <v>Grid electricity</v>
      </c>
      <c r="AB993" t="str">
        <f t="shared" si="3025"/>
        <v>Marginal abatement cost</v>
      </c>
      <c r="AC993">
        <f t="shared" ca="1" si="3026"/>
        <v>-3.6295604090846156</v>
      </c>
      <c r="AD993">
        <v>934</v>
      </c>
      <c r="AE993" t="str">
        <f>IF(AND(ISNUMBER(SEARCH(O993,4)),ISNUMBER(SEARCH('(4) FCH pathway assessment'!$B$16,AB993)),ISNUMBER(SEARCH('(4) FCH pathway assessment'!$B$10,AA993))),AD993,"")</f>
        <v/>
      </c>
      <c r="AF993" t="str">
        <f t="shared" si="2942"/>
        <v/>
      </c>
      <c r="AG993" t="str">
        <f>VLOOKUP(C993,Assumptions!$B$116:$C$162,2,FALSE)</f>
        <v>BIO_GSF_MED_C</v>
      </c>
      <c r="AH993" t="str">
        <f>VLOOKUP(D993,Assumptions!$B$116:$C$162,2,FALSE)</f>
        <v>C_GAS_STRG</v>
      </c>
      <c r="AI993" t="str">
        <f>VLOOKUP(E993,Assumptions!$B$116:$C$162,2,FALSE)</f>
        <v>ONSITE_USE</v>
      </c>
      <c r="AJ993" t="str">
        <f>VLOOKUP(F993,Assumptions!$B$116:$C$162,2,FALSE)</f>
        <v>H2_OCGT_PWR</v>
      </c>
    </row>
    <row r="994" spans="2:36" x14ac:dyDescent="0.25">
      <c r="B994" t="s">
        <v>117</v>
      </c>
      <c r="C994" t="s">
        <v>54</v>
      </c>
      <c r="D994" t="s">
        <v>155</v>
      </c>
      <c r="E994" t="s">
        <v>157</v>
      </c>
      <c r="F994" t="s">
        <v>162</v>
      </c>
      <c r="G994" t="s">
        <v>114</v>
      </c>
      <c r="H994" t="s">
        <v>433</v>
      </c>
      <c r="I994" t="s">
        <v>32</v>
      </c>
      <c r="J994" t="s">
        <v>77</v>
      </c>
      <c r="K994">
        <f t="shared" si="3013"/>
        <v>0</v>
      </c>
      <c r="L994">
        <f t="shared" si="3014"/>
        <v>1</v>
      </c>
      <c r="M994">
        <f t="shared" si="3015"/>
        <v>0</v>
      </c>
      <c r="N994">
        <f t="shared" si="3016"/>
        <v>0</v>
      </c>
      <c r="O994">
        <f t="shared" si="3017"/>
        <v>1</v>
      </c>
      <c r="P994" t="str">
        <f t="shared" si="3018"/>
        <v>Medium centralized biomass gasification w/ CCS-Marginal abatement cost</v>
      </c>
      <c r="Q994" t="str">
        <f t="shared" si="3019"/>
        <v>Central gas storage-Marginal abatement cost</v>
      </c>
      <c r="R994" t="str">
        <f t="shared" si="3020"/>
        <v>Blending in natural gas pipeline-Marginal abatement cost</v>
      </c>
      <c r="S994" t="str">
        <f t="shared" si="3021"/>
        <v>Hydrogen turbine (OC)-Marginal abatement cost</v>
      </c>
      <c r="T994">
        <f>IFERROR(VLOOKUP($P994,'TA database'!$I$8:$J$79,2,FALSE),0)</f>
        <v>0</v>
      </c>
      <c r="U994">
        <f>IFERROR(VLOOKUP($Q994,'TA database'!$I$86:$J$105,2,FALSE),0)</f>
        <v>0</v>
      </c>
      <c r="V994">
        <f>IFERROR(VLOOKUP($R994,'TA database'!$I$112:$J$139,2,FALSE),0)</f>
        <v>0</v>
      </c>
      <c r="W994">
        <f>IFERROR(VLOOKUP($S994,'TA database'!$I$146:$J$193,2,FALSE),0)</f>
        <v>0</v>
      </c>
      <c r="X994">
        <f ca="1">IFERROR(VLOOKUP($S994,'TA database'!$I$200:$J$271,2,FALSE),0)</f>
        <v>-3.6295604090846156</v>
      </c>
      <c r="Y994" s="59">
        <f t="shared" ca="1" si="3022"/>
        <v>-3.6295604090846156</v>
      </c>
      <c r="Z994" t="str">
        <f t="shared" si="3023"/>
        <v>BIO_GSF_CCS_MED_C   →   C_GAS_STRG   →   H2_BLND_NG_P   →   H2_OCGT_PWR</v>
      </c>
      <c r="AA994" t="str">
        <f t="shared" si="3024"/>
        <v>Grid electricity</v>
      </c>
      <c r="AB994" t="str">
        <f t="shared" si="3025"/>
        <v>Marginal abatement cost</v>
      </c>
      <c r="AC994">
        <f t="shared" ca="1" si="3026"/>
        <v>-3.6295604090846156</v>
      </c>
      <c r="AD994">
        <v>935</v>
      </c>
      <c r="AE994" t="str">
        <f>IF(AND(ISNUMBER(SEARCH(O994,4)),ISNUMBER(SEARCH('(4) FCH pathway assessment'!$B$16,AB994)),ISNUMBER(SEARCH('(4) FCH pathway assessment'!$B$10,AA994))),AD994,"")</f>
        <v/>
      </c>
      <c r="AF994" t="str">
        <f t="shared" si="2942"/>
        <v/>
      </c>
      <c r="AG994" t="str">
        <f>VLOOKUP(C994,Assumptions!$B$116:$C$162,2,FALSE)</f>
        <v>BIO_GSF_CCS_MED_C</v>
      </c>
      <c r="AH994" t="str">
        <f>VLOOKUP(D994,Assumptions!$B$116:$C$162,2,FALSE)</f>
        <v>C_GAS_STRG</v>
      </c>
      <c r="AI994" t="str">
        <f>VLOOKUP(E994,Assumptions!$B$116:$C$162,2,FALSE)</f>
        <v>H2_BLND_NG_P</v>
      </c>
      <c r="AJ994" t="str">
        <f>VLOOKUP(F994,Assumptions!$B$116:$C$162,2,FALSE)</f>
        <v>H2_OCGT_PWR</v>
      </c>
    </row>
    <row r="995" spans="2:36" x14ac:dyDescent="0.25">
      <c r="B995" t="s">
        <v>117</v>
      </c>
      <c r="C995" t="s">
        <v>54</v>
      </c>
      <c r="D995" t="s">
        <v>155</v>
      </c>
      <c r="E995" t="s">
        <v>122</v>
      </c>
      <c r="F995" t="s">
        <v>162</v>
      </c>
      <c r="G995" t="s">
        <v>114</v>
      </c>
      <c r="H995" t="s">
        <v>433</v>
      </c>
      <c r="I995" t="s">
        <v>32</v>
      </c>
      <c r="J995" t="s">
        <v>77</v>
      </c>
      <c r="K995">
        <f t="shared" si="3013"/>
        <v>0</v>
      </c>
      <c r="L995">
        <f t="shared" si="3014"/>
        <v>1</v>
      </c>
      <c r="M995">
        <f t="shared" si="3015"/>
        <v>1</v>
      </c>
      <c r="N995">
        <f t="shared" si="3016"/>
        <v>0</v>
      </c>
      <c r="O995">
        <f t="shared" si="3017"/>
        <v>2</v>
      </c>
      <c r="P995" t="str">
        <f t="shared" si="3018"/>
        <v>Medium centralized biomass gasification w/ CCS-Marginal abatement cost</v>
      </c>
      <c r="Q995" t="str">
        <f t="shared" si="3019"/>
        <v>Central gas storage-Marginal abatement cost</v>
      </c>
      <c r="R995" t="str">
        <f t="shared" si="3020"/>
        <v>Hydrogen transmission &amp; distribution pipeline-Marginal abatement cost</v>
      </c>
      <c r="S995" t="str">
        <f t="shared" si="3021"/>
        <v>Hydrogen turbine (OC)-Marginal abatement cost</v>
      </c>
      <c r="T995">
        <f>IFERROR(VLOOKUP($P995,'TA database'!$I$8:$J$79,2,FALSE),0)</f>
        <v>0</v>
      </c>
      <c r="U995">
        <f>IFERROR(VLOOKUP($Q995,'TA database'!$I$86:$J$105,2,FALSE),0)</f>
        <v>0</v>
      </c>
      <c r="V995">
        <f>IFERROR(VLOOKUP($R995,'TA database'!$I$112:$J$139,2,FALSE),0)</f>
        <v>0</v>
      </c>
      <c r="W995">
        <f>IFERROR(VLOOKUP($S995,'TA database'!$I$146:$J$193,2,FALSE),0)</f>
        <v>0</v>
      </c>
      <c r="X995">
        <f ca="1">IFERROR(VLOOKUP($S995,'TA database'!$I$200:$J$271,2,FALSE),0)</f>
        <v>-3.6295604090846156</v>
      </c>
      <c r="Y995" s="59">
        <f t="shared" ca="1" si="3022"/>
        <v>-3.6295604090846156</v>
      </c>
      <c r="Z995" t="str">
        <f t="shared" si="3023"/>
        <v>BIO_GSF_CCS_MED_C   →   C_GAS_STRG   →   H2_T&amp;D_P   →   H2_OCGT_PWR</v>
      </c>
      <c r="AA995" t="str">
        <f t="shared" si="3024"/>
        <v>Grid electricity</v>
      </c>
      <c r="AB995" t="str">
        <f t="shared" si="3025"/>
        <v>Marginal abatement cost</v>
      </c>
      <c r="AC995">
        <f t="shared" ca="1" si="3026"/>
        <v>-3.6295604090846156</v>
      </c>
      <c r="AD995">
        <v>936</v>
      </c>
      <c r="AE995" t="str">
        <f>IF(AND(ISNUMBER(SEARCH(O995,4)),ISNUMBER(SEARCH('(4) FCH pathway assessment'!$B$16,AB995)),ISNUMBER(SEARCH('(4) FCH pathway assessment'!$B$10,AA995))),AD995,"")</f>
        <v/>
      </c>
      <c r="AF995" t="str">
        <f t="shared" si="2942"/>
        <v/>
      </c>
      <c r="AG995" t="str">
        <f>VLOOKUP(C995,Assumptions!$B$116:$C$162,2,FALSE)</f>
        <v>BIO_GSF_CCS_MED_C</v>
      </c>
      <c r="AH995" t="str">
        <f>VLOOKUP(D995,Assumptions!$B$116:$C$162,2,FALSE)</f>
        <v>C_GAS_STRG</v>
      </c>
      <c r="AI995" t="str">
        <f>VLOOKUP(E995,Assumptions!$B$116:$C$162,2,FALSE)</f>
        <v>H2_T&amp;D_P</v>
      </c>
      <c r="AJ995" t="str">
        <f>VLOOKUP(F995,Assumptions!$B$116:$C$162,2,FALSE)</f>
        <v>H2_OCGT_PWR</v>
      </c>
    </row>
    <row r="996" spans="2:36" x14ac:dyDescent="0.25">
      <c r="B996" t="s">
        <v>117</v>
      </c>
      <c r="C996" t="s">
        <v>54</v>
      </c>
      <c r="D996" t="s">
        <v>155</v>
      </c>
      <c r="E996" t="s">
        <v>116</v>
      </c>
      <c r="F996" t="s">
        <v>162</v>
      </c>
      <c r="G996" t="s">
        <v>114</v>
      </c>
      <c r="H996" t="s">
        <v>433</v>
      </c>
      <c r="I996" t="s">
        <v>32</v>
      </c>
      <c r="J996" t="s">
        <v>77</v>
      </c>
      <c r="K996">
        <f t="shared" si="3013"/>
        <v>0</v>
      </c>
      <c r="L996">
        <f t="shared" si="3014"/>
        <v>1</v>
      </c>
      <c r="M996">
        <f t="shared" si="3015"/>
        <v>1</v>
      </c>
      <c r="N996">
        <f t="shared" si="3016"/>
        <v>0</v>
      </c>
      <c r="O996">
        <f t="shared" si="3017"/>
        <v>2</v>
      </c>
      <c r="P996" t="str">
        <f t="shared" si="3018"/>
        <v>Medium centralized biomass gasification w/ CCS-Marginal abatement cost</v>
      </c>
      <c r="Q996" t="str">
        <f t="shared" si="3019"/>
        <v>Central gas storage-Marginal abatement cost</v>
      </c>
      <c r="R996" t="str">
        <f t="shared" si="3020"/>
        <v>Liquid hydrogen truck-Marginal abatement cost</v>
      </c>
      <c r="S996" t="str">
        <f t="shared" si="3021"/>
        <v>Hydrogen turbine (OC)-Marginal abatement cost</v>
      </c>
      <c r="T996">
        <f>IFERROR(VLOOKUP($P996,'TA database'!$I$8:$J$79,2,FALSE),0)</f>
        <v>0</v>
      </c>
      <c r="U996">
        <f>IFERROR(VLOOKUP($Q996,'TA database'!$I$86:$J$105,2,FALSE),0)</f>
        <v>0</v>
      </c>
      <c r="V996">
        <f>IFERROR(VLOOKUP($R996,'TA database'!$I$112:$J$139,2,FALSE),0)</f>
        <v>0</v>
      </c>
      <c r="W996">
        <f>IFERROR(VLOOKUP($S996,'TA database'!$I$146:$J$193,2,FALSE),0)</f>
        <v>0</v>
      </c>
      <c r="X996">
        <f ca="1">IFERROR(VLOOKUP($S996,'TA database'!$I$200:$J$271,2,FALSE),0)</f>
        <v>-3.6295604090846156</v>
      </c>
      <c r="Y996" s="59">
        <f t="shared" ca="1" si="3022"/>
        <v>-3.6295604090846156</v>
      </c>
      <c r="Z996" t="str">
        <f t="shared" si="3023"/>
        <v>BIO_GSF_CCS_MED_C   →   C_GAS_STRG   →   LQ_TRUCK   →   H2_OCGT_PWR</v>
      </c>
      <c r="AA996" t="str">
        <f t="shared" si="3024"/>
        <v>Grid electricity</v>
      </c>
      <c r="AB996" t="str">
        <f t="shared" si="3025"/>
        <v>Marginal abatement cost</v>
      </c>
      <c r="AC996">
        <f t="shared" ca="1" si="3026"/>
        <v>-3.6295604090846156</v>
      </c>
      <c r="AD996">
        <v>937</v>
      </c>
      <c r="AE996" t="str">
        <f>IF(AND(ISNUMBER(SEARCH(O996,4)),ISNUMBER(SEARCH('(4) FCH pathway assessment'!$B$16,AB996)),ISNUMBER(SEARCH('(4) FCH pathway assessment'!$B$10,AA996))),AD996,"")</f>
        <v/>
      </c>
      <c r="AF996" t="str">
        <f t="shared" si="2942"/>
        <v/>
      </c>
      <c r="AG996" t="str">
        <f>VLOOKUP(C996,Assumptions!$B$116:$C$162,2,FALSE)</f>
        <v>BIO_GSF_CCS_MED_C</v>
      </c>
      <c r="AH996" t="str">
        <f>VLOOKUP(D996,Assumptions!$B$116:$C$162,2,FALSE)</f>
        <v>C_GAS_STRG</v>
      </c>
      <c r="AI996" t="str">
        <f>VLOOKUP(E996,Assumptions!$B$116:$C$162,2,FALSE)</f>
        <v>LQ_TRUCK</v>
      </c>
      <c r="AJ996" t="str">
        <f>VLOOKUP(F996,Assumptions!$B$116:$C$162,2,FALSE)</f>
        <v>H2_OCGT_PWR</v>
      </c>
    </row>
    <row r="997" spans="2:36" x14ac:dyDescent="0.25">
      <c r="B997" t="s">
        <v>117</v>
      </c>
      <c r="C997" t="s">
        <v>54</v>
      </c>
      <c r="D997" t="s">
        <v>155</v>
      </c>
      <c r="E997" t="s">
        <v>66</v>
      </c>
      <c r="F997" t="s">
        <v>162</v>
      </c>
      <c r="G997" t="s">
        <v>114</v>
      </c>
      <c r="H997" t="s">
        <v>433</v>
      </c>
      <c r="I997" t="s">
        <v>32</v>
      </c>
      <c r="J997" t="s">
        <v>77</v>
      </c>
      <c r="K997">
        <f t="shared" si="3013"/>
        <v>0</v>
      </c>
      <c r="L997">
        <f t="shared" si="3014"/>
        <v>1</v>
      </c>
      <c r="M997">
        <f t="shared" si="3015"/>
        <v>1</v>
      </c>
      <c r="N997">
        <f t="shared" si="3016"/>
        <v>0</v>
      </c>
      <c r="O997">
        <f t="shared" si="3017"/>
        <v>2</v>
      </c>
      <c r="P997" t="str">
        <f t="shared" si="3018"/>
        <v>Medium centralized biomass gasification w/ CCS-Marginal abatement cost</v>
      </c>
      <c r="Q997" t="str">
        <f t="shared" si="3019"/>
        <v>Central gas storage-Marginal abatement cost</v>
      </c>
      <c r="R997" t="str">
        <f t="shared" si="3020"/>
        <v>Onsite-Marginal abatement cost</v>
      </c>
      <c r="S997" t="str">
        <f t="shared" si="3021"/>
        <v>Hydrogen turbine (OC)-Marginal abatement cost</v>
      </c>
      <c r="T997">
        <f>IFERROR(VLOOKUP($P997,'TA database'!$I$8:$J$79,2,FALSE),0)</f>
        <v>0</v>
      </c>
      <c r="U997">
        <f>IFERROR(VLOOKUP($Q997,'TA database'!$I$86:$J$105,2,FALSE),0)</f>
        <v>0</v>
      </c>
      <c r="V997">
        <f>IFERROR(VLOOKUP($R997,'TA database'!$I$112:$J$139,2,FALSE),0)</f>
        <v>0</v>
      </c>
      <c r="W997">
        <f>IFERROR(VLOOKUP($S997,'TA database'!$I$146:$J$193,2,FALSE),0)</f>
        <v>0</v>
      </c>
      <c r="X997">
        <f ca="1">IFERROR(VLOOKUP($S997,'TA database'!$I$200:$J$271,2,FALSE),0)</f>
        <v>-3.6295604090846156</v>
      </c>
      <c r="Y997" s="59">
        <f t="shared" ca="1" si="3022"/>
        <v>-3.6295604090846156</v>
      </c>
      <c r="Z997" t="str">
        <f t="shared" si="3023"/>
        <v>BIO_GSF_CCS_MED_C   →   C_GAS_STRG   →   ONSITE_USE   →   H2_OCGT_PWR</v>
      </c>
      <c r="AA997" t="str">
        <f t="shared" si="3024"/>
        <v>Grid electricity</v>
      </c>
      <c r="AB997" t="str">
        <f t="shared" si="3025"/>
        <v>Marginal abatement cost</v>
      </c>
      <c r="AC997">
        <f t="shared" ca="1" si="3026"/>
        <v>-3.6295604090846156</v>
      </c>
      <c r="AD997">
        <v>938</v>
      </c>
      <c r="AE997" t="str">
        <f>IF(AND(ISNUMBER(SEARCH(O997,4)),ISNUMBER(SEARCH('(4) FCH pathway assessment'!$B$16,AB997)),ISNUMBER(SEARCH('(4) FCH pathway assessment'!$B$10,AA997))),AD997,"")</f>
        <v/>
      </c>
      <c r="AF997" t="str">
        <f t="shared" si="2942"/>
        <v/>
      </c>
      <c r="AG997" t="str">
        <f>VLOOKUP(C997,Assumptions!$B$116:$C$162,2,FALSE)</f>
        <v>BIO_GSF_CCS_MED_C</v>
      </c>
      <c r="AH997" t="str">
        <f>VLOOKUP(D997,Assumptions!$B$116:$C$162,2,FALSE)</f>
        <v>C_GAS_STRG</v>
      </c>
      <c r="AI997" t="str">
        <f>VLOOKUP(E997,Assumptions!$B$116:$C$162,2,FALSE)</f>
        <v>ONSITE_USE</v>
      </c>
      <c r="AJ997" t="str">
        <f>VLOOKUP(F997,Assumptions!$B$116:$C$162,2,FALSE)</f>
        <v>H2_OCGT_PWR</v>
      </c>
    </row>
    <row r="998" spans="2:36" x14ac:dyDescent="0.25">
      <c r="B998" t="s">
        <v>117</v>
      </c>
      <c r="C998" t="s">
        <v>55</v>
      </c>
      <c r="D998" s="60" t="s">
        <v>130</v>
      </c>
      <c r="E998" t="s">
        <v>66</v>
      </c>
      <c r="F998" t="s">
        <v>162</v>
      </c>
      <c r="G998" t="s">
        <v>114</v>
      </c>
      <c r="H998" t="s">
        <v>433</v>
      </c>
      <c r="I998" t="s">
        <v>32</v>
      </c>
      <c r="J998" t="s">
        <v>77</v>
      </c>
      <c r="K998">
        <f t="shared" ref="K998:K1002" si="3027">SUMPRODUCT(($C$7:$C$18=$C998)*($D$6:$H$6=$D998)*($D$7:$H$18))</f>
        <v>0</v>
      </c>
      <c r="L998">
        <f t="shared" ref="L998:L1002" si="3028">SUMPRODUCT(($C$19:$C$23=$D998)*($I$6:$O$6=$E998)*($I$19:$O$23))</f>
        <v>1</v>
      </c>
      <c r="M998">
        <f t="shared" ref="M998:M1002" si="3029">SUMPRODUCT(($C$24:$C$30=$E998)*($P$6:$AI$6=$F998)*($P$24:$AI$30))</f>
        <v>1</v>
      </c>
      <c r="N998">
        <f t="shared" ref="N998:N1002" si="3030">SUMPRODUCT(($C$31:$C$50=$F998)*($AJ$6:$AM$6=$G998)*($AJ$31:$AM$50))</f>
        <v>0</v>
      </c>
      <c r="O998">
        <f t="shared" ref="O998:O1002" si="3031">K998+L998+M998+N998</f>
        <v>2</v>
      </c>
      <c r="P998" t="str">
        <f t="shared" ref="P998:P1002" si="3032">CONCATENATE(C998,"-",J998)</f>
        <v>Small decentralized biomass gasification-Marginal abatement cost</v>
      </c>
      <c r="Q998" t="str">
        <f t="shared" ref="Q998:Q1002" si="3033">CONCATENATE(D998,"-",J998)</f>
        <v>Distributed gas storage-Marginal abatement cost</v>
      </c>
      <c r="R998" t="str">
        <f t="shared" ref="R998:R1002" si="3034">CONCATENATE(E998,"-",J998)</f>
        <v>Onsite-Marginal abatement cost</v>
      </c>
      <c r="S998" t="str">
        <f t="shared" ref="S998:S1002" si="3035">CONCATENATE(F998,"-",J998)</f>
        <v>Hydrogen turbine (OC)-Marginal abatement cost</v>
      </c>
      <c r="T998">
        <f>IFERROR(VLOOKUP($P998,'TA database'!$I$8:$J$79,2,FALSE),0)</f>
        <v>0</v>
      </c>
      <c r="U998">
        <f>IFERROR(VLOOKUP($Q998,'TA database'!$I$86:$J$105,2,FALSE),0)</f>
        <v>0</v>
      </c>
      <c r="V998">
        <f>IFERROR(VLOOKUP($R998,'TA database'!$I$112:$J$139,2,FALSE),0)</f>
        <v>0</v>
      </c>
      <c r="W998">
        <f>IFERROR(VLOOKUP($S998,'TA database'!$I$146:$J$193,2,FALSE),0)</f>
        <v>0</v>
      </c>
      <c r="X998">
        <f ca="1">IFERROR(VLOOKUP($S998,'TA database'!$I$200:$J$271,2,FALSE),0)</f>
        <v>-3.6295604090846156</v>
      </c>
      <c r="Y998" s="59">
        <f t="shared" ref="Y998:Y1002" ca="1" si="3036">IF($W998=0,T998+U998+V998+X998,T998+U998+V998+W998)</f>
        <v>-3.6295604090846156</v>
      </c>
      <c r="Z998" t="str">
        <f t="shared" ref="Z998:Z1002" si="3037">CONCATENATE(AG998,"   →   ",AH998,"   →   ",AI998,"   →   ",AJ998)</f>
        <v>BIO_GSF_SML_D   →   D_GAS_STRG   →   ONSITE_USE   →   H2_OCGT_PWR</v>
      </c>
      <c r="AA998" t="str">
        <f t="shared" ref="AA998:AA1002" si="3038">G998</f>
        <v>Grid electricity</v>
      </c>
      <c r="AB998" t="str">
        <f t="shared" ref="AB998:AB1002" si="3039">J998</f>
        <v>Marginal abatement cost</v>
      </c>
      <c r="AC998">
        <f t="shared" ref="AC998:AC1002" ca="1" si="3040">Y998</f>
        <v>-3.6295604090846156</v>
      </c>
      <c r="AD998">
        <v>939</v>
      </c>
      <c r="AE998" t="str">
        <f>IF(AND(ISNUMBER(SEARCH(O998,4)),ISNUMBER(SEARCH('(4) FCH pathway assessment'!$B$16,AB998)),ISNUMBER(SEARCH('(4) FCH pathway assessment'!$B$10,AA998))),AD998,"")</f>
        <v/>
      </c>
      <c r="AF998" t="str">
        <f t="shared" si="2942"/>
        <v/>
      </c>
      <c r="AG998" t="str">
        <f>VLOOKUP(C998,Assumptions!$B$116:$C$162,2,FALSE)</f>
        <v>BIO_GSF_SML_D</v>
      </c>
      <c r="AH998" t="str">
        <f>VLOOKUP(D998,Assumptions!$B$116:$C$162,2,FALSE)</f>
        <v>D_GAS_STRG</v>
      </c>
      <c r="AI998" t="str">
        <f>VLOOKUP(E998,Assumptions!$B$116:$C$162,2,FALSE)</f>
        <v>ONSITE_USE</v>
      </c>
      <c r="AJ998" t="str">
        <f>VLOOKUP(F998,Assumptions!$B$116:$C$162,2,FALSE)</f>
        <v>H2_OCGT_PWR</v>
      </c>
    </row>
    <row r="999" spans="2:36" x14ac:dyDescent="0.25">
      <c r="B999" t="s">
        <v>117</v>
      </c>
      <c r="C999" t="s">
        <v>56</v>
      </c>
      <c r="D999" t="s">
        <v>62</v>
      </c>
      <c r="E999" t="s">
        <v>157</v>
      </c>
      <c r="F999" t="s">
        <v>162</v>
      </c>
      <c r="G999" t="s">
        <v>114</v>
      </c>
      <c r="H999" t="s">
        <v>433</v>
      </c>
      <c r="I999" t="s">
        <v>32</v>
      </c>
      <c r="J999" t="s">
        <v>77</v>
      </c>
      <c r="K999">
        <f t="shared" si="3027"/>
        <v>0</v>
      </c>
      <c r="L999">
        <f t="shared" si="3028"/>
        <v>0</v>
      </c>
      <c r="M999">
        <f t="shared" si="3029"/>
        <v>0</v>
      </c>
      <c r="N999">
        <f t="shared" si="3030"/>
        <v>0</v>
      </c>
      <c r="O999">
        <f t="shared" si="3031"/>
        <v>0</v>
      </c>
      <c r="P999" t="str">
        <f t="shared" si="3032"/>
        <v>Large centralized biomass steam reforming -Marginal abatement cost</v>
      </c>
      <c r="Q999" t="str">
        <f t="shared" si="3033"/>
        <v>Underground storage-Marginal abatement cost</v>
      </c>
      <c r="R999" t="str">
        <f t="shared" si="3034"/>
        <v>Blending in natural gas pipeline-Marginal abatement cost</v>
      </c>
      <c r="S999" t="str">
        <f t="shared" si="3035"/>
        <v>Hydrogen turbine (OC)-Marginal abatement cost</v>
      </c>
      <c r="T999">
        <f>IFERROR(VLOOKUP($P999,'TA database'!$I$8:$J$79,2,FALSE),0)</f>
        <v>0</v>
      </c>
      <c r="U999">
        <f>IFERROR(VLOOKUP($Q999,'TA database'!$I$86:$J$105,2,FALSE),0)</f>
        <v>0</v>
      </c>
      <c r="V999">
        <f>IFERROR(VLOOKUP($R999,'TA database'!$I$112:$J$139,2,FALSE),0)</f>
        <v>0</v>
      </c>
      <c r="W999">
        <f>IFERROR(VLOOKUP($S999,'TA database'!$I$146:$J$193,2,FALSE),0)</f>
        <v>0</v>
      </c>
      <c r="X999">
        <f ca="1">IFERROR(VLOOKUP($S999,'TA database'!$I$200:$J$271,2,FALSE),0)</f>
        <v>-3.6295604090846156</v>
      </c>
      <c r="Y999" s="59">
        <f t="shared" ca="1" si="3036"/>
        <v>-3.6295604090846156</v>
      </c>
      <c r="Z999" t="str">
        <f t="shared" si="3037"/>
        <v>BIO_SR_LRG_C   →   C_UNDRGRND_STRG   →   H2_BLND_NG_P   →   H2_OCGT_PWR</v>
      </c>
      <c r="AA999" t="str">
        <f t="shared" si="3038"/>
        <v>Grid electricity</v>
      </c>
      <c r="AB999" t="str">
        <f t="shared" si="3039"/>
        <v>Marginal abatement cost</v>
      </c>
      <c r="AC999">
        <f t="shared" ca="1" si="3040"/>
        <v>-3.6295604090846156</v>
      </c>
      <c r="AD999">
        <v>940</v>
      </c>
      <c r="AE999" t="str">
        <f>IF(AND(ISNUMBER(SEARCH(O999,4)),ISNUMBER(SEARCH('(4) FCH pathway assessment'!$B$16,AB999)),ISNUMBER(SEARCH('(4) FCH pathway assessment'!$B$10,AA999))),AD999,"")</f>
        <v/>
      </c>
      <c r="AF999" t="str">
        <f t="shared" si="2942"/>
        <v/>
      </c>
      <c r="AG999" t="str">
        <f>VLOOKUP(C999,Assumptions!$B$116:$C$162,2,FALSE)</f>
        <v>BIO_SR_LRG_C</v>
      </c>
      <c r="AH999" t="str">
        <f>VLOOKUP(D999,Assumptions!$B$116:$C$162,2,FALSE)</f>
        <v>C_UNDRGRND_STRG</v>
      </c>
      <c r="AI999" t="str">
        <f>VLOOKUP(E999,Assumptions!$B$116:$C$162,2,FALSE)</f>
        <v>H2_BLND_NG_P</v>
      </c>
      <c r="AJ999" t="str">
        <f>VLOOKUP(F999,Assumptions!$B$116:$C$162,2,FALSE)</f>
        <v>H2_OCGT_PWR</v>
      </c>
    </row>
    <row r="1000" spans="2:36" x14ac:dyDescent="0.25">
      <c r="B1000" t="s">
        <v>117</v>
      </c>
      <c r="C1000" t="s">
        <v>56</v>
      </c>
      <c r="D1000" t="s">
        <v>62</v>
      </c>
      <c r="E1000" t="s">
        <v>122</v>
      </c>
      <c r="F1000" t="s">
        <v>162</v>
      </c>
      <c r="G1000" t="s">
        <v>114</v>
      </c>
      <c r="H1000" t="s">
        <v>433</v>
      </c>
      <c r="I1000" t="s">
        <v>32</v>
      </c>
      <c r="J1000" t="s">
        <v>77</v>
      </c>
      <c r="K1000">
        <f t="shared" si="3027"/>
        <v>0</v>
      </c>
      <c r="L1000">
        <f t="shared" si="3028"/>
        <v>0</v>
      </c>
      <c r="M1000">
        <f t="shared" si="3029"/>
        <v>1</v>
      </c>
      <c r="N1000">
        <f t="shared" si="3030"/>
        <v>0</v>
      </c>
      <c r="O1000">
        <f t="shared" si="3031"/>
        <v>1</v>
      </c>
      <c r="P1000" t="str">
        <f t="shared" si="3032"/>
        <v>Large centralized biomass steam reforming -Marginal abatement cost</v>
      </c>
      <c r="Q1000" t="str">
        <f t="shared" si="3033"/>
        <v>Underground storage-Marginal abatement cost</v>
      </c>
      <c r="R1000" t="str">
        <f t="shared" si="3034"/>
        <v>Hydrogen transmission &amp; distribution pipeline-Marginal abatement cost</v>
      </c>
      <c r="S1000" t="str">
        <f t="shared" si="3035"/>
        <v>Hydrogen turbine (OC)-Marginal abatement cost</v>
      </c>
      <c r="T1000">
        <f>IFERROR(VLOOKUP($P1000,'TA database'!$I$8:$J$79,2,FALSE),0)</f>
        <v>0</v>
      </c>
      <c r="U1000">
        <f>IFERROR(VLOOKUP($Q1000,'TA database'!$I$86:$J$105,2,FALSE),0)</f>
        <v>0</v>
      </c>
      <c r="V1000">
        <f>IFERROR(VLOOKUP($R1000,'TA database'!$I$112:$J$139,2,FALSE),0)</f>
        <v>0</v>
      </c>
      <c r="W1000">
        <f>IFERROR(VLOOKUP($S1000,'TA database'!$I$146:$J$193,2,FALSE),0)</f>
        <v>0</v>
      </c>
      <c r="X1000">
        <f ca="1">IFERROR(VLOOKUP($S1000,'TA database'!$I$200:$J$271,2,FALSE),0)</f>
        <v>-3.6295604090846156</v>
      </c>
      <c r="Y1000" s="59">
        <f t="shared" ca="1" si="3036"/>
        <v>-3.6295604090846156</v>
      </c>
      <c r="Z1000" t="str">
        <f t="shared" si="3037"/>
        <v>BIO_SR_LRG_C   →   C_UNDRGRND_STRG   →   H2_T&amp;D_P   →   H2_OCGT_PWR</v>
      </c>
      <c r="AA1000" t="str">
        <f t="shared" si="3038"/>
        <v>Grid electricity</v>
      </c>
      <c r="AB1000" t="str">
        <f t="shared" si="3039"/>
        <v>Marginal abatement cost</v>
      </c>
      <c r="AC1000">
        <f t="shared" ca="1" si="3040"/>
        <v>-3.6295604090846156</v>
      </c>
      <c r="AD1000">
        <v>941</v>
      </c>
      <c r="AE1000" t="str">
        <f>IF(AND(ISNUMBER(SEARCH(O1000,4)),ISNUMBER(SEARCH('(4) FCH pathway assessment'!$B$16,AB1000)),ISNUMBER(SEARCH('(4) FCH pathway assessment'!$B$10,AA1000))),AD1000,"")</f>
        <v/>
      </c>
      <c r="AF1000" t="str">
        <f t="shared" si="2942"/>
        <v/>
      </c>
      <c r="AG1000" t="str">
        <f>VLOOKUP(C1000,Assumptions!$B$116:$C$162,2,FALSE)</f>
        <v>BIO_SR_LRG_C</v>
      </c>
      <c r="AH1000" t="str">
        <f>VLOOKUP(D1000,Assumptions!$B$116:$C$162,2,FALSE)</f>
        <v>C_UNDRGRND_STRG</v>
      </c>
      <c r="AI1000" t="str">
        <f>VLOOKUP(E1000,Assumptions!$B$116:$C$162,2,FALSE)</f>
        <v>H2_T&amp;D_P</v>
      </c>
      <c r="AJ1000" t="str">
        <f>VLOOKUP(F1000,Assumptions!$B$116:$C$162,2,FALSE)</f>
        <v>H2_OCGT_PWR</v>
      </c>
    </row>
    <row r="1001" spans="2:36" x14ac:dyDescent="0.25">
      <c r="B1001" t="s">
        <v>117</v>
      </c>
      <c r="C1001" t="s">
        <v>56</v>
      </c>
      <c r="D1001" t="s">
        <v>62</v>
      </c>
      <c r="E1001" t="s">
        <v>116</v>
      </c>
      <c r="F1001" t="s">
        <v>162</v>
      </c>
      <c r="G1001" t="s">
        <v>114</v>
      </c>
      <c r="H1001" t="s">
        <v>433</v>
      </c>
      <c r="I1001" t="s">
        <v>32</v>
      </c>
      <c r="J1001" t="s">
        <v>77</v>
      </c>
      <c r="K1001">
        <f t="shared" si="3027"/>
        <v>0</v>
      </c>
      <c r="L1001">
        <f t="shared" si="3028"/>
        <v>0</v>
      </c>
      <c r="M1001">
        <f t="shared" si="3029"/>
        <v>1</v>
      </c>
      <c r="N1001">
        <f t="shared" si="3030"/>
        <v>0</v>
      </c>
      <c r="O1001">
        <f t="shared" si="3031"/>
        <v>1</v>
      </c>
      <c r="P1001" t="str">
        <f t="shared" si="3032"/>
        <v>Large centralized biomass steam reforming -Marginal abatement cost</v>
      </c>
      <c r="Q1001" t="str">
        <f t="shared" si="3033"/>
        <v>Underground storage-Marginal abatement cost</v>
      </c>
      <c r="R1001" t="str">
        <f t="shared" si="3034"/>
        <v>Liquid hydrogen truck-Marginal abatement cost</v>
      </c>
      <c r="S1001" t="str">
        <f t="shared" si="3035"/>
        <v>Hydrogen turbine (OC)-Marginal abatement cost</v>
      </c>
      <c r="T1001">
        <f>IFERROR(VLOOKUP($P1001,'TA database'!$I$8:$J$79,2,FALSE),0)</f>
        <v>0</v>
      </c>
      <c r="U1001">
        <f>IFERROR(VLOOKUP($Q1001,'TA database'!$I$86:$J$105,2,FALSE),0)</f>
        <v>0</v>
      </c>
      <c r="V1001">
        <f>IFERROR(VLOOKUP($R1001,'TA database'!$I$112:$J$139,2,FALSE),0)</f>
        <v>0</v>
      </c>
      <c r="W1001">
        <f>IFERROR(VLOOKUP($S1001,'TA database'!$I$146:$J$193,2,FALSE),0)</f>
        <v>0</v>
      </c>
      <c r="X1001">
        <f ca="1">IFERROR(VLOOKUP($S1001,'TA database'!$I$200:$J$271,2,FALSE),0)</f>
        <v>-3.6295604090846156</v>
      </c>
      <c r="Y1001" s="59">
        <f t="shared" ca="1" si="3036"/>
        <v>-3.6295604090846156</v>
      </c>
      <c r="Z1001" t="str">
        <f t="shared" si="3037"/>
        <v>BIO_SR_LRG_C   →   C_UNDRGRND_STRG   →   LQ_TRUCK   →   H2_OCGT_PWR</v>
      </c>
      <c r="AA1001" t="str">
        <f t="shared" si="3038"/>
        <v>Grid electricity</v>
      </c>
      <c r="AB1001" t="str">
        <f t="shared" si="3039"/>
        <v>Marginal abatement cost</v>
      </c>
      <c r="AC1001">
        <f t="shared" ca="1" si="3040"/>
        <v>-3.6295604090846156</v>
      </c>
      <c r="AD1001">
        <v>942</v>
      </c>
      <c r="AE1001" t="str">
        <f>IF(AND(ISNUMBER(SEARCH(O1001,4)),ISNUMBER(SEARCH('(4) FCH pathway assessment'!$B$16,AB1001)),ISNUMBER(SEARCH('(4) FCH pathway assessment'!$B$10,AA1001))),AD1001,"")</f>
        <v/>
      </c>
      <c r="AF1001" t="str">
        <f t="shared" si="2942"/>
        <v/>
      </c>
      <c r="AG1001" t="str">
        <f>VLOOKUP(C1001,Assumptions!$B$116:$C$162,2,FALSE)</f>
        <v>BIO_SR_LRG_C</v>
      </c>
      <c r="AH1001" t="str">
        <f>VLOOKUP(D1001,Assumptions!$B$116:$C$162,2,FALSE)</f>
        <v>C_UNDRGRND_STRG</v>
      </c>
      <c r="AI1001" t="str">
        <f>VLOOKUP(E1001,Assumptions!$B$116:$C$162,2,FALSE)</f>
        <v>LQ_TRUCK</v>
      </c>
      <c r="AJ1001" t="str">
        <f>VLOOKUP(F1001,Assumptions!$B$116:$C$162,2,FALSE)</f>
        <v>H2_OCGT_PWR</v>
      </c>
    </row>
    <row r="1002" spans="2:36" x14ac:dyDescent="0.25">
      <c r="B1002" t="s">
        <v>117</v>
      </c>
      <c r="C1002" t="s">
        <v>56</v>
      </c>
      <c r="D1002" t="s">
        <v>62</v>
      </c>
      <c r="E1002" t="s">
        <v>66</v>
      </c>
      <c r="F1002" t="s">
        <v>162</v>
      </c>
      <c r="G1002" t="s">
        <v>114</v>
      </c>
      <c r="H1002" t="s">
        <v>433</v>
      </c>
      <c r="I1002" t="s">
        <v>32</v>
      </c>
      <c r="J1002" t="s">
        <v>77</v>
      </c>
      <c r="K1002">
        <f t="shared" si="3027"/>
        <v>0</v>
      </c>
      <c r="L1002">
        <f t="shared" si="3028"/>
        <v>0</v>
      </c>
      <c r="M1002">
        <f t="shared" si="3029"/>
        <v>1</v>
      </c>
      <c r="N1002">
        <f t="shared" si="3030"/>
        <v>0</v>
      </c>
      <c r="O1002">
        <f t="shared" si="3031"/>
        <v>1</v>
      </c>
      <c r="P1002" t="str">
        <f t="shared" si="3032"/>
        <v>Large centralized biomass steam reforming -Marginal abatement cost</v>
      </c>
      <c r="Q1002" t="str">
        <f t="shared" si="3033"/>
        <v>Underground storage-Marginal abatement cost</v>
      </c>
      <c r="R1002" t="str">
        <f t="shared" si="3034"/>
        <v>Onsite-Marginal abatement cost</v>
      </c>
      <c r="S1002" t="str">
        <f t="shared" si="3035"/>
        <v>Hydrogen turbine (OC)-Marginal abatement cost</v>
      </c>
      <c r="T1002">
        <f>IFERROR(VLOOKUP($P1002,'TA database'!$I$8:$J$79,2,FALSE),0)</f>
        <v>0</v>
      </c>
      <c r="U1002">
        <f>IFERROR(VLOOKUP($Q1002,'TA database'!$I$86:$J$105,2,FALSE),0)</f>
        <v>0</v>
      </c>
      <c r="V1002">
        <f>IFERROR(VLOOKUP($R1002,'TA database'!$I$112:$J$139,2,FALSE),0)</f>
        <v>0</v>
      </c>
      <c r="W1002">
        <f>IFERROR(VLOOKUP($S1002,'TA database'!$I$146:$J$193,2,FALSE),0)</f>
        <v>0</v>
      </c>
      <c r="X1002">
        <f ca="1">IFERROR(VLOOKUP($S1002,'TA database'!$I$200:$J$271,2,FALSE),0)</f>
        <v>-3.6295604090846156</v>
      </c>
      <c r="Y1002" s="59">
        <f t="shared" ca="1" si="3036"/>
        <v>-3.6295604090846156</v>
      </c>
      <c r="Z1002" t="str">
        <f t="shared" si="3037"/>
        <v>BIO_SR_LRG_C   →   C_UNDRGRND_STRG   →   ONSITE_USE   →   H2_OCGT_PWR</v>
      </c>
      <c r="AA1002" t="str">
        <f t="shared" si="3038"/>
        <v>Grid electricity</v>
      </c>
      <c r="AB1002" t="str">
        <f t="shared" si="3039"/>
        <v>Marginal abatement cost</v>
      </c>
      <c r="AC1002">
        <f t="shared" ca="1" si="3040"/>
        <v>-3.6295604090846156</v>
      </c>
      <c r="AD1002">
        <v>943</v>
      </c>
      <c r="AE1002" t="str">
        <f>IF(AND(ISNUMBER(SEARCH(O1002,4)),ISNUMBER(SEARCH('(4) FCH pathway assessment'!$B$16,AB1002)),ISNUMBER(SEARCH('(4) FCH pathway assessment'!$B$10,AA1002))),AD1002,"")</f>
        <v/>
      </c>
      <c r="AF1002" t="str">
        <f t="shared" si="2942"/>
        <v/>
      </c>
      <c r="AG1002" t="str">
        <f>VLOOKUP(C1002,Assumptions!$B$116:$C$162,2,FALSE)</f>
        <v>BIO_SR_LRG_C</v>
      </c>
      <c r="AH1002" t="str">
        <f>VLOOKUP(D1002,Assumptions!$B$116:$C$162,2,FALSE)</f>
        <v>C_UNDRGRND_STRG</v>
      </c>
      <c r="AI1002" t="str">
        <f>VLOOKUP(E1002,Assumptions!$B$116:$C$162,2,FALSE)</f>
        <v>ONSITE_USE</v>
      </c>
      <c r="AJ1002" t="str">
        <f>VLOOKUP(F1002,Assumptions!$B$116:$C$162,2,FALSE)</f>
        <v>H2_OCGT_PWR</v>
      </c>
    </row>
    <row r="1003" spans="2:36" x14ac:dyDescent="0.25">
      <c r="B1003" t="s">
        <v>117</v>
      </c>
      <c r="C1003" t="s">
        <v>56</v>
      </c>
      <c r="D1003" s="61" t="s">
        <v>63</v>
      </c>
      <c r="E1003" t="s">
        <v>122</v>
      </c>
      <c r="F1003" t="s">
        <v>162</v>
      </c>
      <c r="G1003" t="s">
        <v>114</v>
      </c>
      <c r="H1003" t="s">
        <v>433</v>
      </c>
      <c r="I1003" t="s">
        <v>32</v>
      </c>
      <c r="J1003" t="s">
        <v>77</v>
      </c>
      <c r="K1003">
        <f t="shared" ref="K1003:K1011" si="3041">SUMPRODUCT(($C$7:$C$18=$C1003)*($D$6:$H$6=$D1003)*($D$7:$H$18))</f>
        <v>0</v>
      </c>
      <c r="L1003">
        <f t="shared" ref="L1003:L1011" si="3042">SUMPRODUCT(($C$19:$C$23=$D1003)*($I$6:$O$6=$E1003)*($I$19:$O$23))</f>
        <v>1</v>
      </c>
      <c r="M1003">
        <f t="shared" ref="M1003:M1011" si="3043">SUMPRODUCT(($C$24:$C$30=$E1003)*($P$6:$AI$6=$F1003)*($P$24:$AI$30))</f>
        <v>1</v>
      </c>
      <c r="N1003">
        <f t="shared" ref="N1003:N1011" si="3044">SUMPRODUCT(($C$31:$C$50=$F1003)*($AJ$6:$AM$6=$G1003)*($AJ$31:$AM$50))</f>
        <v>0</v>
      </c>
      <c r="O1003">
        <f t="shared" ref="O1003:O1011" si="3045">K1003+L1003+M1003+N1003</f>
        <v>2</v>
      </c>
      <c r="P1003" t="str">
        <f t="shared" ref="P1003:P1011" si="3046">CONCATENATE(C1003,"-",J1003)</f>
        <v>Large centralized biomass steam reforming -Marginal abatement cost</v>
      </c>
      <c r="Q1003" t="str">
        <f t="shared" ref="Q1003:Q1011" si="3047">CONCATENATE(D1003,"-",J1003)</f>
        <v>No storage-Marginal abatement cost</v>
      </c>
      <c r="R1003" t="str">
        <f t="shared" ref="R1003:R1011" si="3048">CONCATENATE(E1003,"-",J1003)</f>
        <v>Hydrogen transmission &amp; distribution pipeline-Marginal abatement cost</v>
      </c>
      <c r="S1003" t="str">
        <f t="shared" ref="S1003:S1011" si="3049">CONCATENATE(F1003,"-",J1003)</f>
        <v>Hydrogen turbine (OC)-Marginal abatement cost</v>
      </c>
      <c r="T1003">
        <f>IFERROR(VLOOKUP($P1003,'TA database'!$I$8:$J$79,2,FALSE),0)</f>
        <v>0</v>
      </c>
      <c r="U1003">
        <f>IFERROR(VLOOKUP($Q1003,'TA database'!$I$86:$J$105,2,FALSE),0)</f>
        <v>0</v>
      </c>
      <c r="V1003">
        <f>IFERROR(VLOOKUP($R1003,'TA database'!$I$112:$J$139,2,FALSE),0)</f>
        <v>0</v>
      </c>
      <c r="W1003">
        <f>IFERROR(VLOOKUP($S1003,'TA database'!$I$146:$J$193,2,FALSE),0)</f>
        <v>0</v>
      </c>
      <c r="X1003">
        <f ca="1">IFERROR(VLOOKUP($S1003,'TA database'!$I$200:$J$271,2,FALSE),0)</f>
        <v>-3.6295604090846156</v>
      </c>
      <c r="Y1003" s="59">
        <f t="shared" ref="Y1003:Y1011" ca="1" si="3050">IF($W1003=0,T1003+U1003+V1003+X1003,T1003+U1003+V1003+W1003)</f>
        <v>-3.6295604090846156</v>
      </c>
      <c r="Z1003" t="str">
        <f t="shared" ref="Z1003:Z1011" si="3051">CONCATENATE(AG1003,"   →   ",AH1003,"   →   ",AI1003,"   →   ",AJ1003)</f>
        <v>BIO_SR_LRG_C   →   NO_STRG   →   H2_T&amp;D_P   →   H2_OCGT_PWR</v>
      </c>
      <c r="AA1003" t="str">
        <f t="shared" ref="AA1003:AA1011" si="3052">G1003</f>
        <v>Grid electricity</v>
      </c>
      <c r="AB1003" t="str">
        <f t="shared" ref="AB1003:AB1011" si="3053">J1003</f>
        <v>Marginal abatement cost</v>
      </c>
      <c r="AC1003">
        <f t="shared" ref="AC1003:AC1011" ca="1" si="3054">Y1003</f>
        <v>-3.6295604090846156</v>
      </c>
      <c r="AD1003">
        <v>944</v>
      </c>
      <c r="AE1003" t="str">
        <f>IF(AND(ISNUMBER(SEARCH(O1003,4)),ISNUMBER(SEARCH('(4) FCH pathway assessment'!$B$16,AB1003)),ISNUMBER(SEARCH('(4) FCH pathway assessment'!$B$10,AA1003))),AD1003,"")</f>
        <v/>
      </c>
      <c r="AF1003" t="str">
        <f t="shared" si="2942"/>
        <v/>
      </c>
      <c r="AG1003" t="str">
        <f>VLOOKUP(C1003,Assumptions!$B$116:$C$162,2,FALSE)</f>
        <v>BIO_SR_LRG_C</v>
      </c>
      <c r="AH1003" t="str">
        <f>VLOOKUP(D1003,Assumptions!$B$116:$C$162,2,FALSE)</f>
        <v>NO_STRG</v>
      </c>
      <c r="AI1003" t="str">
        <f>VLOOKUP(E1003,Assumptions!$B$116:$C$162,2,FALSE)</f>
        <v>H2_T&amp;D_P</v>
      </c>
      <c r="AJ1003" t="str">
        <f>VLOOKUP(F1003,Assumptions!$B$116:$C$162,2,FALSE)</f>
        <v>H2_OCGT_PWR</v>
      </c>
    </row>
    <row r="1004" spans="2:36" x14ac:dyDescent="0.25">
      <c r="B1004" t="s">
        <v>112</v>
      </c>
      <c r="C1004" t="s">
        <v>49</v>
      </c>
      <c r="D1004" t="s">
        <v>62</v>
      </c>
      <c r="E1004" t="s">
        <v>157</v>
      </c>
      <c r="F1004" t="s">
        <v>162</v>
      </c>
      <c r="G1004" t="s">
        <v>114</v>
      </c>
      <c r="H1004" t="s">
        <v>433</v>
      </c>
      <c r="I1004" t="s">
        <v>32</v>
      </c>
      <c r="J1004" t="s">
        <v>77</v>
      </c>
      <c r="K1004">
        <f t="shared" si="3041"/>
        <v>1</v>
      </c>
      <c r="L1004">
        <f t="shared" si="3042"/>
        <v>0</v>
      </c>
      <c r="M1004">
        <f t="shared" si="3043"/>
        <v>0</v>
      </c>
      <c r="N1004">
        <f t="shared" si="3044"/>
        <v>0</v>
      </c>
      <c r="O1004">
        <f t="shared" si="3045"/>
        <v>1</v>
      </c>
      <c r="P1004" t="str">
        <f t="shared" si="3046"/>
        <v>Large centralized electrolysis-Marginal abatement cost</v>
      </c>
      <c r="Q1004" t="str">
        <f t="shared" si="3047"/>
        <v>Underground storage-Marginal abatement cost</v>
      </c>
      <c r="R1004" t="str">
        <f t="shared" si="3048"/>
        <v>Blending in natural gas pipeline-Marginal abatement cost</v>
      </c>
      <c r="S1004" t="str">
        <f t="shared" si="3049"/>
        <v>Hydrogen turbine (OC)-Marginal abatement cost</v>
      </c>
      <c r="T1004">
        <f>IFERROR(VLOOKUP($P1004,'TA database'!$I$8:$J$79,2,FALSE),0)</f>
        <v>0</v>
      </c>
      <c r="U1004">
        <f>IFERROR(VLOOKUP($Q1004,'TA database'!$I$86:$J$105,2,FALSE),0)</f>
        <v>0</v>
      </c>
      <c r="V1004">
        <f>IFERROR(VLOOKUP($R1004,'TA database'!$I$112:$J$139,2,FALSE),0)</f>
        <v>0</v>
      </c>
      <c r="W1004">
        <f>IFERROR(VLOOKUP($S1004,'TA database'!$I$146:$J$193,2,FALSE),0)</f>
        <v>0</v>
      </c>
      <c r="X1004">
        <f ca="1">IFERROR(VLOOKUP($S1004,'TA database'!$I$200:$J$271,2,FALSE),0)</f>
        <v>-3.6295604090846156</v>
      </c>
      <c r="Y1004" s="59">
        <f t="shared" ca="1" si="3050"/>
        <v>-3.6295604090846156</v>
      </c>
      <c r="Z1004" t="str">
        <f t="shared" si="3051"/>
        <v>ELCTRLYZ_LRG_C   →   C_UNDRGRND_STRG   →   H2_BLND_NG_P   →   H2_OCGT_PWR</v>
      </c>
      <c r="AA1004" t="str">
        <f t="shared" si="3052"/>
        <v>Grid electricity</v>
      </c>
      <c r="AB1004" t="str">
        <f t="shared" si="3053"/>
        <v>Marginal abatement cost</v>
      </c>
      <c r="AC1004">
        <f t="shared" ca="1" si="3054"/>
        <v>-3.6295604090846156</v>
      </c>
      <c r="AD1004">
        <v>945</v>
      </c>
      <c r="AE1004" t="str">
        <f>IF(AND(ISNUMBER(SEARCH(O1004,4)),ISNUMBER(SEARCH('(4) FCH pathway assessment'!$B$16,AB1004)),ISNUMBER(SEARCH('(4) FCH pathway assessment'!$B$10,AA1004))),AD1004,"")</f>
        <v/>
      </c>
      <c r="AF1004" t="str">
        <f t="shared" si="2942"/>
        <v/>
      </c>
      <c r="AG1004" t="str">
        <f>VLOOKUP(C1004,Assumptions!$B$116:$C$162,2,FALSE)</f>
        <v>ELCTRLYZ_LRG_C</v>
      </c>
      <c r="AH1004" t="str">
        <f>VLOOKUP(D1004,Assumptions!$B$116:$C$162,2,FALSE)</f>
        <v>C_UNDRGRND_STRG</v>
      </c>
      <c r="AI1004" t="str">
        <f>VLOOKUP(E1004,Assumptions!$B$116:$C$162,2,FALSE)</f>
        <v>H2_BLND_NG_P</v>
      </c>
      <c r="AJ1004" t="str">
        <f>VLOOKUP(F1004,Assumptions!$B$116:$C$162,2,FALSE)</f>
        <v>H2_OCGT_PWR</v>
      </c>
    </row>
    <row r="1005" spans="2:36" x14ac:dyDescent="0.25">
      <c r="B1005" t="s">
        <v>112</v>
      </c>
      <c r="C1005" t="s">
        <v>49</v>
      </c>
      <c r="D1005" t="s">
        <v>62</v>
      </c>
      <c r="E1005" t="s">
        <v>122</v>
      </c>
      <c r="F1005" t="s">
        <v>162</v>
      </c>
      <c r="G1005" t="s">
        <v>114</v>
      </c>
      <c r="H1005" t="s">
        <v>433</v>
      </c>
      <c r="I1005" t="s">
        <v>32</v>
      </c>
      <c r="J1005" t="s">
        <v>77</v>
      </c>
      <c r="K1005">
        <f t="shared" si="3041"/>
        <v>1</v>
      </c>
      <c r="L1005">
        <f t="shared" si="3042"/>
        <v>0</v>
      </c>
      <c r="M1005">
        <f t="shared" si="3043"/>
        <v>1</v>
      </c>
      <c r="N1005">
        <f t="shared" si="3044"/>
        <v>0</v>
      </c>
      <c r="O1005">
        <f t="shared" si="3045"/>
        <v>2</v>
      </c>
      <c r="P1005" t="str">
        <f t="shared" si="3046"/>
        <v>Large centralized electrolysis-Marginal abatement cost</v>
      </c>
      <c r="Q1005" t="str">
        <f t="shared" si="3047"/>
        <v>Underground storage-Marginal abatement cost</v>
      </c>
      <c r="R1005" t="str">
        <f t="shared" si="3048"/>
        <v>Hydrogen transmission &amp; distribution pipeline-Marginal abatement cost</v>
      </c>
      <c r="S1005" t="str">
        <f t="shared" si="3049"/>
        <v>Hydrogen turbine (OC)-Marginal abatement cost</v>
      </c>
      <c r="T1005">
        <f>IFERROR(VLOOKUP($P1005,'TA database'!$I$8:$J$79,2,FALSE),0)</f>
        <v>0</v>
      </c>
      <c r="U1005">
        <f>IFERROR(VLOOKUP($Q1005,'TA database'!$I$86:$J$105,2,FALSE),0)</f>
        <v>0</v>
      </c>
      <c r="V1005">
        <f>IFERROR(VLOOKUP($R1005,'TA database'!$I$112:$J$139,2,FALSE),0)</f>
        <v>0</v>
      </c>
      <c r="W1005">
        <f>IFERROR(VLOOKUP($S1005,'TA database'!$I$146:$J$193,2,FALSE),0)</f>
        <v>0</v>
      </c>
      <c r="X1005">
        <f ca="1">IFERROR(VLOOKUP($S1005,'TA database'!$I$200:$J$271,2,FALSE),0)</f>
        <v>-3.6295604090846156</v>
      </c>
      <c r="Y1005" s="59">
        <f t="shared" ca="1" si="3050"/>
        <v>-3.6295604090846156</v>
      </c>
      <c r="Z1005" t="str">
        <f t="shared" si="3051"/>
        <v>ELCTRLYZ_LRG_C   →   C_UNDRGRND_STRG   →   H2_T&amp;D_P   →   H2_OCGT_PWR</v>
      </c>
      <c r="AA1005" t="str">
        <f t="shared" si="3052"/>
        <v>Grid electricity</v>
      </c>
      <c r="AB1005" t="str">
        <f t="shared" si="3053"/>
        <v>Marginal abatement cost</v>
      </c>
      <c r="AC1005">
        <f t="shared" ca="1" si="3054"/>
        <v>-3.6295604090846156</v>
      </c>
      <c r="AD1005">
        <v>946</v>
      </c>
      <c r="AE1005" t="str">
        <f>IF(AND(ISNUMBER(SEARCH(O1005,4)),ISNUMBER(SEARCH('(4) FCH pathway assessment'!$B$16,AB1005)),ISNUMBER(SEARCH('(4) FCH pathway assessment'!$B$10,AA1005))),AD1005,"")</f>
        <v/>
      </c>
      <c r="AF1005" t="str">
        <f t="shared" si="2942"/>
        <v/>
      </c>
      <c r="AG1005" t="str">
        <f>VLOOKUP(C1005,Assumptions!$B$116:$C$162,2,FALSE)</f>
        <v>ELCTRLYZ_LRG_C</v>
      </c>
      <c r="AH1005" t="str">
        <f>VLOOKUP(D1005,Assumptions!$B$116:$C$162,2,FALSE)</f>
        <v>C_UNDRGRND_STRG</v>
      </c>
      <c r="AI1005" t="str">
        <f>VLOOKUP(E1005,Assumptions!$B$116:$C$162,2,FALSE)</f>
        <v>H2_T&amp;D_P</v>
      </c>
      <c r="AJ1005" t="str">
        <f>VLOOKUP(F1005,Assumptions!$B$116:$C$162,2,FALSE)</f>
        <v>H2_OCGT_PWR</v>
      </c>
    </row>
    <row r="1006" spans="2:36" x14ac:dyDescent="0.25">
      <c r="B1006" t="s">
        <v>112</v>
      </c>
      <c r="C1006" t="s">
        <v>49</v>
      </c>
      <c r="D1006" t="s">
        <v>62</v>
      </c>
      <c r="E1006" t="s">
        <v>116</v>
      </c>
      <c r="F1006" t="s">
        <v>162</v>
      </c>
      <c r="G1006" t="s">
        <v>114</v>
      </c>
      <c r="H1006" t="s">
        <v>433</v>
      </c>
      <c r="I1006" t="s">
        <v>32</v>
      </c>
      <c r="J1006" t="s">
        <v>77</v>
      </c>
      <c r="K1006">
        <f t="shared" si="3041"/>
        <v>1</v>
      </c>
      <c r="L1006">
        <f t="shared" si="3042"/>
        <v>0</v>
      </c>
      <c r="M1006">
        <f t="shared" si="3043"/>
        <v>1</v>
      </c>
      <c r="N1006">
        <f t="shared" si="3044"/>
        <v>0</v>
      </c>
      <c r="O1006">
        <f t="shared" si="3045"/>
        <v>2</v>
      </c>
      <c r="P1006" t="str">
        <f t="shared" si="3046"/>
        <v>Large centralized electrolysis-Marginal abatement cost</v>
      </c>
      <c r="Q1006" t="str">
        <f t="shared" si="3047"/>
        <v>Underground storage-Marginal abatement cost</v>
      </c>
      <c r="R1006" t="str">
        <f t="shared" si="3048"/>
        <v>Liquid hydrogen truck-Marginal abatement cost</v>
      </c>
      <c r="S1006" t="str">
        <f t="shared" si="3049"/>
        <v>Hydrogen turbine (OC)-Marginal abatement cost</v>
      </c>
      <c r="T1006">
        <f>IFERROR(VLOOKUP($P1006,'TA database'!$I$8:$J$79,2,FALSE),0)</f>
        <v>0</v>
      </c>
      <c r="U1006">
        <f>IFERROR(VLOOKUP($Q1006,'TA database'!$I$86:$J$105,2,FALSE),0)</f>
        <v>0</v>
      </c>
      <c r="V1006">
        <f>IFERROR(VLOOKUP($R1006,'TA database'!$I$112:$J$139,2,FALSE),0)</f>
        <v>0</v>
      </c>
      <c r="W1006">
        <f>IFERROR(VLOOKUP($S1006,'TA database'!$I$146:$J$193,2,FALSE),0)</f>
        <v>0</v>
      </c>
      <c r="X1006">
        <f ca="1">IFERROR(VLOOKUP($S1006,'TA database'!$I$200:$J$271,2,FALSE),0)</f>
        <v>-3.6295604090846156</v>
      </c>
      <c r="Y1006" s="59">
        <f t="shared" ca="1" si="3050"/>
        <v>-3.6295604090846156</v>
      </c>
      <c r="Z1006" t="str">
        <f t="shared" si="3051"/>
        <v>ELCTRLYZ_LRG_C   →   C_UNDRGRND_STRG   →   LQ_TRUCK   →   H2_OCGT_PWR</v>
      </c>
      <c r="AA1006" t="str">
        <f t="shared" si="3052"/>
        <v>Grid electricity</v>
      </c>
      <c r="AB1006" t="str">
        <f t="shared" si="3053"/>
        <v>Marginal abatement cost</v>
      </c>
      <c r="AC1006">
        <f t="shared" ca="1" si="3054"/>
        <v>-3.6295604090846156</v>
      </c>
      <c r="AD1006">
        <v>947</v>
      </c>
      <c r="AE1006" t="str">
        <f>IF(AND(ISNUMBER(SEARCH(O1006,4)),ISNUMBER(SEARCH('(4) FCH pathway assessment'!$B$16,AB1006)),ISNUMBER(SEARCH('(4) FCH pathway assessment'!$B$10,AA1006))),AD1006,"")</f>
        <v/>
      </c>
      <c r="AF1006" t="str">
        <f t="shared" si="2942"/>
        <v/>
      </c>
      <c r="AG1006" t="str">
        <f>VLOOKUP(C1006,Assumptions!$B$116:$C$162,2,FALSE)</f>
        <v>ELCTRLYZ_LRG_C</v>
      </c>
      <c r="AH1006" t="str">
        <f>VLOOKUP(D1006,Assumptions!$B$116:$C$162,2,FALSE)</f>
        <v>C_UNDRGRND_STRG</v>
      </c>
      <c r="AI1006" t="str">
        <f>VLOOKUP(E1006,Assumptions!$B$116:$C$162,2,FALSE)</f>
        <v>LQ_TRUCK</v>
      </c>
      <c r="AJ1006" t="str">
        <f>VLOOKUP(F1006,Assumptions!$B$116:$C$162,2,FALSE)</f>
        <v>H2_OCGT_PWR</v>
      </c>
    </row>
    <row r="1007" spans="2:36" x14ac:dyDescent="0.25">
      <c r="B1007" t="s">
        <v>112</v>
      </c>
      <c r="C1007" t="s">
        <v>49</v>
      </c>
      <c r="D1007" t="s">
        <v>62</v>
      </c>
      <c r="E1007" t="s">
        <v>66</v>
      </c>
      <c r="F1007" t="s">
        <v>162</v>
      </c>
      <c r="G1007" t="s">
        <v>114</v>
      </c>
      <c r="H1007" t="s">
        <v>433</v>
      </c>
      <c r="I1007" t="s">
        <v>32</v>
      </c>
      <c r="J1007" t="s">
        <v>77</v>
      </c>
      <c r="K1007">
        <f t="shared" si="3041"/>
        <v>1</v>
      </c>
      <c r="L1007">
        <f t="shared" si="3042"/>
        <v>0</v>
      </c>
      <c r="M1007">
        <f t="shared" si="3043"/>
        <v>1</v>
      </c>
      <c r="N1007">
        <f t="shared" si="3044"/>
        <v>0</v>
      </c>
      <c r="O1007">
        <f t="shared" si="3045"/>
        <v>2</v>
      </c>
      <c r="P1007" t="str">
        <f t="shared" si="3046"/>
        <v>Large centralized electrolysis-Marginal abatement cost</v>
      </c>
      <c r="Q1007" t="str">
        <f t="shared" si="3047"/>
        <v>Underground storage-Marginal abatement cost</v>
      </c>
      <c r="R1007" t="str">
        <f t="shared" si="3048"/>
        <v>Onsite-Marginal abatement cost</v>
      </c>
      <c r="S1007" t="str">
        <f t="shared" si="3049"/>
        <v>Hydrogen turbine (OC)-Marginal abatement cost</v>
      </c>
      <c r="T1007">
        <f>IFERROR(VLOOKUP($P1007,'TA database'!$I$8:$J$79,2,FALSE),0)</f>
        <v>0</v>
      </c>
      <c r="U1007">
        <f>IFERROR(VLOOKUP($Q1007,'TA database'!$I$86:$J$105,2,FALSE),0)</f>
        <v>0</v>
      </c>
      <c r="V1007">
        <f>IFERROR(VLOOKUP($R1007,'TA database'!$I$112:$J$139,2,FALSE),0)</f>
        <v>0</v>
      </c>
      <c r="W1007">
        <f>IFERROR(VLOOKUP($S1007,'TA database'!$I$146:$J$193,2,FALSE),0)</f>
        <v>0</v>
      </c>
      <c r="X1007">
        <f ca="1">IFERROR(VLOOKUP($S1007,'TA database'!$I$200:$J$271,2,FALSE),0)</f>
        <v>-3.6295604090846156</v>
      </c>
      <c r="Y1007" s="59">
        <f t="shared" ca="1" si="3050"/>
        <v>-3.6295604090846156</v>
      </c>
      <c r="Z1007" t="str">
        <f t="shared" si="3051"/>
        <v>ELCTRLYZ_LRG_C   →   C_UNDRGRND_STRG   →   ONSITE_USE   →   H2_OCGT_PWR</v>
      </c>
      <c r="AA1007" t="str">
        <f t="shared" si="3052"/>
        <v>Grid electricity</v>
      </c>
      <c r="AB1007" t="str">
        <f t="shared" si="3053"/>
        <v>Marginal abatement cost</v>
      </c>
      <c r="AC1007">
        <f t="shared" ca="1" si="3054"/>
        <v>-3.6295604090846156</v>
      </c>
      <c r="AD1007">
        <v>948</v>
      </c>
      <c r="AE1007" t="str">
        <f>IF(AND(ISNUMBER(SEARCH(O1007,4)),ISNUMBER(SEARCH('(4) FCH pathway assessment'!$B$16,AB1007)),ISNUMBER(SEARCH('(4) FCH pathway assessment'!$B$10,AA1007))),AD1007,"")</f>
        <v/>
      </c>
      <c r="AF1007" t="str">
        <f t="shared" si="2942"/>
        <v/>
      </c>
      <c r="AG1007" t="str">
        <f>VLOOKUP(C1007,Assumptions!$B$116:$C$162,2,FALSE)</f>
        <v>ELCTRLYZ_LRG_C</v>
      </c>
      <c r="AH1007" t="str">
        <f>VLOOKUP(D1007,Assumptions!$B$116:$C$162,2,FALSE)</f>
        <v>C_UNDRGRND_STRG</v>
      </c>
      <c r="AI1007" t="str">
        <f>VLOOKUP(E1007,Assumptions!$B$116:$C$162,2,FALSE)</f>
        <v>ONSITE_USE</v>
      </c>
      <c r="AJ1007" t="str">
        <f>VLOOKUP(F1007,Assumptions!$B$116:$C$162,2,FALSE)</f>
        <v>H2_OCGT_PWR</v>
      </c>
    </row>
    <row r="1008" spans="2:36" x14ac:dyDescent="0.25">
      <c r="B1008" t="s">
        <v>112</v>
      </c>
      <c r="C1008" t="s">
        <v>49</v>
      </c>
      <c r="D1008" t="s">
        <v>155</v>
      </c>
      <c r="E1008" t="s">
        <v>157</v>
      </c>
      <c r="F1008" t="s">
        <v>162</v>
      </c>
      <c r="G1008" t="s">
        <v>114</v>
      </c>
      <c r="H1008" t="s">
        <v>433</v>
      </c>
      <c r="I1008" t="s">
        <v>32</v>
      </c>
      <c r="J1008" t="s">
        <v>77</v>
      </c>
      <c r="K1008">
        <f t="shared" si="3041"/>
        <v>1</v>
      </c>
      <c r="L1008">
        <f t="shared" si="3042"/>
        <v>1</v>
      </c>
      <c r="M1008">
        <f t="shared" si="3043"/>
        <v>0</v>
      </c>
      <c r="N1008">
        <f t="shared" si="3044"/>
        <v>0</v>
      </c>
      <c r="O1008">
        <f t="shared" si="3045"/>
        <v>2</v>
      </c>
      <c r="P1008" t="str">
        <f t="shared" si="3046"/>
        <v>Large centralized electrolysis-Marginal abatement cost</v>
      </c>
      <c r="Q1008" t="str">
        <f t="shared" si="3047"/>
        <v>Central gas storage-Marginal abatement cost</v>
      </c>
      <c r="R1008" t="str">
        <f t="shared" si="3048"/>
        <v>Blending in natural gas pipeline-Marginal abatement cost</v>
      </c>
      <c r="S1008" t="str">
        <f t="shared" si="3049"/>
        <v>Hydrogen turbine (OC)-Marginal abatement cost</v>
      </c>
      <c r="T1008">
        <f>IFERROR(VLOOKUP($P1008,'TA database'!$I$8:$J$79,2,FALSE),0)</f>
        <v>0</v>
      </c>
      <c r="U1008">
        <f>IFERROR(VLOOKUP($Q1008,'TA database'!$I$86:$J$105,2,FALSE),0)</f>
        <v>0</v>
      </c>
      <c r="V1008">
        <f>IFERROR(VLOOKUP($R1008,'TA database'!$I$112:$J$139,2,FALSE),0)</f>
        <v>0</v>
      </c>
      <c r="W1008">
        <f>IFERROR(VLOOKUP($S1008,'TA database'!$I$146:$J$193,2,FALSE),0)</f>
        <v>0</v>
      </c>
      <c r="X1008">
        <f ca="1">IFERROR(VLOOKUP($S1008,'TA database'!$I$200:$J$271,2,FALSE),0)</f>
        <v>-3.6295604090846156</v>
      </c>
      <c r="Y1008" s="59">
        <f t="shared" ca="1" si="3050"/>
        <v>-3.6295604090846156</v>
      </c>
      <c r="Z1008" t="str">
        <f t="shared" si="3051"/>
        <v>ELCTRLYZ_LRG_C   →   C_GAS_STRG   →   H2_BLND_NG_P   →   H2_OCGT_PWR</v>
      </c>
      <c r="AA1008" t="str">
        <f t="shared" si="3052"/>
        <v>Grid electricity</v>
      </c>
      <c r="AB1008" t="str">
        <f t="shared" si="3053"/>
        <v>Marginal abatement cost</v>
      </c>
      <c r="AC1008">
        <f t="shared" ca="1" si="3054"/>
        <v>-3.6295604090846156</v>
      </c>
      <c r="AD1008">
        <v>949</v>
      </c>
      <c r="AE1008" t="str">
        <f>IF(AND(ISNUMBER(SEARCH(O1008,4)),ISNUMBER(SEARCH('(4) FCH pathway assessment'!$B$16,AB1008)),ISNUMBER(SEARCH('(4) FCH pathway assessment'!$B$10,AA1008))),AD1008,"")</f>
        <v/>
      </c>
      <c r="AF1008" t="str">
        <f t="shared" si="2942"/>
        <v/>
      </c>
      <c r="AG1008" t="str">
        <f>VLOOKUP(C1008,Assumptions!$B$116:$C$162,2,FALSE)</f>
        <v>ELCTRLYZ_LRG_C</v>
      </c>
      <c r="AH1008" t="str">
        <f>VLOOKUP(D1008,Assumptions!$B$116:$C$162,2,FALSE)</f>
        <v>C_GAS_STRG</v>
      </c>
      <c r="AI1008" t="str">
        <f>VLOOKUP(E1008,Assumptions!$B$116:$C$162,2,FALSE)</f>
        <v>H2_BLND_NG_P</v>
      </c>
      <c r="AJ1008" t="str">
        <f>VLOOKUP(F1008,Assumptions!$B$116:$C$162,2,FALSE)</f>
        <v>H2_OCGT_PWR</v>
      </c>
    </row>
    <row r="1009" spans="2:36" x14ac:dyDescent="0.25">
      <c r="B1009" t="s">
        <v>112</v>
      </c>
      <c r="C1009" t="s">
        <v>49</v>
      </c>
      <c r="D1009" t="s">
        <v>155</v>
      </c>
      <c r="E1009" t="s">
        <v>122</v>
      </c>
      <c r="F1009" t="s">
        <v>162</v>
      </c>
      <c r="G1009" t="s">
        <v>114</v>
      </c>
      <c r="H1009" t="s">
        <v>433</v>
      </c>
      <c r="I1009" t="s">
        <v>32</v>
      </c>
      <c r="J1009" t="s">
        <v>77</v>
      </c>
      <c r="K1009">
        <f t="shared" si="3041"/>
        <v>1</v>
      </c>
      <c r="L1009">
        <f t="shared" si="3042"/>
        <v>1</v>
      </c>
      <c r="M1009">
        <f t="shared" si="3043"/>
        <v>1</v>
      </c>
      <c r="N1009">
        <f t="shared" si="3044"/>
        <v>0</v>
      </c>
      <c r="O1009">
        <f t="shared" si="3045"/>
        <v>3</v>
      </c>
      <c r="P1009" t="str">
        <f t="shared" si="3046"/>
        <v>Large centralized electrolysis-Marginal abatement cost</v>
      </c>
      <c r="Q1009" t="str">
        <f t="shared" si="3047"/>
        <v>Central gas storage-Marginal abatement cost</v>
      </c>
      <c r="R1009" t="str">
        <f t="shared" si="3048"/>
        <v>Hydrogen transmission &amp; distribution pipeline-Marginal abatement cost</v>
      </c>
      <c r="S1009" t="str">
        <f t="shared" si="3049"/>
        <v>Hydrogen turbine (OC)-Marginal abatement cost</v>
      </c>
      <c r="T1009">
        <f>IFERROR(VLOOKUP($P1009,'TA database'!$I$8:$J$79,2,FALSE),0)</f>
        <v>0</v>
      </c>
      <c r="U1009">
        <f>IFERROR(VLOOKUP($Q1009,'TA database'!$I$86:$J$105,2,FALSE),0)</f>
        <v>0</v>
      </c>
      <c r="V1009">
        <f>IFERROR(VLOOKUP($R1009,'TA database'!$I$112:$J$139,2,FALSE),0)</f>
        <v>0</v>
      </c>
      <c r="W1009">
        <f>IFERROR(VLOOKUP($S1009,'TA database'!$I$146:$J$193,2,FALSE),0)</f>
        <v>0</v>
      </c>
      <c r="X1009">
        <f ca="1">IFERROR(VLOOKUP($S1009,'TA database'!$I$200:$J$271,2,FALSE),0)</f>
        <v>-3.6295604090846156</v>
      </c>
      <c r="Y1009" s="59">
        <f t="shared" ca="1" si="3050"/>
        <v>-3.6295604090846156</v>
      </c>
      <c r="Z1009" t="str">
        <f t="shared" si="3051"/>
        <v>ELCTRLYZ_LRG_C   →   C_GAS_STRG   →   H2_T&amp;D_P   →   H2_OCGT_PWR</v>
      </c>
      <c r="AA1009" t="str">
        <f t="shared" si="3052"/>
        <v>Grid electricity</v>
      </c>
      <c r="AB1009" t="str">
        <f t="shared" si="3053"/>
        <v>Marginal abatement cost</v>
      </c>
      <c r="AC1009">
        <f t="shared" ca="1" si="3054"/>
        <v>-3.6295604090846156</v>
      </c>
      <c r="AD1009">
        <v>950</v>
      </c>
      <c r="AE1009" t="str">
        <f>IF(AND(ISNUMBER(SEARCH(O1009,4)),ISNUMBER(SEARCH('(4) FCH pathway assessment'!$B$16,AB1009)),ISNUMBER(SEARCH('(4) FCH pathway assessment'!$B$10,AA1009))),AD1009,"")</f>
        <v/>
      </c>
      <c r="AF1009" t="str">
        <f t="shared" si="2942"/>
        <v/>
      </c>
      <c r="AG1009" t="str">
        <f>VLOOKUP(C1009,Assumptions!$B$116:$C$162,2,FALSE)</f>
        <v>ELCTRLYZ_LRG_C</v>
      </c>
      <c r="AH1009" t="str">
        <f>VLOOKUP(D1009,Assumptions!$B$116:$C$162,2,FALSE)</f>
        <v>C_GAS_STRG</v>
      </c>
      <c r="AI1009" t="str">
        <f>VLOOKUP(E1009,Assumptions!$B$116:$C$162,2,FALSE)</f>
        <v>H2_T&amp;D_P</v>
      </c>
      <c r="AJ1009" t="str">
        <f>VLOOKUP(F1009,Assumptions!$B$116:$C$162,2,FALSE)</f>
        <v>H2_OCGT_PWR</v>
      </c>
    </row>
    <row r="1010" spans="2:36" x14ac:dyDescent="0.25">
      <c r="B1010" t="s">
        <v>112</v>
      </c>
      <c r="C1010" t="s">
        <v>49</v>
      </c>
      <c r="D1010" t="s">
        <v>155</v>
      </c>
      <c r="E1010" t="s">
        <v>116</v>
      </c>
      <c r="F1010" t="s">
        <v>162</v>
      </c>
      <c r="G1010" t="s">
        <v>114</v>
      </c>
      <c r="H1010" t="s">
        <v>433</v>
      </c>
      <c r="I1010" t="s">
        <v>32</v>
      </c>
      <c r="J1010" t="s">
        <v>77</v>
      </c>
      <c r="K1010">
        <f t="shared" si="3041"/>
        <v>1</v>
      </c>
      <c r="L1010">
        <f t="shared" si="3042"/>
        <v>1</v>
      </c>
      <c r="M1010">
        <f t="shared" si="3043"/>
        <v>1</v>
      </c>
      <c r="N1010">
        <f t="shared" si="3044"/>
        <v>0</v>
      </c>
      <c r="O1010">
        <f t="shared" si="3045"/>
        <v>3</v>
      </c>
      <c r="P1010" t="str">
        <f t="shared" si="3046"/>
        <v>Large centralized electrolysis-Marginal abatement cost</v>
      </c>
      <c r="Q1010" t="str">
        <f t="shared" si="3047"/>
        <v>Central gas storage-Marginal abatement cost</v>
      </c>
      <c r="R1010" t="str">
        <f t="shared" si="3048"/>
        <v>Liquid hydrogen truck-Marginal abatement cost</v>
      </c>
      <c r="S1010" t="str">
        <f t="shared" si="3049"/>
        <v>Hydrogen turbine (OC)-Marginal abatement cost</v>
      </c>
      <c r="T1010">
        <f>IFERROR(VLOOKUP($P1010,'TA database'!$I$8:$J$79,2,FALSE),0)</f>
        <v>0</v>
      </c>
      <c r="U1010">
        <f>IFERROR(VLOOKUP($Q1010,'TA database'!$I$86:$J$105,2,FALSE),0)</f>
        <v>0</v>
      </c>
      <c r="V1010">
        <f>IFERROR(VLOOKUP($R1010,'TA database'!$I$112:$J$139,2,FALSE),0)</f>
        <v>0</v>
      </c>
      <c r="W1010">
        <f>IFERROR(VLOOKUP($S1010,'TA database'!$I$146:$J$193,2,FALSE),0)</f>
        <v>0</v>
      </c>
      <c r="X1010">
        <f ca="1">IFERROR(VLOOKUP($S1010,'TA database'!$I$200:$J$271,2,FALSE),0)</f>
        <v>-3.6295604090846156</v>
      </c>
      <c r="Y1010" s="59">
        <f t="shared" ca="1" si="3050"/>
        <v>-3.6295604090846156</v>
      </c>
      <c r="Z1010" t="str">
        <f t="shared" si="3051"/>
        <v>ELCTRLYZ_LRG_C   →   C_GAS_STRG   →   LQ_TRUCK   →   H2_OCGT_PWR</v>
      </c>
      <c r="AA1010" t="str">
        <f t="shared" si="3052"/>
        <v>Grid electricity</v>
      </c>
      <c r="AB1010" t="str">
        <f t="shared" si="3053"/>
        <v>Marginal abatement cost</v>
      </c>
      <c r="AC1010">
        <f t="shared" ca="1" si="3054"/>
        <v>-3.6295604090846156</v>
      </c>
      <c r="AD1010">
        <v>951</v>
      </c>
      <c r="AE1010" t="str">
        <f>IF(AND(ISNUMBER(SEARCH(O1010,4)),ISNUMBER(SEARCH('(4) FCH pathway assessment'!$B$16,AB1010)),ISNUMBER(SEARCH('(4) FCH pathway assessment'!$B$10,AA1010))),AD1010,"")</f>
        <v/>
      </c>
      <c r="AF1010" t="str">
        <f t="shared" si="2942"/>
        <v/>
      </c>
      <c r="AG1010" t="str">
        <f>VLOOKUP(C1010,Assumptions!$B$116:$C$162,2,FALSE)</f>
        <v>ELCTRLYZ_LRG_C</v>
      </c>
      <c r="AH1010" t="str">
        <f>VLOOKUP(D1010,Assumptions!$B$116:$C$162,2,FALSE)</f>
        <v>C_GAS_STRG</v>
      </c>
      <c r="AI1010" t="str">
        <f>VLOOKUP(E1010,Assumptions!$B$116:$C$162,2,FALSE)</f>
        <v>LQ_TRUCK</v>
      </c>
      <c r="AJ1010" t="str">
        <f>VLOOKUP(F1010,Assumptions!$B$116:$C$162,2,FALSE)</f>
        <v>H2_OCGT_PWR</v>
      </c>
    </row>
    <row r="1011" spans="2:36" x14ac:dyDescent="0.25">
      <c r="B1011" t="s">
        <v>112</v>
      </c>
      <c r="C1011" t="s">
        <v>49</v>
      </c>
      <c r="D1011" t="s">
        <v>155</v>
      </c>
      <c r="E1011" t="s">
        <v>66</v>
      </c>
      <c r="F1011" t="s">
        <v>162</v>
      </c>
      <c r="G1011" t="s">
        <v>114</v>
      </c>
      <c r="H1011" t="s">
        <v>433</v>
      </c>
      <c r="I1011" t="s">
        <v>32</v>
      </c>
      <c r="J1011" t="s">
        <v>77</v>
      </c>
      <c r="K1011">
        <f t="shared" si="3041"/>
        <v>1</v>
      </c>
      <c r="L1011">
        <f t="shared" si="3042"/>
        <v>1</v>
      </c>
      <c r="M1011">
        <f t="shared" si="3043"/>
        <v>1</v>
      </c>
      <c r="N1011">
        <f t="shared" si="3044"/>
        <v>0</v>
      </c>
      <c r="O1011">
        <f t="shared" si="3045"/>
        <v>3</v>
      </c>
      <c r="P1011" t="str">
        <f t="shared" si="3046"/>
        <v>Large centralized electrolysis-Marginal abatement cost</v>
      </c>
      <c r="Q1011" t="str">
        <f t="shared" si="3047"/>
        <v>Central gas storage-Marginal abatement cost</v>
      </c>
      <c r="R1011" t="str">
        <f t="shared" si="3048"/>
        <v>Onsite-Marginal abatement cost</v>
      </c>
      <c r="S1011" t="str">
        <f t="shared" si="3049"/>
        <v>Hydrogen turbine (OC)-Marginal abatement cost</v>
      </c>
      <c r="T1011">
        <f>IFERROR(VLOOKUP($P1011,'TA database'!$I$8:$J$79,2,FALSE),0)</f>
        <v>0</v>
      </c>
      <c r="U1011">
        <f>IFERROR(VLOOKUP($Q1011,'TA database'!$I$86:$J$105,2,FALSE),0)</f>
        <v>0</v>
      </c>
      <c r="V1011">
        <f>IFERROR(VLOOKUP($R1011,'TA database'!$I$112:$J$139,2,FALSE),0)</f>
        <v>0</v>
      </c>
      <c r="W1011">
        <f>IFERROR(VLOOKUP($S1011,'TA database'!$I$146:$J$193,2,FALSE),0)</f>
        <v>0</v>
      </c>
      <c r="X1011">
        <f ca="1">IFERROR(VLOOKUP($S1011,'TA database'!$I$200:$J$271,2,FALSE),0)</f>
        <v>-3.6295604090846156</v>
      </c>
      <c r="Y1011" s="59">
        <f t="shared" ca="1" si="3050"/>
        <v>-3.6295604090846156</v>
      </c>
      <c r="Z1011" t="str">
        <f t="shared" si="3051"/>
        <v>ELCTRLYZ_LRG_C   →   C_GAS_STRG   →   ONSITE_USE   →   H2_OCGT_PWR</v>
      </c>
      <c r="AA1011" t="str">
        <f t="shared" si="3052"/>
        <v>Grid electricity</v>
      </c>
      <c r="AB1011" t="str">
        <f t="shared" si="3053"/>
        <v>Marginal abatement cost</v>
      </c>
      <c r="AC1011">
        <f t="shared" ca="1" si="3054"/>
        <v>-3.6295604090846156</v>
      </c>
      <c r="AD1011">
        <v>952</v>
      </c>
      <c r="AE1011" t="str">
        <f>IF(AND(ISNUMBER(SEARCH(O1011,4)),ISNUMBER(SEARCH('(4) FCH pathway assessment'!$B$16,AB1011)),ISNUMBER(SEARCH('(4) FCH pathway assessment'!$B$10,AA1011))),AD1011,"")</f>
        <v/>
      </c>
      <c r="AF1011" t="str">
        <f t="shared" si="2942"/>
        <v/>
      </c>
      <c r="AG1011" t="str">
        <f>VLOOKUP(C1011,Assumptions!$B$116:$C$162,2,FALSE)</f>
        <v>ELCTRLYZ_LRG_C</v>
      </c>
      <c r="AH1011" t="str">
        <f>VLOOKUP(D1011,Assumptions!$B$116:$C$162,2,FALSE)</f>
        <v>C_GAS_STRG</v>
      </c>
      <c r="AI1011" t="str">
        <f>VLOOKUP(E1011,Assumptions!$B$116:$C$162,2,FALSE)</f>
        <v>ONSITE_USE</v>
      </c>
      <c r="AJ1011" t="str">
        <f>VLOOKUP(F1011,Assumptions!$B$116:$C$162,2,FALSE)</f>
        <v>H2_OCGT_PWR</v>
      </c>
    </row>
    <row r="1012" spans="2:36" x14ac:dyDescent="0.25">
      <c r="B1012" t="s">
        <v>112</v>
      </c>
      <c r="C1012" t="s">
        <v>51</v>
      </c>
      <c r="D1012" t="s">
        <v>155</v>
      </c>
      <c r="E1012" t="s">
        <v>157</v>
      </c>
      <c r="F1012" t="s">
        <v>162</v>
      </c>
      <c r="G1012" t="s">
        <v>114</v>
      </c>
      <c r="H1012" t="s">
        <v>433</v>
      </c>
      <c r="I1012" t="s">
        <v>32</v>
      </c>
      <c r="J1012" t="s">
        <v>77</v>
      </c>
      <c r="K1012">
        <f t="shared" ref="K1012:K1016" si="3055">SUMPRODUCT(($C$7:$C$18=$C1012)*($D$6:$H$6=$D1012)*($D$7:$H$18))</f>
        <v>1</v>
      </c>
      <c r="L1012">
        <f t="shared" ref="L1012:L1016" si="3056">SUMPRODUCT(($C$19:$C$23=$D1012)*($I$6:$O$6=$E1012)*($I$19:$O$23))</f>
        <v>1</v>
      </c>
      <c r="M1012">
        <f t="shared" ref="M1012:M1016" si="3057">SUMPRODUCT(($C$24:$C$30=$E1012)*($P$6:$AI$6=$F1012)*($P$24:$AI$30))</f>
        <v>0</v>
      </c>
      <c r="N1012">
        <f t="shared" ref="N1012:N1016" si="3058">SUMPRODUCT(($C$31:$C$50=$F1012)*($AJ$6:$AM$6=$G1012)*($AJ$31:$AM$50))</f>
        <v>0</v>
      </c>
      <c r="O1012">
        <f t="shared" ref="O1012:O1016" si="3059">K1012+L1012+M1012+N1012</f>
        <v>2</v>
      </c>
      <c r="P1012" t="str">
        <f t="shared" ref="P1012:P1016" si="3060">CONCATENATE(C1012,"-",J1012)</f>
        <v>Medium centralized electrolysis-Marginal abatement cost</v>
      </c>
      <c r="Q1012" t="str">
        <f t="shared" ref="Q1012:Q1016" si="3061">CONCATENATE(D1012,"-",J1012)</f>
        <v>Central gas storage-Marginal abatement cost</v>
      </c>
      <c r="R1012" t="str">
        <f t="shared" ref="R1012:R1016" si="3062">CONCATENATE(E1012,"-",J1012)</f>
        <v>Blending in natural gas pipeline-Marginal abatement cost</v>
      </c>
      <c r="S1012" t="str">
        <f t="shared" ref="S1012:S1016" si="3063">CONCATENATE(F1012,"-",J1012)</f>
        <v>Hydrogen turbine (OC)-Marginal abatement cost</v>
      </c>
      <c r="T1012">
        <f>IFERROR(VLOOKUP($P1012,'TA database'!$I$8:$J$79,2,FALSE),0)</f>
        <v>0</v>
      </c>
      <c r="U1012">
        <f>IFERROR(VLOOKUP($Q1012,'TA database'!$I$86:$J$105,2,FALSE),0)</f>
        <v>0</v>
      </c>
      <c r="V1012">
        <f>IFERROR(VLOOKUP($R1012,'TA database'!$I$112:$J$139,2,FALSE),0)</f>
        <v>0</v>
      </c>
      <c r="W1012">
        <f>IFERROR(VLOOKUP($S1012,'TA database'!$I$146:$J$193,2,FALSE),0)</f>
        <v>0</v>
      </c>
      <c r="X1012">
        <f ca="1">IFERROR(VLOOKUP($S1012,'TA database'!$I$200:$J$271,2,FALSE),0)</f>
        <v>-3.6295604090846156</v>
      </c>
      <c r="Y1012" s="59">
        <f t="shared" ref="Y1012:Y1016" ca="1" si="3064">IF($W1012=0,T1012+U1012+V1012+X1012,T1012+U1012+V1012+W1012)</f>
        <v>-3.6295604090846156</v>
      </c>
      <c r="Z1012" t="str">
        <f t="shared" ref="Z1012:Z1016" si="3065">CONCATENATE(AG1012,"   →   ",AH1012,"   →   ",AI1012,"   →   ",AJ1012)</f>
        <v>ELCTRLYZ_MED_C   →   C_GAS_STRG   →   H2_BLND_NG_P   →   H2_OCGT_PWR</v>
      </c>
      <c r="AA1012" t="str">
        <f t="shared" ref="AA1012:AA1016" si="3066">G1012</f>
        <v>Grid electricity</v>
      </c>
      <c r="AB1012" t="str">
        <f t="shared" ref="AB1012:AB1016" si="3067">J1012</f>
        <v>Marginal abatement cost</v>
      </c>
      <c r="AC1012">
        <f t="shared" ref="AC1012:AC1016" ca="1" si="3068">Y1012</f>
        <v>-3.6295604090846156</v>
      </c>
      <c r="AD1012">
        <v>953</v>
      </c>
      <c r="AE1012" t="str">
        <f>IF(AND(ISNUMBER(SEARCH(O1012,4)),ISNUMBER(SEARCH('(4) FCH pathway assessment'!$B$16,AB1012)),ISNUMBER(SEARCH('(4) FCH pathway assessment'!$B$10,AA1012))),AD1012,"")</f>
        <v/>
      </c>
      <c r="AF1012" t="str">
        <f t="shared" si="2942"/>
        <v/>
      </c>
      <c r="AG1012" t="str">
        <f>VLOOKUP(C1012,Assumptions!$B$116:$C$162,2,FALSE)</f>
        <v>ELCTRLYZ_MED_C</v>
      </c>
      <c r="AH1012" t="str">
        <f>VLOOKUP(D1012,Assumptions!$B$116:$C$162,2,FALSE)</f>
        <v>C_GAS_STRG</v>
      </c>
      <c r="AI1012" t="str">
        <f>VLOOKUP(E1012,Assumptions!$B$116:$C$162,2,FALSE)</f>
        <v>H2_BLND_NG_P</v>
      </c>
      <c r="AJ1012" t="str">
        <f>VLOOKUP(F1012,Assumptions!$B$116:$C$162,2,FALSE)</f>
        <v>H2_OCGT_PWR</v>
      </c>
    </row>
    <row r="1013" spans="2:36" x14ac:dyDescent="0.25">
      <c r="B1013" t="s">
        <v>112</v>
      </c>
      <c r="C1013" t="s">
        <v>51</v>
      </c>
      <c r="D1013" t="s">
        <v>155</v>
      </c>
      <c r="E1013" t="s">
        <v>122</v>
      </c>
      <c r="F1013" t="s">
        <v>162</v>
      </c>
      <c r="G1013" t="s">
        <v>114</v>
      </c>
      <c r="H1013" t="s">
        <v>433</v>
      </c>
      <c r="I1013" t="s">
        <v>32</v>
      </c>
      <c r="J1013" t="s">
        <v>77</v>
      </c>
      <c r="K1013">
        <f t="shared" si="3055"/>
        <v>1</v>
      </c>
      <c r="L1013">
        <f t="shared" si="3056"/>
        <v>1</v>
      </c>
      <c r="M1013">
        <f t="shared" si="3057"/>
        <v>1</v>
      </c>
      <c r="N1013">
        <f t="shared" si="3058"/>
        <v>0</v>
      </c>
      <c r="O1013">
        <f t="shared" si="3059"/>
        <v>3</v>
      </c>
      <c r="P1013" t="str">
        <f t="shared" si="3060"/>
        <v>Medium centralized electrolysis-Marginal abatement cost</v>
      </c>
      <c r="Q1013" t="str">
        <f t="shared" si="3061"/>
        <v>Central gas storage-Marginal abatement cost</v>
      </c>
      <c r="R1013" t="str">
        <f t="shared" si="3062"/>
        <v>Hydrogen transmission &amp; distribution pipeline-Marginal abatement cost</v>
      </c>
      <c r="S1013" t="str">
        <f t="shared" si="3063"/>
        <v>Hydrogen turbine (OC)-Marginal abatement cost</v>
      </c>
      <c r="T1013">
        <f>IFERROR(VLOOKUP($P1013,'TA database'!$I$8:$J$79,2,FALSE),0)</f>
        <v>0</v>
      </c>
      <c r="U1013">
        <f>IFERROR(VLOOKUP($Q1013,'TA database'!$I$86:$J$105,2,FALSE),0)</f>
        <v>0</v>
      </c>
      <c r="V1013">
        <f>IFERROR(VLOOKUP($R1013,'TA database'!$I$112:$J$139,2,FALSE),0)</f>
        <v>0</v>
      </c>
      <c r="W1013">
        <f>IFERROR(VLOOKUP($S1013,'TA database'!$I$146:$J$193,2,FALSE),0)</f>
        <v>0</v>
      </c>
      <c r="X1013">
        <f ca="1">IFERROR(VLOOKUP($S1013,'TA database'!$I$200:$J$271,2,FALSE),0)</f>
        <v>-3.6295604090846156</v>
      </c>
      <c r="Y1013" s="59">
        <f t="shared" ca="1" si="3064"/>
        <v>-3.6295604090846156</v>
      </c>
      <c r="Z1013" t="str">
        <f t="shared" si="3065"/>
        <v>ELCTRLYZ_MED_C   →   C_GAS_STRG   →   H2_T&amp;D_P   →   H2_OCGT_PWR</v>
      </c>
      <c r="AA1013" t="str">
        <f t="shared" si="3066"/>
        <v>Grid electricity</v>
      </c>
      <c r="AB1013" t="str">
        <f t="shared" si="3067"/>
        <v>Marginal abatement cost</v>
      </c>
      <c r="AC1013">
        <f t="shared" ca="1" si="3068"/>
        <v>-3.6295604090846156</v>
      </c>
      <c r="AD1013">
        <v>954</v>
      </c>
      <c r="AE1013" t="str">
        <f>IF(AND(ISNUMBER(SEARCH(O1013,4)),ISNUMBER(SEARCH('(4) FCH pathway assessment'!$B$16,AB1013)),ISNUMBER(SEARCH('(4) FCH pathway assessment'!$B$10,AA1013))),AD1013,"")</f>
        <v/>
      </c>
      <c r="AF1013" t="str">
        <f t="shared" si="2942"/>
        <v/>
      </c>
      <c r="AG1013" t="str">
        <f>VLOOKUP(C1013,Assumptions!$B$116:$C$162,2,FALSE)</f>
        <v>ELCTRLYZ_MED_C</v>
      </c>
      <c r="AH1013" t="str">
        <f>VLOOKUP(D1013,Assumptions!$B$116:$C$162,2,FALSE)</f>
        <v>C_GAS_STRG</v>
      </c>
      <c r="AI1013" t="str">
        <f>VLOOKUP(E1013,Assumptions!$B$116:$C$162,2,FALSE)</f>
        <v>H2_T&amp;D_P</v>
      </c>
      <c r="AJ1013" t="str">
        <f>VLOOKUP(F1013,Assumptions!$B$116:$C$162,2,FALSE)</f>
        <v>H2_OCGT_PWR</v>
      </c>
    </row>
    <row r="1014" spans="2:36" x14ac:dyDescent="0.25">
      <c r="B1014" t="s">
        <v>112</v>
      </c>
      <c r="C1014" t="s">
        <v>51</v>
      </c>
      <c r="D1014" t="s">
        <v>155</v>
      </c>
      <c r="E1014" t="s">
        <v>116</v>
      </c>
      <c r="F1014" t="s">
        <v>162</v>
      </c>
      <c r="G1014" t="s">
        <v>114</v>
      </c>
      <c r="H1014" t="s">
        <v>433</v>
      </c>
      <c r="I1014" t="s">
        <v>32</v>
      </c>
      <c r="J1014" t="s">
        <v>77</v>
      </c>
      <c r="K1014">
        <f t="shared" si="3055"/>
        <v>1</v>
      </c>
      <c r="L1014">
        <f t="shared" si="3056"/>
        <v>1</v>
      </c>
      <c r="M1014">
        <f t="shared" si="3057"/>
        <v>1</v>
      </c>
      <c r="N1014">
        <f t="shared" si="3058"/>
        <v>0</v>
      </c>
      <c r="O1014">
        <f t="shared" si="3059"/>
        <v>3</v>
      </c>
      <c r="P1014" t="str">
        <f t="shared" si="3060"/>
        <v>Medium centralized electrolysis-Marginal abatement cost</v>
      </c>
      <c r="Q1014" t="str">
        <f t="shared" si="3061"/>
        <v>Central gas storage-Marginal abatement cost</v>
      </c>
      <c r="R1014" t="str">
        <f t="shared" si="3062"/>
        <v>Liquid hydrogen truck-Marginal abatement cost</v>
      </c>
      <c r="S1014" t="str">
        <f t="shared" si="3063"/>
        <v>Hydrogen turbine (OC)-Marginal abatement cost</v>
      </c>
      <c r="T1014">
        <f>IFERROR(VLOOKUP($P1014,'TA database'!$I$8:$J$79,2,FALSE),0)</f>
        <v>0</v>
      </c>
      <c r="U1014">
        <f>IFERROR(VLOOKUP($Q1014,'TA database'!$I$86:$J$105,2,FALSE),0)</f>
        <v>0</v>
      </c>
      <c r="V1014">
        <f>IFERROR(VLOOKUP($R1014,'TA database'!$I$112:$J$139,2,FALSE),0)</f>
        <v>0</v>
      </c>
      <c r="W1014">
        <f>IFERROR(VLOOKUP($S1014,'TA database'!$I$146:$J$193,2,FALSE),0)</f>
        <v>0</v>
      </c>
      <c r="X1014">
        <f ca="1">IFERROR(VLOOKUP($S1014,'TA database'!$I$200:$J$271,2,FALSE),0)</f>
        <v>-3.6295604090846156</v>
      </c>
      <c r="Y1014" s="59">
        <f t="shared" ca="1" si="3064"/>
        <v>-3.6295604090846156</v>
      </c>
      <c r="Z1014" t="str">
        <f t="shared" si="3065"/>
        <v>ELCTRLYZ_MED_C   →   C_GAS_STRG   →   LQ_TRUCK   →   H2_OCGT_PWR</v>
      </c>
      <c r="AA1014" t="str">
        <f t="shared" si="3066"/>
        <v>Grid electricity</v>
      </c>
      <c r="AB1014" t="str">
        <f t="shared" si="3067"/>
        <v>Marginal abatement cost</v>
      </c>
      <c r="AC1014">
        <f t="shared" ca="1" si="3068"/>
        <v>-3.6295604090846156</v>
      </c>
      <c r="AD1014">
        <v>955</v>
      </c>
      <c r="AE1014" t="str">
        <f>IF(AND(ISNUMBER(SEARCH(O1014,4)),ISNUMBER(SEARCH('(4) FCH pathway assessment'!$B$16,AB1014)),ISNUMBER(SEARCH('(4) FCH pathway assessment'!$B$10,AA1014))),AD1014,"")</f>
        <v/>
      </c>
      <c r="AF1014" t="str">
        <f t="shared" si="2942"/>
        <v/>
      </c>
      <c r="AG1014" t="str">
        <f>VLOOKUP(C1014,Assumptions!$B$116:$C$162,2,FALSE)</f>
        <v>ELCTRLYZ_MED_C</v>
      </c>
      <c r="AH1014" t="str">
        <f>VLOOKUP(D1014,Assumptions!$B$116:$C$162,2,FALSE)</f>
        <v>C_GAS_STRG</v>
      </c>
      <c r="AI1014" t="str">
        <f>VLOOKUP(E1014,Assumptions!$B$116:$C$162,2,FALSE)</f>
        <v>LQ_TRUCK</v>
      </c>
      <c r="AJ1014" t="str">
        <f>VLOOKUP(F1014,Assumptions!$B$116:$C$162,2,FALSE)</f>
        <v>H2_OCGT_PWR</v>
      </c>
    </row>
    <row r="1015" spans="2:36" x14ac:dyDescent="0.25">
      <c r="B1015" t="s">
        <v>112</v>
      </c>
      <c r="C1015" t="s">
        <v>51</v>
      </c>
      <c r="D1015" t="s">
        <v>155</v>
      </c>
      <c r="E1015" t="s">
        <v>66</v>
      </c>
      <c r="F1015" t="s">
        <v>162</v>
      </c>
      <c r="G1015" t="s">
        <v>114</v>
      </c>
      <c r="H1015" t="s">
        <v>433</v>
      </c>
      <c r="I1015" t="s">
        <v>32</v>
      </c>
      <c r="J1015" t="s">
        <v>77</v>
      </c>
      <c r="K1015">
        <f t="shared" si="3055"/>
        <v>1</v>
      </c>
      <c r="L1015">
        <f t="shared" si="3056"/>
        <v>1</v>
      </c>
      <c r="M1015">
        <f t="shared" si="3057"/>
        <v>1</v>
      </c>
      <c r="N1015">
        <f t="shared" si="3058"/>
        <v>0</v>
      </c>
      <c r="O1015">
        <f t="shared" si="3059"/>
        <v>3</v>
      </c>
      <c r="P1015" t="str">
        <f t="shared" si="3060"/>
        <v>Medium centralized electrolysis-Marginal abatement cost</v>
      </c>
      <c r="Q1015" t="str">
        <f t="shared" si="3061"/>
        <v>Central gas storage-Marginal abatement cost</v>
      </c>
      <c r="R1015" t="str">
        <f t="shared" si="3062"/>
        <v>Onsite-Marginal abatement cost</v>
      </c>
      <c r="S1015" t="str">
        <f t="shared" si="3063"/>
        <v>Hydrogen turbine (OC)-Marginal abatement cost</v>
      </c>
      <c r="T1015">
        <f>IFERROR(VLOOKUP($P1015,'TA database'!$I$8:$J$79,2,FALSE),0)</f>
        <v>0</v>
      </c>
      <c r="U1015">
        <f>IFERROR(VLOOKUP($Q1015,'TA database'!$I$86:$J$105,2,FALSE),0)</f>
        <v>0</v>
      </c>
      <c r="V1015">
        <f>IFERROR(VLOOKUP($R1015,'TA database'!$I$112:$J$139,2,FALSE),0)</f>
        <v>0</v>
      </c>
      <c r="W1015">
        <f>IFERROR(VLOOKUP($S1015,'TA database'!$I$146:$J$193,2,FALSE),0)</f>
        <v>0</v>
      </c>
      <c r="X1015">
        <f ca="1">IFERROR(VLOOKUP($S1015,'TA database'!$I$200:$J$271,2,FALSE),0)</f>
        <v>-3.6295604090846156</v>
      </c>
      <c r="Y1015" s="59">
        <f t="shared" ca="1" si="3064"/>
        <v>-3.6295604090846156</v>
      </c>
      <c r="Z1015" t="str">
        <f t="shared" si="3065"/>
        <v>ELCTRLYZ_MED_C   →   C_GAS_STRG   →   ONSITE_USE   →   H2_OCGT_PWR</v>
      </c>
      <c r="AA1015" t="str">
        <f t="shared" si="3066"/>
        <v>Grid electricity</v>
      </c>
      <c r="AB1015" t="str">
        <f t="shared" si="3067"/>
        <v>Marginal abatement cost</v>
      </c>
      <c r="AC1015">
        <f t="shared" ca="1" si="3068"/>
        <v>-3.6295604090846156</v>
      </c>
      <c r="AD1015">
        <v>956</v>
      </c>
      <c r="AE1015" t="str">
        <f>IF(AND(ISNUMBER(SEARCH(O1015,4)),ISNUMBER(SEARCH('(4) FCH pathway assessment'!$B$16,AB1015)),ISNUMBER(SEARCH('(4) FCH pathway assessment'!$B$10,AA1015))),AD1015,"")</f>
        <v/>
      </c>
      <c r="AF1015" t="str">
        <f t="shared" si="2942"/>
        <v/>
      </c>
      <c r="AG1015" t="str">
        <f>VLOOKUP(C1015,Assumptions!$B$116:$C$162,2,FALSE)</f>
        <v>ELCTRLYZ_MED_C</v>
      </c>
      <c r="AH1015" t="str">
        <f>VLOOKUP(D1015,Assumptions!$B$116:$C$162,2,FALSE)</f>
        <v>C_GAS_STRG</v>
      </c>
      <c r="AI1015" t="str">
        <f>VLOOKUP(E1015,Assumptions!$B$116:$C$162,2,FALSE)</f>
        <v>ONSITE_USE</v>
      </c>
      <c r="AJ1015" t="str">
        <f>VLOOKUP(F1015,Assumptions!$B$116:$C$162,2,FALSE)</f>
        <v>H2_OCGT_PWR</v>
      </c>
    </row>
    <row r="1016" spans="2:36" x14ac:dyDescent="0.25">
      <c r="B1016" t="s">
        <v>112</v>
      </c>
      <c r="C1016" t="s">
        <v>52</v>
      </c>
      <c r="D1016" s="60" t="s">
        <v>130</v>
      </c>
      <c r="E1016" t="s">
        <v>66</v>
      </c>
      <c r="F1016" t="s">
        <v>162</v>
      </c>
      <c r="G1016" t="s">
        <v>114</v>
      </c>
      <c r="H1016" t="s">
        <v>433</v>
      </c>
      <c r="I1016" t="s">
        <v>32</v>
      </c>
      <c r="J1016" t="s">
        <v>77</v>
      </c>
      <c r="K1016">
        <f t="shared" si="3055"/>
        <v>1</v>
      </c>
      <c r="L1016">
        <f t="shared" si="3056"/>
        <v>1</v>
      </c>
      <c r="M1016">
        <f t="shared" si="3057"/>
        <v>1</v>
      </c>
      <c r="N1016">
        <f t="shared" si="3058"/>
        <v>0</v>
      </c>
      <c r="O1016">
        <f t="shared" si="3059"/>
        <v>3</v>
      </c>
      <c r="P1016" t="str">
        <f t="shared" si="3060"/>
        <v>Small decentralized electrolysis-Marginal abatement cost</v>
      </c>
      <c r="Q1016" t="str">
        <f t="shared" si="3061"/>
        <v>Distributed gas storage-Marginal abatement cost</v>
      </c>
      <c r="R1016" t="str">
        <f t="shared" si="3062"/>
        <v>Onsite-Marginal abatement cost</v>
      </c>
      <c r="S1016" t="str">
        <f t="shared" si="3063"/>
        <v>Hydrogen turbine (OC)-Marginal abatement cost</v>
      </c>
      <c r="T1016">
        <f>IFERROR(VLOOKUP($P1016,'TA database'!$I$8:$J$79,2,FALSE),0)</f>
        <v>0</v>
      </c>
      <c r="U1016">
        <f>IFERROR(VLOOKUP($Q1016,'TA database'!$I$86:$J$105,2,FALSE),0)</f>
        <v>0</v>
      </c>
      <c r="V1016">
        <f>IFERROR(VLOOKUP($R1016,'TA database'!$I$112:$J$139,2,FALSE),0)</f>
        <v>0</v>
      </c>
      <c r="W1016">
        <f>IFERROR(VLOOKUP($S1016,'TA database'!$I$146:$J$193,2,FALSE),0)</f>
        <v>0</v>
      </c>
      <c r="X1016">
        <f ca="1">IFERROR(VLOOKUP($S1016,'TA database'!$I$200:$J$271,2,FALSE),0)</f>
        <v>-3.6295604090846156</v>
      </c>
      <c r="Y1016" s="59">
        <f t="shared" ca="1" si="3064"/>
        <v>-3.6295604090846156</v>
      </c>
      <c r="Z1016" t="str">
        <f t="shared" si="3065"/>
        <v>ELCTRLYZ_SML_D   →   D_GAS_STRG   →   ONSITE_USE   →   H2_OCGT_PWR</v>
      </c>
      <c r="AA1016" t="str">
        <f t="shared" si="3066"/>
        <v>Grid electricity</v>
      </c>
      <c r="AB1016" t="str">
        <f t="shared" si="3067"/>
        <v>Marginal abatement cost</v>
      </c>
      <c r="AC1016">
        <f t="shared" ca="1" si="3068"/>
        <v>-3.6295604090846156</v>
      </c>
      <c r="AD1016">
        <v>957</v>
      </c>
      <c r="AE1016" t="str">
        <f>IF(AND(ISNUMBER(SEARCH(O1016,4)),ISNUMBER(SEARCH('(4) FCH pathway assessment'!$B$16,AB1016)),ISNUMBER(SEARCH('(4) FCH pathway assessment'!$B$10,AA1016))),AD1016,"")</f>
        <v/>
      </c>
      <c r="AF1016" t="str">
        <f t="shared" si="2942"/>
        <v/>
      </c>
      <c r="AG1016" t="str">
        <f>VLOOKUP(C1016,Assumptions!$B$116:$C$162,2,FALSE)</f>
        <v>ELCTRLYZ_SML_D</v>
      </c>
      <c r="AH1016" t="str">
        <f>VLOOKUP(D1016,Assumptions!$B$116:$C$162,2,FALSE)</f>
        <v>D_GAS_STRG</v>
      </c>
      <c r="AI1016" t="str">
        <f>VLOOKUP(E1016,Assumptions!$B$116:$C$162,2,FALSE)</f>
        <v>ONSITE_USE</v>
      </c>
      <c r="AJ1016" t="str">
        <f>VLOOKUP(F1016,Assumptions!$B$116:$C$162,2,FALSE)</f>
        <v>H2_OCGT_PWR</v>
      </c>
    </row>
    <row r="1017" spans="2:36" x14ac:dyDescent="0.25">
      <c r="B1017" t="s">
        <v>127</v>
      </c>
      <c r="C1017" t="s">
        <v>57</v>
      </c>
      <c r="D1017" t="s">
        <v>62</v>
      </c>
      <c r="E1017" t="s">
        <v>157</v>
      </c>
      <c r="F1017" t="s">
        <v>162</v>
      </c>
      <c r="G1017" t="s">
        <v>114</v>
      </c>
      <c r="H1017" t="s">
        <v>433</v>
      </c>
      <c r="I1017" t="s">
        <v>32</v>
      </c>
      <c r="J1017" t="s">
        <v>77</v>
      </c>
      <c r="K1017">
        <f t="shared" ref="K1017:K1025" si="3069">SUMPRODUCT(($C$7:$C$18=$C1017)*($D$6:$H$6=$D1017)*($D$7:$H$18))</f>
        <v>1</v>
      </c>
      <c r="L1017">
        <f t="shared" ref="L1017:L1025" si="3070">SUMPRODUCT(($C$19:$C$23=$D1017)*($I$6:$O$6=$E1017)*($I$19:$O$23))</f>
        <v>0</v>
      </c>
      <c r="M1017">
        <f t="shared" ref="M1017:M1025" si="3071">SUMPRODUCT(($C$24:$C$30=$E1017)*($P$6:$AI$6=$F1017)*($P$24:$AI$30))</f>
        <v>0</v>
      </c>
      <c r="N1017">
        <f t="shared" ref="N1017:N1025" si="3072">SUMPRODUCT(($C$31:$C$50=$F1017)*($AJ$6:$AM$6=$G1017)*($AJ$31:$AM$50))</f>
        <v>0</v>
      </c>
      <c r="O1017">
        <f t="shared" ref="O1017:O1025" si="3073">K1017+L1017+M1017+N1017</f>
        <v>1</v>
      </c>
      <c r="P1017" t="str">
        <f t="shared" ref="P1017:P1025" si="3074">CONCATENATE(C1017,"-",J1017)</f>
        <v>Large centralized natural gas steam reforming-Marginal abatement cost</v>
      </c>
      <c r="Q1017" t="str">
        <f t="shared" ref="Q1017:Q1025" si="3075">CONCATENATE(D1017,"-",J1017)</f>
        <v>Underground storage-Marginal abatement cost</v>
      </c>
      <c r="R1017" t="str">
        <f t="shared" ref="R1017:R1025" si="3076">CONCATENATE(E1017,"-",J1017)</f>
        <v>Blending in natural gas pipeline-Marginal abatement cost</v>
      </c>
      <c r="S1017" t="str">
        <f t="shared" ref="S1017:S1025" si="3077">CONCATENATE(F1017,"-",J1017)</f>
        <v>Hydrogen turbine (OC)-Marginal abatement cost</v>
      </c>
      <c r="T1017">
        <f>IFERROR(VLOOKUP($P1017,'TA database'!$I$8:$J$79,2,FALSE),0)</f>
        <v>0</v>
      </c>
      <c r="U1017">
        <f>IFERROR(VLOOKUP($Q1017,'TA database'!$I$86:$J$105,2,FALSE),0)</f>
        <v>0</v>
      </c>
      <c r="V1017">
        <f>IFERROR(VLOOKUP($R1017,'TA database'!$I$112:$J$139,2,FALSE),0)</f>
        <v>0</v>
      </c>
      <c r="W1017">
        <f>IFERROR(VLOOKUP($S1017,'TA database'!$I$146:$J$193,2,FALSE),0)</f>
        <v>0</v>
      </c>
      <c r="X1017">
        <f ca="1">IFERROR(VLOOKUP($S1017,'TA database'!$I$200:$J$271,2,FALSE),0)</f>
        <v>-3.6295604090846156</v>
      </c>
      <c r="Y1017" s="59">
        <f t="shared" ref="Y1017:Y1025" ca="1" si="3078">IF($W1017=0,T1017+U1017+V1017+X1017,T1017+U1017+V1017+W1017)</f>
        <v>-3.6295604090846156</v>
      </c>
      <c r="Z1017" t="str">
        <f t="shared" ref="Z1017:Z1025" si="3079">CONCATENATE(AG1017,"   →   ",AH1017,"   →   ",AI1017,"   →   ",AJ1017)</f>
        <v>NG_SR_LRG_C   →   C_UNDRGRND_STRG   →   H2_BLND_NG_P   →   H2_OCGT_PWR</v>
      </c>
      <c r="AA1017" t="str">
        <f t="shared" ref="AA1017:AA1025" si="3080">G1017</f>
        <v>Grid electricity</v>
      </c>
      <c r="AB1017" t="str">
        <f t="shared" ref="AB1017:AB1025" si="3081">J1017</f>
        <v>Marginal abatement cost</v>
      </c>
      <c r="AC1017">
        <f t="shared" ref="AC1017:AC1025" ca="1" si="3082">Y1017</f>
        <v>-3.6295604090846156</v>
      </c>
      <c r="AD1017">
        <v>958</v>
      </c>
      <c r="AE1017" t="str">
        <f>IF(AND(ISNUMBER(SEARCH(O1017,4)),ISNUMBER(SEARCH('(4) FCH pathway assessment'!$B$16,AB1017)),ISNUMBER(SEARCH('(4) FCH pathway assessment'!$B$10,AA1017))),AD1017,"")</f>
        <v/>
      </c>
      <c r="AF1017" t="str">
        <f t="shared" si="2942"/>
        <v/>
      </c>
      <c r="AG1017" t="str">
        <f>VLOOKUP(C1017,Assumptions!$B$116:$C$162,2,FALSE)</f>
        <v>NG_SR_LRG_C</v>
      </c>
      <c r="AH1017" t="str">
        <f>VLOOKUP(D1017,Assumptions!$B$116:$C$162,2,FALSE)</f>
        <v>C_UNDRGRND_STRG</v>
      </c>
      <c r="AI1017" t="str">
        <f>VLOOKUP(E1017,Assumptions!$B$116:$C$162,2,FALSE)</f>
        <v>H2_BLND_NG_P</v>
      </c>
      <c r="AJ1017" t="str">
        <f>VLOOKUP(F1017,Assumptions!$B$116:$C$162,2,FALSE)</f>
        <v>H2_OCGT_PWR</v>
      </c>
    </row>
    <row r="1018" spans="2:36" x14ac:dyDescent="0.25">
      <c r="B1018" t="s">
        <v>127</v>
      </c>
      <c r="C1018" t="s">
        <v>57</v>
      </c>
      <c r="D1018" t="s">
        <v>62</v>
      </c>
      <c r="E1018" t="s">
        <v>122</v>
      </c>
      <c r="F1018" t="s">
        <v>162</v>
      </c>
      <c r="G1018" t="s">
        <v>114</v>
      </c>
      <c r="H1018" t="s">
        <v>433</v>
      </c>
      <c r="I1018" t="s">
        <v>32</v>
      </c>
      <c r="J1018" t="s">
        <v>77</v>
      </c>
      <c r="K1018">
        <f t="shared" si="3069"/>
        <v>1</v>
      </c>
      <c r="L1018">
        <f t="shared" si="3070"/>
        <v>0</v>
      </c>
      <c r="M1018">
        <f t="shared" si="3071"/>
        <v>1</v>
      </c>
      <c r="N1018">
        <f t="shared" si="3072"/>
        <v>0</v>
      </c>
      <c r="O1018">
        <f t="shared" si="3073"/>
        <v>2</v>
      </c>
      <c r="P1018" t="str">
        <f t="shared" si="3074"/>
        <v>Large centralized natural gas steam reforming-Marginal abatement cost</v>
      </c>
      <c r="Q1018" t="str">
        <f t="shared" si="3075"/>
        <v>Underground storage-Marginal abatement cost</v>
      </c>
      <c r="R1018" t="str">
        <f t="shared" si="3076"/>
        <v>Hydrogen transmission &amp; distribution pipeline-Marginal abatement cost</v>
      </c>
      <c r="S1018" t="str">
        <f t="shared" si="3077"/>
        <v>Hydrogen turbine (OC)-Marginal abatement cost</v>
      </c>
      <c r="T1018">
        <f>IFERROR(VLOOKUP($P1018,'TA database'!$I$8:$J$79,2,FALSE),0)</f>
        <v>0</v>
      </c>
      <c r="U1018">
        <f>IFERROR(VLOOKUP($Q1018,'TA database'!$I$86:$J$105,2,FALSE),0)</f>
        <v>0</v>
      </c>
      <c r="V1018">
        <f>IFERROR(VLOOKUP($R1018,'TA database'!$I$112:$J$139,2,FALSE),0)</f>
        <v>0</v>
      </c>
      <c r="W1018">
        <f>IFERROR(VLOOKUP($S1018,'TA database'!$I$146:$J$193,2,FALSE),0)</f>
        <v>0</v>
      </c>
      <c r="X1018">
        <f ca="1">IFERROR(VLOOKUP($S1018,'TA database'!$I$200:$J$271,2,FALSE),0)</f>
        <v>-3.6295604090846156</v>
      </c>
      <c r="Y1018" s="59">
        <f t="shared" ca="1" si="3078"/>
        <v>-3.6295604090846156</v>
      </c>
      <c r="Z1018" t="str">
        <f t="shared" si="3079"/>
        <v>NG_SR_LRG_C   →   C_UNDRGRND_STRG   →   H2_T&amp;D_P   →   H2_OCGT_PWR</v>
      </c>
      <c r="AA1018" t="str">
        <f t="shared" si="3080"/>
        <v>Grid electricity</v>
      </c>
      <c r="AB1018" t="str">
        <f t="shared" si="3081"/>
        <v>Marginal abatement cost</v>
      </c>
      <c r="AC1018">
        <f t="shared" ca="1" si="3082"/>
        <v>-3.6295604090846156</v>
      </c>
      <c r="AD1018">
        <v>959</v>
      </c>
      <c r="AE1018" t="str">
        <f>IF(AND(ISNUMBER(SEARCH(O1018,4)),ISNUMBER(SEARCH('(4) FCH pathway assessment'!$B$16,AB1018)),ISNUMBER(SEARCH('(4) FCH pathway assessment'!$B$10,AA1018))),AD1018,"")</f>
        <v/>
      </c>
      <c r="AF1018" t="str">
        <f t="shared" si="2942"/>
        <v/>
      </c>
      <c r="AG1018" t="str">
        <f>VLOOKUP(C1018,Assumptions!$B$116:$C$162,2,FALSE)</f>
        <v>NG_SR_LRG_C</v>
      </c>
      <c r="AH1018" t="str">
        <f>VLOOKUP(D1018,Assumptions!$B$116:$C$162,2,FALSE)</f>
        <v>C_UNDRGRND_STRG</v>
      </c>
      <c r="AI1018" t="str">
        <f>VLOOKUP(E1018,Assumptions!$B$116:$C$162,2,FALSE)</f>
        <v>H2_T&amp;D_P</v>
      </c>
      <c r="AJ1018" t="str">
        <f>VLOOKUP(F1018,Assumptions!$B$116:$C$162,2,FALSE)</f>
        <v>H2_OCGT_PWR</v>
      </c>
    </row>
    <row r="1019" spans="2:36" x14ac:dyDescent="0.25">
      <c r="B1019" t="s">
        <v>127</v>
      </c>
      <c r="C1019" t="s">
        <v>57</v>
      </c>
      <c r="D1019" t="s">
        <v>62</v>
      </c>
      <c r="E1019" t="s">
        <v>116</v>
      </c>
      <c r="F1019" t="s">
        <v>162</v>
      </c>
      <c r="G1019" t="s">
        <v>114</v>
      </c>
      <c r="H1019" t="s">
        <v>433</v>
      </c>
      <c r="I1019" t="s">
        <v>32</v>
      </c>
      <c r="J1019" t="s">
        <v>77</v>
      </c>
      <c r="K1019">
        <f t="shared" si="3069"/>
        <v>1</v>
      </c>
      <c r="L1019">
        <f t="shared" si="3070"/>
        <v>0</v>
      </c>
      <c r="M1019">
        <f t="shared" si="3071"/>
        <v>1</v>
      </c>
      <c r="N1019">
        <f t="shared" si="3072"/>
        <v>0</v>
      </c>
      <c r="O1019">
        <f t="shared" si="3073"/>
        <v>2</v>
      </c>
      <c r="P1019" t="str">
        <f t="shared" si="3074"/>
        <v>Large centralized natural gas steam reforming-Marginal abatement cost</v>
      </c>
      <c r="Q1019" t="str">
        <f t="shared" si="3075"/>
        <v>Underground storage-Marginal abatement cost</v>
      </c>
      <c r="R1019" t="str">
        <f t="shared" si="3076"/>
        <v>Liquid hydrogen truck-Marginal abatement cost</v>
      </c>
      <c r="S1019" t="str">
        <f t="shared" si="3077"/>
        <v>Hydrogen turbine (OC)-Marginal abatement cost</v>
      </c>
      <c r="T1019">
        <f>IFERROR(VLOOKUP($P1019,'TA database'!$I$8:$J$79,2,FALSE),0)</f>
        <v>0</v>
      </c>
      <c r="U1019">
        <f>IFERROR(VLOOKUP($Q1019,'TA database'!$I$86:$J$105,2,FALSE),0)</f>
        <v>0</v>
      </c>
      <c r="V1019">
        <f>IFERROR(VLOOKUP($R1019,'TA database'!$I$112:$J$139,2,FALSE),0)</f>
        <v>0</v>
      </c>
      <c r="W1019">
        <f>IFERROR(VLOOKUP($S1019,'TA database'!$I$146:$J$193,2,FALSE),0)</f>
        <v>0</v>
      </c>
      <c r="X1019">
        <f ca="1">IFERROR(VLOOKUP($S1019,'TA database'!$I$200:$J$271,2,FALSE),0)</f>
        <v>-3.6295604090846156</v>
      </c>
      <c r="Y1019" s="59">
        <f t="shared" ca="1" si="3078"/>
        <v>-3.6295604090846156</v>
      </c>
      <c r="Z1019" t="str">
        <f t="shared" si="3079"/>
        <v>NG_SR_LRG_C   →   C_UNDRGRND_STRG   →   LQ_TRUCK   →   H2_OCGT_PWR</v>
      </c>
      <c r="AA1019" t="str">
        <f t="shared" si="3080"/>
        <v>Grid electricity</v>
      </c>
      <c r="AB1019" t="str">
        <f t="shared" si="3081"/>
        <v>Marginal abatement cost</v>
      </c>
      <c r="AC1019">
        <f t="shared" ca="1" si="3082"/>
        <v>-3.6295604090846156</v>
      </c>
      <c r="AD1019">
        <v>960</v>
      </c>
      <c r="AE1019" t="str">
        <f>IF(AND(ISNUMBER(SEARCH(O1019,4)),ISNUMBER(SEARCH('(4) FCH pathway assessment'!$B$16,AB1019)),ISNUMBER(SEARCH('(4) FCH pathway assessment'!$B$10,AA1019))),AD1019,"")</f>
        <v/>
      </c>
      <c r="AF1019" t="str">
        <f t="shared" si="2942"/>
        <v/>
      </c>
      <c r="AG1019" t="str">
        <f>VLOOKUP(C1019,Assumptions!$B$116:$C$162,2,FALSE)</f>
        <v>NG_SR_LRG_C</v>
      </c>
      <c r="AH1019" t="str">
        <f>VLOOKUP(D1019,Assumptions!$B$116:$C$162,2,FALSE)</f>
        <v>C_UNDRGRND_STRG</v>
      </c>
      <c r="AI1019" t="str">
        <f>VLOOKUP(E1019,Assumptions!$B$116:$C$162,2,FALSE)</f>
        <v>LQ_TRUCK</v>
      </c>
      <c r="AJ1019" t="str">
        <f>VLOOKUP(F1019,Assumptions!$B$116:$C$162,2,FALSE)</f>
        <v>H2_OCGT_PWR</v>
      </c>
    </row>
    <row r="1020" spans="2:36" x14ac:dyDescent="0.25">
      <c r="B1020" t="s">
        <v>127</v>
      </c>
      <c r="C1020" t="s">
        <v>57</v>
      </c>
      <c r="D1020" t="s">
        <v>62</v>
      </c>
      <c r="E1020" t="s">
        <v>66</v>
      </c>
      <c r="F1020" t="s">
        <v>162</v>
      </c>
      <c r="G1020" t="s">
        <v>114</v>
      </c>
      <c r="H1020" t="s">
        <v>433</v>
      </c>
      <c r="I1020" t="s">
        <v>32</v>
      </c>
      <c r="J1020" t="s">
        <v>77</v>
      </c>
      <c r="K1020">
        <f t="shared" si="3069"/>
        <v>1</v>
      </c>
      <c r="L1020">
        <f t="shared" si="3070"/>
        <v>0</v>
      </c>
      <c r="M1020">
        <f t="shared" si="3071"/>
        <v>1</v>
      </c>
      <c r="N1020">
        <f t="shared" si="3072"/>
        <v>0</v>
      </c>
      <c r="O1020">
        <f t="shared" si="3073"/>
        <v>2</v>
      </c>
      <c r="P1020" t="str">
        <f t="shared" si="3074"/>
        <v>Large centralized natural gas steam reforming-Marginal abatement cost</v>
      </c>
      <c r="Q1020" t="str">
        <f t="shared" si="3075"/>
        <v>Underground storage-Marginal abatement cost</v>
      </c>
      <c r="R1020" t="str">
        <f t="shared" si="3076"/>
        <v>Onsite-Marginal abatement cost</v>
      </c>
      <c r="S1020" t="str">
        <f t="shared" si="3077"/>
        <v>Hydrogen turbine (OC)-Marginal abatement cost</v>
      </c>
      <c r="T1020">
        <f>IFERROR(VLOOKUP($P1020,'TA database'!$I$8:$J$79,2,FALSE),0)</f>
        <v>0</v>
      </c>
      <c r="U1020">
        <f>IFERROR(VLOOKUP($Q1020,'TA database'!$I$86:$J$105,2,FALSE),0)</f>
        <v>0</v>
      </c>
      <c r="V1020">
        <f>IFERROR(VLOOKUP($R1020,'TA database'!$I$112:$J$139,2,FALSE),0)</f>
        <v>0</v>
      </c>
      <c r="W1020">
        <f>IFERROR(VLOOKUP($S1020,'TA database'!$I$146:$J$193,2,FALSE),0)</f>
        <v>0</v>
      </c>
      <c r="X1020">
        <f ca="1">IFERROR(VLOOKUP($S1020,'TA database'!$I$200:$J$271,2,FALSE),0)</f>
        <v>-3.6295604090846156</v>
      </c>
      <c r="Y1020" s="59">
        <f t="shared" ca="1" si="3078"/>
        <v>-3.6295604090846156</v>
      </c>
      <c r="Z1020" t="str">
        <f t="shared" si="3079"/>
        <v>NG_SR_LRG_C   →   C_UNDRGRND_STRG   →   ONSITE_USE   →   H2_OCGT_PWR</v>
      </c>
      <c r="AA1020" t="str">
        <f t="shared" si="3080"/>
        <v>Grid electricity</v>
      </c>
      <c r="AB1020" t="str">
        <f t="shared" si="3081"/>
        <v>Marginal abatement cost</v>
      </c>
      <c r="AC1020">
        <f t="shared" ca="1" si="3082"/>
        <v>-3.6295604090846156</v>
      </c>
      <c r="AD1020">
        <v>961</v>
      </c>
      <c r="AE1020" t="str">
        <f>IF(AND(ISNUMBER(SEARCH(O1020,4)),ISNUMBER(SEARCH('(4) FCH pathway assessment'!$B$16,AB1020)),ISNUMBER(SEARCH('(4) FCH pathway assessment'!$B$10,AA1020))),AD1020,"")</f>
        <v/>
      </c>
      <c r="AF1020" t="str">
        <f t="shared" ref="AF1020:AF1083" si="3083">IFERROR(SMALL($AE$60:$AE$1991,AD1020),"")</f>
        <v/>
      </c>
      <c r="AG1020" t="str">
        <f>VLOOKUP(C1020,Assumptions!$B$116:$C$162,2,FALSE)</f>
        <v>NG_SR_LRG_C</v>
      </c>
      <c r="AH1020" t="str">
        <f>VLOOKUP(D1020,Assumptions!$B$116:$C$162,2,FALSE)</f>
        <v>C_UNDRGRND_STRG</v>
      </c>
      <c r="AI1020" t="str">
        <f>VLOOKUP(E1020,Assumptions!$B$116:$C$162,2,FALSE)</f>
        <v>ONSITE_USE</v>
      </c>
      <c r="AJ1020" t="str">
        <f>VLOOKUP(F1020,Assumptions!$B$116:$C$162,2,FALSE)</f>
        <v>H2_OCGT_PWR</v>
      </c>
    </row>
    <row r="1021" spans="2:36" x14ac:dyDescent="0.25">
      <c r="B1021" t="s">
        <v>127</v>
      </c>
      <c r="C1021" t="s">
        <v>57</v>
      </c>
      <c r="D1021" s="61" t="s">
        <v>63</v>
      </c>
      <c r="E1021" t="s">
        <v>122</v>
      </c>
      <c r="F1021" t="s">
        <v>162</v>
      </c>
      <c r="G1021" t="s">
        <v>114</v>
      </c>
      <c r="H1021" t="s">
        <v>433</v>
      </c>
      <c r="I1021" t="s">
        <v>32</v>
      </c>
      <c r="J1021" t="s">
        <v>77</v>
      </c>
      <c r="K1021">
        <f t="shared" si="3069"/>
        <v>1</v>
      </c>
      <c r="L1021">
        <f t="shared" si="3070"/>
        <v>1</v>
      </c>
      <c r="M1021">
        <f t="shared" si="3071"/>
        <v>1</v>
      </c>
      <c r="N1021">
        <f t="shared" si="3072"/>
        <v>0</v>
      </c>
      <c r="O1021">
        <f t="shared" si="3073"/>
        <v>3</v>
      </c>
      <c r="P1021" t="str">
        <f t="shared" si="3074"/>
        <v>Large centralized natural gas steam reforming-Marginal abatement cost</v>
      </c>
      <c r="Q1021" t="str">
        <f t="shared" si="3075"/>
        <v>No storage-Marginal abatement cost</v>
      </c>
      <c r="R1021" t="str">
        <f t="shared" si="3076"/>
        <v>Hydrogen transmission &amp; distribution pipeline-Marginal abatement cost</v>
      </c>
      <c r="S1021" t="str">
        <f t="shared" si="3077"/>
        <v>Hydrogen turbine (OC)-Marginal abatement cost</v>
      </c>
      <c r="T1021">
        <f>IFERROR(VLOOKUP($P1021,'TA database'!$I$8:$J$79,2,FALSE),0)</f>
        <v>0</v>
      </c>
      <c r="U1021">
        <f>IFERROR(VLOOKUP($Q1021,'TA database'!$I$86:$J$105,2,FALSE),0)</f>
        <v>0</v>
      </c>
      <c r="V1021">
        <f>IFERROR(VLOOKUP($R1021,'TA database'!$I$112:$J$139,2,FALSE),0)</f>
        <v>0</v>
      </c>
      <c r="W1021">
        <f>IFERROR(VLOOKUP($S1021,'TA database'!$I$146:$J$193,2,FALSE),0)</f>
        <v>0</v>
      </c>
      <c r="X1021">
        <f ca="1">IFERROR(VLOOKUP($S1021,'TA database'!$I$200:$J$271,2,FALSE),0)</f>
        <v>-3.6295604090846156</v>
      </c>
      <c r="Y1021" s="59">
        <f t="shared" ca="1" si="3078"/>
        <v>-3.6295604090846156</v>
      </c>
      <c r="Z1021" t="str">
        <f t="shared" si="3079"/>
        <v>NG_SR_LRG_C   →   NO_STRG   →   H2_T&amp;D_P   →   H2_OCGT_PWR</v>
      </c>
      <c r="AA1021" t="str">
        <f t="shared" si="3080"/>
        <v>Grid electricity</v>
      </c>
      <c r="AB1021" t="str">
        <f t="shared" si="3081"/>
        <v>Marginal abatement cost</v>
      </c>
      <c r="AC1021">
        <f t="shared" ca="1" si="3082"/>
        <v>-3.6295604090846156</v>
      </c>
      <c r="AD1021">
        <v>962</v>
      </c>
      <c r="AE1021" t="str">
        <f>IF(AND(ISNUMBER(SEARCH(O1021,4)),ISNUMBER(SEARCH('(4) FCH pathway assessment'!$B$16,AB1021)),ISNUMBER(SEARCH('(4) FCH pathway assessment'!$B$10,AA1021))),AD1021,"")</f>
        <v/>
      </c>
      <c r="AF1021" t="str">
        <f t="shared" si="3083"/>
        <v/>
      </c>
      <c r="AG1021" t="str">
        <f>VLOOKUP(C1021,Assumptions!$B$116:$C$162,2,FALSE)</f>
        <v>NG_SR_LRG_C</v>
      </c>
      <c r="AH1021" t="str">
        <f>VLOOKUP(D1021,Assumptions!$B$116:$C$162,2,FALSE)</f>
        <v>NO_STRG</v>
      </c>
      <c r="AI1021" t="str">
        <f>VLOOKUP(E1021,Assumptions!$B$116:$C$162,2,FALSE)</f>
        <v>H2_T&amp;D_P</v>
      </c>
      <c r="AJ1021" t="str">
        <f>VLOOKUP(F1021,Assumptions!$B$116:$C$162,2,FALSE)</f>
        <v>H2_OCGT_PWR</v>
      </c>
    </row>
    <row r="1022" spans="2:36" x14ac:dyDescent="0.25">
      <c r="B1022" t="s">
        <v>127</v>
      </c>
      <c r="C1022" t="s">
        <v>58</v>
      </c>
      <c r="D1022" t="s">
        <v>155</v>
      </c>
      <c r="E1022" t="s">
        <v>157</v>
      </c>
      <c r="F1022" t="s">
        <v>162</v>
      </c>
      <c r="G1022" t="s">
        <v>114</v>
      </c>
      <c r="H1022" t="s">
        <v>433</v>
      </c>
      <c r="I1022" t="s">
        <v>32</v>
      </c>
      <c r="J1022" t="s">
        <v>77</v>
      </c>
      <c r="K1022">
        <f t="shared" si="3069"/>
        <v>1</v>
      </c>
      <c r="L1022">
        <f t="shared" si="3070"/>
        <v>1</v>
      </c>
      <c r="M1022">
        <f t="shared" si="3071"/>
        <v>0</v>
      </c>
      <c r="N1022">
        <f t="shared" si="3072"/>
        <v>0</v>
      </c>
      <c r="O1022">
        <f t="shared" si="3073"/>
        <v>2</v>
      </c>
      <c r="P1022" t="str">
        <f t="shared" si="3074"/>
        <v>Small centralized natural gas steam reforming-Marginal abatement cost</v>
      </c>
      <c r="Q1022" t="str">
        <f t="shared" si="3075"/>
        <v>Central gas storage-Marginal abatement cost</v>
      </c>
      <c r="R1022" t="str">
        <f t="shared" si="3076"/>
        <v>Blending in natural gas pipeline-Marginal abatement cost</v>
      </c>
      <c r="S1022" t="str">
        <f t="shared" si="3077"/>
        <v>Hydrogen turbine (OC)-Marginal abatement cost</v>
      </c>
      <c r="T1022">
        <f>IFERROR(VLOOKUP($P1022,'TA database'!$I$8:$J$79,2,FALSE),0)</f>
        <v>0</v>
      </c>
      <c r="U1022">
        <f>IFERROR(VLOOKUP($Q1022,'TA database'!$I$86:$J$105,2,FALSE),0)</f>
        <v>0</v>
      </c>
      <c r="V1022">
        <f>IFERROR(VLOOKUP($R1022,'TA database'!$I$112:$J$139,2,FALSE),0)</f>
        <v>0</v>
      </c>
      <c r="W1022">
        <f>IFERROR(VLOOKUP($S1022,'TA database'!$I$146:$J$193,2,FALSE),0)</f>
        <v>0</v>
      </c>
      <c r="X1022">
        <f ca="1">IFERROR(VLOOKUP($S1022,'TA database'!$I$200:$J$271,2,FALSE),0)</f>
        <v>-3.6295604090846156</v>
      </c>
      <c r="Y1022" s="59">
        <f t="shared" ca="1" si="3078"/>
        <v>-3.6295604090846156</v>
      </c>
      <c r="Z1022" t="str">
        <f t="shared" si="3079"/>
        <v>NG_SR_SML_C   →   C_GAS_STRG   →   H2_BLND_NG_P   →   H2_OCGT_PWR</v>
      </c>
      <c r="AA1022" t="str">
        <f t="shared" si="3080"/>
        <v>Grid electricity</v>
      </c>
      <c r="AB1022" t="str">
        <f t="shared" si="3081"/>
        <v>Marginal abatement cost</v>
      </c>
      <c r="AC1022">
        <f t="shared" ca="1" si="3082"/>
        <v>-3.6295604090846156</v>
      </c>
      <c r="AD1022">
        <v>963</v>
      </c>
      <c r="AE1022" t="str">
        <f>IF(AND(ISNUMBER(SEARCH(O1022,4)),ISNUMBER(SEARCH('(4) FCH pathway assessment'!$B$16,AB1022)),ISNUMBER(SEARCH('(4) FCH pathway assessment'!$B$10,AA1022))),AD1022,"")</f>
        <v/>
      </c>
      <c r="AF1022" t="str">
        <f t="shared" si="3083"/>
        <v/>
      </c>
      <c r="AG1022" t="str">
        <f>VLOOKUP(C1022,Assumptions!$B$116:$C$162,2,FALSE)</f>
        <v>NG_SR_SML_C</v>
      </c>
      <c r="AH1022" t="str">
        <f>VLOOKUP(D1022,Assumptions!$B$116:$C$162,2,FALSE)</f>
        <v>C_GAS_STRG</v>
      </c>
      <c r="AI1022" t="str">
        <f>VLOOKUP(E1022,Assumptions!$B$116:$C$162,2,FALSE)</f>
        <v>H2_BLND_NG_P</v>
      </c>
      <c r="AJ1022" t="str">
        <f>VLOOKUP(F1022,Assumptions!$B$116:$C$162,2,FALSE)</f>
        <v>H2_OCGT_PWR</v>
      </c>
    </row>
    <row r="1023" spans="2:36" x14ac:dyDescent="0.25">
      <c r="B1023" t="s">
        <v>127</v>
      </c>
      <c r="C1023" t="s">
        <v>58</v>
      </c>
      <c r="D1023" t="s">
        <v>155</v>
      </c>
      <c r="E1023" t="s">
        <v>122</v>
      </c>
      <c r="F1023" t="s">
        <v>162</v>
      </c>
      <c r="G1023" t="s">
        <v>114</v>
      </c>
      <c r="H1023" t="s">
        <v>433</v>
      </c>
      <c r="I1023" t="s">
        <v>32</v>
      </c>
      <c r="J1023" t="s">
        <v>77</v>
      </c>
      <c r="K1023">
        <f t="shared" si="3069"/>
        <v>1</v>
      </c>
      <c r="L1023">
        <f t="shared" si="3070"/>
        <v>1</v>
      </c>
      <c r="M1023">
        <f t="shared" si="3071"/>
        <v>1</v>
      </c>
      <c r="N1023">
        <f t="shared" si="3072"/>
        <v>0</v>
      </c>
      <c r="O1023">
        <f t="shared" si="3073"/>
        <v>3</v>
      </c>
      <c r="P1023" t="str">
        <f t="shared" si="3074"/>
        <v>Small centralized natural gas steam reforming-Marginal abatement cost</v>
      </c>
      <c r="Q1023" t="str">
        <f t="shared" si="3075"/>
        <v>Central gas storage-Marginal abatement cost</v>
      </c>
      <c r="R1023" t="str">
        <f t="shared" si="3076"/>
        <v>Hydrogen transmission &amp; distribution pipeline-Marginal abatement cost</v>
      </c>
      <c r="S1023" t="str">
        <f t="shared" si="3077"/>
        <v>Hydrogen turbine (OC)-Marginal abatement cost</v>
      </c>
      <c r="T1023">
        <f>IFERROR(VLOOKUP($P1023,'TA database'!$I$8:$J$79,2,FALSE),0)</f>
        <v>0</v>
      </c>
      <c r="U1023">
        <f>IFERROR(VLOOKUP($Q1023,'TA database'!$I$86:$J$105,2,FALSE),0)</f>
        <v>0</v>
      </c>
      <c r="V1023">
        <f>IFERROR(VLOOKUP($R1023,'TA database'!$I$112:$J$139,2,FALSE),0)</f>
        <v>0</v>
      </c>
      <c r="W1023">
        <f>IFERROR(VLOOKUP($S1023,'TA database'!$I$146:$J$193,2,FALSE),0)</f>
        <v>0</v>
      </c>
      <c r="X1023">
        <f ca="1">IFERROR(VLOOKUP($S1023,'TA database'!$I$200:$J$271,2,FALSE),0)</f>
        <v>-3.6295604090846156</v>
      </c>
      <c r="Y1023" s="59">
        <f t="shared" ca="1" si="3078"/>
        <v>-3.6295604090846156</v>
      </c>
      <c r="Z1023" t="str">
        <f t="shared" si="3079"/>
        <v>NG_SR_SML_C   →   C_GAS_STRG   →   H2_T&amp;D_P   →   H2_OCGT_PWR</v>
      </c>
      <c r="AA1023" t="str">
        <f t="shared" si="3080"/>
        <v>Grid electricity</v>
      </c>
      <c r="AB1023" t="str">
        <f t="shared" si="3081"/>
        <v>Marginal abatement cost</v>
      </c>
      <c r="AC1023">
        <f t="shared" ca="1" si="3082"/>
        <v>-3.6295604090846156</v>
      </c>
      <c r="AD1023">
        <v>964</v>
      </c>
      <c r="AE1023" t="str">
        <f>IF(AND(ISNUMBER(SEARCH(O1023,4)),ISNUMBER(SEARCH('(4) FCH pathway assessment'!$B$16,AB1023)),ISNUMBER(SEARCH('(4) FCH pathway assessment'!$B$10,AA1023))),AD1023,"")</f>
        <v/>
      </c>
      <c r="AF1023" t="str">
        <f t="shared" si="3083"/>
        <v/>
      </c>
      <c r="AG1023" t="str">
        <f>VLOOKUP(C1023,Assumptions!$B$116:$C$162,2,FALSE)</f>
        <v>NG_SR_SML_C</v>
      </c>
      <c r="AH1023" t="str">
        <f>VLOOKUP(D1023,Assumptions!$B$116:$C$162,2,FALSE)</f>
        <v>C_GAS_STRG</v>
      </c>
      <c r="AI1023" t="str">
        <f>VLOOKUP(E1023,Assumptions!$B$116:$C$162,2,FALSE)</f>
        <v>H2_T&amp;D_P</v>
      </c>
      <c r="AJ1023" t="str">
        <f>VLOOKUP(F1023,Assumptions!$B$116:$C$162,2,FALSE)</f>
        <v>H2_OCGT_PWR</v>
      </c>
    </row>
    <row r="1024" spans="2:36" x14ac:dyDescent="0.25">
      <c r="B1024" t="s">
        <v>127</v>
      </c>
      <c r="C1024" t="s">
        <v>58</v>
      </c>
      <c r="D1024" t="s">
        <v>155</v>
      </c>
      <c r="E1024" t="s">
        <v>116</v>
      </c>
      <c r="F1024" t="s">
        <v>162</v>
      </c>
      <c r="G1024" t="s">
        <v>114</v>
      </c>
      <c r="H1024" t="s">
        <v>433</v>
      </c>
      <c r="I1024" t="s">
        <v>32</v>
      </c>
      <c r="J1024" t="s">
        <v>77</v>
      </c>
      <c r="K1024">
        <f t="shared" si="3069"/>
        <v>1</v>
      </c>
      <c r="L1024">
        <f t="shared" si="3070"/>
        <v>1</v>
      </c>
      <c r="M1024">
        <f t="shared" si="3071"/>
        <v>1</v>
      </c>
      <c r="N1024">
        <f t="shared" si="3072"/>
        <v>0</v>
      </c>
      <c r="O1024">
        <f t="shared" si="3073"/>
        <v>3</v>
      </c>
      <c r="P1024" t="str">
        <f t="shared" si="3074"/>
        <v>Small centralized natural gas steam reforming-Marginal abatement cost</v>
      </c>
      <c r="Q1024" t="str">
        <f t="shared" si="3075"/>
        <v>Central gas storage-Marginal abatement cost</v>
      </c>
      <c r="R1024" t="str">
        <f t="shared" si="3076"/>
        <v>Liquid hydrogen truck-Marginal abatement cost</v>
      </c>
      <c r="S1024" t="str">
        <f t="shared" si="3077"/>
        <v>Hydrogen turbine (OC)-Marginal abatement cost</v>
      </c>
      <c r="T1024">
        <f>IFERROR(VLOOKUP($P1024,'TA database'!$I$8:$J$79,2,FALSE),0)</f>
        <v>0</v>
      </c>
      <c r="U1024">
        <f>IFERROR(VLOOKUP($Q1024,'TA database'!$I$86:$J$105,2,FALSE),0)</f>
        <v>0</v>
      </c>
      <c r="V1024">
        <f>IFERROR(VLOOKUP($R1024,'TA database'!$I$112:$J$139,2,FALSE),0)</f>
        <v>0</v>
      </c>
      <c r="W1024">
        <f>IFERROR(VLOOKUP($S1024,'TA database'!$I$146:$J$193,2,FALSE),0)</f>
        <v>0</v>
      </c>
      <c r="X1024">
        <f ca="1">IFERROR(VLOOKUP($S1024,'TA database'!$I$200:$J$271,2,FALSE),0)</f>
        <v>-3.6295604090846156</v>
      </c>
      <c r="Y1024" s="59">
        <f t="shared" ca="1" si="3078"/>
        <v>-3.6295604090846156</v>
      </c>
      <c r="Z1024" t="str">
        <f t="shared" si="3079"/>
        <v>NG_SR_SML_C   →   C_GAS_STRG   →   LQ_TRUCK   →   H2_OCGT_PWR</v>
      </c>
      <c r="AA1024" t="str">
        <f t="shared" si="3080"/>
        <v>Grid electricity</v>
      </c>
      <c r="AB1024" t="str">
        <f t="shared" si="3081"/>
        <v>Marginal abatement cost</v>
      </c>
      <c r="AC1024">
        <f t="shared" ca="1" si="3082"/>
        <v>-3.6295604090846156</v>
      </c>
      <c r="AD1024">
        <v>965</v>
      </c>
      <c r="AE1024" t="str">
        <f>IF(AND(ISNUMBER(SEARCH(O1024,4)),ISNUMBER(SEARCH('(4) FCH pathway assessment'!$B$16,AB1024)),ISNUMBER(SEARCH('(4) FCH pathway assessment'!$B$10,AA1024))),AD1024,"")</f>
        <v/>
      </c>
      <c r="AF1024" t="str">
        <f t="shared" si="3083"/>
        <v/>
      </c>
      <c r="AG1024" t="str">
        <f>VLOOKUP(C1024,Assumptions!$B$116:$C$162,2,FALSE)</f>
        <v>NG_SR_SML_C</v>
      </c>
      <c r="AH1024" t="str">
        <f>VLOOKUP(D1024,Assumptions!$B$116:$C$162,2,FALSE)</f>
        <v>C_GAS_STRG</v>
      </c>
      <c r="AI1024" t="str">
        <f>VLOOKUP(E1024,Assumptions!$B$116:$C$162,2,FALSE)</f>
        <v>LQ_TRUCK</v>
      </c>
      <c r="AJ1024" t="str">
        <f>VLOOKUP(F1024,Assumptions!$B$116:$C$162,2,FALSE)</f>
        <v>H2_OCGT_PWR</v>
      </c>
    </row>
    <row r="1025" spans="2:36" x14ac:dyDescent="0.25">
      <c r="B1025" t="s">
        <v>127</v>
      </c>
      <c r="C1025" t="s">
        <v>58</v>
      </c>
      <c r="D1025" t="s">
        <v>155</v>
      </c>
      <c r="E1025" t="s">
        <v>66</v>
      </c>
      <c r="F1025" t="s">
        <v>162</v>
      </c>
      <c r="G1025" t="s">
        <v>114</v>
      </c>
      <c r="H1025" t="s">
        <v>433</v>
      </c>
      <c r="I1025" t="s">
        <v>32</v>
      </c>
      <c r="J1025" t="s">
        <v>77</v>
      </c>
      <c r="K1025">
        <f t="shared" si="3069"/>
        <v>1</v>
      </c>
      <c r="L1025">
        <f t="shared" si="3070"/>
        <v>1</v>
      </c>
      <c r="M1025">
        <f t="shared" si="3071"/>
        <v>1</v>
      </c>
      <c r="N1025">
        <f t="shared" si="3072"/>
        <v>0</v>
      </c>
      <c r="O1025">
        <f t="shared" si="3073"/>
        <v>3</v>
      </c>
      <c r="P1025" t="str">
        <f t="shared" si="3074"/>
        <v>Small centralized natural gas steam reforming-Marginal abatement cost</v>
      </c>
      <c r="Q1025" t="str">
        <f t="shared" si="3075"/>
        <v>Central gas storage-Marginal abatement cost</v>
      </c>
      <c r="R1025" t="str">
        <f t="shared" si="3076"/>
        <v>Onsite-Marginal abatement cost</v>
      </c>
      <c r="S1025" t="str">
        <f t="shared" si="3077"/>
        <v>Hydrogen turbine (OC)-Marginal abatement cost</v>
      </c>
      <c r="T1025">
        <f>IFERROR(VLOOKUP($P1025,'TA database'!$I$8:$J$79,2,FALSE),0)</f>
        <v>0</v>
      </c>
      <c r="U1025">
        <f>IFERROR(VLOOKUP($Q1025,'TA database'!$I$86:$J$105,2,FALSE),0)</f>
        <v>0</v>
      </c>
      <c r="V1025">
        <f>IFERROR(VLOOKUP($R1025,'TA database'!$I$112:$J$139,2,FALSE),0)</f>
        <v>0</v>
      </c>
      <c r="W1025">
        <f>IFERROR(VLOOKUP($S1025,'TA database'!$I$146:$J$193,2,FALSE),0)</f>
        <v>0</v>
      </c>
      <c r="X1025">
        <f ca="1">IFERROR(VLOOKUP($S1025,'TA database'!$I$200:$J$271,2,FALSE),0)</f>
        <v>-3.6295604090846156</v>
      </c>
      <c r="Y1025" s="59">
        <f t="shared" ca="1" si="3078"/>
        <v>-3.6295604090846156</v>
      </c>
      <c r="Z1025" t="str">
        <f t="shared" si="3079"/>
        <v>NG_SR_SML_C   →   C_GAS_STRG   →   ONSITE_USE   →   H2_OCGT_PWR</v>
      </c>
      <c r="AA1025" t="str">
        <f t="shared" si="3080"/>
        <v>Grid electricity</v>
      </c>
      <c r="AB1025" t="str">
        <f t="shared" si="3081"/>
        <v>Marginal abatement cost</v>
      </c>
      <c r="AC1025">
        <f t="shared" ca="1" si="3082"/>
        <v>-3.6295604090846156</v>
      </c>
      <c r="AD1025">
        <v>966</v>
      </c>
      <c r="AE1025" t="str">
        <f>IF(AND(ISNUMBER(SEARCH(O1025,4)),ISNUMBER(SEARCH('(4) FCH pathway assessment'!$B$16,AB1025)),ISNUMBER(SEARCH('(4) FCH pathway assessment'!$B$10,AA1025))),AD1025,"")</f>
        <v/>
      </c>
      <c r="AF1025" t="str">
        <f t="shared" si="3083"/>
        <v/>
      </c>
      <c r="AG1025" t="str">
        <f>VLOOKUP(C1025,Assumptions!$B$116:$C$162,2,FALSE)</f>
        <v>NG_SR_SML_C</v>
      </c>
      <c r="AH1025" t="str">
        <f>VLOOKUP(D1025,Assumptions!$B$116:$C$162,2,FALSE)</f>
        <v>C_GAS_STRG</v>
      </c>
      <c r="AI1025" t="str">
        <f>VLOOKUP(E1025,Assumptions!$B$116:$C$162,2,FALSE)</f>
        <v>ONSITE_USE</v>
      </c>
      <c r="AJ1025" t="str">
        <f>VLOOKUP(F1025,Assumptions!$B$116:$C$162,2,FALSE)</f>
        <v>H2_OCGT_PWR</v>
      </c>
    </row>
    <row r="1026" spans="2:36" x14ac:dyDescent="0.25">
      <c r="B1026" t="s">
        <v>127</v>
      </c>
      <c r="C1026" t="s">
        <v>59</v>
      </c>
      <c r="D1026" s="60" t="s">
        <v>130</v>
      </c>
      <c r="E1026" t="s">
        <v>66</v>
      </c>
      <c r="F1026" t="s">
        <v>162</v>
      </c>
      <c r="G1026" t="s">
        <v>114</v>
      </c>
      <c r="H1026" t="s">
        <v>433</v>
      </c>
      <c r="I1026" t="s">
        <v>32</v>
      </c>
      <c r="J1026" t="s">
        <v>77</v>
      </c>
      <c r="K1026">
        <f t="shared" ref="K1026:K1027" si="3084">SUMPRODUCT(($C$7:$C$18=$C1026)*($D$6:$H$6=$D1026)*($D$7:$H$18))</f>
        <v>1</v>
      </c>
      <c r="L1026">
        <f t="shared" ref="L1026:L1027" si="3085">SUMPRODUCT(($C$19:$C$23=$D1026)*($I$6:$O$6=$E1026)*($I$19:$O$23))</f>
        <v>1</v>
      </c>
      <c r="M1026">
        <f t="shared" ref="M1026:M1027" si="3086">SUMPRODUCT(($C$24:$C$30=$E1026)*($P$6:$AI$6=$F1026)*($P$24:$AI$30))</f>
        <v>1</v>
      </c>
      <c r="N1026">
        <f t="shared" ref="N1026:N1027" si="3087">SUMPRODUCT(($C$31:$C$50=$F1026)*($AJ$6:$AM$6=$G1026)*($AJ$31:$AM$50))</f>
        <v>0</v>
      </c>
      <c r="O1026">
        <f t="shared" ref="O1026:O1027" si="3088">K1026+L1026+M1026+N1026</f>
        <v>3</v>
      </c>
      <c r="P1026" t="str">
        <f t="shared" ref="P1026:P1027" si="3089">CONCATENATE(C1026,"-",J1026)</f>
        <v>Medium decentralized natural gas steam reforming-Marginal abatement cost</v>
      </c>
      <c r="Q1026" t="str">
        <f t="shared" ref="Q1026:Q1027" si="3090">CONCATENATE(D1026,"-",J1026)</f>
        <v>Distributed gas storage-Marginal abatement cost</v>
      </c>
      <c r="R1026" t="str">
        <f t="shared" ref="R1026:R1027" si="3091">CONCATENATE(E1026,"-",J1026)</f>
        <v>Onsite-Marginal abatement cost</v>
      </c>
      <c r="S1026" t="str">
        <f t="shared" ref="S1026:S1027" si="3092">CONCATENATE(F1026,"-",J1026)</f>
        <v>Hydrogen turbine (OC)-Marginal abatement cost</v>
      </c>
      <c r="T1026">
        <f>IFERROR(VLOOKUP($P1026,'TA database'!$I$8:$J$79,2,FALSE),0)</f>
        <v>0</v>
      </c>
      <c r="U1026">
        <f>IFERROR(VLOOKUP($Q1026,'TA database'!$I$86:$J$105,2,FALSE),0)</f>
        <v>0</v>
      </c>
      <c r="V1026">
        <f>IFERROR(VLOOKUP($R1026,'TA database'!$I$112:$J$139,2,FALSE),0)</f>
        <v>0</v>
      </c>
      <c r="W1026">
        <f>IFERROR(VLOOKUP($S1026,'TA database'!$I$146:$J$193,2,FALSE),0)</f>
        <v>0</v>
      </c>
      <c r="X1026">
        <f ca="1">IFERROR(VLOOKUP($S1026,'TA database'!$I$200:$J$271,2,FALSE),0)</f>
        <v>-3.6295604090846156</v>
      </c>
      <c r="Y1026" s="59">
        <f t="shared" ref="Y1026" ca="1" si="3093">IF($W1026=0,T1026+U1026+V1026+X1026,T1026+U1026+V1026+W1026)</f>
        <v>-3.6295604090846156</v>
      </c>
      <c r="Z1026" t="str">
        <f t="shared" ref="Z1026:Z1027" si="3094">CONCATENATE(AG1026,"   →   ",AH1026,"   →   ",AI1026,"   →   ",AJ1026)</f>
        <v>NG_SR_MED_D   →   D_GAS_STRG   →   ONSITE_USE   →   H2_OCGT_PWR</v>
      </c>
      <c r="AA1026" t="str">
        <f t="shared" ref="AA1026:AA1027" si="3095">G1026</f>
        <v>Grid electricity</v>
      </c>
      <c r="AB1026" t="str">
        <f t="shared" ref="AB1026:AB1027" si="3096">J1026</f>
        <v>Marginal abatement cost</v>
      </c>
      <c r="AC1026">
        <f t="shared" ref="AC1026:AC1027" ca="1" si="3097">Y1026</f>
        <v>-3.6295604090846156</v>
      </c>
      <c r="AD1026">
        <v>967</v>
      </c>
      <c r="AE1026" t="str">
        <f>IF(AND(ISNUMBER(SEARCH(O1026,4)),ISNUMBER(SEARCH('(4) FCH pathway assessment'!$B$16,AB1026)),ISNUMBER(SEARCH('(4) FCH pathway assessment'!$B$10,AA1026))),AD1026,"")</f>
        <v/>
      </c>
      <c r="AF1026" t="str">
        <f t="shared" si="3083"/>
        <v/>
      </c>
      <c r="AG1026" t="str">
        <f>VLOOKUP(C1026,Assumptions!$B$116:$C$162,2,FALSE)</f>
        <v>NG_SR_MED_D</v>
      </c>
      <c r="AH1026" t="str">
        <f>VLOOKUP(D1026,Assumptions!$B$116:$C$162,2,FALSE)</f>
        <v>D_GAS_STRG</v>
      </c>
      <c r="AI1026" t="str">
        <f>VLOOKUP(E1026,Assumptions!$B$116:$C$162,2,FALSE)</f>
        <v>ONSITE_USE</v>
      </c>
      <c r="AJ1026" t="str">
        <f>VLOOKUP(F1026,Assumptions!$B$116:$C$162,2,FALSE)</f>
        <v>H2_OCGT_PWR</v>
      </c>
    </row>
    <row r="1027" spans="2:36" x14ac:dyDescent="0.25">
      <c r="B1027" t="s">
        <v>127</v>
      </c>
      <c r="C1027" t="s">
        <v>60</v>
      </c>
      <c r="D1027" s="60" t="s">
        <v>130</v>
      </c>
      <c r="E1027" t="s">
        <v>66</v>
      </c>
      <c r="F1027" t="s">
        <v>162</v>
      </c>
      <c r="G1027" t="s">
        <v>114</v>
      </c>
      <c r="H1027" t="s">
        <v>433</v>
      </c>
      <c r="I1027" t="s">
        <v>32</v>
      </c>
      <c r="J1027" t="s">
        <v>77</v>
      </c>
      <c r="K1027">
        <f t="shared" si="3084"/>
        <v>1</v>
      </c>
      <c r="L1027">
        <f t="shared" si="3085"/>
        <v>1</v>
      </c>
      <c r="M1027">
        <f t="shared" si="3086"/>
        <v>1</v>
      </c>
      <c r="N1027">
        <f t="shared" si="3087"/>
        <v>0</v>
      </c>
      <c r="O1027">
        <f t="shared" si="3088"/>
        <v>3</v>
      </c>
      <c r="P1027" t="str">
        <f t="shared" si="3089"/>
        <v>Small decentralized natural gas steam reforming-Marginal abatement cost</v>
      </c>
      <c r="Q1027" t="str">
        <f t="shared" si="3090"/>
        <v>Distributed gas storage-Marginal abatement cost</v>
      </c>
      <c r="R1027" t="str">
        <f t="shared" si="3091"/>
        <v>Onsite-Marginal abatement cost</v>
      </c>
      <c r="S1027" t="str">
        <f t="shared" si="3092"/>
        <v>Hydrogen turbine (OC)-Marginal abatement cost</v>
      </c>
      <c r="T1027">
        <f>IFERROR(VLOOKUP($P1027,'TA database'!$I$8:$J$79,2,FALSE),0)</f>
        <v>0</v>
      </c>
      <c r="U1027">
        <f>IFERROR(VLOOKUP($Q1027,'TA database'!$I$86:$J$105,2,FALSE),0)</f>
        <v>0</v>
      </c>
      <c r="V1027">
        <f>IFERROR(VLOOKUP($R1027,'TA database'!$I$112:$J$139,2,FALSE),0)</f>
        <v>0</v>
      </c>
      <c r="W1027">
        <f>IFERROR(VLOOKUP($S1027,'TA database'!$I$146:$J$193,2,FALSE),0)</f>
        <v>0</v>
      </c>
      <c r="X1027">
        <f ca="1">IFERROR(VLOOKUP($S1027,'TA database'!$I$200:$J$271,2,FALSE),0)</f>
        <v>-3.6295604090846156</v>
      </c>
      <c r="Y1027" s="59">
        <f t="shared" ref="Y1027" ca="1" si="3098">IF($W1027=0,T1027+U1027+V1027+X1027,T1027+U1027+V1027+W1027)</f>
        <v>-3.6295604090846156</v>
      </c>
      <c r="Z1027" t="str">
        <f t="shared" si="3094"/>
        <v>NG_SR_SML_D   →   D_GAS_STRG   →   ONSITE_USE   →   H2_OCGT_PWR</v>
      </c>
      <c r="AA1027" t="str">
        <f t="shared" si="3095"/>
        <v>Grid electricity</v>
      </c>
      <c r="AB1027" t="str">
        <f t="shared" si="3096"/>
        <v>Marginal abatement cost</v>
      </c>
      <c r="AC1027">
        <f t="shared" ca="1" si="3097"/>
        <v>-3.6295604090846156</v>
      </c>
      <c r="AD1027">
        <v>968</v>
      </c>
      <c r="AE1027" t="str">
        <f>IF(AND(ISNUMBER(SEARCH(O1027,4)),ISNUMBER(SEARCH('(4) FCH pathway assessment'!$B$16,AB1027)),ISNUMBER(SEARCH('(4) FCH pathway assessment'!$B$10,AA1027))),AD1027,"")</f>
        <v/>
      </c>
      <c r="AF1027" t="str">
        <f t="shared" si="3083"/>
        <v/>
      </c>
      <c r="AG1027" t="str">
        <f>VLOOKUP(C1027,Assumptions!$B$116:$C$162,2,FALSE)</f>
        <v>NG_SR_SML_D</v>
      </c>
      <c r="AH1027" t="str">
        <f>VLOOKUP(D1027,Assumptions!$B$116:$C$162,2,FALSE)</f>
        <v>D_GAS_STRG</v>
      </c>
      <c r="AI1027" t="str">
        <f>VLOOKUP(E1027,Assumptions!$B$116:$C$162,2,FALSE)</f>
        <v>ONSITE_USE</v>
      </c>
      <c r="AJ1027" t="str">
        <f>VLOOKUP(F1027,Assumptions!$B$116:$C$162,2,FALSE)</f>
        <v>H2_OCGT_PWR</v>
      </c>
    </row>
    <row r="1028" spans="2:36" x14ac:dyDescent="0.25">
      <c r="B1028" t="s">
        <v>117</v>
      </c>
      <c r="C1028" t="s">
        <v>53</v>
      </c>
      <c r="D1028" t="s">
        <v>155</v>
      </c>
      <c r="E1028" t="s">
        <v>157</v>
      </c>
      <c r="F1028" t="s">
        <v>164</v>
      </c>
      <c r="G1028" t="s">
        <v>126</v>
      </c>
      <c r="H1028" t="s">
        <v>433</v>
      </c>
      <c r="I1028" t="s">
        <v>32</v>
      </c>
      <c r="J1028" t="s">
        <v>77</v>
      </c>
      <c r="K1028">
        <f t="shared" ref="K1028" si="3099">SUMPRODUCT(($C$7:$C$18=$C1028)*($D$6:$H$6=$D1028)*($D$7:$H$18))</f>
        <v>0</v>
      </c>
      <c r="L1028">
        <f t="shared" ref="L1028" si="3100">SUMPRODUCT(($C$19:$C$23=$D1028)*($I$6:$O$6=$E1028)*($I$19:$O$23))</f>
        <v>1</v>
      </c>
      <c r="M1028">
        <f t="shared" ref="M1028" si="3101">SUMPRODUCT(($C$24:$C$30=$E1028)*($P$6:$AI$6=$F1028)*($P$24:$AI$30))</f>
        <v>0</v>
      </c>
      <c r="N1028">
        <f t="shared" ref="N1028" si="3102">SUMPRODUCT(($C$31:$C$50=$F1028)*($AJ$6:$AM$6=$G1028)*($AJ$31:$AM$50))</f>
        <v>1</v>
      </c>
      <c r="O1028">
        <f t="shared" ref="O1028:O1033" si="3103">K1028+L1028+M1028+N1028</f>
        <v>2</v>
      </c>
      <c r="P1028" t="str">
        <f t="shared" ref="P1028" si="3104">CONCATENATE(C1028,"-",J1028)</f>
        <v>Medium centralized biomass gasification-Marginal abatement cost</v>
      </c>
      <c r="Q1028" t="str">
        <f t="shared" ref="Q1028" si="3105">CONCATENATE(D1028,"-",J1028)</f>
        <v>Central gas storage-Marginal abatement cost</v>
      </c>
      <c r="R1028" t="str">
        <f t="shared" ref="R1028" si="3106">CONCATENATE(E1028,"-",J1028)</f>
        <v>Blending in natural gas pipeline-Marginal abatement cost</v>
      </c>
      <c r="S1028" t="str">
        <f t="shared" ref="S1028" si="3107">CONCATENATE(F1028,"-",J1028)</f>
        <v>Prime power H2 fuel cell-Marginal abatement cost</v>
      </c>
      <c r="T1028">
        <f>IFERROR(VLOOKUP($P1028,'TA database'!$I$8:$J$79,2,FALSE),0)</f>
        <v>0</v>
      </c>
      <c r="U1028">
        <f>IFERROR(VLOOKUP($Q1028,'TA database'!$I$86:$J$105,2,FALSE),0)</f>
        <v>0</v>
      </c>
      <c r="V1028">
        <f>IFERROR(VLOOKUP($R1028,'TA database'!$I$112:$J$139,2,FALSE),0)</f>
        <v>0</v>
      </c>
      <c r="W1028">
        <f>IFERROR(VLOOKUP($S1028,'TA database'!$I$146:$J$193,2,FALSE),0)</f>
        <v>0</v>
      </c>
      <c r="X1028">
        <f ca="1">IFERROR(VLOOKUP($S1028,'TA database'!$I$200:$J$271,2,FALSE),0)</f>
        <v>88.914255219002129</v>
      </c>
      <c r="Y1028" s="59">
        <f t="shared" ref="Y1028:Y1033" ca="1" si="3108">IF($W1028=0,T1028+U1028+V1028+X1028,T1028+U1028+V1028+W1028)</f>
        <v>88.914255219002129</v>
      </c>
      <c r="Z1028" t="str">
        <f t="shared" ref="Z1028:Z1033" si="3109">CONCATENATE(AG1028,"   →   ",AH1028,"   →   ",AI1028,"   →   ",AJ1028)</f>
        <v>BIO_GSF_MED_C   →   C_GAS_STRG   →   H2_BLND_NG_P   →   H2_FC_PWR</v>
      </c>
      <c r="AA1028" t="str">
        <f t="shared" ref="AA1028:AA1033" si="3110">G1028</f>
        <v>Onsite / Back-up power</v>
      </c>
      <c r="AB1028" t="str">
        <f t="shared" ref="AB1028:AB1033" si="3111">J1028</f>
        <v>Marginal abatement cost</v>
      </c>
      <c r="AC1028">
        <f t="shared" ref="AC1028:AC1033" ca="1" si="3112">Y1028</f>
        <v>88.914255219002129</v>
      </c>
      <c r="AD1028">
        <v>969</v>
      </c>
      <c r="AE1028" t="str">
        <f>IF(AND(ISNUMBER(SEARCH(O1028,4)),ISNUMBER(SEARCH('(4) FCH pathway assessment'!$B$16,AB1028)),ISNUMBER(SEARCH('(4) FCH pathway assessment'!$B$10,AA1028))),AD1028,"")</f>
        <v/>
      </c>
      <c r="AF1028" t="str">
        <f t="shared" si="3083"/>
        <v/>
      </c>
      <c r="AG1028" t="str">
        <f>VLOOKUP(C1028,Assumptions!$B$116:$C$162,2,FALSE)</f>
        <v>BIO_GSF_MED_C</v>
      </c>
      <c r="AH1028" t="str">
        <f>VLOOKUP(D1028,Assumptions!$B$116:$C$162,2,FALSE)</f>
        <v>C_GAS_STRG</v>
      </c>
      <c r="AI1028" t="str">
        <f>VLOOKUP(E1028,Assumptions!$B$116:$C$162,2,FALSE)</f>
        <v>H2_BLND_NG_P</v>
      </c>
      <c r="AJ1028" t="str">
        <f>VLOOKUP(F1028,Assumptions!$B$116:$C$162,2,FALSE)</f>
        <v>H2_FC_PWR</v>
      </c>
    </row>
    <row r="1029" spans="2:36" x14ac:dyDescent="0.25">
      <c r="B1029" t="s">
        <v>117</v>
      </c>
      <c r="C1029" t="s">
        <v>53</v>
      </c>
      <c r="D1029" t="s">
        <v>155</v>
      </c>
      <c r="E1029" t="s">
        <v>122</v>
      </c>
      <c r="F1029" t="s">
        <v>164</v>
      </c>
      <c r="G1029" t="s">
        <v>126</v>
      </c>
      <c r="H1029" t="s">
        <v>433</v>
      </c>
      <c r="I1029" t="s">
        <v>32</v>
      </c>
      <c r="J1029" t="s">
        <v>77</v>
      </c>
      <c r="K1029">
        <f t="shared" ref="K1029:K1033" si="3113">SUMPRODUCT(($C$7:$C$18=$C1029)*($D$6:$H$6=$D1029)*($D$7:$H$18))</f>
        <v>0</v>
      </c>
      <c r="L1029">
        <f t="shared" ref="L1029:L1033" si="3114">SUMPRODUCT(($C$19:$C$23=$D1029)*($I$6:$O$6=$E1029)*($I$19:$O$23))</f>
        <v>1</v>
      </c>
      <c r="M1029">
        <f t="shared" ref="M1029:M1033" si="3115">SUMPRODUCT(($C$24:$C$30=$E1029)*($P$6:$AI$6=$F1029)*($P$24:$AI$30))</f>
        <v>1</v>
      </c>
      <c r="N1029">
        <f t="shared" ref="N1029:N1033" si="3116">SUMPRODUCT(($C$31:$C$50=$F1029)*($AJ$6:$AM$6=$G1029)*($AJ$31:$AM$50))</f>
        <v>1</v>
      </c>
      <c r="O1029">
        <f t="shared" si="3103"/>
        <v>3</v>
      </c>
      <c r="P1029" t="str">
        <f t="shared" ref="P1029:P1033" si="3117">CONCATENATE(C1029,"-",J1029)</f>
        <v>Medium centralized biomass gasification-Marginal abatement cost</v>
      </c>
      <c r="Q1029" t="str">
        <f t="shared" ref="Q1029:Q1033" si="3118">CONCATENATE(D1029,"-",J1029)</f>
        <v>Central gas storage-Marginal abatement cost</v>
      </c>
      <c r="R1029" t="str">
        <f t="shared" ref="R1029:R1033" si="3119">CONCATENATE(E1029,"-",J1029)</f>
        <v>Hydrogen transmission &amp; distribution pipeline-Marginal abatement cost</v>
      </c>
      <c r="S1029" t="str">
        <f t="shared" ref="S1029:S1033" si="3120">CONCATENATE(F1029,"-",J1029)</f>
        <v>Prime power H2 fuel cell-Marginal abatement cost</v>
      </c>
      <c r="T1029">
        <f>IFERROR(VLOOKUP($P1029,'TA database'!$I$8:$J$79,2,FALSE),0)</f>
        <v>0</v>
      </c>
      <c r="U1029">
        <f>IFERROR(VLOOKUP($Q1029,'TA database'!$I$86:$J$105,2,FALSE),0)</f>
        <v>0</v>
      </c>
      <c r="V1029">
        <f>IFERROR(VLOOKUP($R1029,'TA database'!$I$112:$J$139,2,FALSE),0)</f>
        <v>0</v>
      </c>
      <c r="W1029">
        <f>IFERROR(VLOOKUP($S1029,'TA database'!$I$146:$J$193,2,FALSE),0)</f>
        <v>0</v>
      </c>
      <c r="X1029">
        <f ca="1">IFERROR(VLOOKUP($S1029,'TA database'!$I$200:$J$271,2,FALSE),0)</f>
        <v>88.914255219002129</v>
      </c>
      <c r="Y1029" s="59">
        <f t="shared" ca="1" si="3108"/>
        <v>88.914255219002129</v>
      </c>
      <c r="Z1029" t="str">
        <f t="shared" si="3109"/>
        <v>BIO_GSF_MED_C   →   C_GAS_STRG   →   H2_T&amp;D_P   →   H2_FC_PWR</v>
      </c>
      <c r="AA1029" t="str">
        <f t="shared" si="3110"/>
        <v>Onsite / Back-up power</v>
      </c>
      <c r="AB1029" t="str">
        <f t="shared" si="3111"/>
        <v>Marginal abatement cost</v>
      </c>
      <c r="AC1029">
        <f t="shared" ca="1" si="3112"/>
        <v>88.914255219002129</v>
      </c>
      <c r="AD1029">
        <v>970</v>
      </c>
      <c r="AE1029" t="str">
        <f>IF(AND(ISNUMBER(SEARCH(O1029,4)),ISNUMBER(SEARCH('(4) FCH pathway assessment'!$B$16,AB1029)),ISNUMBER(SEARCH('(4) FCH pathway assessment'!$B$10,AA1029))),AD1029,"")</f>
        <v/>
      </c>
      <c r="AF1029" t="str">
        <f t="shared" si="3083"/>
        <v/>
      </c>
      <c r="AG1029" t="str">
        <f>VLOOKUP(C1029,Assumptions!$B$116:$C$162,2,FALSE)</f>
        <v>BIO_GSF_MED_C</v>
      </c>
      <c r="AH1029" t="str">
        <f>VLOOKUP(D1029,Assumptions!$B$116:$C$162,2,FALSE)</f>
        <v>C_GAS_STRG</v>
      </c>
      <c r="AI1029" t="str">
        <f>VLOOKUP(E1029,Assumptions!$B$116:$C$162,2,FALSE)</f>
        <v>H2_T&amp;D_P</v>
      </c>
      <c r="AJ1029" t="str">
        <f>VLOOKUP(F1029,Assumptions!$B$116:$C$162,2,FALSE)</f>
        <v>H2_FC_PWR</v>
      </c>
    </row>
    <row r="1030" spans="2:36" x14ac:dyDescent="0.25">
      <c r="B1030" t="s">
        <v>117</v>
      </c>
      <c r="C1030" t="s">
        <v>53</v>
      </c>
      <c r="D1030" t="s">
        <v>155</v>
      </c>
      <c r="E1030" t="s">
        <v>66</v>
      </c>
      <c r="F1030" t="s">
        <v>164</v>
      </c>
      <c r="G1030" t="s">
        <v>126</v>
      </c>
      <c r="H1030" t="s">
        <v>433</v>
      </c>
      <c r="I1030" t="s">
        <v>32</v>
      </c>
      <c r="J1030" t="s">
        <v>77</v>
      </c>
      <c r="K1030">
        <f t="shared" si="3113"/>
        <v>0</v>
      </c>
      <c r="L1030">
        <f t="shared" si="3114"/>
        <v>1</v>
      </c>
      <c r="M1030">
        <f t="shared" si="3115"/>
        <v>1</v>
      </c>
      <c r="N1030">
        <f t="shared" si="3116"/>
        <v>1</v>
      </c>
      <c r="O1030">
        <f t="shared" si="3103"/>
        <v>3</v>
      </c>
      <c r="P1030" t="str">
        <f t="shared" si="3117"/>
        <v>Medium centralized biomass gasification-Marginal abatement cost</v>
      </c>
      <c r="Q1030" t="str">
        <f t="shared" si="3118"/>
        <v>Central gas storage-Marginal abatement cost</v>
      </c>
      <c r="R1030" t="str">
        <f t="shared" si="3119"/>
        <v>Onsite-Marginal abatement cost</v>
      </c>
      <c r="S1030" t="str">
        <f t="shared" si="3120"/>
        <v>Prime power H2 fuel cell-Marginal abatement cost</v>
      </c>
      <c r="T1030">
        <f>IFERROR(VLOOKUP($P1030,'TA database'!$I$8:$J$79,2,FALSE),0)</f>
        <v>0</v>
      </c>
      <c r="U1030">
        <f>IFERROR(VLOOKUP($Q1030,'TA database'!$I$86:$J$105,2,FALSE),0)</f>
        <v>0</v>
      </c>
      <c r="V1030">
        <f>IFERROR(VLOOKUP($R1030,'TA database'!$I$112:$J$139,2,FALSE),0)</f>
        <v>0</v>
      </c>
      <c r="W1030">
        <f>IFERROR(VLOOKUP($S1030,'TA database'!$I$146:$J$193,2,FALSE),0)</f>
        <v>0</v>
      </c>
      <c r="X1030">
        <f ca="1">IFERROR(VLOOKUP($S1030,'TA database'!$I$200:$J$271,2,FALSE),0)</f>
        <v>88.914255219002129</v>
      </c>
      <c r="Y1030" s="59">
        <f t="shared" ca="1" si="3108"/>
        <v>88.914255219002129</v>
      </c>
      <c r="Z1030" t="str">
        <f t="shared" si="3109"/>
        <v>BIO_GSF_MED_C   →   C_GAS_STRG   →   ONSITE_USE   →   H2_FC_PWR</v>
      </c>
      <c r="AA1030" t="str">
        <f t="shared" si="3110"/>
        <v>Onsite / Back-up power</v>
      </c>
      <c r="AB1030" t="str">
        <f t="shared" si="3111"/>
        <v>Marginal abatement cost</v>
      </c>
      <c r="AC1030">
        <f t="shared" ca="1" si="3112"/>
        <v>88.914255219002129</v>
      </c>
      <c r="AD1030">
        <v>971</v>
      </c>
      <c r="AE1030" t="str">
        <f>IF(AND(ISNUMBER(SEARCH(O1030,4)),ISNUMBER(SEARCH('(4) FCH pathway assessment'!$B$16,AB1030)),ISNUMBER(SEARCH('(4) FCH pathway assessment'!$B$10,AA1030))),AD1030,"")</f>
        <v/>
      </c>
      <c r="AF1030" t="str">
        <f t="shared" si="3083"/>
        <v/>
      </c>
      <c r="AG1030" t="str">
        <f>VLOOKUP(C1030,Assumptions!$B$116:$C$162,2,FALSE)</f>
        <v>BIO_GSF_MED_C</v>
      </c>
      <c r="AH1030" t="str">
        <f>VLOOKUP(D1030,Assumptions!$B$116:$C$162,2,FALSE)</f>
        <v>C_GAS_STRG</v>
      </c>
      <c r="AI1030" t="str">
        <f>VLOOKUP(E1030,Assumptions!$B$116:$C$162,2,FALSE)</f>
        <v>ONSITE_USE</v>
      </c>
      <c r="AJ1030" t="str">
        <f>VLOOKUP(F1030,Assumptions!$B$116:$C$162,2,FALSE)</f>
        <v>H2_FC_PWR</v>
      </c>
    </row>
    <row r="1031" spans="2:36" x14ac:dyDescent="0.25">
      <c r="B1031" t="s">
        <v>117</v>
      </c>
      <c r="C1031" t="s">
        <v>54</v>
      </c>
      <c r="D1031" t="s">
        <v>155</v>
      </c>
      <c r="E1031" t="s">
        <v>157</v>
      </c>
      <c r="F1031" t="s">
        <v>164</v>
      </c>
      <c r="G1031" t="s">
        <v>126</v>
      </c>
      <c r="H1031" t="s">
        <v>433</v>
      </c>
      <c r="I1031" t="s">
        <v>32</v>
      </c>
      <c r="J1031" t="s">
        <v>77</v>
      </c>
      <c r="K1031">
        <f t="shared" si="3113"/>
        <v>0</v>
      </c>
      <c r="L1031">
        <f t="shared" si="3114"/>
        <v>1</v>
      </c>
      <c r="M1031">
        <f t="shared" si="3115"/>
        <v>0</v>
      </c>
      <c r="N1031">
        <f t="shared" si="3116"/>
        <v>1</v>
      </c>
      <c r="O1031">
        <f t="shared" si="3103"/>
        <v>2</v>
      </c>
      <c r="P1031" t="str">
        <f t="shared" si="3117"/>
        <v>Medium centralized biomass gasification w/ CCS-Marginal abatement cost</v>
      </c>
      <c r="Q1031" t="str">
        <f t="shared" si="3118"/>
        <v>Central gas storage-Marginal abatement cost</v>
      </c>
      <c r="R1031" t="str">
        <f t="shared" si="3119"/>
        <v>Blending in natural gas pipeline-Marginal abatement cost</v>
      </c>
      <c r="S1031" t="str">
        <f t="shared" si="3120"/>
        <v>Prime power H2 fuel cell-Marginal abatement cost</v>
      </c>
      <c r="T1031">
        <f>IFERROR(VLOOKUP($P1031,'TA database'!$I$8:$J$79,2,FALSE),0)</f>
        <v>0</v>
      </c>
      <c r="U1031">
        <f>IFERROR(VLOOKUP($Q1031,'TA database'!$I$86:$J$105,2,FALSE),0)</f>
        <v>0</v>
      </c>
      <c r="V1031">
        <f>IFERROR(VLOOKUP($R1031,'TA database'!$I$112:$J$139,2,FALSE),0)</f>
        <v>0</v>
      </c>
      <c r="W1031">
        <f>IFERROR(VLOOKUP($S1031,'TA database'!$I$146:$J$193,2,FALSE),0)</f>
        <v>0</v>
      </c>
      <c r="X1031">
        <f ca="1">IFERROR(VLOOKUP($S1031,'TA database'!$I$200:$J$271,2,FALSE),0)</f>
        <v>88.914255219002129</v>
      </c>
      <c r="Y1031" s="59">
        <f t="shared" ca="1" si="3108"/>
        <v>88.914255219002129</v>
      </c>
      <c r="Z1031" t="str">
        <f t="shared" si="3109"/>
        <v>BIO_GSF_CCS_MED_C   →   C_GAS_STRG   →   H2_BLND_NG_P   →   H2_FC_PWR</v>
      </c>
      <c r="AA1031" t="str">
        <f t="shared" si="3110"/>
        <v>Onsite / Back-up power</v>
      </c>
      <c r="AB1031" t="str">
        <f t="shared" si="3111"/>
        <v>Marginal abatement cost</v>
      </c>
      <c r="AC1031">
        <f t="shared" ca="1" si="3112"/>
        <v>88.914255219002129</v>
      </c>
      <c r="AD1031">
        <v>972</v>
      </c>
      <c r="AE1031" t="str">
        <f>IF(AND(ISNUMBER(SEARCH(O1031,4)),ISNUMBER(SEARCH('(4) FCH pathway assessment'!$B$16,AB1031)),ISNUMBER(SEARCH('(4) FCH pathway assessment'!$B$10,AA1031))),AD1031,"")</f>
        <v/>
      </c>
      <c r="AF1031" t="str">
        <f t="shared" si="3083"/>
        <v/>
      </c>
      <c r="AG1031" t="str">
        <f>VLOOKUP(C1031,Assumptions!$B$116:$C$162,2,FALSE)</f>
        <v>BIO_GSF_CCS_MED_C</v>
      </c>
      <c r="AH1031" t="str">
        <f>VLOOKUP(D1031,Assumptions!$B$116:$C$162,2,FALSE)</f>
        <v>C_GAS_STRG</v>
      </c>
      <c r="AI1031" t="str">
        <f>VLOOKUP(E1031,Assumptions!$B$116:$C$162,2,FALSE)</f>
        <v>H2_BLND_NG_P</v>
      </c>
      <c r="AJ1031" t="str">
        <f>VLOOKUP(F1031,Assumptions!$B$116:$C$162,2,FALSE)</f>
        <v>H2_FC_PWR</v>
      </c>
    </row>
    <row r="1032" spans="2:36" x14ac:dyDescent="0.25">
      <c r="B1032" t="s">
        <v>117</v>
      </c>
      <c r="C1032" t="s">
        <v>54</v>
      </c>
      <c r="D1032" t="s">
        <v>155</v>
      </c>
      <c r="E1032" t="s">
        <v>122</v>
      </c>
      <c r="F1032" t="s">
        <v>164</v>
      </c>
      <c r="G1032" t="s">
        <v>126</v>
      </c>
      <c r="H1032" t="s">
        <v>433</v>
      </c>
      <c r="I1032" t="s">
        <v>32</v>
      </c>
      <c r="J1032" t="s">
        <v>77</v>
      </c>
      <c r="K1032">
        <f t="shared" si="3113"/>
        <v>0</v>
      </c>
      <c r="L1032">
        <f t="shared" si="3114"/>
        <v>1</v>
      </c>
      <c r="M1032">
        <f t="shared" si="3115"/>
        <v>1</v>
      </c>
      <c r="N1032">
        <f t="shared" si="3116"/>
        <v>1</v>
      </c>
      <c r="O1032">
        <f t="shared" si="3103"/>
        <v>3</v>
      </c>
      <c r="P1032" t="str">
        <f t="shared" si="3117"/>
        <v>Medium centralized biomass gasification w/ CCS-Marginal abatement cost</v>
      </c>
      <c r="Q1032" t="str">
        <f t="shared" si="3118"/>
        <v>Central gas storage-Marginal abatement cost</v>
      </c>
      <c r="R1032" t="str">
        <f t="shared" si="3119"/>
        <v>Hydrogen transmission &amp; distribution pipeline-Marginal abatement cost</v>
      </c>
      <c r="S1032" t="str">
        <f t="shared" si="3120"/>
        <v>Prime power H2 fuel cell-Marginal abatement cost</v>
      </c>
      <c r="T1032">
        <f>IFERROR(VLOOKUP($P1032,'TA database'!$I$8:$J$79,2,FALSE),0)</f>
        <v>0</v>
      </c>
      <c r="U1032">
        <f>IFERROR(VLOOKUP($Q1032,'TA database'!$I$86:$J$105,2,FALSE),0)</f>
        <v>0</v>
      </c>
      <c r="V1032">
        <f>IFERROR(VLOOKUP($R1032,'TA database'!$I$112:$J$139,2,FALSE),0)</f>
        <v>0</v>
      </c>
      <c r="W1032">
        <f>IFERROR(VLOOKUP($S1032,'TA database'!$I$146:$J$193,2,FALSE),0)</f>
        <v>0</v>
      </c>
      <c r="X1032">
        <f ca="1">IFERROR(VLOOKUP($S1032,'TA database'!$I$200:$J$271,2,FALSE),0)</f>
        <v>88.914255219002129</v>
      </c>
      <c r="Y1032" s="59">
        <f t="shared" ca="1" si="3108"/>
        <v>88.914255219002129</v>
      </c>
      <c r="Z1032" t="str">
        <f t="shared" si="3109"/>
        <v>BIO_GSF_CCS_MED_C   →   C_GAS_STRG   →   H2_T&amp;D_P   →   H2_FC_PWR</v>
      </c>
      <c r="AA1032" t="str">
        <f t="shared" si="3110"/>
        <v>Onsite / Back-up power</v>
      </c>
      <c r="AB1032" t="str">
        <f t="shared" si="3111"/>
        <v>Marginal abatement cost</v>
      </c>
      <c r="AC1032">
        <f t="shared" ca="1" si="3112"/>
        <v>88.914255219002129</v>
      </c>
      <c r="AD1032">
        <v>973</v>
      </c>
      <c r="AE1032" t="str">
        <f>IF(AND(ISNUMBER(SEARCH(O1032,4)),ISNUMBER(SEARCH('(4) FCH pathway assessment'!$B$16,AB1032)),ISNUMBER(SEARCH('(4) FCH pathway assessment'!$B$10,AA1032))),AD1032,"")</f>
        <v/>
      </c>
      <c r="AF1032" t="str">
        <f t="shared" si="3083"/>
        <v/>
      </c>
      <c r="AG1032" t="str">
        <f>VLOOKUP(C1032,Assumptions!$B$116:$C$162,2,FALSE)</f>
        <v>BIO_GSF_CCS_MED_C</v>
      </c>
      <c r="AH1032" t="str">
        <f>VLOOKUP(D1032,Assumptions!$B$116:$C$162,2,FALSE)</f>
        <v>C_GAS_STRG</v>
      </c>
      <c r="AI1032" t="str">
        <f>VLOOKUP(E1032,Assumptions!$B$116:$C$162,2,FALSE)</f>
        <v>H2_T&amp;D_P</v>
      </c>
      <c r="AJ1032" t="str">
        <f>VLOOKUP(F1032,Assumptions!$B$116:$C$162,2,FALSE)</f>
        <v>H2_FC_PWR</v>
      </c>
    </row>
    <row r="1033" spans="2:36" x14ac:dyDescent="0.25">
      <c r="B1033" t="s">
        <v>117</v>
      </c>
      <c r="C1033" t="s">
        <v>54</v>
      </c>
      <c r="D1033" t="s">
        <v>155</v>
      </c>
      <c r="E1033" t="s">
        <v>66</v>
      </c>
      <c r="F1033" t="s">
        <v>164</v>
      </c>
      <c r="G1033" t="s">
        <v>126</v>
      </c>
      <c r="H1033" t="s">
        <v>433</v>
      </c>
      <c r="I1033" t="s">
        <v>32</v>
      </c>
      <c r="J1033" t="s">
        <v>77</v>
      </c>
      <c r="K1033">
        <f t="shared" si="3113"/>
        <v>0</v>
      </c>
      <c r="L1033">
        <f t="shared" si="3114"/>
        <v>1</v>
      </c>
      <c r="M1033">
        <f t="shared" si="3115"/>
        <v>1</v>
      </c>
      <c r="N1033">
        <f t="shared" si="3116"/>
        <v>1</v>
      </c>
      <c r="O1033">
        <f t="shared" si="3103"/>
        <v>3</v>
      </c>
      <c r="P1033" t="str">
        <f t="shared" si="3117"/>
        <v>Medium centralized biomass gasification w/ CCS-Marginal abatement cost</v>
      </c>
      <c r="Q1033" t="str">
        <f t="shared" si="3118"/>
        <v>Central gas storage-Marginal abatement cost</v>
      </c>
      <c r="R1033" t="str">
        <f t="shared" si="3119"/>
        <v>Onsite-Marginal abatement cost</v>
      </c>
      <c r="S1033" t="str">
        <f t="shared" si="3120"/>
        <v>Prime power H2 fuel cell-Marginal abatement cost</v>
      </c>
      <c r="T1033">
        <f>IFERROR(VLOOKUP($P1033,'TA database'!$I$8:$J$79,2,FALSE),0)</f>
        <v>0</v>
      </c>
      <c r="U1033">
        <f>IFERROR(VLOOKUP($Q1033,'TA database'!$I$86:$J$105,2,FALSE),0)</f>
        <v>0</v>
      </c>
      <c r="V1033">
        <f>IFERROR(VLOOKUP($R1033,'TA database'!$I$112:$J$139,2,FALSE),0)</f>
        <v>0</v>
      </c>
      <c r="W1033">
        <f>IFERROR(VLOOKUP($S1033,'TA database'!$I$146:$J$193,2,FALSE),0)</f>
        <v>0</v>
      </c>
      <c r="X1033">
        <f ca="1">IFERROR(VLOOKUP($S1033,'TA database'!$I$200:$J$271,2,FALSE),0)</f>
        <v>88.914255219002129</v>
      </c>
      <c r="Y1033" s="59">
        <f t="shared" ca="1" si="3108"/>
        <v>88.914255219002129</v>
      </c>
      <c r="Z1033" t="str">
        <f t="shared" si="3109"/>
        <v>BIO_GSF_CCS_MED_C   →   C_GAS_STRG   →   ONSITE_USE   →   H2_FC_PWR</v>
      </c>
      <c r="AA1033" t="str">
        <f t="shared" si="3110"/>
        <v>Onsite / Back-up power</v>
      </c>
      <c r="AB1033" t="str">
        <f t="shared" si="3111"/>
        <v>Marginal abatement cost</v>
      </c>
      <c r="AC1033">
        <f t="shared" ca="1" si="3112"/>
        <v>88.914255219002129</v>
      </c>
      <c r="AD1033">
        <v>974</v>
      </c>
      <c r="AE1033" t="str">
        <f>IF(AND(ISNUMBER(SEARCH(O1033,4)),ISNUMBER(SEARCH('(4) FCH pathway assessment'!$B$16,AB1033)),ISNUMBER(SEARCH('(4) FCH pathway assessment'!$B$10,AA1033))),AD1033,"")</f>
        <v/>
      </c>
      <c r="AF1033" t="str">
        <f t="shared" si="3083"/>
        <v/>
      </c>
      <c r="AG1033" t="str">
        <f>VLOOKUP(C1033,Assumptions!$B$116:$C$162,2,FALSE)</f>
        <v>BIO_GSF_CCS_MED_C</v>
      </c>
      <c r="AH1033" t="str">
        <f>VLOOKUP(D1033,Assumptions!$B$116:$C$162,2,FALSE)</f>
        <v>C_GAS_STRG</v>
      </c>
      <c r="AI1033" t="str">
        <f>VLOOKUP(E1033,Assumptions!$B$116:$C$162,2,FALSE)</f>
        <v>ONSITE_USE</v>
      </c>
      <c r="AJ1033" t="str">
        <f>VLOOKUP(F1033,Assumptions!$B$116:$C$162,2,FALSE)</f>
        <v>H2_FC_PWR</v>
      </c>
    </row>
    <row r="1034" spans="2:36" x14ac:dyDescent="0.25">
      <c r="B1034" t="s">
        <v>117</v>
      </c>
      <c r="C1034" t="s">
        <v>55</v>
      </c>
      <c r="D1034" s="60" t="s">
        <v>130</v>
      </c>
      <c r="E1034" t="s">
        <v>66</v>
      </c>
      <c r="F1034" t="s">
        <v>164</v>
      </c>
      <c r="G1034" t="s">
        <v>126</v>
      </c>
      <c r="H1034" t="s">
        <v>433</v>
      </c>
      <c r="I1034" t="s">
        <v>32</v>
      </c>
      <c r="J1034" t="s">
        <v>77</v>
      </c>
      <c r="K1034">
        <f t="shared" ref="K1034:K1038" si="3121">SUMPRODUCT(($C$7:$C$18=$C1034)*($D$6:$H$6=$D1034)*($D$7:$H$18))</f>
        <v>0</v>
      </c>
      <c r="L1034">
        <f t="shared" ref="L1034:L1038" si="3122">SUMPRODUCT(($C$19:$C$23=$D1034)*($I$6:$O$6=$E1034)*($I$19:$O$23))</f>
        <v>1</v>
      </c>
      <c r="M1034">
        <f t="shared" ref="M1034:M1038" si="3123">SUMPRODUCT(($C$24:$C$30=$E1034)*($P$6:$AI$6=$F1034)*($P$24:$AI$30))</f>
        <v>1</v>
      </c>
      <c r="N1034">
        <f t="shared" ref="N1034:N1038" si="3124">SUMPRODUCT(($C$31:$C$50=$F1034)*($AJ$6:$AM$6=$G1034)*($AJ$31:$AM$50))</f>
        <v>1</v>
      </c>
      <c r="O1034">
        <f t="shared" ref="O1034:O1038" si="3125">K1034+L1034+M1034+N1034</f>
        <v>3</v>
      </c>
      <c r="P1034" t="str">
        <f t="shared" ref="P1034:P1038" si="3126">CONCATENATE(C1034,"-",J1034)</f>
        <v>Small decentralized biomass gasification-Marginal abatement cost</v>
      </c>
      <c r="Q1034" t="str">
        <f t="shared" ref="Q1034:Q1038" si="3127">CONCATENATE(D1034,"-",J1034)</f>
        <v>Distributed gas storage-Marginal abatement cost</v>
      </c>
      <c r="R1034" t="str">
        <f t="shared" ref="R1034:R1038" si="3128">CONCATENATE(E1034,"-",J1034)</f>
        <v>Onsite-Marginal abatement cost</v>
      </c>
      <c r="S1034" t="str">
        <f t="shared" ref="S1034:S1038" si="3129">CONCATENATE(F1034,"-",J1034)</f>
        <v>Prime power H2 fuel cell-Marginal abatement cost</v>
      </c>
      <c r="T1034">
        <f>IFERROR(VLOOKUP($P1034,'TA database'!$I$8:$J$79,2,FALSE),0)</f>
        <v>0</v>
      </c>
      <c r="U1034">
        <f>IFERROR(VLOOKUP($Q1034,'TA database'!$I$86:$J$105,2,FALSE),0)</f>
        <v>0</v>
      </c>
      <c r="V1034">
        <f>IFERROR(VLOOKUP($R1034,'TA database'!$I$112:$J$139,2,FALSE),0)</f>
        <v>0</v>
      </c>
      <c r="W1034">
        <f>IFERROR(VLOOKUP($S1034,'TA database'!$I$146:$J$193,2,FALSE),0)</f>
        <v>0</v>
      </c>
      <c r="X1034">
        <f ca="1">IFERROR(VLOOKUP($S1034,'TA database'!$I$200:$J$271,2,FALSE),0)</f>
        <v>88.914255219002129</v>
      </c>
      <c r="Y1034" s="59">
        <f t="shared" ref="Y1034:Y1038" ca="1" si="3130">IF($W1034=0,T1034+U1034+V1034+X1034,T1034+U1034+V1034+W1034)</f>
        <v>88.914255219002129</v>
      </c>
      <c r="Z1034" t="str">
        <f t="shared" ref="Z1034:Z1038" si="3131">CONCATENATE(AG1034,"   →   ",AH1034,"   →   ",AI1034,"   →   ",AJ1034)</f>
        <v>BIO_GSF_SML_D   →   D_GAS_STRG   →   ONSITE_USE   →   H2_FC_PWR</v>
      </c>
      <c r="AA1034" t="str">
        <f t="shared" ref="AA1034:AA1038" si="3132">G1034</f>
        <v>Onsite / Back-up power</v>
      </c>
      <c r="AB1034" t="str">
        <f t="shared" ref="AB1034:AB1038" si="3133">J1034</f>
        <v>Marginal abatement cost</v>
      </c>
      <c r="AC1034">
        <f t="shared" ref="AC1034:AC1038" ca="1" si="3134">Y1034</f>
        <v>88.914255219002129</v>
      </c>
      <c r="AD1034">
        <v>975</v>
      </c>
      <c r="AE1034" t="str">
        <f>IF(AND(ISNUMBER(SEARCH(O1034,4)),ISNUMBER(SEARCH('(4) FCH pathway assessment'!$B$16,AB1034)),ISNUMBER(SEARCH('(4) FCH pathway assessment'!$B$10,AA1034))),AD1034,"")</f>
        <v/>
      </c>
      <c r="AF1034" t="str">
        <f t="shared" si="3083"/>
        <v/>
      </c>
      <c r="AG1034" t="str">
        <f>VLOOKUP(C1034,Assumptions!$B$116:$C$162,2,FALSE)</f>
        <v>BIO_GSF_SML_D</v>
      </c>
      <c r="AH1034" t="str">
        <f>VLOOKUP(D1034,Assumptions!$B$116:$C$162,2,FALSE)</f>
        <v>D_GAS_STRG</v>
      </c>
      <c r="AI1034" t="str">
        <f>VLOOKUP(E1034,Assumptions!$B$116:$C$162,2,FALSE)</f>
        <v>ONSITE_USE</v>
      </c>
      <c r="AJ1034" t="str">
        <f>VLOOKUP(F1034,Assumptions!$B$116:$C$162,2,FALSE)</f>
        <v>H2_FC_PWR</v>
      </c>
    </row>
    <row r="1035" spans="2:36" x14ac:dyDescent="0.25">
      <c r="B1035" t="s">
        <v>117</v>
      </c>
      <c r="C1035" t="s">
        <v>56</v>
      </c>
      <c r="D1035" t="s">
        <v>62</v>
      </c>
      <c r="E1035" t="s">
        <v>157</v>
      </c>
      <c r="F1035" t="s">
        <v>164</v>
      </c>
      <c r="G1035" t="s">
        <v>126</v>
      </c>
      <c r="H1035" t="s">
        <v>433</v>
      </c>
      <c r="I1035" t="s">
        <v>32</v>
      </c>
      <c r="J1035" t="s">
        <v>77</v>
      </c>
      <c r="K1035">
        <f t="shared" si="3121"/>
        <v>0</v>
      </c>
      <c r="L1035">
        <f t="shared" si="3122"/>
        <v>0</v>
      </c>
      <c r="M1035">
        <f t="shared" si="3123"/>
        <v>0</v>
      </c>
      <c r="N1035">
        <f t="shared" si="3124"/>
        <v>1</v>
      </c>
      <c r="O1035">
        <f t="shared" si="3125"/>
        <v>1</v>
      </c>
      <c r="P1035" t="str">
        <f t="shared" si="3126"/>
        <v>Large centralized biomass steam reforming -Marginal abatement cost</v>
      </c>
      <c r="Q1035" t="str">
        <f t="shared" si="3127"/>
        <v>Underground storage-Marginal abatement cost</v>
      </c>
      <c r="R1035" t="str">
        <f t="shared" si="3128"/>
        <v>Blending in natural gas pipeline-Marginal abatement cost</v>
      </c>
      <c r="S1035" t="str">
        <f t="shared" si="3129"/>
        <v>Prime power H2 fuel cell-Marginal abatement cost</v>
      </c>
      <c r="T1035">
        <f>IFERROR(VLOOKUP($P1035,'TA database'!$I$8:$J$79,2,FALSE),0)</f>
        <v>0</v>
      </c>
      <c r="U1035">
        <f>IFERROR(VLOOKUP($Q1035,'TA database'!$I$86:$J$105,2,FALSE),0)</f>
        <v>0</v>
      </c>
      <c r="V1035">
        <f>IFERROR(VLOOKUP($R1035,'TA database'!$I$112:$J$139,2,FALSE),0)</f>
        <v>0</v>
      </c>
      <c r="W1035">
        <f>IFERROR(VLOOKUP($S1035,'TA database'!$I$146:$J$193,2,FALSE),0)</f>
        <v>0</v>
      </c>
      <c r="X1035">
        <f ca="1">IFERROR(VLOOKUP($S1035,'TA database'!$I$200:$J$271,2,FALSE),0)</f>
        <v>88.914255219002129</v>
      </c>
      <c r="Y1035" s="59">
        <f t="shared" ca="1" si="3130"/>
        <v>88.914255219002129</v>
      </c>
      <c r="Z1035" t="str">
        <f t="shared" si="3131"/>
        <v>BIO_SR_LRG_C   →   C_UNDRGRND_STRG   →   H2_BLND_NG_P   →   H2_FC_PWR</v>
      </c>
      <c r="AA1035" t="str">
        <f t="shared" si="3132"/>
        <v>Onsite / Back-up power</v>
      </c>
      <c r="AB1035" t="str">
        <f t="shared" si="3133"/>
        <v>Marginal abatement cost</v>
      </c>
      <c r="AC1035">
        <f t="shared" ca="1" si="3134"/>
        <v>88.914255219002129</v>
      </c>
      <c r="AD1035">
        <v>976</v>
      </c>
      <c r="AE1035" t="str">
        <f>IF(AND(ISNUMBER(SEARCH(O1035,4)),ISNUMBER(SEARCH('(4) FCH pathway assessment'!$B$16,AB1035)),ISNUMBER(SEARCH('(4) FCH pathway assessment'!$B$10,AA1035))),AD1035,"")</f>
        <v/>
      </c>
      <c r="AF1035" t="str">
        <f t="shared" si="3083"/>
        <v/>
      </c>
      <c r="AG1035" t="str">
        <f>VLOOKUP(C1035,Assumptions!$B$116:$C$162,2,FALSE)</f>
        <v>BIO_SR_LRG_C</v>
      </c>
      <c r="AH1035" t="str">
        <f>VLOOKUP(D1035,Assumptions!$B$116:$C$162,2,FALSE)</f>
        <v>C_UNDRGRND_STRG</v>
      </c>
      <c r="AI1035" t="str">
        <f>VLOOKUP(E1035,Assumptions!$B$116:$C$162,2,FALSE)</f>
        <v>H2_BLND_NG_P</v>
      </c>
      <c r="AJ1035" t="str">
        <f>VLOOKUP(F1035,Assumptions!$B$116:$C$162,2,FALSE)</f>
        <v>H2_FC_PWR</v>
      </c>
    </row>
    <row r="1036" spans="2:36" x14ac:dyDescent="0.25">
      <c r="B1036" t="s">
        <v>117</v>
      </c>
      <c r="C1036" t="s">
        <v>56</v>
      </c>
      <c r="D1036" t="s">
        <v>62</v>
      </c>
      <c r="E1036" t="s">
        <v>122</v>
      </c>
      <c r="F1036" t="s">
        <v>164</v>
      </c>
      <c r="G1036" t="s">
        <v>126</v>
      </c>
      <c r="H1036" t="s">
        <v>433</v>
      </c>
      <c r="I1036" t="s">
        <v>32</v>
      </c>
      <c r="J1036" t="s">
        <v>77</v>
      </c>
      <c r="K1036">
        <f t="shared" si="3121"/>
        <v>0</v>
      </c>
      <c r="L1036">
        <f t="shared" si="3122"/>
        <v>0</v>
      </c>
      <c r="M1036">
        <f t="shared" si="3123"/>
        <v>1</v>
      </c>
      <c r="N1036">
        <f t="shared" si="3124"/>
        <v>1</v>
      </c>
      <c r="O1036">
        <f t="shared" si="3125"/>
        <v>2</v>
      </c>
      <c r="P1036" t="str">
        <f t="shared" si="3126"/>
        <v>Large centralized biomass steam reforming -Marginal abatement cost</v>
      </c>
      <c r="Q1036" t="str">
        <f t="shared" si="3127"/>
        <v>Underground storage-Marginal abatement cost</v>
      </c>
      <c r="R1036" t="str">
        <f t="shared" si="3128"/>
        <v>Hydrogen transmission &amp; distribution pipeline-Marginal abatement cost</v>
      </c>
      <c r="S1036" t="str">
        <f t="shared" si="3129"/>
        <v>Prime power H2 fuel cell-Marginal abatement cost</v>
      </c>
      <c r="T1036">
        <f>IFERROR(VLOOKUP($P1036,'TA database'!$I$8:$J$79,2,FALSE),0)</f>
        <v>0</v>
      </c>
      <c r="U1036">
        <f>IFERROR(VLOOKUP($Q1036,'TA database'!$I$86:$J$105,2,FALSE),0)</f>
        <v>0</v>
      </c>
      <c r="V1036">
        <f>IFERROR(VLOOKUP($R1036,'TA database'!$I$112:$J$139,2,FALSE),0)</f>
        <v>0</v>
      </c>
      <c r="W1036">
        <f>IFERROR(VLOOKUP($S1036,'TA database'!$I$146:$J$193,2,FALSE),0)</f>
        <v>0</v>
      </c>
      <c r="X1036">
        <f ca="1">IFERROR(VLOOKUP($S1036,'TA database'!$I$200:$J$271,2,FALSE),0)</f>
        <v>88.914255219002129</v>
      </c>
      <c r="Y1036" s="59">
        <f t="shared" ca="1" si="3130"/>
        <v>88.914255219002129</v>
      </c>
      <c r="Z1036" t="str">
        <f t="shared" si="3131"/>
        <v>BIO_SR_LRG_C   →   C_UNDRGRND_STRG   →   H2_T&amp;D_P   →   H2_FC_PWR</v>
      </c>
      <c r="AA1036" t="str">
        <f t="shared" si="3132"/>
        <v>Onsite / Back-up power</v>
      </c>
      <c r="AB1036" t="str">
        <f t="shared" si="3133"/>
        <v>Marginal abatement cost</v>
      </c>
      <c r="AC1036">
        <f t="shared" ca="1" si="3134"/>
        <v>88.914255219002129</v>
      </c>
      <c r="AD1036">
        <v>977</v>
      </c>
      <c r="AE1036" t="str">
        <f>IF(AND(ISNUMBER(SEARCH(O1036,4)),ISNUMBER(SEARCH('(4) FCH pathway assessment'!$B$16,AB1036)),ISNUMBER(SEARCH('(4) FCH pathway assessment'!$B$10,AA1036))),AD1036,"")</f>
        <v/>
      </c>
      <c r="AF1036" t="str">
        <f t="shared" si="3083"/>
        <v/>
      </c>
      <c r="AG1036" t="str">
        <f>VLOOKUP(C1036,Assumptions!$B$116:$C$162,2,FALSE)</f>
        <v>BIO_SR_LRG_C</v>
      </c>
      <c r="AH1036" t="str">
        <f>VLOOKUP(D1036,Assumptions!$B$116:$C$162,2,FALSE)</f>
        <v>C_UNDRGRND_STRG</v>
      </c>
      <c r="AI1036" t="str">
        <f>VLOOKUP(E1036,Assumptions!$B$116:$C$162,2,FALSE)</f>
        <v>H2_T&amp;D_P</v>
      </c>
      <c r="AJ1036" t="str">
        <f>VLOOKUP(F1036,Assumptions!$B$116:$C$162,2,FALSE)</f>
        <v>H2_FC_PWR</v>
      </c>
    </row>
    <row r="1037" spans="2:36" x14ac:dyDescent="0.25">
      <c r="B1037" t="s">
        <v>117</v>
      </c>
      <c r="C1037" t="s">
        <v>56</v>
      </c>
      <c r="D1037" t="s">
        <v>62</v>
      </c>
      <c r="E1037" t="s">
        <v>66</v>
      </c>
      <c r="F1037" t="s">
        <v>164</v>
      </c>
      <c r="G1037" t="s">
        <v>126</v>
      </c>
      <c r="H1037" t="s">
        <v>433</v>
      </c>
      <c r="I1037" t="s">
        <v>32</v>
      </c>
      <c r="J1037" t="s">
        <v>77</v>
      </c>
      <c r="K1037">
        <f t="shared" si="3121"/>
        <v>0</v>
      </c>
      <c r="L1037">
        <f t="shared" si="3122"/>
        <v>0</v>
      </c>
      <c r="M1037">
        <f t="shared" si="3123"/>
        <v>1</v>
      </c>
      <c r="N1037">
        <f t="shared" si="3124"/>
        <v>1</v>
      </c>
      <c r="O1037">
        <f t="shared" si="3125"/>
        <v>2</v>
      </c>
      <c r="P1037" t="str">
        <f t="shared" si="3126"/>
        <v>Large centralized biomass steam reforming -Marginal abatement cost</v>
      </c>
      <c r="Q1037" t="str">
        <f t="shared" si="3127"/>
        <v>Underground storage-Marginal abatement cost</v>
      </c>
      <c r="R1037" t="str">
        <f t="shared" si="3128"/>
        <v>Onsite-Marginal abatement cost</v>
      </c>
      <c r="S1037" t="str">
        <f t="shared" si="3129"/>
        <v>Prime power H2 fuel cell-Marginal abatement cost</v>
      </c>
      <c r="T1037">
        <f>IFERROR(VLOOKUP($P1037,'TA database'!$I$8:$J$79,2,FALSE),0)</f>
        <v>0</v>
      </c>
      <c r="U1037">
        <f>IFERROR(VLOOKUP($Q1037,'TA database'!$I$86:$J$105,2,FALSE),0)</f>
        <v>0</v>
      </c>
      <c r="V1037">
        <f>IFERROR(VLOOKUP($R1037,'TA database'!$I$112:$J$139,2,FALSE),0)</f>
        <v>0</v>
      </c>
      <c r="W1037">
        <f>IFERROR(VLOOKUP($S1037,'TA database'!$I$146:$J$193,2,FALSE),0)</f>
        <v>0</v>
      </c>
      <c r="X1037">
        <f ca="1">IFERROR(VLOOKUP($S1037,'TA database'!$I$200:$J$271,2,FALSE),0)</f>
        <v>88.914255219002129</v>
      </c>
      <c r="Y1037" s="59">
        <f t="shared" ca="1" si="3130"/>
        <v>88.914255219002129</v>
      </c>
      <c r="Z1037" t="str">
        <f t="shared" si="3131"/>
        <v>BIO_SR_LRG_C   →   C_UNDRGRND_STRG   →   ONSITE_USE   →   H2_FC_PWR</v>
      </c>
      <c r="AA1037" t="str">
        <f t="shared" si="3132"/>
        <v>Onsite / Back-up power</v>
      </c>
      <c r="AB1037" t="str">
        <f t="shared" si="3133"/>
        <v>Marginal abatement cost</v>
      </c>
      <c r="AC1037">
        <f t="shared" ca="1" si="3134"/>
        <v>88.914255219002129</v>
      </c>
      <c r="AD1037">
        <v>978</v>
      </c>
      <c r="AE1037" t="str">
        <f>IF(AND(ISNUMBER(SEARCH(O1037,4)),ISNUMBER(SEARCH('(4) FCH pathway assessment'!$B$16,AB1037)),ISNUMBER(SEARCH('(4) FCH pathway assessment'!$B$10,AA1037))),AD1037,"")</f>
        <v/>
      </c>
      <c r="AF1037" t="str">
        <f t="shared" si="3083"/>
        <v/>
      </c>
      <c r="AG1037" t="str">
        <f>VLOOKUP(C1037,Assumptions!$B$116:$C$162,2,FALSE)</f>
        <v>BIO_SR_LRG_C</v>
      </c>
      <c r="AH1037" t="str">
        <f>VLOOKUP(D1037,Assumptions!$B$116:$C$162,2,FALSE)</f>
        <v>C_UNDRGRND_STRG</v>
      </c>
      <c r="AI1037" t="str">
        <f>VLOOKUP(E1037,Assumptions!$B$116:$C$162,2,FALSE)</f>
        <v>ONSITE_USE</v>
      </c>
      <c r="AJ1037" t="str">
        <f>VLOOKUP(F1037,Assumptions!$B$116:$C$162,2,FALSE)</f>
        <v>H2_FC_PWR</v>
      </c>
    </row>
    <row r="1038" spans="2:36" x14ac:dyDescent="0.25">
      <c r="B1038" t="s">
        <v>117</v>
      </c>
      <c r="C1038" t="s">
        <v>56</v>
      </c>
      <c r="D1038" s="61" t="s">
        <v>63</v>
      </c>
      <c r="E1038" t="s">
        <v>122</v>
      </c>
      <c r="F1038" t="s">
        <v>164</v>
      </c>
      <c r="G1038" t="s">
        <v>126</v>
      </c>
      <c r="H1038" t="s">
        <v>433</v>
      </c>
      <c r="I1038" t="s">
        <v>32</v>
      </c>
      <c r="J1038" t="s">
        <v>77</v>
      </c>
      <c r="K1038">
        <f t="shared" si="3121"/>
        <v>0</v>
      </c>
      <c r="L1038">
        <f t="shared" si="3122"/>
        <v>1</v>
      </c>
      <c r="M1038">
        <f t="shared" si="3123"/>
        <v>1</v>
      </c>
      <c r="N1038">
        <f t="shared" si="3124"/>
        <v>1</v>
      </c>
      <c r="O1038">
        <f t="shared" si="3125"/>
        <v>3</v>
      </c>
      <c r="P1038" t="str">
        <f t="shared" si="3126"/>
        <v>Large centralized biomass steam reforming -Marginal abatement cost</v>
      </c>
      <c r="Q1038" t="str">
        <f t="shared" si="3127"/>
        <v>No storage-Marginal abatement cost</v>
      </c>
      <c r="R1038" t="str">
        <f t="shared" si="3128"/>
        <v>Hydrogen transmission &amp; distribution pipeline-Marginal abatement cost</v>
      </c>
      <c r="S1038" t="str">
        <f t="shared" si="3129"/>
        <v>Prime power H2 fuel cell-Marginal abatement cost</v>
      </c>
      <c r="T1038">
        <f>IFERROR(VLOOKUP($P1038,'TA database'!$I$8:$J$79,2,FALSE),0)</f>
        <v>0</v>
      </c>
      <c r="U1038">
        <f>IFERROR(VLOOKUP($Q1038,'TA database'!$I$86:$J$105,2,FALSE),0)</f>
        <v>0</v>
      </c>
      <c r="V1038">
        <f>IFERROR(VLOOKUP($R1038,'TA database'!$I$112:$J$139,2,FALSE),0)</f>
        <v>0</v>
      </c>
      <c r="W1038">
        <f>IFERROR(VLOOKUP($S1038,'TA database'!$I$146:$J$193,2,FALSE),0)</f>
        <v>0</v>
      </c>
      <c r="X1038">
        <f ca="1">IFERROR(VLOOKUP($S1038,'TA database'!$I$200:$J$271,2,FALSE),0)</f>
        <v>88.914255219002129</v>
      </c>
      <c r="Y1038" s="59">
        <f t="shared" ca="1" si="3130"/>
        <v>88.914255219002129</v>
      </c>
      <c r="Z1038" t="str">
        <f t="shared" si="3131"/>
        <v>BIO_SR_LRG_C   →   NO_STRG   →   H2_T&amp;D_P   →   H2_FC_PWR</v>
      </c>
      <c r="AA1038" t="str">
        <f t="shared" si="3132"/>
        <v>Onsite / Back-up power</v>
      </c>
      <c r="AB1038" t="str">
        <f t="shared" si="3133"/>
        <v>Marginal abatement cost</v>
      </c>
      <c r="AC1038">
        <f t="shared" ca="1" si="3134"/>
        <v>88.914255219002129</v>
      </c>
      <c r="AD1038">
        <v>979</v>
      </c>
      <c r="AE1038" t="str">
        <f>IF(AND(ISNUMBER(SEARCH(O1038,4)),ISNUMBER(SEARCH('(4) FCH pathway assessment'!$B$16,AB1038)),ISNUMBER(SEARCH('(4) FCH pathway assessment'!$B$10,AA1038))),AD1038,"")</f>
        <v/>
      </c>
      <c r="AF1038" t="str">
        <f t="shared" si="3083"/>
        <v/>
      </c>
      <c r="AG1038" t="str">
        <f>VLOOKUP(C1038,Assumptions!$B$116:$C$162,2,FALSE)</f>
        <v>BIO_SR_LRG_C</v>
      </c>
      <c r="AH1038" t="str">
        <f>VLOOKUP(D1038,Assumptions!$B$116:$C$162,2,FALSE)</f>
        <v>NO_STRG</v>
      </c>
      <c r="AI1038" t="str">
        <f>VLOOKUP(E1038,Assumptions!$B$116:$C$162,2,FALSE)</f>
        <v>H2_T&amp;D_P</v>
      </c>
      <c r="AJ1038" t="str">
        <f>VLOOKUP(F1038,Assumptions!$B$116:$C$162,2,FALSE)</f>
        <v>H2_FC_PWR</v>
      </c>
    </row>
    <row r="1039" spans="2:36" x14ac:dyDescent="0.25">
      <c r="B1039" t="s">
        <v>112</v>
      </c>
      <c r="C1039" t="s">
        <v>49</v>
      </c>
      <c r="D1039" t="s">
        <v>62</v>
      </c>
      <c r="E1039" t="s">
        <v>157</v>
      </c>
      <c r="F1039" t="s">
        <v>164</v>
      </c>
      <c r="G1039" t="s">
        <v>126</v>
      </c>
      <c r="H1039" t="s">
        <v>433</v>
      </c>
      <c r="I1039" t="s">
        <v>32</v>
      </c>
      <c r="J1039" t="s">
        <v>77</v>
      </c>
      <c r="K1039">
        <f t="shared" ref="K1039:K1047" si="3135">SUMPRODUCT(($C$7:$C$18=$C1039)*($D$6:$H$6=$D1039)*($D$7:$H$18))</f>
        <v>1</v>
      </c>
      <c r="L1039">
        <f t="shared" ref="L1039:L1047" si="3136">SUMPRODUCT(($C$19:$C$23=$D1039)*($I$6:$O$6=$E1039)*($I$19:$O$23))</f>
        <v>0</v>
      </c>
      <c r="M1039">
        <f t="shared" ref="M1039:M1047" si="3137">SUMPRODUCT(($C$24:$C$30=$E1039)*($P$6:$AI$6=$F1039)*($P$24:$AI$30))</f>
        <v>0</v>
      </c>
      <c r="N1039">
        <f t="shared" ref="N1039:N1047" si="3138">SUMPRODUCT(($C$31:$C$50=$F1039)*($AJ$6:$AM$6=$G1039)*($AJ$31:$AM$50))</f>
        <v>1</v>
      </c>
      <c r="O1039">
        <f t="shared" ref="O1039:O1047" si="3139">K1039+L1039+M1039+N1039</f>
        <v>2</v>
      </c>
      <c r="P1039" t="str">
        <f t="shared" ref="P1039:P1047" si="3140">CONCATENATE(C1039,"-",J1039)</f>
        <v>Large centralized electrolysis-Marginal abatement cost</v>
      </c>
      <c r="Q1039" t="str">
        <f t="shared" ref="Q1039:Q1047" si="3141">CONCATENATE(D1039,"-",J1039)</f>
        <v>Underground storage-Marginal abatement cost</v>
      </c>
      <c r="R1039" t="str">
        <f t="shared" ref="R1039:R1047" si="3142">CONCATENATE(E1039,"-",J1039)</f>
        <v>Blending in natural gas pipeline-Marginal abatement cost</v>
      </c>
      <c r="S1039" t="str">
        <f t="shared" ref="S1039:S1047" si="3143">CONCATENATE(F1039,"-",J1039)</f>
        <v>Prime power H2 fuel cell-Marginal abatement cost</v>
      </c>
      <c r="T1039">
        <f>IFERROR(VLOOKUP($P1039,'TA database'!$I$8:$J$79,2,FALSE),0)</f>
        <v>0</v>
      </c>
      <c r="U1039">
        <f>IFERROR(VLOOKUP($Q1039,'TA database'!$I$86:$J$105,2,FALSE),0)</f>
        <v>0</v>
      </c>
      <c r="V1039">
        <f>IFERROR(VLOOKUP($R1039,'TA database'!$I$112:$J$139,2,FALSE),0)</f>
        <v>0</v>
      </c>
      <c r="W1039">
        <f>IFERROR(VLOOKUP($S1039,'TA database'!$I$146:$J$193,2,FALSE),0)</f>
        <v>0</v>
      </c>
      <c r="X1039">
        <f ca="1">IFERROR(VLOOKUP($S1039,'TA database'!$I$200:$J$271,2,FALSE),0)</f>
        <v>88.914255219002129</v>
      </c>
      <c r="Y1039" s="59">
        <f t="shared" ref="Y1039:Y1047" ca="1" si="3144">IF($W1039=0,T1039+U1039+V1039+X1039,T1039+U1039+V1039+W1039)</f>
        <v>88.914255219002129</v>
      </c>
      <c r="Z1039" t="str">
        <f t="shared" ref="Z1039:Z1047" si="3145">CONCATENATE(AG1039,"   →   ",AH1039,"   →   ",AI1039,"   →   ",AJ1039)</f>
        <v>ELCTRLYZ_LRG_C   →   C_UNDRGRND_STRG   →   H2_BLND_NG_P   →   H2_FC_PWR</v>
      </c>
      <c r="AA1039" t="str">
        <f t="shared" ref="AA1039:AA1047" si="3146">G1039</f>
        <v>Onsite / Back-up power</v>
      </c>
      <c r="AB1039" t="str">
        <f t="shared" ref="AB1039:AB1047" si="3147">J1039</f>
        <v>Marginal abatement cost</v>
      </c>
      <c r="AC1039">
        <f t="shared" ref="AC1039:AC1047" ca="1" si="3148">Y1039</f>
        <v>88.914255219002129</v>
      </c>
      <c r="AD1039">
        <v>980</v>
      </c>
      <c r="AE1039" t="str">
        <f>IF(AND(ISNUMBER(SEARCH(O1039,4)),ISNUMBER(SEARCH('(4) FCH pathway assessment'!$B$16,AB1039)),ISNUMBER(SEARCH('(4) FCH pathway assessment'!$B$10,AA1039))),AD1039,"")</f>
        <v/>
      </c>
      <c r="AF1039" t="str">
        <f t="shared" si="3083"/>
        <v/>
      </c>
      <c r="AG1039" t="str">
        <f>VLOOKUP(C1039,Assumptions!$B$116:$C$162,2,FALSE)</f>
        <v>ELCTRLYZ_LRG_C</v>
      </c>
      <c r="AH1039" t="str">
        <f>VLOOKUP(D1039,Assumptions!$B$116:$C$162,2,FALSE)</f>
        <v>C_UNDRGRND_STRG</v>
      </c>
      <c r="AI1039" t="str">
        <f>VLOOKUP(E1039,Assumptions!$B$116:$C$162,2,FALSE)</f>
        <v>H2_BLND_NG_P</v>
      </c>
      <c r="AJ1039" t="str">
        <f>VLOOKUP(F1039,Assumptions!$B$116:$C$162,2,FALSE)</f>
        <v>H2_FC_PWR</v>
      </c>
    </row>
    <row r="1040" spans="2:36" x14ac:dyDescent="0.25">
      <c r="B1040" t="s">
        <v>112</v>
      </c>
      <c r="C1040" t="s">
        <v>49</v>
      </c>
      <c r="D1040" t="s">
        <v>62</v>
      </c>
      <c r="E1040" t="s">
        <v>122</v>
      </c>
      <c r="F1040" t="s">
        <v>164</v>
      </c>
      <c r="G1040" t="s">
        <v>126</v>
      </c>
      <c r="H1040" t="s">
        <v>433</v>
      </c>
      <c r="I1040" t="s">
        <v>32</v>
      </c>
      <c r="J1040" t="s">
        <v>77</v>
      </c>
      <c r="K1040">
        <f t="shared" si="3135"/>
        <v>1</v>
      </c>
      <c r="L1040">
        <f t="shared" si="3136"/>
        <v>0</v>
      </c>
      <c r="M1040">
        <f t="shared" si="3137"/>
        <v>1</v>
      </c>
      <c r="N1040">
        <f t="shared" si="3138"/>
        <v>1</v>
      </c>
      <c r="O1040">
        <f t="shared" si="3139"/>
        <v>3</v>
      </c>
      <c r="P1040" t="str">
        <f t="shared" si="3140"/>
        <v>Large centralized electrolysis-Marginal abatement cost</v>
      </c>
      <c r="Q1040" t="str">
        <f t="shared" si="3141"/>
        <v>Underground storage-Marginal abatement cost</v>
      </c>
      <c r="R1040" t="str">
        <f t="shared" si="3142"/>
        <v>Hydrogen transmission &amp; distribution pipeline-Marginal abatement cost</v>
      </c>
      <c r="S1040" t="str">
        <f t="shared" si="3143"/>
        <v>Prime power H2 fuel cell-Marginal abatement cost</v>
      </c>
      <c r="T1040">
        <f>IFERROR(VLOOKUP($P1040,'TA database'!$I$8:$J$79,2,FALSE),0)</f>
        <v>0</v>
      </c>
      <c r="U1040">
        <f>IFERROR(VLOOKUP($Q1040,'TA database'!$I$86:$J$105,2,FALSE),0)</f>
        <v>0</v>
      </c>
      <c r="V1040">
        <f>IFERROR(VLOOKUP($R1040,'TA database'!$I$112:$J$139,2,FALSE),0)</f>
        <v>0</v>
      </c>
      <c r="W1040">
        <f>IFERROR(VLOOKUP($S1040,'TA database'!$I$146:$J$193,2,FALSE),0)</f>
        <v>0</v>
      </c>
      <c r="X1040">
        <f ca="1">IFERROR(VLOOKUP($S1040,'TA database'!$I$200:$J$271,2,FALSE),0)</f>
        <v>88.914255219002129</v>
      </c>
      <c r="Y1040" s="59">
        <f t="shared" ca="1" si="3144"/>
        <v>88.914255219002129</v>
      </c>
      <c r="Z1040" t="str">
        <f t="shared" si="3145"/>
        <v>ELCTRLYZ_LRG_C   →   C_UNDRGRND_STRG   →   H2_T&amp;D_P   →   H2_FC_PWR</v>
      </c>
      <c r="AA1040" t="str">
        <f t="shared" si="3146"/>
        <v>Onsite / Back-up power</v>
      </c>
      <c r="AB1040" t="str">
        <f t="shared" si="3147"/>
        <v>Marginal abatement cost</v>
      </c>
      <c r="AC1040">
        <f t="shared" ca="1" si="3148"/>
        <v>88.914255219002129</v>
      </c>
      <c r="AD1040">
        <v>981</v>
      </c>
      <c r="AE1040" t="str">
        <f>IF(AND(ISNUMBER(SEARCH(O1040,4)),ISNUMBER(SEARCH('(4) FCH pathway assessment'!$B$16,AB1040)),ISNUMBER(SEARCH('(4) FCH pathway assessment'!$B$10,AA1040))),AD1040,"")</f>
        <v/>
      </c>
      <c r="AF1040" t="str">
        <f t="shared" si="3083"/>
        <v/>
      </c>
      <c r="AG1040" t="str">
        <f>VLOOKUP(C1040,Assumptions!$B$116:$C$162,2,FALSE)</f>
        <v>ELCTRLYZ_LRG_C</v>
      </c>
      <c r="AH1040" t="str">
        <f>VLOOKUP(D1040,Assumptions!$B$116:$C$162,2,FALSE)</f>
        <v>C_UNDRGRND_STRG</v>
      </c>
      <c r="AI1040" t="str">
        <f>VLOOKUP(E1040,Assumptions!$B$116:$C$162,2,FALSE)</f>
        <v>H2_T&amp;D_P</v>
      </c>
      <c r="AJ1040" t="str">
        <f>VLOOKUP(F1040,Assumptions!$B$116:$C$162,2,FALSE)</f>
        <v>H2_FC_PWR</v>
      </c>
    </row>
    <row r="1041" spans="2:36" x14ac:dyDescent="0.25">
      <c r="B1041" t="s">
        <v>112</v>
      </c>
      <c r="C1041" t="s">
        <v>49</v>
      </c>
      <c r="D1041" t="s">
        <v>62</v>
      </c>
      <c r="E1041" t="s">
        <v>66</v>
      </c>
      <c r="F1041" t="s">
        <v>164</v>
      </c>
      <c r="G1041" t="s">
        <v>126</v>
      </c>
      <c r="H1041" t="s">
        <v>433</v>
      </c>
      <c r="I1041" t="s">
        <v>32</v>
      </c>
      <c r="J1041" t="s">
        <v>77</v>
      </c>
      <c r="K1041">
        <f t="shared" si="3135"/>
        <v>1</v>
      </c>
      <c r="L1041">
        <f t="shared" si="3136"/>
        <v>0</v>
      </c>
      <c r="M1041">
        <f t="shared" si="3137"/>
        <v>1</v>
      </c>
      <c r="N1041">
        <f t="shared" si="3138"/>
        <v>1</v>
      </c>
      <c r="O1041">
        <f t="shared" si="3139"/>
        <v>3</v>
      </c>
      <c r="P1041" t="str">
        <f t="shared" si="3140"/>
        <v>Large centralized electrolysis-Marginal abatement cost</v>
      </c>
      <c r="Q1041" t="str">
        <f t="shared" si="3141"/>
        <v>Underground storage-Marginal abatement cost</v>
      </c>
      <c r="R1041" t="str">
        <f t="shared" si="3142"/>
        <v>Onsite-Marginal abatement cost</v>
      </c>
      <c r="S1041" t="str">
        <f t="shared" si="3143"/>
        <v>Prime power H2 fuel cell-Marginal abatement cost</v>
      </c>
      <c r="T1041">
        <f>IFERROR(VLOOKUP($P1041,'TA database'!$I$8:$J$79,2,FALSE),0)</f>
        <v>0</v>
      </c>
      <c r="U1041">
        <f>IFERROR(VLOOKUP($Q1041,'TA database'!$I$86:$J$105,2,FALSE),0)</f>
        <v>0</v>
      </c>
      <c r="V1041">
        <f>IFERROR(VLOOKUP($R1041,'TA database'!$I$112:$J$139,2,FALSE),0)</f>
        <v>0</v>
      </c>
      <c r="W1041">
        <f>IFERROR(VLOOKUP($S1041,'TA database'!$I$146:$J$193,2,FALSE),0)</f>
        <v>0</v>
      </c>
      <c r="X1041">
        <f ca="1">IFERROR(VLOOKUP($S1041,'TA database'!$I$200:$J$271,2,FALSE),0)</f>
        <v>88.914255219002129</v>
      </c>
      <c r="Y1041" s="59">
        <f t="shared" ca="1" si="3144"/>
        <v>88.914255219002129</v>
      </c>
      <c r="Z1041" t="str">
        <f t="shared" si="3145"/>
        <v>ELCTRLYZ_LRG_C   →   C_UNDRGRND_STRG   →   ONSITE_USE   →   H2_FC_PWR</v>
      </c>
      <c r="AA1041" t="str">
        <f t="shared" si="3146"/>
        <v>Onsite / Back-up power</v>
      </c>
      <c r="AB1041" t="str">
        <f t="shared" si="3147"/>
        <v>Marginal abatement cost</v>
      </c>
      <c r="AC1041">
        <f t="shared" ca="1" si="3148"/>
        <v>88.914255219002129</v>
      </c>
      <c r="AD1041">
        <v>982</v>
      </c>
      <c r="AE1041" t="str">
        <f>IF(AND(ISNUMBER(SEARCH(O1041,4)),ISNUMBER(SEARCH('(4) FCH pathway assessment'!$B$16,AB1041)),ISNUMBER(SEARCH('(4) FCH pathway assessment'!$B$10,AA1041))),AD1041,"")</f>
        <v/>
      </c>
      <c r="AF1041" t="str">
        <f t="shared" si="3083"/>
        <v/>
      </c>
      <c r="AG1041" t="str">
        <f>VLOOKUP(C1041,Assumptions!$B$116:$C$162,2,FALSE)</f>
        <v>ELCTRLYZ_LRG_C</v>
      </c>
      <c r="AH1041" t="str">
        <f>VLOOKUP(D1041,Assumptions!$B$116:$C$162,2,FALSE)</f>
        <v>C_UNDRGRND_STRG</v>
      </c>
      <c r="AI1041" t="str">
        <f>VLOOKUP(E1041,Assumptions!$B$116:$C$162,2,FALSE)</f>
        <v>ONSITE_USE</v>
      </c>
      <c r="AJ1041" t="str">
        <f>VLOOKUP(F1041,Assumptions!$B$116:$C$162,2,FALSE)</f>
        <v>H2_FC_PWR</v>
      </c>
    </row>
    <row r="1042" spans="2:36" x14ac:dyDescent="0.25">
      <c r="B1042" t="s">
        <v>112</v>
      </c>
      <c r="C1042" t="s">
        <v>49</v>
      </c>
      <c r="D1042" t="s">
        <v>155</v>
      </c>
      <c r="E1042" t="s">
        <v>157</v>
      </c>
      <c r="F1042" t="s">
        <v>164</v>
      </c>
      <c r="G1042" t="s">
        <v>126</v>
      </c>
      <c r="H1042" t="s">
        <v>433</v>
      </c>
      <c r="I1042" t="s">
        <v>32</v>
      </c>
      <c r="J1042" t="s">
        <v>77</v>
      </c>
      <c r="K1042">
        <f t="shared" si="3135"/>
        <v>1</v>
      </c>
      <c r="L1042">
        <f t="shared" si="3136"/>
        <v>1</v>
      </c>
      <c r="M1042">
        <f t="shared" si="3137"/>
        <v>0</v>
      </c>
      <c r="N1042">
        <f t="shared" si="3138"/>
        <v>1</v>
      </c>
      <c r="O1042">
        <f t="shared" si="3139"/>
        <v>3</v>
      </c>
      <c r="P1042" t="str">
        <f t="shared" si="3140"/>
        <v>Large centralized electrolysis-Marginal abatement cost</v>
      </c>
      <c r="Q1042" t="str">
        <f t="shared" si="3141"/>
        <v>Central gas storage-Marginal abatement cost</v>
      </c>
      <c r="R1042" t="str">
        <f t="shared" si="3142"/>
        <v>Blending in natural gas pipeline-Marginal abatement cost</v>
      </c>
      <c r="S1042" t="str">
        <f t="shared" si="3143"/>
        <v>Prime power H2 fuel cell-Marginal abatement cost</v>
      </c>
      <c r="T1042">
        <f>IFERROR(VLOOKUP($P1042,'TA database'!$I$8:$J$79,2,FALSE),0)</f>
        <v>0</v>
      </c>
      <c r="U1042">
        <f>IFERROR(VLOOKUP($Q1042,'TA database'!$I$86:$J$105,2,FALSE),0)</f>
        <v>0</v>
      </c>
      <c r="V1042">
        <f>IFERROR(VLOOKUP($R1042,'TA database'!$I$112:$J$139,2,FALSE),0)</f>
        <v>0</v>
      </c>
      <c r="W1042">
        <f>IFERROR(VLOOKUP($S1042,'TA database'!$I$146:$J$193,2,FALSE),0)</f>
        <v>0</v>
      </c>
      <c r="X1042">
        <f ca="1">IFERROR(VLOOKUP($S1042,'TA database'!$I$200:$J$271,2,FALSE),0)</f>
        <v>88.914255219002129</v>
      </c>
      <c r="Y1042" s="59">
        <f t="shared" ca="1" si="3144"/>
        <v>88.914255219002129</v>
      </c>
      <c r="Z1042" t="str">
        <f t="shared" si="3145"/>
        <v>ELCTRLYZ_LRG_C   →   C_GAS_STRG   →   H2_BLND_NG_P   →   H2_FC_PWR</v>
      </c>
      <c r="AA1042" t="str">
        <f t="shared" si="3146"/>
        <v>Onsite / Back-up power</v>
      </c>
      <c r="AB1042" t="str">
        <f t="shared" si="3147"/>
        <v>Marginal abatement cost</v>
      </c>
      <c r="AC1042">
        <f t="shared" ca="1" si="3148"/>
        <v>88.914255219002129</v>
      </c>
      <c r="AD1042">
        <v>983</v>
      </c>
      <c r="AE1042" t="str">
        <f>IF(AND(ISNUMBER(SEARCH(O1042,4)),ISNUMBER(SEARCH('(4) FCH pathway assessment'!$B$16,AB1042)),ISNUMBER(SEARCH('(4) FCH pathway assessment'!$B$10,AA1042))),AD1042,"")</f>
        <v/>
      </c>
      <c r="AF1042" t="str">
        <f t="shared" si="3083"/>
        <v/>
      </c>
      <c r="AG1042" t="str">
        <f>VLOOKUP(C1042,Assumptions!$B$116:$C$162,2,FALSE)</f>
        <v>ELCTRLYZ_LRG_C</v>
      </c>
      <c r="AH1042" t="str">
        <f>VLOOKUP(D1042,Assumptions!$B$116:$C$162,2,FALSE)</f>
        <v>C_GAS_STRG</v>
      </c>
      <c r="AI1042" t="str">
        <f>VLOOKUP(E1042,Assumptions!$B$116:$C$162,2,FALSE)</f>
        <v>H2_BLND_NG_P</v>
      </c>
      <c r="AJ1042" t="str">
        <f>VLOOKUP(F1042,Assumptions!$B$116:$C$162,2,FALSE)</f>
        <v>H2_FC_PWR</v>
      </c>
    </row>
    <row r="1043" spans="2:36" x14ac:dyDescent="0.25">
      <c r="B1043" t="s">
        <v>112</v>
      </c>
      <c r="C1043" t="s">
        <v>49</v>
      </c>
      <c r="D1043" t="s">
        <v>155</v>
      </c>
      <c r="E1043" t="s">
        <v>122</v>
      </c>
      <c r="F1043" t="s">
        <v>164</v>
      </c>
      <c r="G1043" t="s">
        <v>126</v>
      </c>
      <c r="H1043" t="s">
        <v>433</v>
      </c>
      <c r="I1043" t="s">
        <v>32</v>
      </c>
      <c r="J1043" t="s">
        <v>77</v>
      </c>
      <c r="K1043">
        <f t="shared" si="3135"/>
        <v>1</v>
      </c>
      <c r="L1043">
        <f t="shared" si="3136"/>
        <v>1</v>
      </c>
      <c r="M1043">
        <f t="shared" si="3137"/>
        <v>1</v>
      </c>
      <c r="N1043">
        <f t="shared" si="3138"/>
        <v>1</v>
      </c>
      <c r="O1043">
        <f t="shared" si="3139"/>
        <v>4</v>
      </c>
      <c r="P1043" t="str">
        <f t="shared" si="3140"/>
        <v>Large centralized electrolysis-Marginal abatement cost</v>
      </c>
      <c r="Q1043" t="str">
        <f t="shared" si="3141"/>
        <v>Central gas storage-Marginal abatement cost</v>
      </c>
      <c r="R1043" t="str">
        <f t="shared" si="3142"/>
        <v>Hydrogen transmission &amp; distribution pipeline-Marginal abatement cost</v>
      </c>
      <c r="S1043" t="str">
        <f t="shared" si="3143"/>
        <v>Prime power H2 fuel cell-Marginal abatement cost</v>
      </c>
      <c r="T1043">
        <f>IFERROR(VLOOKUP($P1043,'TA database'!$I$8:$J$79,2,FALSE),0)</f>
        <v>0</v>
      </c>
      <c r="U1043">
        <f>IFERROR(VLOOKUP($Q1043,'TA database'!$I$86:$J$105,2,FALSE),0)</f>
        <v>0</v>
      </c>
      <c r="V1043">
        <f>IFERROR(VLOOKUP($R1043,'TA database'!$I$112:$J$139,2,FALSE),0)</f>
        <v>0</v>
      </c>
      <c r="W1043">
        <f>IFERROR(VLOOKUP($S1043,'TA database'!$I$146:$J$193,2,FALSE),0)</f>
        <v>0</v>
      </c>
      <c r="X1043">
        <f ca="1">IFERROR(VLOOKUP($S1043,'TA database'!$I$200:$J$271,2,FALSE),0)</f>
        <v>88.914255219002129</v>
      </c>
      <c r="Y1043" s="59">
        <f t="shared" ca="1" si="3144"/>
        <v>88.914255219002129</v>
      </c>
      <c r="Z1043" t="str">
        <f t="shared" si="3145"/>
        <v>ELCTRLYZ_LRG_C   →   C_GAS_STRG   →   H2_T&amp;D_P   →   H2_FC_PWR</v>
      </c>
      <c r="AA1043" t="str">
        <f t="shared" si="3146"/>
        <v>Onsite / Back-up power</v>
      </c>
      <c r="AB1043" t="str">
        <f t="shared" si="3147"/>
        <v>Marginal abatement cost</v>
      </c>
      <c r="AC1043">
        <f t="shared" ca="1" si="3148"/>
        <v>88.914255219002129</v>
      </c>
      <c r="AD1043">
        <v>984</v>
      </c>
      <c r="AE1043" t="str">
        <f>IF(AND(ISNUMBER(SEARCH(O1043,4)),ISNUMBER(SEARCH('(4) FCH pathway assessment'!$B$16,AB1043)),ISNUMBER(SEARCH('(4) FCH pathway assessment'!$B$10,AA1043))),AD1043,"")</f>
        <v/>
      </c>
      <c r="AF1043" t="str">
        <f t="shared" si="3083"/>
        <v/>
      </c>
      <c r="AG1043" t="str">
        <f>VLOOKUP(C1043,Assumptions!$B$116:$C$162,2,FALSE)</f>
        <v>ELCTRLYZ_LRG_C</v>
      </c>
      <c r="AH1043" t="str">
        <f>VLOOKUP(D1043,Assumptions!$B$116:$C$162,2,FALSE)</f>
        <v>C_GAS_STRG</v>
      </c>
      <c r="AI1043" t="str">
        <f>VLOOKUP(E1043,Assumptions!$B$116:$C$162,2,FALSE)</f>
        <v>H2_T&amp;D_P</v>
      </c>
      <c r="AJ1043" t="str">
        <f>VLOOKUP(F1043,Assumptions!$B$116:$C$162,2,FALSE)</f>
        <v>H2_FC_PWR</v>
      </c>
    </row>
    <row r="1044" spans="2:36" x14ac:dyDescent="0.25">
      <c r="B1044" t="s">
        <v>112</v>
      </c>
      <c r="C1044" t="s">
        <v>49</v>
      </c>
      <c r="D1044" t="s">
        <v>155</v>
      </c>
      <c r="E1044" t="s">
        <v>66</v>
      </c>
      <c r="F1044" t="s">
        <v>164</v>
      </c>
      <c r="G1044" t="s">
        <v>126</v>
      </c>
      <c r="H1044" t="s">
        <v>433</v>
      </c>
      <c r="I1044" t="s">
        <v>32</v>
      </c>
      <c r="J1044" t="s">
        <v>77</v>
      </c>
      <c r="K1044">
        <f t="shared" si="3135"/>
        <v>1</v>
      </c>
      <c r="L1044">
        <f t="shared" si="3136"/>
        <v>1</v>
      </c>
      <c r="M1044">
        <f t="shared" si="3137"/>
        <v>1</v>
      </c>
      <c r="N1044">
        <f t="shared" si="3138"/>
        <v>1</v>
      </c>
      <c r="O1044">
        <f t="shared" si="3139"/>
        <v>4</v>
      </c>
      <c r="P1044" t="str">
        <f t="shared" si="3140"/>
        <v>Large centralized electrolysis-Marginal abatement cost</v>
      </c>
      <c r="Q1044" t="str">
        <f t="shared" si="3141"/>
        <v>Central gas storage-Marginal abatement cost</v>
      </c>
      <c r="R1044" t="str">
        <f t="shared" si="3142"/>
        <v>Onsite-Marginal abatement cost</v>
      </c>
      <c r="S1044" t="str">
        <f t="shared" si="3143"/>
        <v>Prime power H2 fuel cell-Marginal abatement cost</v>
      </c>
      <c r="T1044">
        <f>IFERROR(VLOOKUP($P1044,'TA database'!$I$8:$J$79,2,FALSE),0)</f>
        <v>0</v>
      </c>
      <c r="U1044">
        <f>IFERROR(VLOOKUP($Q1044,'TA database'!$I$86:$J$105,2,FALSE),0)</f>
        <v>0</v>
      </c>
      <c r="V1044">
        <f>IFERROR(VLOOKUP($R1044,'TA database'!$I$112:$J$139,2,FALSE),0)</f>
        <v>0</v>
      </c>
      <c r="W1044">
        <f>IFERROR(VLOOKUP($S1044,'TA database'!$I$146:$J$193,2,FALSE),0)</f>
        <v>0</v>
      </c>
      <c r="X1044">
        <f ca="1">IFERROR(VLOOKUP($S1044,'TA database'!$I$200:$J$271,2,FALSE),0)</f>
        <v>88.914255219002129</v>
      </c>
      <c r="Y1044" s="59">
        <f t="shared" ca="1" si="3144"/>
        <v>88.914255219002129</v>
      </c>
      <c r="Z1044" t="str">
        <f t="shared" si="3145"/>
        <v>ELCTRLYZ_LRG_C   →   C_GAS_STRG   →   ONSITE_USE   →   H2_FC_PWR</v>
      </c>
      <c r="AA1044" t="str">
        <f t="shared" si="3146"/>
        <v>Onsite / Back-up power</v>
      </c>
      <c r="AB1044" t="str">
        <f t="shared" si="3147"/>
        <v>Marginal abatement cost</v>
      </c>
      <c r="AC1044">
        <f t="shared" ca="1" si="3148"/>
        <v>88.914255219002129</v>
      </c>
      <c r="AD1044">
        <v>985</v>
      </c>
      <c r="AE1044" t="str">
        <f>IF(AND(ISNUMBER(SEARCH(O1044,4)),ISNUMBER(SEARCH('(4) FCH pathway assessment'!$B$16,AB1044)),ISNUMBER(SEARCH('(4) FCH pathway assessment'!$B$10,AA1044))),AD1044,"")</f>
        <v/>
      </c>
      <c r="AF1044" t="str">
        <f t="shared" si="3083"/>
        <v/>
      </c>
      <c r="AG1044" t="str">
        <f>VLOOKUP(C1044,Assumptions!$B$116:$C$162,2,FALSE)</f>
        <v>ELCTRLYZ_LRG_C</v>
      </c>
      <c r="AH1044" t="str">
        <f>VLOOKUP(D1044,Assumptions!$B$116:$C$162,2,FALSE)</f>
        <v>C_GAS_STRG</v>
      </c>
      <c r="AI1044" t="str">
        <f>VLOOKUP(E1044,Assumptions!$B$116:$C$162,2,FALSE)</f>
        <v>ONSITE_USE</v>
      </c>
      <c r="AJ1044" t="str">
        <f>VLOOKUP(F1044,Assumptions!$B$116:$C$162,2,FALSE)</f>
        <v>H2_FC_PWR</v>
      </c>
    </row>
    <row r="1045" spans="2:36" x14ac:dyDescent="0.25">
      <c r="B1045" t="s">
        <v>112</v>
      </c>
      <c r="C1045" t="s">
        <v>51</v>
      </c>
      <c r="D1045" t="s">
        <v>155</v>
      </c>
      <c r="E1045" t="s">
        <v>157</v>
      </c>
      <c r="F1045" t="s">
        <v>164</v>
      </c>
      <c r="G1045" t="s">
        <v>126</v>
      </c>
      <c r="H1045" t="s">
        <v>433</v>
      </c>
      <c r="I1045" t="s">
        <v>32</v>
      </c>
      <c r="J1045" t="s">
        <v>77</v>
      </c>
      <c r="K1045">
        <f t="shared" si="3135"/>
        <v>1</v>
      </c>
      <c r="L1045">
        <f t="shared" si="3136"/>
        <v>1</v>
      </c>
      <c r="M1045">
        <f t="shared" si="3137"/>
        <v>0</v>
      </c>
      <c r="N1045">
        <f t="shared" si="3138"/>
        <v>1</v>
      </c>
      <c r="O1045">
        <f t="shared" si="3139"/>
        <v>3</v>
      </c>
      <c r="P1045" t="str">
        <f t="shared" si="3140"/>
        <v>Medium centralized electrolysis-Marginal abatement cost</v>
      </c>
      <c r="Q1045" t="str">
        <f t="shared" si="3141"/>
        <v>Central gas storage-Marginal abatement cost</v>
      </c>
      <c r="R1045" t="str">
        <f t="shared" si="3142"/>
        <v>Blending in natural gas pipeline-Marginal abatement cost</v>
      </c>
      <c r="S1045" t="str">
        <f t="shared" si="3143"/>
        <v>Prime power H2 fuel cell-Marginal abatement cost</v>
      </c>
      <c r="T1045">
        <f>IFERROR(VLOOKUP($P1045,'TA database'!$I$8:$J$79,2,FALSE),0)</f>
        <v>0</v>
      </c>
      <c r="U1045">
        <f>IFERROR(VLOOKUP($Q1045,'TA database'!$I$86:$J$105,2,FALSE),0)</f>
        <v>0</v>
      </c>
      <c r="V1045">
        <f>IFERROR(VLOOKUP($R1045,'TA database'!$I$112:$J$139,2,FALSE),0)</f>
        <v>0</v>
      </c>
      <c r="W1045">
        <f>IFERROR(VLOOKUP($S1045,'TA database'!$I$146:$J$193,2,FALSE),0)</f>
        <v>0</v>
      </c>
      <c r="X1045">
        <f ca="1">IFERROR(VLOOKUP($S1045,'TA database'!$I$200:$J$271,2,FALSE),0)</f>
        <v>88.914255219002129</v>
      </c>
      <c r="Y1045" s="59">
        <f t="shared" ca="1" si="3144"/>
        <v>88.914255219002129</v>
      </c>
      <c r="Z1045" t="str">
        <f t="shared" si="3145"/>
        <v>ELCTRLYZ_MED_C   →   C_GAS_STRG   →   H2_BLND_NG_P   →   H2_FC_PWR</v>
      </c>
      <c r="AA1045" t="str">
        <f t="shared" si="3146"/>
        <v>Onsite / Back-up power</v>
      </c>
      <c r="AB1045" t="str">
        <f t="shared" si="3147"/>
        <v>Marginal abatement cost</v>
      </c>
      <c r="AC1045">
        <f t="shared" ca="1" si="3148"/>
        <v>88.914255219002129</v>
      </c>
      <c r="AD1045">
        <v>986</v>
      </c>
      <c r="AE1045" t="str">
        <f>IF(AND(ISNUMBER(SEARCH(O1045,4)),ISNUMBER(SEARCH('(4) FCH pathway assessment'!$B$16,AB1045)),ISNUMBER(SEARCH('(4) FCH pathway assessment'!$B$10,AA1045))),AD1045,"")</f>
        <v/>
      </c>
      <c r="AF1045" t="str">
        <f t="shared" si="3083"/>
        <v/>
      </c>
      <c r="AG1045" t="str">
        <f>VLOOKUP(C1045,Assumptions!$B$116:$C$162,2,FALSE)</f>
        <v>ELCTRLYZ_MED_C</v>
      </c>
      <c r="AH1045" t="str">
        <f>VLOOKUP(D1045,Assumptions!$B$116:$C$162,2,FALSE)</f>
        <v>C_GAS_STRG</v>
      </c>
      <c r="AI1045" t="str">
        <f>VLOOKUP(E1045,Assumptions!$B$116:$C$162,2,FALSE)</f>
        <v>H2_BLND_NG_P</v>
      </c>
      <c r="AJ1045" t="str">
        <f>VLOOKUP(F1045,Assumptions!$B$116:$C$162,2,FALSE)</f>
        <v>H2_FC_PWR</v>
      </c>
    </row>
    <row r="1046" spans="2:36" x14ac:dyDescent="0.25">
      <c r="B1046" t="s">
        <v>112</v>
      </c>
      <c r="C1046" t="s">
        <v>51</v>
      </c>
      <c r="D1046" t="s">
        <v>155</v>
      </c>
      <c r="E1046" t="s">
        <v>122</v>
      </c>
      <c r="F1046" t="s">
        <v>164</v>
      </c>
      <c r="G1046" t="s">
        <v>126</v>
      </c>
      <c r="H1046" t="s">
        <v>433</v>
      </c>
      <c r="I1046" t="s">
        <v>32</v>
      </c>
      <c r="J1046" t="s">
        <v>77</v>
      </c>
      <c r="K1046">
        <f t="shared" si="3135"/>
        <v>1</v>
      </c>
      <c r="L1046">
        <f t="shared" si="3136"/>
        <v>1</v>
      </c>
      <c r="M1046">
        <f t="shared" si="3137"/>
        <v>1</v>
      </c>
      <c r="N1046">
        <f t="shared" si="3138"/>
        <v>1</v>
      </c>
      <c r="O1046">
        <f t="shared" si="3139"/>
        <v>4</v>
      </c>
      <c r="P1046" t="str">
        <f t="shared" si="3140"/>
        <v>Medium centralized electrolysis-Marginal abatement cost</v>
      </c>
      <c r="Q1046" t="str">
        <f t="shared" si="3141"/>
        <v>Central gas storage-Marginal abatement cost</v>
      </c>
      <c r="R1046" t="str">
        <f t="shared" si="3142"/>
        <v>Hydrogen transmission &amp; distribution pipeline-Marginal abatement cost</v>
      </c>
      <c r="S1046" t="str">
        <f t="shared" si="3143"/>
        <v>Prime power H2 fuel cell-Marginal abatement cost</v>
      </c>
      <c r="T1046">
        <f>IFERROR(VLOOKUP($P1046,'TA database'!$I$8:$J$79,2,FALSE),0)</f>
        <v>0</v>
      </c>
      <c r="U1046">
        <f>IFERROR(VLOOKUP($Q1046,'TA database'!$I$86:$J$105,2,FALSE),0)</f>
        <v>0</v>
      </c>
      <c r="V1046">
        <f>IFERROR(VLOOKUP($R1046,'TA database'!$I$112:$J$139,2,FALSE),0)</f>
        <v>0</v>
      </c>
      <c r="W1046">
        <f>IFERROR(VLOOKUP($S1046,'TA database'!$I$146:$J$193,2,FALSE),0)</f>
        <v>0</v>
      </c>
      <c r="X1046">
        <f ca="1">IFERROR(VLOOKUP($S1046,'TA database'!$I$200:$J$271,2,FALSE),0)</f>
        <v>88.914255219002129</v>
      </c>
      <c r="Y1046" s="59">
        <f t="shared" ca="1" si="3144"/>
        <v>88.914255219002129</v>
      </c>
      <c r="Z1046" t="str">
        <f t="shared" si="3145"/>
        <v>ELCTRLYZ_MED_C   →   C_GAS_STRG   →   H2_T&amp;D_P   →   H2_FC_PWR</v>
      </c>
      <c r="AA1046" t="str">
        <f t="shared" si="3146"/>
        <v>Onsite / Back-up power</v>
      </c>
      <c r="AB1046" t="str">
        <f t="shared" si="3147"/>
        <v>Marginal abatement cost</v>
      </c>
      <c r="AC1046">
        <f t="shared" ca="1" si="3148"/>
        <v>88.914255219002129</v>
      </c>
      <c r="AD1046">
        <v>987</v>
      </c>
      <c r="AE1046" t="str">
        <f>IF(AND(ISNUMBER(SEARCH(O1046,4)),ISNUMBER(SEARCH('(4) FCH pathway assessment'!$B$16,AB1046)),ISNUMBER(SEARCH('(4) FCH pathway assessment'!$B$10,AA1046))),AD1046,"")</f>
        <v/>
      </c>
      <c r="AF1046" t="str">
        <f t="shared" si="3083"/>
        <v/>
      </c>
      <c r="AG1046" t="str">
        <f>VLOOKUP(C1046,Assumptions!$B$116:$C$162,2,FALSE)</f>
        <v>ELCTRLYZ_MED_C</v>
      </c>
      <c r="AH1046" t="str">
        <f>VLOOKUP(D1046,Assumptions!$B$116:$C$162,2,FALSE)</f>
        <v>C_GAS_STRG</v>
      </c>
      <c r="AI1046" t="str">
        <f>VLOOKUP(E1046,Assumptions!$B$116:$C$162,2,FALSE)</f>
        <v>H2_T&amp;D_P</v>
      </c>
      <c r="AJ1046" t="str">
        <f>VLOOKUP(F1046,Assumptions!$B$116:$C$162,2,FALSE)</f>
        <v>H2_FC_PWR</v>
      </c>
    </row>
    <row r="1047" spans="2:36" x14ac:dyDescent="0.25">
      <c r="B1047" t="s">
        <v>112</v>
      </c>
      <c r="C1047" t="s">
        <v>51</v>
      </c>
      <c r="D1047" t="s">
        <v>155</v>
      </c>
      <c r="E1047" t="s">
        <v>66</v>
      </c>
      <c r="F1047" t="s">
        <v>164</v>
      </c>
      <c r="G1047" t="s">
        <v>126</v>
      </c>
      <c r="H1047" t="s">
        <v>433</v>
      </c>
      <c r="I1047" t="s">
        <v>32</v>
      </c>
      <c r="J1047" t="s">
        <v>77</v>
      </c>
      <c r="K1047">
        <f t="shared" si="3135"/>
        <v>1</v>
      </c>
      <c r="L1047">
        <f t="shared" si="3136"/>
        <v>1</v>
      </c>
      <c r="M1047">
        <f t="shared" si="3137"/>
        <v>1</v>
      </c>
      <c r="N1047">
        <f t="shared" si="3138"/>
        <v>1</v>
      </c>
      <c r="O1047">
        <f t="shared" si="3139"/>
        <v>4</v>
      </c>
      <c r="P1047" t="str">
        <f t="shared" si="3140"/>
        <v>Medium centralized electrolysis-Marginal abatement cost</v>
      </c>
      <c r="Q1047" t="str">
        <f t="shared" si="3141"/>
        <v>Central gas storage-Marginal abatement cost</v>
      </c>
      <c r="R1047" t="str">
        <f t="shared" si="3142"/>
        <v>Onsite-Marginal abatement cost</v>
      </c>
      <c r="S1047" t="str">
        <f t="shared" si="3143"/>
        <v>Prime power H2 fuel cell-Marginal abatement cost</v>
      </c>
      <c r="T1047">
        <f>IFERROR(VLOOKUP($P1047,'TA database'!$I$8:$J$79,2,FALSE),0)</f>
        <v>0</v>
      </c>
      <c r="U1047">
        <f>IFERROR(VLOOKUP($Q1047,'TA database'!$I$86:$J$105,2,FALSE),0)</f>
        <v>0</v>
      </c>
      <c r="V1047">
        <f>IFERROR(VLOOKUP($R1047,'TA database'!$I$112:$J$139,2,FALSE),0)</f>
        <v>0</v>
      </c>
      <c r="W1047">
        <f>IFERROR(VLOOKUP($S1047,'TA database'!$I$146:$J$193,2,FALSE),0)</f>
        <v>0</v>
      </c>
      <c r="X1047">
        <f ca="1">IFERROR(VLOOKUP($S1047,'TA database'!$I$200:$J$271,2,FALSE),0)</f>
        <v>88.914255219002129</v>
      </c>
      <c r="Y1047" s="59">
        <f t="shared" ca="1" si="3144"/>
        <v>88.914255219002129</v>
      </c>
      <c r="Z1047" t="str">
        <f t="shared" si="3145"/>
        <v>ELCTRLYZ_MED_C   →   C_GAS_STRG   →   ONSITE_USE   →   H2_FC_PWR</v>
      </c>
      <c r="AA1047" t="str">
        <f t="shared" si="3146"/>
        <v>Onsite / Back-up power</v>
      </c>
      <c r="AB1047" t="str">
        <f t="shared" si="3147"/>
        <v>Marginal abatement cost</v>
      </c>
      <c r="AC1047">
        <f t="shared" ca="1" si="3148"/>
        <v>88.914255219002129</v>
      </c>
      <c r="AD1047">
        <v>988</v>
      </c>
      <c r="AE1047" t="str">
        <f>IF(AND(ISNUMBER(SEARCH(O1047,4)),ISNUMBER(SEARCH('(4) FCH pathway assessment'!$B$16,AB1047)),ISNUMBER(SEARCH('(4) FCH pathway assessment'!$B$10,AA1047))),AD1047,"")</f>
        <v/>
      </c>
      <c r="AF1047" t="str">
        <f t="shared" si="3083"/>
        <v/>
      </c>
      <c r="AG1047" t="str">
        <f>VLOOKUP(C1047,Assumptions!$B$116:$C$162,2,FALSE)</f>
        <v>ELCTRLYZ_MED_C</v>
      </c>
      <c r="AH1047" t="str">
        <f>VLOOKUP(D1047,Assumptions!$B$116:$C$162,2,FALSE)</f>
        <v>C_GAS_STRG</v>
      </c>
      <c r="AI1047" t="str">
        <f>VLOOKUP(E1047,Assumptions!$B$116:$C$162,2,FALSE)</f>
        <v>ONSITE_USE</v>
      </c>
      <c r="AJ1047" t="str">
        <f>VLOOKUP(F1047,Assumptions!$B$116:$C$162,2,FALSE)</f>
        <v>H2_FC_PWR</v>
      </c>
    </row>
    <row r="1048" spans="2:36" x14ac:dyDescent="0.25">
      <c r="B1048" t="s">
        <v>112</v>
      </c>
      <c r="C1048" t="s">
        <v>52</v>
      </c>
      <c r="D1048" s="60" t="s">
        <v>130</v>
      </c>
      <c r="E1048" t="s">
        <v>66</v>
      </c>
      <c r="F1048" t="s">
        <v>164</v>
      </c>
      <c r="G1048" t="s">
        <v>126</v>
      </c>
      <c r="H1048" t="s">
        <v>433</v>
      </c>
      <c r="I1048" t="s">
        <v>32</v>
      </c>
      <c r="J1048" t="s">
        <v>77</v>
      </c>
      <c r="K1048">
        <f t="shared" ref="K1048:K1051" si="3149">SUMPRODUCT(($C$7:$C$18=$C1048)*($D$6:$H$6=$D1048)*($D$7:$H$18))</f>
        <v>1</v>
      </c>
      <c r="L1048">
        <f t="shared" ref="L1048:L1051" si="3150">SUMPRODUCT(($C$19:$C$23=$D1048)*($I$6:$O$6=$E1048)*($I$19:$O$23))</f>
        <v>1</v>
      </c>
      <c r="M1048">
        <f t="shared" ref="M1048:M1051" si="3151">SUMPRODUCT(($C$24:$C$30=$E1048)*($P$6:$AI$6=$F1048)*($P$24:$AI$30))</f>
        <v>1</v>
      </c>
      <c r="N1048">
        <f t="shared" ref="N1048:N1051" si="3152">SUMPRODUCT(($C$31:$C$50=$F1048)*($AJ$6:$AM$6=$G1048)*($AJ$31:$AM$50))</f>
        <v>1</v>
      </c>
      <c r="O1048">
        <f t="shared" ref="O1048:O1051" si="3153">K1048+L1048+M1048+N1048</f>
        <v>4</v>
      </c>
      <c r="P1048" t="str">
        <f t="shared" ref="P1048:P1051" si="3154">CONCATENATE(C1048,"-",J1048)</f>
        <v>Small decentralized electrolysis-Marginal abatement cost</v>
      </c>
      <c r="Q1048" t="str">
        <f t="shared" ref="Q1048:Q1051" si="3155">CONCATENATE(D1048,"-",J1048)</f>
        <v>Distributed gas storage-Marginal abatement cost</v>
      </c>
      <c r="R1048" t="str">
        <f t="shared" ref="R1048:R1051" si="3156">CONCATENATE(E1048,"-",J1048)</f>
        <v>Onsite-Marginal abatement cost</v>
      </c>
      <c r="S1048" t="str">
        <f t="shared" ref="S1048:S1051" si="3157">CONCATENATE(F1048,"-",J1048)</f>
        <v>Prime power H2 fuel cell-Marginal abatement cost</v>
      </c>
      <c r="T1048">
        <f>IFERROR(VLOOKUP($P1048,'TA database'!$I$8:$J$79,2,FALSE),0)</f>
        <v>0</v>
      </c>
      <c r="U1048">
        <f>IFERROR(VLOOKUP($Q1048,'TA database'!$I$86:$J$105,2,FALSE),0)</f>
        <v>0</v>
      </c>
      <c r="V1048">
        <f>IFERROR(VLOOKUP($R1048,'TA database'!$I$112:$J$139,2,FALSE),0)</f>
        <v>0</v>
      </c>
      <c r="W1048">
        <f>IFERROR(VLOOKUP($S1048,'TA database'!$I$146:$J$193,2,FALSE),0)</f>
        <v>0</v>
      </c>
      <c r="X1048">
        <f ca="1">IFERROR(VLOOKUP($S1048,'TA database'!$I$200:$J$271,2,FALSE),0)</f>
        <v>88.914255219002129</v>
      </c>
      <c r="Y1048" s="59">
        <f t="shared" ref="Y1048:Y1051" ca="1" si="3158">IF($W1048=0,T1048+U1048+V1048+X1048,T1048+U1048+V1048+W1048)</f>
        <v>88.914255219002129</v>
      </c>
      <c r="Z1048" t="str">
        <f t="shared" ref="Z1048:Z1051" si="3159">CONCATENATE(AG1048,"   →   ",AH1048,"   →   ",AI1048,"   →   ",AJ1048)</f>
        <v>ELCTRLYZ_SML_D   →   D_GAS_STRG   →   ONSITE_USE   →   H2_FC_PWR</v>
      </c>
      <c r="AA1048" t="str">
        <f t="shared" ref="AA1048:AA1051" si="3160">G1048</f>
        <v>Onsite / Back-up power</v>
      </c>
      <c r="AB1048" t="str">
        <f t="shared" ref="AB1048:AB1051" si="3161">J1048</f>
        <v>Marginal abatement cost</v>
      </c>
      <c r="AC1048">
        <f t="shared" ref="AC1048:AC1051" ca="1" si="3162">Y1048</f>
        <v>88.914255219002129</v>
      </c>
      <c r="AD1048">
        <v>989</v>
      </c>
      <c r="AE1048" t="str">
        <f>IF(AND(ISNUMBER(SEARCH(O1048,4)),ISNUMBER(SEARCH('(4) FCH pathway assessment'!$B$16,AB1048)),ISNUMBER(SEARCH('(4) FCH pathway assessment'!$B$10,AA1048))),AD1048,"")</f>
        <v/>
      </c>
      <c r="AF1048" t="str">
        <f t="shared" si="3083"/>
        <v/>
      </c>
      <c r="AG1048" t="str">
        <f>VLOOKUP(C1048,Assumptions!$B$116:$C$162,2,FALSE)</f>
        <v>ELCTRLYZ_SML_D</v>
      </c>
      <c r="AH1048" t="str">
        <f>VLOOKUP(D1048,Assumptions!$B$116:$C$162,2,FALSE)</f>
        <v>D_GAS_STRG</v>
      </c>
      <c r="AI1048" t="str">
        <f>VLOOKUP(E1048,Assumptions!$B$116:$C$162,2,FALSE)</f>
        <v>ONSITE_USE</v>
      </c>
      <c r="AJ1048" t="str">
        <f>VLOOKUP(F1048,Assumptions!$B$116:$C$162,2,FALSE)</f>
        <v>H2_FC_PWR</v>
      </c>
    </row>
    <row r="1049" spans="2:36" x14ac:dyDescent="0.25">
      <c r="B1049" t="s">
        <v>127</v>
      </c>
      <c r="C1049" t="s">
        <v>57</v>
      </c>
      <c r="D1049" t="s">
        <v>62</v>
      </c>
      <c r="E1049" t="s">
        <v>157</v>
      </c>
      <c r="F1049" t="s">
        <v>164</v>
      </c>
      <c r="G1049" t="s">
        <v>126</v>
      </c>
      <c r="H1049" t="s">
        <v>433</v>
      </c>
      <c r="I1049" t="s">
        <v>32</v>
      </c>
      <c r="J1049" t="s">
        <v>77</v>
      </c>
      <c r="K1049">
        <f t="shared" si="3149"/>
        <v>1</v>
      </c>
      <c r="L1049">
        <f t="shared" si="3150"/>
        <v>0</v>
      </c>
      <c r="M1049">
        <f t="shared" si="3151"/>
        <v>0</v>
      </c>
      <c r="N1049">
        <f t="shared" si="3152"/>
        <v>1</v>
      </c>
      <c r="O1049">
        <f t="shared" si="3153"/>
        <v>2</v>
      </c>
      <c r="P1049" t="str">
        <f t="shared" si="3154"/>
        <v>Large centralized natural gas steam reforming-Marginal abatement cost</v>
      </c>
      <c r="Q1049" t="str">
        <f t="shared" si="3155"/>
        <v>Underground storage-Marginal abatement cost</v>
      </c>
      <c r="R1049" t="str">
        <f t="shared" si="3156"/>
        <v>Blending in natural gas pipeline-Marginal abatement cost</v>
      </c>
      <c r="S1049" t="str">
        <f t="shared" si="3157"/>
        <v>Prime power H2 fuel cell-Marginal abatement cost</v>
      </c>
      <c r="T1049">
        <f>IFERROR(VLOOKUP($P1049,'TA database'!$I$8:$J$79,2,FALSE),0)</f>
        <v>0</v>
      </c>
      <c r="U1049">
        <f>IFERROR(VLOOKUP($Q1049,'TA database'!$I$86:$J$105,2,FALSE),0)</f>
        <v>0</v>
      </c>
      <c r="V1049">
        <f>IFERROR(VLOOKUP($R1049,'TA database'!$I$112:$J$139,2,FALSE),0)</f>
        <v>0</v>
      </c>
      <c r="W1049">
        <f>IFERROR(VLOOKUP($S1049,'TA database'!$I$146:$J$193,2,FALSE),0)</f>
        <v>0</v>
      </c>
      <c r="X1049">
        <f ca="1">IFERROR(VLOOKUP($S1049,'TA database'!$I$200:$J$271,2,FALSE),0)</f>
        <v>88.914255219002129</v>
      </c>
      <c r="Y1049" s="59">
        <f t="shared" ca="1" si="3158"/>
        <v>88.914255219002129</v>
      </c>
      <c r="Z1049" t="str">
        <f t="shared" si="3159"/>
        <v>NG_SR_LRG_C   →   C_UNDRGRND_STRG   →   H2_BLND_NG_P   →   H2_FC_PWR</v>
      </c>
      <c r="AA1049" t="str">
        <f t="shared" si="3160"/>
        <v>Onsite / Back-up power</v>
      </c>
      <c r="AB1049" t="str">
        <f t="shared" si="3161"/>
        <v>Marginal abatement cost</v>
      </c>
      <c r="AC1049">
        <f t="shared" ca="1" si="3162"/>
        <v>88.914255219002129</v>
      </c>
      <c r="AD1049">
        <v>990</v>
      </c>
      <c r="AE1049" t="str">
        <f>IF(AND(ISNUMBER(SEARCH(O1049,4)),ISNUMBER(SEARCH('(4) FCH pathway assessment'!$B$16,AB1049)),ISNUMBER(SEARCH('(4) FCH pathway assessment'!$B$10,AA1049))),AD1049,"")</f>
        <v/>
      </c>
      <c r="AF1049" t="str">
        <f t="shared" si="3083"/>
        <v/>
      </c>
      <c r="AG1049" t="str">
        <f>VLOOKUP(C1049,Assumptions!$B$116:$C$162,2,FALSE)</f>
        <v>NG_SR_LRG_C</v>
      </c>
      <c r="AH1049" t="str">
        <f>VLOOKUP(D1049,Assumptions!$B$116:$C$162,2,FALSE)</f>
        <v>C_UNDRGRND_STRG</v>
      </c>
      <c r="AI1049" t="str">
        <f>VLOOKUP(E1049,Assumptions!$B$116:$C$162,2,FALSE)</f>
        <v>H2_BLND_NG_P</v>
      </c>
      <c r="AJ1049" t="str">
        <f>VLOOKUP(F1049,Assumptions!$B$116:$C$162,2,FALSE)</f>
        <v>H2_FC_PWR</v>
      </c>
    </row>
    <row r="1050" spans="2:36" x14ac:dyDescent="0.25">
      <c r="B1050" t="s">
        <v>127</v>
      </c>
      <c r="C1050" t="s">
        <v>57</v>
      </c>
      <c r="D1050" t="s">
        <v>62</v>
      </c>
      <c r="E1050" t="s">
        <v>122</v>
      </c>
      <c r="F1050" t="s">
        <v>164</v>
      </c>
      <c r="G1050" t="s">
        <v>126</v>
      </c>
      <c r="H1050" t="s">
        <v>433</v>
      </c>
      <c r="I1050" t="s">
        <v>32</v>
      </c>
      <c r="J1050" t="s">
        <v>77</v>
      </c>
      <c r="K1050">
        <f t="shared" si="3149"/>
        <v>1</v>
      </c>
      <c r="L1050">
        <f t="shared" si="3150"/>
        <v>0</v>
      </c>
      <c r="M1050">
        <f t="shared" si="3151"/>
        <v>1</v>
      </c>
      <c r="N1050">
        <f t="shared" si="3152"/>
        <v>1</v>
      </c>
      <c r="O1050">
        <f t="shared" si="3153"/>
        <v>3</v>
      </c>
      <c r="P1050" t="str">
        <f t="shared" si="3154"/>
        <v>Large centralized natural gas steam reforming-Marginal abatement cost</v>
      </c>
      <c r="Q1050" t="str">
        <f t="shared" si="3155"/>
        <v>Underground storage-Marginal abatement cost</v>
      </c>
      <c r="R1050" t="str">
        <f t="shared" si="3156"/>
        <v>Hydrogen transmission &amp; distribution pipeline-Marginal abatement cost</v>
      </c>
      <c r="S1050" t="str">
        <f t="shared" si="3157"/>
        <v>Prime power H2 fuel cell-Marginal abatement cost</v>
      </c>
      <c r="T1050">
        <f>IFERROR(VLOOKUP($P1050,'TA database'!$I$8:$J$79,2,FALSE),0)</f>
        <v>0</v>
      </c>
      <c r="U1050">
        <f>IFERROR(VLOOKUP($Q1050,'TA database'!$I$86:$J$105,2,FALSE),0)</f>
        <v>0</v>
      </c>
      <c r="V1050">
        <f>IFERROR(VLOOKUP($R1050,'TA database'!$I$112:$J$139,2,FALSE),0)</f>
        <v>0</v>
      </c>
      <c r="W1050">
        <f>IFERROR(VLOOKUP($S1050,'TA database'!$I$146:$J$193,2,FALSE),0)</f>
        <v>0</v>
      </c>
      <c r="X1050">
        <f ca="1">IFERROR(VLOOKUP($S1050,'TA database'!$I$200:$J$271,2,FALSE),0)</f>
        <v>88.914255219002129</v>
      </c>
      <c r="Y1050" s="59">
        <f t="shared" ca="1" si="3158"/>
        <v>88.914255219002129</v>
      </c>
      <c r="Z1050" t="str">
        <f t="shared" si="3159"/>
        <v>NG_SR_LRG_C   →   C_UNDRGRND_STRG   →   H2_T&amp;D_P   →   H2_FC_PWR</v>
      </c>
      <c r="AA1050" t="str">
        <f t="shared" si="3160"/>
        <v>Onsite / Back-up power</v>
      </c>
      <c r="AB1050" t="str">
        <f t="shared" si="3161"/>
        <v>Marginal abatement cost</v>
      </c>
      <c r="AC1050">
        <f t="shared" ca="1" si="3162"/>
        <v>88.914255219002129</v>
      </c>
      <c r="AD1050">
        <v>991</v>
      </c>
      <c r="AE1050" t="str">
        <f>IF(AND(ISNUMBER(SEARCH(O1050,4)),ISNUMBER(SEARCH('(4) FCH pathway assessment'!$B$16,AB1050)),ISNUMBER(SEARCH('(4) FCH pathway assessment'!$B$10,AA1050))),AD1050,"")</f>
        <v/>
      </c>
      <c r="AF1050" t="str">
        <f t="shared" si="3083"/>
        <v/>
      </c>
      <c r="AG1050" t="str">
        <f>VLOOKUP(C1050,Assumptions!$B$116:$C$162,2,FALSE)</f>
        <v>NG_SR_LRG_C</v>
      </c>
      <c r="AH1050" t="str">
        <f>VLOOKUP(D1050,Assumptions!$B$116:$C$162,2,FALSE)</f>
        <v>C_UNDRGRND_STRG</v>
      </c>
      <c r="AI1050" t="str">
        <f>VLOOKUP(E1050,Assumptions!$B$116:$C$162,2,FALSE)</f>
        <v>H2_T&amp;D_P</v>
      </c>
      <c r="AJ1050" t="str">
        <f>VLOOKUP(F1050,Assumptions!$B$116:$C$162,2,FALSE)</f>
        <v>H2_FC_PWR</v>
      </c>
    </row>
    <row r="1051" spans="2:36" x14ac:dyDescent="0.25">
      <c r="B1051" t="s">
        <v>127</v>
      </c>
      <c r="C1051" t="s">
        <v>57</v>
      </c>
      <c r="D1051" t="s">
        <v>62</v>
      </c>
      <c r="E1051" t="s">
        <v>66</v>
      </c>
      <c r="F1051" t="s">
        <v>164</v>
      </c>
      <c r="G1051" t="s">
        <v>126</v>
      </c>
      <c r="H1051" t="s">
        <v>433</v>
      </c>
      <c r="I1051" t="s">
        <v>32</v>
      </c>
      <c r="J1051" t="s">
        <v>77</v>
      </c>
      <c r="K1051">
        <f t="shared" si="3149"/>
        <v>1</v>
      </c>
      <c r="L1051">
        <f t="shared" si="3150"/>
        <v>0</v>
      </c>
      <c r="M1051">
        <f t="shared" si="3151"/>
        <v>1</v>
      </c>
      <c r="N1051">
        <f t="shared" si="3152"/>
        <v>1</v>
      </c>
      <c r="O1051">
        <f t="shared" si="3153"/>
        <v>3</v>
      </c>
      <c r="P1051" t="str">
        <f t="shared" si="3154"/>
        <v>Large centralized natural gas steam reforming-Marginal abatement cost</v>
      </c>
      <c r="Q1051" t="str">
        <f t="shared" si="3155"/>
        <v>Underground storage-Marginal abatement cost</v>
      </c>
      <c r="R1051" t="str">
        <f t="shared" si="3156"/>
        <v>Onsite-Marginal abatement cost</v>
      </c>
      <c r="S1051" t="str">
        <f t="shared" si="3157"/>
        <v>Prime power H2 fuel cell-Marginal abatement cost</v>
      </c>
      <c r="T1051">
        <f>IFERROR(VLOOKUP($P1051,'TA database'!$I$8:$J$79,2,FALSE),0)</f>
        <v>0</v>
      </c>
      <c r="U1051">
        <f>IFERROR(VLOOKUP($Q1051,'TA database'!$I$86:$J$105,2,FALSE),0)</f>
        <v>0</v>
      </c>
      <c r="V1051">
        <f>IFERROR(VLOOKUP($R1051,'TA database'!$I$112:$J$139,2,FALSE),0)</f>
        <v>0</v>
      </c>
      <c r="W1051">
        <f>IFERROR(VLOOKUP($S1051,'TA database'!$I$146:$J$193,2,FALSE),0)</f>
        <v>0</v>
      </c>
      <c r="X1051">
        <f ca="1">IFERROR(VLOOKUP($S1051,'TA database'!$I$200:$J$271,2,FALSE),0)</f>
        <v>88.914255219002129</v>
      </c>
      <c r="Y1051" s="59">
        <f t="shared" ca="1" si="3158"/>
        <v>88.914255219002129</v>
      </c>
      <c r="Z1051" t="str">
        <f t="shared" si="3159"/>
        <v>NG_SR_LRG_C   →   C_UNDRGRND_STRG   →   ONSITE_USE   →   H2_FC_PWR</v>
      </c>
      <c r="AA1051" t="str">
        <f t="shared" si="3160"/>
        <v>Onsite / Back-up power</v>
      </c>
      <c r="AB1051" t="str">
        <f t="shared" si="3161"/>
        <v>Marginal abatement cost</v>
      </c>
      <c r="AC1051">
        <f t="shared" ca="1" si="3162"/>
        <v>88.914255219002129</v>
      </c>
      <c r="AD1051">
        <v>992</v>
      </c>
      <c r="AE1051" t="str">
        <f>IF(AND(ISNUMBER(SEARCH(O1051,4)),ISNUMBER(SEARCH('(4) FCH pathway assessment'!$B$16,AB1051)),ISNUMBER(SEARCH('(4) FCH pathway assessment'!$B$10,AA1051))),AD1051,"")</f>
        <v/>
      </c>
      <c r="AF1051" t="str">
        <f t="shared" si="3083"/>
        <v/>
      </c>
      <c r="AG1051" t="str">
        <f>VLOOKUP(C1051,Assumptions!$B$116:$C$162,2,FALSE)</f>
        <v>NG_SR_LRG_C</v>
      </c>
      <c r="AH1051" t="str">
        <f>VLOOKUP(D1051,Assumptions!$B$116:$C$162,2,FALSE)</f>
        <v>C_UNDRGRND_STRG</v>
      </c>
      <c r="AI1051" t="str">
        <f>VLOOKUP(E1051,Assumptions!$B$116:$C$162,2,FALSE)</f>
        <v>ONSITE_USE</v>
      </c>
      <c r="AJ1051" t="str">
        <f>VLOOKUP(F1051,Assumptions!$B$116:$C$162,2,FALSE)</f>
        <v>H2_FC_PWR</v>
      </c>
    </row>
    <row r="1052" spans="2:36" x14ac:dyDescent="0.25">
      <c r="B1052" t="s">
        <v>127</v>
      </c>
      <c r="C1052" t="s">
        <v>57</v>
      </c>
      <c r="D1052" s="61" t="s">
        <v>63</v>
      </c>
      <c r="E1052" t="s">
        <v>122</v>
      </c>
      <c r="F1052" t="s">
        <v>164</v>
      </c>
      <c r="G1052" t="s">
        <v>126</v>
      </c>
      <c r="H1052" t="s">
        <v>433</v>
      </c>
      <c r="I1052" t="s">
        <v>32</v>
      </c>
      <c r="J1052" t="s">
        <v>77</v>
      </c>
      <c r="K1052">
        <f t="shared" ref="K1052:K1055" si="3163">SUMPRODUCT(($C$7:$C$18=$C1052)*($D$6:$H$6=$D1052)*($D$7:$H$18))</f>
        <v>1</v>
      </c>
      <c r="L1052">
        <f t="shared" ref="L1052:L1055" si="3164">SUMPRODUCT(($C$19:$C$23=$D1052)*($I$6:$O$6=$E1052)*($I$19:$O$23))</f>
        <v>1</v>
      </c>
      <c r="M1052">
        <f t="shared" ref="M1052:M1055" si="3165">SUMPRODUCT(($C$24:$C$30=$E1052)*($P$6:$AI$6=$F1052)*($P$24:$AI$30))</f>
        <v>1</v>
      </c>
      <c r="N1052">
        <f t="shared" ref="N1052:N1055" si="3166">SUMPRODUCT(($C$31:$C$50=$F1052)*($AJ$6:$AM$6=$G1052)*($AJ$31:$AM$50))</f>
        <v>1</v>
      </c>
      <c r="O1052">
        <f t="shared" ref="O1052:O1055" si="3167">K1052+L1052+M1052+N1052</f>
        <v>4</v>
      </c>
      <c r="P1052" t="str">
        <f t="shared" ref="P1052:P1055" si="3168">CONCATENATE(C1052,"-",J1052)</f>
        <v>Large centralized natural gas steam reforming-Marginal abatement cost</v>
      </c>
      <c r="Q1052" t="str">
        <f t="shared" ref="Q1052:Q1055" si="3169">CONCATENATE(D1052,"-",J1052)</f>
        <v>No storage-Marginal abatement cost</v>
      </c>
      <c r="R1052" t="str">
        <f t="shared" ref="R1052:R1055" si="3170">CONCATENATE(E1052,"-",J1052)</f>
        <v>Hydrogen transmission &amp; distribution pipeline-Marginal abatement cost</v>
      </c>
      <c r="S1052" t="str">
        <f t="shared" ref="S1052:S1055" si="3171">CONCATENATE(F1052,"-",J1052)</f>
        <v>Prime power H2 fuel cell-Marginal abatement cost</v>
      </c>
      <c r="T1052">
        <f>IFERROR(VLOOKUP($P1052,'TA database'!$I$8:$J$79,2,FALSE),0)</f>
        <v>0</v>
      </c>
      <c r="U1052">
        <f>IFERROR(VLOOKUP($Q1052,'TA database'!$I$86:$J$105,2,FALSE),0)</f>
        <v>0</v>
      </c>
      <c r="V1052">
        <f>IFERROR(VLOOKUP($R1052,'TA database'!$I$112:$J$139,2,FALSE),0)</f>
        <v>0</v>
      </c>
      <c r="W1052">
        <f>IFERROR(VLOOKUP($S1052,'TA database'!$I$146:$J$193,2,FALSE),0)</f>
        <v>0</v>
      </c>
      <c r="X1052">
        <f ca="1">IFERROR(VLOOKUP($S1052,'TA database'!$I$200:$J$271,2,FALSE),0)</f>
        <v>88.914255219002129</v>
      </c>
      <c r="Y1052" s="59">
        <f t="shared" ref="Y1052:Y1055" ca="1" si="3172">IF($W1052=0,T1052+U1052+V1052+X1052,T1052+U1052+V1052+W1052)</f>
        <v>88.914255219002129</v>
      </c>
      <c r="Z1052" t="str">
        <f t="shared" ref="Z1052:Z1055" si="3173">CONCATENATE(AG1052,"   →   ",AH1052,"   →   ",AI1052,"   →   ",AJ1052)</f>
        <v>NG_SR_LRG_C   →   NO_STRG   →   H2_T&amp;D_P   →   H2_FC_PWR</v>
      </c>
      <c r="AA1052" t="str">
        <f t="shared" ref="AA1052:AA1055" si="3174">G1052</f>
        <v>Onsite / Back-up power</v>
      </c>
      <c r="AB1052" t="str">
        <f t="shared" ref="AB1052:AB1055" si="3175">J1052</f>
        <v>Marginal abatement cost</v>
      </c>
      <c r="AC1052">
        <f t="shared" ref="AC1052:AC1055" ca="1" si="3176">Y1052</f>
        <v>88.914255219002129</v>
      </c>
      <c r="AD1052">
        <v>993</v>
      </c>
      <c r="AE1052" t="str">
        <f>IF(AND(ISNUMBER(SEARCH(O1052,4)),ISNUMBER(SEARCH('(4) FCH pathway assessment'!$B$16,AB1052)),ISNUMBER(SEARCH('(4) FCH pathway assessment'!$B$10,AA1052))),AD1052,"")</f>
        <v/>
      </c>
      <c r="AF1052" t="str">
        <f t="shared" si="3083"/>
        <v/>
      </c>
      <c r="AG1052" t="str">
        <f>VLOOKUP(C1052,Assumptions!$B$116:$C$162,2,FALSE)</f>
        <v>NG_SR_LRG_C</v>
      </c>
      <c r="AH1052" t="str">
        <f>VLOOKUP(D1052,Assumptions!$B$116:$C$162,2,FALSE)</f>
        <v>NO_STRG</v>
      </c>
      <c r="AI1052" t="str">
        <f>VLOOKUP(E1052,Assumptions!$B$116:$C$162,2,FALSE)</f>
        <v>H2_T&amp;D_P</v>
      </c>
      <c r="AJ1052" t="str">
        <f>VLOOKUP(F1052,Assumptions!$B$116:$C$162,2,FALSE)</f>
        <v>H2_FC_PWR</v>
      </c>
    </row>
    <row r="1053" spans="2:36" x14ac:dyDescent="0.25">
      <c r="B1053" t="s">
        <v>127</v>
      </c>
      <c r="C1053" t="s">
        <v>58</v>
      </c>
      <c r="D1053" t="s">
        <v>155</v>
      </c>
      <c r="E1053" t="s">
        <v>157</v>
      </c>
      <c r="F1053" t="s">
        <v>164</v>
      </c>
      <c r="G1053" t="s">
        <v>126</v>
      </c>
      <c r="H1053" t="s">
        <v>433</v>
      </c>
      <c r="I1053" t="s">
        <v>32</v>
      </c>
      <c r="J1053" t="s">
        <v>77</v>
      </c>
      <c r="K1053">
        <f t="shared" si="3163"/>
        <v>1</v>
      </c>
      <c r="L1053">
        <f t="shared" si="3164"/>
        <v>1</v>
      </c>
      <c r="M1053">
        <f t="shared" si="3165"/>
        <v>0</v>
      </c>
      <c r="N1053">
        <f t="shared" si="3166"/>
        <v>1</v>
      </c>
      <c r="O1053">
        <f t="shared" si="3167"/>
        <v>3</v>
      </c>
      <c r="P1053" t="str">
        <f t="shared" si="3168"/>
        <v>Small centralized natural gas steam reforming-Marginal abatement cost</v>
      </c>
      <c r="Q1053" t="str">
        <f t="shared" si="3169"/>
        <v>Central gas storage-Marginal abatement cost</v>
      </c>
      <c r="R1053" t="str">
        <f t="shared" si="3170"/>
        <v>Blending in natural gas pipeline-Marginal abatement cost</v>
      </c>
      <c r="S1053" t="str">
        <f t="shared" si="3171"/>
        <v>Prime power H2 fuel cell-Marginal abatement cost</v>
      </c>
      <c r="T1053">
        <f>IFERROR(VLOOKUP($P1053,'TA database'!$I$8:$J$79,2,FALSE),0)</f>
        <v>0</v>
      </c>
      <c r="U1053">
        <f>IFERROR(VLOOKUP($Q1053,'TA database'!$I$86:$J$105,2,FALSE),0)</f>
        <v>0</v>
      </c>
      <c r="V1053">
        <f>IFERROR(VLOOKUP($R1053,'TA database'!$I$112:$J$139,2,FALSE),0)</f>
        <v>0</v>
      </c>
      <c r="W1053">
        <f>IFERROR(VLOOKUP($S1053,'TA database'!$I$146:$J$193,2,FALSE),0)</f>
        <v>0</v>
      </c>
      <c r="X1053">
        <f ca="1">IFERROR(VLOOKUP($S1053,'TA database'!$I$200:$J$271,2,FALSE),0)</f>
        <v>88.914255219002129</v>
      </c>
      <c r="Y1053" s="59">
        <f t="shared" ca="1" si="3172"/>
        <v>88.914255219002129</v>
      </c>
      <c r="Z1053" t="str">
        <f t="shared" si="3173"/>
        <v>NG_SR_SML_C   →   C_GAS_STRG   →   H2_BLND_NG_P   →   H2_FC_PWR</v>
      </c>
      <c r="AA1053" t="str">
        <f t="shared" si="3174"/>
        <v>Onsite / Back-up power</v>
      </c>
      <c r="AB1053" t="str">
        <f t="shared" si="3175"/>
        <v>Marginal abatement cost</v>
      </c>
      <c r="AC1053">
        <f t="shared" ca="1" si="3176"/>
        <v>88.914255219002129</v>
      </c>
      <c r="AD1053">
        <v>994</v>
      </c>
      <c r="AE1053" t="str">
        <f>IF(AND(ISNUMBER(SEARCH(O1053,4)),ISNUMBER(SEARCH('(4) FCH pathway assessment'!$B$16,AB1053)),ISNUMBER(SEARCH('(4) FCH pathway assessment'!$B$10,AA1053))),AD1053,"")</f>
        <v/>
      </c>
      <c r="AF1053" t="str">
        <f t="shared" si="3083"/>
        <v/>
      </c>
      <c r="AG1053" t="str">
        <f>VLOOKUP(C1053,Assumptions!$B$116:$C$162,2,FALSE)</f>
        <v>NG_SR_SML_C</v>
      </c>
      <c r="AH1053" t="str">
        <f>VLOOKUP(D1053,Assumptions!$B$116:$C$162,2,FALSE)</f>
        <v>C_GAS_STRG</v>
      </c>
      <c r="AI1053" t="str">
        <f>VLOOKUP(E1053,Assumptions!$B$116:$C$162,2,FALSE)</f>
        <v>H2_BLND_NG_P</v>
      </c>
      <c r="AJ1053" t="str">
        <f>VLOOKUP(F1053,Assumptions!$B$116:$C$162,2,FALSE)</f>
        <v>H2_FC_PWR</v>
      </c>
    </row>
    <row r="1054" spans="2:36" x14ac:dyDescent="0.25">
      <c r="B1054" t="s">
        <v>127</v>
      </c>
      <c r="C1054" t="s">
        <v>58</v>
      </c>
      <c r="D1054" t="s">
        <v>155</v>
      </c>
      <c r="E1054" t="s">
        <v>122</v>
      </c>
      <c r="F1054" t="s">
        <v>164</v>
      </c>
      <c r="G1054" t="s">
        <v>126</v>
      </c>
      <c r="H1054" t="s">
        <v>433</v>
      </c>
      <c r="I1054" t="s">
        <v>32</v>
      </c>
      <c r="J1054" t="s">
        <v>77</v>
      </c>
      <c r="K1054">
        <f t="shared" si="3163"/>
        <v>1</v>
      </c>
      <c r="L1054">
        <f t="shared" si="3164"/>
        <v>1</v>
      </c>
      <c r="M1054">
        <f t="shared" si="3165"/>
        <v>1</v>
      </c>
      <c r="N1054">
        <f t="shared" si="3166"/>
        <v>1</v>
      </c>
      <c r="O1054">
        <f t="shared" si="3167"/>
        <v>4</v>
      </c>
      <c r="P1054" t="str">
        <f t="shared" si="3168"/>
        <v>Small centralized natural gas steam reforming-Marginal abatement cost</v>
      </c>
      <c r="Q1054" t="str">
        <f t="shared" si="3169"/>
        <v>Central gas storage-Marginal abatement cost</v>
      </c>
      <c r="R1054" t="str">
        <f t="shared" si="3170"/>
        <v>Hydrogen transmission &amp; distribution pipeline-Marginal abatement cost</v>
      </c>
      <c r="S1054" t="str">
        <f t="shared" si="3171"/>
        <v>Prime power H2 fuel cell-Marginal abatement cost</v>
      </c>
      <c r="T1054">
        <f>IFERROR(VLOOKUP($P1054,'TA database'!$I$8:$J$79,2,FALSE),0)</f>
        <v>0</v>
      </c>
      <c r="U1054">
        <f>IFERROR(VLOOKUP($Q1054,'TA database'!$I$86:$J$105,2,FALSE),0)</f>
        <v>0</v>
      </c>
      <c r="V1054">
        <f>IFERROR(VLOOKUP($R1054,'TA database'!$I$112:$J$139,2,FALSE),0)</f>
        <v>0</v>
      </c>
      <c r="W1054">
        <f>IFERROR(VLOOKUP($S1054,'TA database'!$I$146:$J$193,2,FALSE),0)</f>
        <v>0</v>
      </c>
      <c r="X1054">
        <f ca="1">IFERROR(VLOOKUP($S1054,'TA database'!$I$200:$J$271,2,FALSE),0)</f>
        <v>88.914255219002129</v>
      </c>
      <c r="Y1054" s="59">
        <f t="shared" ca="1" si="3172"/>
        <v>88.914255219002129</v>
      </c>
      <c r="Z1054" t="str">
        <f t="shared" si="3173"/>
        <v>NG_SR_SML_C   →   C_GAS_STRG   →   H2_T&amp;D_P   →   H2_FC_PWR</v>
      </c>
      <c r="AA1054" t="str">
        <f t="shared" si="3174"/>
        <v>Onsite / Back-up power</v>
      </c>
      <c r="AB1054" t="str">
        <f t="shared" si="3175"/>
        <v>Marginal abatement cost</v>
      </c>
      <c r="AC1054">
        <f t="shared" ca="1" si="3176"/>
        <v>88.914255219002129</v>
      </c>
      <c r="AD1054">
        <v>995</v>
      </c>
      <c r="AE1054" t="str">
        <f>IF(AND(ISNUMBER(SEARCH(O1054,4)),ISNUMBER(SEARCH('(4) FCH pathway assessment'!$B$16,AB1054)),ISNUMBER(SEARCH('(4) FCH pathway assessment'!$B$10,AA1054))),AD1054,"")</f>
        <v/>
      </c>
      <c r="AF1054" t="str">
        <f t="shared" si="3083"/>
        <v/>
      </c>
      <c r="AG1054" t="str">
        <f>VLOOKUP(C1054,Assumptions!$B$116:$C$162,2,FALSE)</f>
        <v>NG_SR_SML_C</v>
      </c>
      <c r="AH1054" t="str">
        <f>VLOOKUP(D1054,Assumptions!$B$116:$C$162,2,FALSE)</f>
        <v>C_GAS_STRG</v>
      </c>
      <c r="AI1054" t="str">
        <f>VLOOKUP(E1054,Assumptions!$B$116:$C$162,2,FALSE)</f>
        <v>H2_T&amp;D_P</v>
      </c>
      <c r="AJ1054" t="str">
        <f>VLOOKUP(F1054,Assumptions!$B$116:$C$162,2,FALSE)</f>
        <v>H2_FC_PWR</v>
      </c>
    </row>
    <row r="1055" spans="2:36" x14ac:dyDescent="0.25">
      <c r="B1055" t="s">
        <v>127</v>
      </c>
      <c r="C1055" t="s">
        <v>58</v>
      </c>
      <c r="D1055" t="s">
        <v>155</v>
      </c>
      <c r="E1055" t="s">
        <v>66</v>
      </c>
      <c r="F1055" t="s">
        <v>164</v>
      </c>
      <c r="G1055" t="s">
        <v>126</v>
      </c>
      <c r="H1055" t="s">
        <v>433</v>
      </c>
      <c r="I1055" t="s">
        <v>32</v>
      </c>
      <c r="J1055" t="s">
        <v>77</v>
      </c>
      <c r="K1055">
        <f t="shared" si="3163"/>
        <v>1</v>
      </c>
      <c r="L1055">
        <f t="shared" si="3164"/>
        <v>1</v>
      </c>
      <c r="M1055">
        <f t="shared" si="3165"/>
        <v>1</v>
      </c>
      <c r="N1055">
        <f t="shared" si="3166"/>
        <v>1</v>
      </c>
      <c r="O1055">
        <f t="shared" si="3167"/>
        <v>4</v>
      </c>
      <c r="P1055" t="str">
        <f t="shared" si="3168"/>
        <v>Small centralized natural gas steam reforming-Marginal abatement cost</v>
      </c>
      <c r="Q1055" t="str">
        <f t="shared" si="3169"/>
        <v>Central gas storage-Marginal abatement cost</v>
      </c>
      <c r="R1055" t="str">
        <f t="shared" si="3170"/>
        <v>Onsite-Marginal abatement cost</v>
      </c>
      <c r="S1055" t="str">
        <f t="shared" si="3171"/>
        <v>Prime power H2 fuel cell-Marginal abatement cost</v>
      </c>
      <c r="T1055">
        <f>IFERROR(VLOOKUP($P1055,'TA database'!$I$8:$J$79,2,FALSE),0)</f>
        <v>0</v>
      </c>
      <c r="U1055">
        <f>IFERROR(VLOOKUP($Q1055,'TA database'!$I$86:$J$105,2,FALSE),0)</f>
        <v>0</v>
      </c>
      <c r="V1055">
        <f>IFERROR(VLOOKUP($R1055,'TA database'!$I$112:$J$139,2,FALSE),0)</f>
        <v>0</v>
      </c>
      <c r="W1055">
        <f>IFERROR(VLOOKUP($S1055,'TA database'!$I$146:$J$193,2,FALSE),0)</f>
        <v>0</v>
      </c>
      <c r="X1055">
        <f ca="1">IFERROR(VLOOKUP($S1055,'TA database'!$I$200:$J$271,2,FALSE),0)</f>
        <v>88.914255219002129</v>
      </c>
      <c r="Y1055" s="59">
        <f t="shared" ca="1" si="3172"/>
        <v>88.914255219002129</v>
      </c>
      <c r="Z1055" t="str">
        <f t="shared" si="3173"/>
        <v>NG_SR_SML_C   →   C_GAS_STRG   →   ONSITE_USE   →   H2_FC_PWR</v>
      </c>
      <c r="AA1055" t="str">
        <f t="shared" si="3174"/>
        <v>Onsite / Back-up power</v>
      </c>
      <c r="AB1055" t="str">
        <f t="shared" si="3175"/>
        <v>Marginal abatement cost</v>
      </c>
      <c r="AC1055">
        <f t="shared" ca="1" si="3176"/>
        <v>88.914255219002129</v>
      </c>
      <c r="AD1055">
        <v>996</v>
      </c>
      <c r="AE1055" t="str">
        <f>IF(AND(ISNUMBER(SEARCH(O1055,4)),ISNUMBER(SEARCH('(4) FCH pathway assessment'!$B$16,AB1055)),ISNUMBER(SEARCH('(4) FCH pathway assessment'!$B$10,AA1055))),AD1055,"")</f>
        <v/>
      </c>
      <c r="AF1055" t="str">
        <f t="shared" si="3083"/>
        <v/>
      </c>
      <c r="AG1055" t="str">
        <f>VLOOKUP(C1055,Assumptions!$B$116:$C$162,2,FALSE)</f>
        <v>NG_SR_SML_C</v>
      </c>
      <c r="AH1055" t="str">
        <f>VLOOKUP(D1055,Assumptions!$B$116:$C$162,2,FALSE)</f>
        <v>C_GAS_STRG</v>
      </c>
      <c r="AI1055" t="str">
        <f>VLOOKUP(E1055,Assumptions!$B$116:$C$162,2,FALSE)</f>
        <v>ONSITE_USE</v>
      </c>
      <c r="AJ1055" t="str">
        <f>VLOOKUP(F1055,Assumptions!$B$116:$C$162,2,FALSE)</f>
        <v>H2_FC_PWR</v>
      </c>
    </row>
    <row r="1056" spans="2:36" x14ac:dyDescent="0.25">
      <c r="B1056" t="s">
        <v>127</v>
      </c>
      <c r="C1056" t="s">
        <v>59</v>
      </c>
      <c r="D1056" s="60" t="s">
        <v>130</v>
      </c>
      <c r="E1056" t="s">
        <v>66</v>
      </c>
      <c r="F1056" t="s">
        <v>164</v>
      </c>
      <c r="G1056" t="s">
        <v>126</v>
      </c>
      <c r="H1056" t="s">
        <v>433</v>
      </c>
      <c r="I1056" t="s">
        <v>32</v>
      </c>
      <c r="J1056" t="s">
        <v>77</v>
      </c>
      <c r="K1056">
        <f t="shared" ref="K1056:K1057" si="3177">SUMPRODUCT(($C$7:$C$18=$C1056)*($D$6:$H$6=$D1056)*($D$7:$H$18))</f>
        <v>1</v>
      </c>
      <c r="L1056">
        <f t="shared" ref="L1056:L1057" si="3178">SUMPRODUCT(($C$19:$C$23=$D1056)*($I$6:$O$6=$E1056)*($I$19:$O$23))</f>
        <v>1</v>
      </c>
      <c r="M1056">
        <f t="shared" ref="M1056:M1057" si="3179">SUMPRODUCT(($C$24:$C$30=$E1056)*($P$6:$AI$6=$F1056)*($P$24:$AI$30))</f>
        <v>1</v>
      </c>
      <c r="N1056">
        <f t="shared" ref="N1056:N1057" si="3180">SUMPRODUCT(($C$31:$C$50=$F1056)*($AJ$6:$AM$6=$G1056)*($AJ$31:$AM$50))</f>
        <v>1</v>
      </c>
      <c r="O1056">
        <f t="shared" ref="O1056:O1057" si="3181">K1056+L1056+M1056+N1056</f>
        <v>4</v>
      </c>
      <c r="P1056" t="str">
        <f t="shared" ref="P1056:P1057" si="3182">CONCATENATE(C1056,"-",J1056)</f>
        <v>Medium decentralized natural gas steam reforming-Marginal abatement cost</v>
      </c>
      <c r="Q1056" t="str">
        <f t="shared" ref="Q1056:Q1057" si="3183">CONCATENATE(D1056,"-",J1056)</f>
        <v>Distributed gas storage-Marginal abatement cost</v>
      </c>
      <c r="R1056" t="str">
        <f t="shared" ref="R1056:R1057" si="3184">CONCATENATE(E1056,"-",J1056)</f>
        <v>Onsite-Marginal abatement cost</v>
      </c>
      <c r="S1056" t="str">
        <f t="shared" ref="S1056:S1057" si="3185">CONCATENATE(F1056,"-",J1056)</f>
        <v>Prime power H2 fuel cell-Marginal abatement cost</v>
      </c>
      <c r="T1056">
        <f>IFERROR(VLOOKUP($P1056,'TA database'!$I$8:$J$79,2,FALSE),0)</f>
        <v>0</v>
      </c>
      <c r="U1056">
        <f>IFERROR(VLOOKUP($Q1056,'TA database'!$I$86:$J$105,2,FALSE),0)</f>
        <v>0</v>
      </c>
      <c r="V1056">
        <f>IFERROR(VLOOKUP($R1056,'TA database'!$I$112:$J$139,2,FALSE),0)</f>
        <v>0</v>
      </c>
      <c r="W1056">
        <f>IFERROR(VLOOKUP($S1056,'TA database'!$I$146:$J$193,2,FALSE),0)</f>
        <v>0</v>
      </c>
      <c r="X1056">
        <f ca="1">IFERROR(VLOOKUP($S1056,'TA database'!$I$200:$J$271,2,FALSE),0)</f>
        <v>88.914255219002129</v>
      </c>
      <c r="Y1056" s="59">
        <f t="shared" ref="Y1056:Y1057" ca="1" si="3186">IF($W1056=0,T1056+U1056+V1056+X1056,T1056+U1056+V1056+W1056)</f>
        <v>88.914255219002129</v>
      </c>
      <c r="Z1056" t="str">
        <f t="shared" ref="Z1056:Z1057" si="3187">CONCATENATE(AG1056,"   →   ",AH1056,"   →   ",AI1056,"   →   ",AJ1056)</f>
        <v>NG_SR_MED_D   →   D_GAS_STRG   →   ONSITE_USE   →   H2_FC_PWR</v>
      </c>
      <c r="AA1056" t="str">
        <f t="shared" ref="AA1056:AA1057" si="3188">G1056</f>
        <v>Onsite / Back-up power</v>
      </c>
      <c r="AB1056" t="str">
        <f t="shared" ref="AB1056:AB1057" si="3189">J1056</f>
        <v>Marginal abatement cost</v>
      </c>
      <c r="AC1056">
        <f t="shared" ref="AC1056:AC1057" ca="1" si="3190">Y1056</f>
        <v>88.914255219002129</v>
      </c>
      <c r="AD1056">
        <v>997</v>
      </c>
      <c r="AE1056" t="str">
        <f>IF(AND(ISNUMBER(SEARCH(O1056,4)),ISNUMBER(SEARCH('(4) FCH pathway assessment'!$B$16,AB1056)),ISNUMBER(SEARCH('(4) FCH pathway assessment'!$B$10,AA1056))),AD1056,"")</f>
        <v/>
      </c>
      <c r="AF1056" t="str">
        <f t="shared" si="3083"/>
        <v/>
      </c>
      <c r="AG1056" t="str">
        <f>VLOOKUP(C1056,Assumptions!$B$116:$C$162,2,FALSE)</f>
        <v>NG_SR_MED_D</v>
      </c>
      <c r="AH1056" t="str">
        <f>VLOOKUP(D1056,Assumptions!$B$116:$C$162,2,FALSE)</f>
        <v>D_GAS_STRG</v>
      </c>
      <c r="AI1056" t="str">
        <f>VLOOKUP(E1056,Assumptions!$B$116:$C$162,2,FALSE)</f>
        <v>ONSITE_USE</v>
      </c>
      <c r="AJ1056" t="str">
        <f>VLOOKUP(F1056,Assumptions!$B$116:$C$162,2,FALSE)</f>
        <v>H2_FC_PWR</v>
      </c>
    </row>
    <row r="1057" spans="2:36" x14ac:dyDescent="0.25">
      <c r="B1057" t="s">
        <v>127</v>
      </c>
      <c r="C1057" t="s">
        <v>60</v>
      </c>
      <c r="D1057" s="60" t="s">
        <v>130</v>
      </c>
      <c r="E1057" t="s">
        <v>66</v>
      </c>
      <c r="F1057" t="s">
        <v>164</v>
      </c>
      <c r="G1057" t="s">
        <v>126</v>
      </c>
      <c r="H1057" t="s">
        <v>433</v>
      </c>
      <c r="I1057" t="s">
        <v>32</v>
      </c>
      <c r="J1057" t="s">
        <v>77</v>
      </c>
      <c r="K1057">
        <f t="shared" si="3177"/>
        <v>1</v>
      </c>
      <c r="L1057">
        <f t="shared" si="3178"/>
        <v>1</v>
      </c>
      <c r="M1057">
        <f t="shared" si="3179"/>
        <v>1</v>
      </c>
      <c r="N1057">
        <f t="shared" si="3180"/>
        <v>1</v>
      </c>
      <c r="O1057">
        <f t="shared" si="3181"/>
        <v>4</v>
      </c>
      <c r="P1057" t="str">
        <f t="shared" si="3182"/>
        <v>Small decentralized natural gas steam reforming-Marginal abatement cost</v>
      </c>
      <c r="Q1057" t="str">
        <f t="shared" si="3183"/>
        <v>Distributed gas storage-Marginal abatement cost</v>
      </c>
      <c r="R1057" t="str">
        <f t="shared" si="3184"/>
        <v>Onsite-Marginal abatement cost</v>
      </c>
      <c r="S1057" t="str">
        <f t="shared" si="3185"/>
        <v>Prime power H2 fuel cell-Marginal abatement cost</v>
      </c>
      <c r="T1057">
        <f>IFERROR(VLOOKUP($P1057,'TA database'!$I$8:$J$79,2,FALSE),0)</f>
        <v>0</v>
      </c>
      <c r="U1057">
        <f>IFERROR(VLOOKUP($Q1057,'TA database'!$I$86:$J$105,2,FALSE),0)</f>
        <v>0</v>
      </c>
      <c r="V1057">
        <f>IFERROR(VLOOKUP($R1057,'TA database'!$I$112:$J$139,2,FALSE),0)</f>
        <v>0</v>
      </c>
      <c r="W1057">
        <f>IFERROR(VLOOKUP($S1057,'TA database'!$I$146:$J$193,2,FALSE),0)</f>
        <v>0</v>
      </c>
      <c r="X1057">
        <f ca="1">IFERROR(VLOOKUP($S1057,'TA database'!$I$200:$J$271,2,FALSE),0)</f>
        <v>88.914255219002129</v>
      </c>
      <c r="Y1057" s="59">
        <f t="shared" ca="1" si="3186"/>
        <v>88.914255219002129</v>
      </c>
      <c r="Z1057" t="str">
        <f t="shared" si="3187"/>
        <v>NG_SR_SML_D   →   D_GAS_STRG   →   ONSITE_USE   →   H2_FC_PWR</v>
      </c>
      <c r="AA1057" t="str">
        <f t="shared" si="3188"/>
        <v>Onsite / Back-up power</v>
      </c>
      <c r="AB1057" t="str">
        <f t="shared" si="3189"/>
        <v>Marginal abatement cost</v>
      </c>
      <c r="AC1057">
        <f t="shared" ca="1" si="3190"/>
        <v>88.914255219002129</v>
      </c>
      <c r="AD1057">
        <v>998</v>
      </c>
      <c r="AE1057" t="str">
        <f>IF(AND(ISNUMBER(SEARCH(O1057,4)),ISNUMBER(SEARCH('(4) FCH pathway assessment'!$B$16,AB1057)),ISNUMBER(SEARCH('(4) FCH pathway assessment'!$B$10,AA1057))),AD1057,"")</f>
        <v/>
      </c>
      <c r="AF1057" t="str">
        <f t="shared" si="3083"/>
        <v/>
      </c>
      <c r="AG1057" t="str">
        <f>VLOOKUP(C1057,Assumptions!$B$116:$C$162,2,FALSE)</f>
        <v>NG_SR_SML_D</v>
      </c>
      <c r="AH1057" t="str">
        <f>VLOOKUP(D1057,Assumptions!$B$116:$C$162,2,FALSE)</f>
        <v>D_GAS_STRG</v>
      </c>
      <c r="AI1057" t="str">
        <f>VLOOKUP(E1057,Assumptions!$B$116:$C$162,2,FALSE)</f>
        <v>ONSITE_USE</v>
      </c>
      <c r="AJ1057" t="str">
        <f>VLOOKUP(F1057,Assumptions!$B$116:$C$162,2,FALSE)</f>
        <v>H2_FC_PWR</v>
      </c>
    </row>
    <row r="1058" spans="2:36" x14ac:dyDescent="0.25">
      <c r="B1058" t="s">
        <v>117</v>
      </c>
      <c r="C1058" t="s">
        <v>53</v>
      </c>
      <c r="D1058" t="s">
        <v>155</v>
      </c>
      <c r="E1058" t="s">
        <v>65</v>
      </c>
      <c r="F1058" t="s">
        <v>165</v>
      </c>
      <c r="G1058" t="s">
        <v>126</v>
      </c>
      <c r="H1058" t="s">
        <v>433</v>
      </c>
      <c r="I1058" t="s">
        <v>32</v>
      </c>
      <c r="J1058" t="s">
        <v>77</v>
      </c>
      <c r="K1058">
        <f t="shared" ref="K1058" si="3191">SUMPRODUCT(($C$7:$C$18=$C1058)*($D$6:$H$6=$D1058)*($D$7:$H$18))</f>
        <v>0</v>
      </c>
      <c r="L1058">
        <f t="shared" ref="L1058" si="3192">SUMPRODUCT(($C$19:$C$23=$D1058)*($I$6:$O$6=$E1058)*($I$19:$O$23))</f>
        <v>1</v>
      </c>
      <c r="M1058">
        <f t="shared" ref="M1058" si="3193">SUMPRODUCT(($C$24:$C$30=$E1058)*($P$6:$AI$6=$F1058)*($P$24:$AI$30))</f>
        <v>0</v>
      </c>
      <c r="N1058">
        <f t="shared" ref="N1058" si="3194">SUMPRODUCT(($C$31:$C$50=$F1058)*($AJ$6:$AM$6=$G1058)*($AJ$31:$AM$50))</f>
        <v>1</v>
      </c>
      <c r="O1058">
        <f t="shared" ref="O1058" si="3195">K1058+L1058+M1058+N1058</f>
        <v>2</v>
      </c>
      <c r="P1058" t="str">
        <f t="shared" ref="P1058" si="3196">CONCATENATE(C1058,"-",J1058)</f>
        <v>Medium centralized biomass gasification-Marginal abatement cost</v>
      </c>
      <c r="Q1058" t="str">
        <f t="shared" ref="Q1058" si="3197">CONCATENATE(D1058,"-",J1058)</f>
        <v>Central gas storage-Marginal abatement cost</v>
      </c>
      <c r="R1058" t="str">
        <f t="shared" ref="R1058" si="3198">CONCATENATE(E1058,"-",J1058)</f>
        <v>Methanation-Marginal abatement cost</v>
      </c>
      <c r="S1058" t="str">
        <f t="shared" ref="S1058" si="3199">CONCATENATE(F1058,"-",J1058)</f>
        <v>Prime power natural gas fuel cell-Marginal abatement cost</v>
      </c>
      <c r="T1058">
        <f>IFERROR(VLOOKUP($P1058,'TA database'!$I$8:$J$79,2,FALSE),0)</f>
        <v>0</v>
      </c>
      <c r="U1058">
        <f>IFERROR(VLOOKUP($Q1058,'TA database'!$I$86:$J$105,2,FALSE),0)</f>
        <v>0</v>
      </c>
      <c r="V1058">
        <f>IFERROR(VLOOKUP($R1058,'TA database'!$I$112:$J$139,2,FALSE),0)</f>
        <v>0</v>
      </c>
      <c r="W1058">
        <f>IFERROR(VLOOKUP($S1058,'TA database'!$I$146:$J$193,2,FALSE),0)</f>
        <v>0</v>
      </c>
      <c r="X1058">
        <f ca="1">IFERROR(VLOOKUP($S1058,'TA database'!$I$200:$J$271,2,FALSE),0)</f>
        <v>557.19599937241378</v>
      </c>
      <c r="Y1058" s="59">
        <f t="shared" ref="Y1058" ca="1" si="3200">IF($W1058=0,T1058+U1058+V1058+X1058,T1058+U1058+V1058+W1058)</f>
        <v>557.19599937241378</v>
      </c>
      <c r="Z1058" t="str">
        <f t="shared" ref="Z1058" si="3201">CONCATENATE(AG1058,"   →   ",AH1058,"   →   ",AI1058,"   →   ",AJ1058)</f>
        <v>BIO_GSF_MED_C   →   C_GAS_STRG   →   METHANATION   →   NG_FC_PWR</v>
      </c>
      <c r="AA1058" t="str">
        <f t="shared" ref="AA1058" si="3202">G1058</f>
        <v>Onsite / Back-up power</v>
      </c>
      <c r="AB1058" t="str">
        <f t="shared" ref="AB1058" si="3203">J1058</f>
        <v>Marginal abatement cost</v>
      </c>
      <c r="AC1058">
        <f t="shared" ref="AC1058" ca="1" si="3204">Y1058</f>
        <v>557.19599937241378</v>
      </c>
      <c r="AD1058">
        <v>999</v>
      </c>
      <c r="AE1058" t="str">
        <f>IF(AND(ISNUMBER(SEARCH(O1058,4)),ISNUMBER(SEARCH('(4) FCH pathway assessment'!$B$16,AB1058)),ISNUMBER(SEARCH('(4) FCH pathway assessment'!$B$10,AA1058))),AD1058,"")</f>
        <v/>
      </c>
      <c r="AF1058" t="str">
        <f t="shared" si="3083"/>
        <v/>
      </c>
      <c r="AG1058" t="str">
        <f>VLOOKUP(C1058,Assumptions!$B$116:$C$162,2,FALSE)</f>
        <v>BIO_GSF_MED_C</v>
      </c>
      <c r="AH1058" t="str">
        <f>VLOOKUP(D1058,Assumptions!$B$116:$C$162,2,FALSE)</f>
        <v>C_GAS_STRG</v>
      </c>
      <c r="AI1058" t="str">
        <f>VLOOKUP(E1058,Assumptions!$B$116:$C$162,2,FALSE)</f>
        <v>METHANATION</v>
      </c>
      <c r="AJ1058" t="str">
        <f>VLOOKUP(F1058,Assumptions!$B$116:$C$162,2,FALSE)</f>
        <v>NG_FC_PWR</v>
      </c>
    </row>
    <row r="1059" spans="2:36" x14ac:dyDescent="0.25">
      <c r="B1059" t="s">
        <v>117</v>
      </c>
      <c r="C1059" t="s">
        <v>54</v>
      </c>
      <c r="D1059" t="s">
        <v>155</v>
      </c>
      <c r="E1059" t="s">
        <v>65</v>
      </c>
      <c r="F1059" t="s">
        <v>165</v>
      </c>
      <c r="G1059" t="s">
        <v>126</v>
      </c>
      <c r="H1059" t="s">
        <v>433</v>
      </c>
      <c r="I1059" t="s">
        <v>32</v>
      </c>
      <c r="J1059" t="s">
        <v>77</v>
      </c>
      <c r="K1059">
        <f t="shared" ref="K1059" si="3205">SUMPRODUCT(($C$7:$C$18=$C1059)*($D$6:$H$6=$D1059)*($D$7:$H$18))</f>
        <v>0</v>
      </c>
      <c r="L1059">
        <f t="shared" ref="L1059" si="3206">SUMPRODUCT(($C$19:$C$23=$D1059)*($I$6:$O$6=$E1059)*($I$19:$O$23))</f>
        <v>1</v>
      </c>
      <c r="M1059">
        <f t="shared" ref="M1059" si="3207">SUMPRODUCT(($C$24:$C$30=$E1059)*($P$6:$AI$6=$F1059)*($P$24:$AI$30))</f>
        <v>0</v>
      </c>
      <c r="N1059">
        <f t="shared" ref="N1059" si="3208">SUMPRODUCT(($C$31:$C$50=$F1059)*($AJ$6:$AM$6=$G1059)*($AJ$31:$AM$50))</f>
        <v>1</v>
      </c>
      <c r="O1059">
        <f t="shared" ref="O1059" si="3209">K1059+L1059+M1059+N1059</f>
        <v>2</v>
      </c>
      <c r="P1059" t="str">
        <f t="shared" ref="P1059" si="3210">CONCATENATE(C1059,"-",J1059)</f>
        <v>Medium centralized biomass gasification w/ CCS-Marginal abatement cost</v>
      </c>
      <c r="Q1059" t="str">
        <f t="shared" ref="Q1059" si="3211">CONCATENATE(D1059,"-",J1059)</f>
        <v>Central gas storage-Marginal abatement cost</v>
      </c>
      <c r="R1059" t="str">
        <f t="shared" ref="R1059" si="3212">CONCATENATE(E1059,"-",J1059)</f>
        <v>Methanation-Marginal abatement cost</v>
      </c>
      <c r="S1059" t="str">
        <f t="shared" ref="S1059" si="3213">CONCATENATE(F1059,"-",J1059)</f>
        <v>Prime power natural gas fuel cell-Marginal abatement cost</v>
      </c>
      <c r="T1059">
        <f>IFERROR(VLOOKUP($P1059,'TA database'!$I$8:$J$79,2,FALSE),0)</f>
        <v>0</v>
      </c>
      <c r="U1059">
        <f>IFERROR(VLOOKUP($Q1059,'TA database'!$I$86:$J$105,2,FALSE),0)</f>
        <v>0</v>
      </c>
      <c r="V1059">
        <f>IFERROR(VLOOKUP($R1059,'TA database'!$I$112:$J$139,2,FALSE),0)</f>
        <v>0</v>
      </c>
      <c r="W1059">
        <f>IFERROR(VLOOKUP($S1059,'TA database'!$I$146:$J$193,2,FALSE),0)</f>
        <v>0</v>
      </c>
      <c r="X1059">
        <f ca="1">IFERROR(VLOOKUP($S1059,'TA database'!$I$200:$J$271,2,FALSE),0)</f>
        <v>557.19599937241378</v>
      </c>
      <c r="Y1059" s="59">
        <f t="shared" ref="Y1059" ca="1" si="3214">IF($W1059=0,T1059+U1059+V1059+X1059,T1059+U1059+V1059+W1059)</f>
        <v>557.19599937241378</v>
      </c>
      <c r="Z1059" t="str">
        <f t="shared" ref="Z1059" si="3215">CONCATENATE(AG1059,"   →   ",AH1059,"   →   ",AI1059,"   →   ",AJ1059)</f>
        <v>BIO_GSF_CCS_MED_C   →   C_GAS_STRG   →   METHANATION   →   NG_FC_PWR</v>
      </c>
      <c r="AA1059" t="str">
        <f t="shared" ref="AA1059" si="3216">G1059</f>
        <v>Onsite / Back-up power</v>
      </c>
      <c r="AB1059" t="str">
        <f t="shared" ref="AB1059" si="3217">J1059</f>
        <v>Marginal abatement cost</v>
      </c>
      <c r="AC1059">
        <f t="shared" ref="AC1059" ca="1" si="3218">Y1059</f>
        <v>557.19599937241378</v>
      </c>
      <c r="AD1059">
        <v>1000</v>
      </c>
      <c r="AE1059" t="str">
        <f>IF(AND(ISNUMBER(SEARCH(O1059,4)),ISNUMBER(SEARCH('(4) FCH pathway assessment'!$B$16,AB1059)),ISNUMBER(SEARCH('(4) FCH pathway assessment'!$B$10,AA1059))),AD1059,"")</f>
        <v/>
      </c>
      <c r="AF1059" t="str">
        <f t="shared" si="3083"/>
        <v/>
      </c>
      <c r="AG1059" t="str">
        <f>VLOOKUP(C1059,Assumptions!$B$116:$C$162,2,FALSE)</f>
        <v>BIO_GSF_CCS_MED_C</v>
      </c>
      <c r="AH1059" t="str">
        <f>VLOOKUP(D1059,Assumptions!$B$116:$C$162,2,FALSE)</f>
        <v>C_GAS_STRG</v>
      </c>
      <c r="AI1059" t="str">
        <f>VLOOKUP(E1059,Assumptions!$B$116:$C$162,2,FALSE)</f>
        <v>METHANATION</v>
      </c>
      <c r="AJ1059" t="str">
        <f>VLOOKUP(F1059,Assumptions!$B$116:$C$162,2,FALSE)</f>
        <v>NG_FC_PWR</v>
      </c>
    </row>
    <row r="1060" spans="2:36" x14ac:dyDescent="0.25">
      <c r="B1060" t="s">
        <v>117</v>
      </c>
      <c r="C1060" t="s">
        <v>56</v>
      </c>
      <c r="D1060" t="s">
        <v>62</v>
      </c>
      <c r="E1060" t="s">
        <v>65</v>
      </c>
      <c r="F1060" t="s">
        <v>165</v>
      </c>
      <c r="G1060" t="s">
        <v>126</v>
      </c>
      <c r="H1060" t="s">
        <v>433</v>
      </c>
      <c r="I1060" t="s">
        <v>32</v>
      </c>
      <c r="J1060" t="s">
        <v>77</v>
      </c>
      <c r="K1060">
        <f t="shared" ref="K1060:K1062" si="3219">SUMPRODUCT(($C$7:$C$18=$C1060)*($D$6:$H$6=$D1060)*($D$7:$H$18))</f>
        <v>0</v>
      </c>
      <c r="L1060">
        <f t="shared" ref="L1060:L1062" si="3220">SUMPRODUCT(($C$19:$C$23=$D1060)*($I$6:$O$6=$E1060)*($I$19:$O$23))</f>
        <v>0</v>
      </c>
      <c r="M1060">
        <f t="shared" ref="M1060:M1062" si="3221">SUMPRODUCT(($C$24:$C$30=$E1060)*($P$6:$AI$6=$F1060)*($P$24:$AI$30))</f>
        <v>0</v>
      </c>
      <c r="N1060">
        <f t="shared" ref="N1060:N1062" si="3222">SUMPRODUCT(($C$31:$C$50=$F1060)*($AJ$6:$AM$6=$G1060)*($AJ$31:$AM$50))</f>
        <v>1</v>
      </c>
      <c r="O1060">
        <f t="shared" ref="O1060:O1062" si="3223">K1060+L1060+M1060+N1060</f>
        <v>1</v>
      </c>
      <c r="P1060" t="str">
        <f t="shared" ref="P1060:P1062" si="3224">CONCATENATE(C1060,"-",J1060)</f>
        <v>Large centralized biomass steam reforming -Marginal abatement cost</v>
      </c>
      <c r="Q1060" t="str">
        <f t="shared" ref="Q1060:Q1062" si="3225">CONCATENATE(D1060,"-",J1060)</f>
        <v>Underground storage-Marginal abatement cost</v>
      </c>
      <c r="R1060" t="str">
        <f t="shared" ref="R1060:R1062" si="3226">CONCATENATE(E1060,"-",J1060)</f>
        <v>Methanation-Marginal abatement cost</v>
      </c>
      <c r="S1060" t="str">
        <f t="shared" ref="S1060:S1062" si="3227">CONCATENATE(F1060,"-",J1060)</f>
        <v>Prime power natural gas fuel cell-Marginal abatement cost</v>
      </c>
      <c r="T1060">
        <f>IFERROR(VLOOKUP($P1060,'TA database'!$I$8:$J$79,2,FALSE),0)</f>
        <v>0</v>
      </c>
      <c r="U1060">
        <f>IFERROR(VLOOKUP($Q1060,'TA database'!$I$86:$J$105,2,FALSE),0)</f>
        <v>0</v>
      </c>
      <c r="V1060">
        <f>IFERROR(VLOOKUP($R1060,'TA database'!$I$112:$J$139,2,FALSE),0)</f>
        <v>0</v>
      </c>
      <c r="W1060">
        <f>IFERROR(VLOOKUP($S1060,'TA database'!$I$146:$J$193,2,FALSE),0)</f>
        <v>0</v>
      </c>
      <c r="X1060">
        <f ca="1">IFERROR(VLOOKUP($S1060,'TA database'!$I$200:$J$271,2,FALSE),0)</f>
        <v>557.19599937241378</v>
      </c>
      <c r="Y1060" s="59">
        <f t="shared" ref="Y1060:Y1062" ca="1" si="3228">IF($W1060=0,T1060+U1060+V1060+X1060,T1060+U1060+V1060+W1060)</f>
        <v>557.19599937241378</v>
      </c>
      <c r="Z1060" t="str">
        <f t="shared" ref="Z1060:Z1062" si="3229">CONCATENATE(AG1060,"   →   ",AH1060,"   →   ",AI1060,"   →   ",AJ1060)</f>
        <v>BIO_SR_LRG_C   →   C_UNDRGRND_STRG   →   METHANATION   →   NG_FC_PWR</v>
      </c>
      <c r="AA1060" t="str">
        <f t="shared" ref="AA1060:AA1062" si="3230">G1060</f>
        <v>Onsite / Back-up power</v>
      </c>
      <c r="AB1060" t="str">
        <f t="shared" ref="AB1060:AB1062" si="3231">J1060</f>
        <v>Marginal abatement cost</v>
      </c>
      <c r="AC1060">
        <f t="shared" ref="AC1060:AC1062" ca="1" si="3232">Y1060</f>
        <v>557.19599937241378</v>
      </c>
      <c r="AD1060">
        <v>1001</v>
      </c>
      <c r="AE1060" t="str">
        <f>IF(AND(ISNUMBER(SEARCH(O1060,4)),ISNUMBER(SEARCH('(4) FCH pathway assessment'!$B$16,AB1060)),ISNUMBER(SEARCH('(4) FCH pathway assessment'!$B$10,AA1060))),AD1060,"")</f>
        <v/>
      </c>
      <c r="AF1060" t="str">
        <f t="shared" si="3083"/>
        <v/>
      </c>
      <c r="AG1060" t="str">
        <f>VLOOKUP(C1060,Assumptions!$B$116:$C$162,2,FALSE)</f>
        <v>BIO_SR_LRG_C</v>
      </c>
      <c r="AH1060" t="str">
        <f>VLOOKUP(D1060,Assumptions!$B$116:$C$162,2,FALSE)</f>
        <v>C_UNDRGRND_STRG</v>
      </c>
      <c r="AI1060" t="str">
        <f>VLOOKUP(E1060,Assumptions!$B$116:$C$162,2,FALSE)</f>
        <v>METHANATION</v>
      </c>
      <c r="AJ1060" t="str">
        <f>VLOOKUP(F1060,Assumptions!$B$116:$C$162,2,FALSE)</f>
        <v>NG_FC_PWR</v>
      </c>
    </row>
    <row r="1061" spans="2:36" x14ac:dyDescent="0.25">
      <c r="B1061" t="s">
        <v>112</v>
      </c>
      <c r="C1061" t="s">
        <v>49</v>
      </c>
      <c r="D1061" t="s">
        <v>62</v>
      </c>
      <c r="E1061" t="s">
        <v>65</v>
      </c>
      <c r="F1061" t="s">
        <v>165</v>
      </c>
      <c r="G1061" t="s">
        <v>126</v>
      </c>
      <c r="H1061" t="s">
        <v>433</v>
      </c>
      <c r="I1061" t="s">
        <v>32</v>
      </c>
      <c r="J1061" t="s">
        <v>77</v>
      </c>
      <c r="K1061">
        <f t="shared" si="3219"/>
        <v>1</v>
      </c>
      <c r="L1061">
        <f t="shared" si="3220"/>
        <v>0</v>
      </c>
      <c r="M1061">
        <f t="shared" si="3221"/>
        <v>0</v>
      </c>
      <c r="N1061">
        <f t="shared" si="3222"/>
        <v>1</v>
      </c>
      <c r="O1061">
        <f t="shared" si="3223"/>
        <v>2</v>
      </c>
      <c r="P1061" t="str">
        <f t="shared" si="3224"/>
        <v>Large centralized electrolysis-Marginal abatement cost</v>
      </c>
      <c r="Q1061" t="str">
        <f t="shared" si="3225"/>
        <v>Underground storage-Marginal abatement cost</v>
      </c>
      <c r="R1061" t="str">
        <f t="shared" si="3226"/>
        <v>Methanation-Marginal abatement cost</v>
      </c>
      <c r="S1061" t="str">
        <f t="shared" si="3227"/>
        <v>Prime power natural gas fuel cell-Marginal abatement cost</v>
      </c>
      <c r="T1061">
        <f>IFERROR(VLOOKUP($P1061,'TA database'!$I$8:$J$79,2,FALSE),0)</f>
        <v>0</v>
      </c>
      <c r="U1061">
        <f>IFERROR(VLOOKUP($Q1061,'TA database'!$I$86:$J$105,2,FALSE),0)</f>
        <v>0</v>
      </c>
      <c r="V1061">
        <f>IFERROR(VLOOKUP($R1061,'TA database'!$I$112:$J$139,2,FALSE),0)</f>
        <v>0</v>
      </c>
      <c r="W1061">
        <f>IFERROR(VLOOKUP($S1061,'TA database'!$I$146:$J$193,2,FALSE),0)</f>
        <v>0</v>
      </c>
      <c r="X1061">
        <f ca="1">IFERROR(VLOOKUP($S1061,'TA database'!$I$200:$J$271,2,FALSE),0)</f>
        <v>557.19599937241378</v>
      </c>
      <c r="Y1061" s="59">
        <f t="shared" ca="1" si="3228"/>
        <v>557.19599937241378</v>
      </c>
      <c r="Z1061" t="str">
        <f t="shared" si="3229"/>
        <v>ELCTRLYZ_LRG_C   →   C_UNDRGRND_STRG   →   METHANATION   →   NG_FC_PWR</v>
      </c>
      <c r="AA1061" t="str">
        <f t="shared" si="3230"/>
        <v>Onsite / Back-up power</v>
      </c>
      <c r="AB1061" t="str">
        <f t="shared" si="3231"/>
        <v>Marginal abatement cost</v>
      </c>
      <c r="AC1061">
        <f t="shared" ca="1" si="3232"/>
        <v>557.19599937241378</v>
      </c>
      <c r="AD1061">
        <v>1002</v>
      </c>
      <c r="AE1061" t="str">
        <f>IF(AND(ISNUMBER(SEARCH(O1061,4)),ISNUMBER(SEARCH('(4) FCH pathway assessment'!$B$16,AB1061)),ISNUMBER(SEARCH('(4) FCH pathway assessment'!$B$10,AA1061))),AD1061,"")</f>
        <v/>
      </c>
      <c r="AF1061" t="str">
        <f t="shared" si="3083"/>
        <v/>
      </c>
      <c r="AG1061" t="str">
        <f>VLOOKUP(C1061,Assumptions!$B$116:$C$162,2,FALSE)</f>
        <v>ELCTRLYZ_LRG_C</v>
      </c>
      <c r="AH1061" t="str">
        <f>VLOOKUP(D1061,Assumptions!$B$116:$C$162,2,FALSE)</f>
        <v>C_UNDRGRND_STRG</v>
      </c>
      <c r="AI1061" t="str">
        <f>VLOOKUP(E1061,Assumptions!$B$116:$C$162,2,FALSE)</f>
        <v>METHANATION</v>
      </c>
      <c r="AJ1061" t="str">
        <f>VLOOKUP(F1061,Assumptions!$B$116:$C$162,2,FALSE)</f>
        <v>NG_FC_PWR</v>
      </c>
    </row>
    <row r="1062" spans="2:36" x14ac:dyDescent="0.25">
      <c r="B1062" t="s">
        <v>112</v>
      </c>
      <c r="C1062" t="s">
        <v>49</v>
      </c>
      <c r="D1062" t="s">
        <v>155</v>
      </c>
      <c r="E1062" t="s">
        <v>65</v>
      </c>
      <c r="F1062" t="s">
        <v>165</v>
      </c>
      <c r="G1062" t="s">
        <v>126</v>
      </c>
      <c r="H1062" t="s">
        <v>433</v>
      </c>
      <c r="I1062" t="s">
        <v>32</v>
      </c>
      <c r="J1062" t="s">
        <v>77</v>
      </c>
      <c r="K1062">
        <f t="shared" si="3219"/>
        <v>1</v>
      </c>
      <c r="L1062">
        <f t="shared" si="3220"/>
        <v>1</v>
      </c>
      <c r="M1062">
        <f t="shared" si="3221"/>
        <v>0</v>
      </c>
      <c r="N1062">
        <f t="shared" si="3222"/>
        <v>1</v>
      </c>
      <c r="O1062">
        <f t="shared" si="3223"/>
        <v>3</v>
      </c>
      <c r="P1062" t="str">
        <f t="shared" si="3224"/>
        <v>Large centralized electrolysis-Marginal abatement cost</v>
      </c>
      <c r="Q1062" t="str">
        <f t="shared" si="3225"/>
        <v>Central gas storage-Marginal abatement cost</v>
      </c>
      <c r="R1062" t="str">
        <f t="shared" si="3226"/>
        <v>Methanation-Marginal abatement cost</v>
      </c>
      <c r="S1062" t="str">
        <f t="shared" si="3227"/>
        <v>Prime power natural gas fuel cell-Marginal abatement cost</v>
      </c>
      <c r="T1062">
        <f>IFERROR(VLOOKUP($P1062,'TA database'!$I$8:$J$79,2,FALSE),0)</f>
        <v>0</v>
      </c>
      <c r="U1062">
        <f>IFERROR(VLOOKUP($Q1062,'TA database'!$I$86:$J$105,2,FALSE),0)</f>
        <v>0</v>
      </c>
      <c r="V1062">
        <f>IFERROR(VLOOKUP($R1062,'TA database'!$I$112:$J$139,2,FALSE),0)</f>
        <v>0</v>
      </c>
      <c r="W1062">
        <f>IFERROR(VLOOKUP($S1062,'TA database'!$I$146:$J$193,2,FALSE),0)</f>
        <v>0</v>
      </c>
      <c r="X1062">
        <f ca="1">IFERROR(VLOOKUP($S1062,'TA database'!$I$200:$J$271,2,FALSE),0)</f>
        <v>557.19599937241378</v>
      </c>
      <c r="Y1062" s="59">
        <f t="shared" ca="1" si="3228"/>
        <v>557.19599937241378</v>
      </c>
      <c r="Z1062" t="str">
        <f t="shared" si="3229"/>
        <v>ELCTRLYZ_LRG_C   →   C_GAS_STRG   →   METHANATION   →   NG_FC_PWR</v>
      </c>
      <c r="AA1062" t="str">
        <f t="shared" si="3230"/>
        <v>Onsite / Back-up power</v>
      </c>
      <c r="AB1062" t="str">
        <f t="shared" si="3231"/>
        <v>Marginal abatement cost</v>
      </c>
      <c r="AC1062">
        <f t="shared" ca="1" si="3232"/>
        <v>557.19599937241378</v>
      </c>
      <c r="AD1062">
        <v>1003</v>
      </c>
      <c r="AE1062" t="str">
        <f>IF(AND(ISNUMBER(SEARCH(O1062,4)),ISNUMBER(SEARCH('(4) FCH pathway assessment'!$B$16,AB1062)),ISNUMBER(SEARCH('(4) FCH pathway assessment'!$B$10,AA1062))),AD1062,"")</f>
        <v/>
      </c>
      <c r="AF1062" t="str">
        <f t="shared" si="3083"/>
        <v/>
      </c>
      <c r="AG1062" t="str">
        <f>VLOOKUP(C1062,Assumptions!$B$116:$C$162,2,FALSE)</f>
        <v>ELCTRLYZ_LRG_C</v>
      </c>
      <c r="AH1062" t="str">
        <f>VLOOKUP(D1062,Assumptions!$B$116:$C$162,2,FALSE)</f>
        <v>C_GAS_STRG</v>
      </c>
      <c r="AI1062" t="str">
        <f>VLOOKUP(E1062,Assumptions!$B$116:$C$162,2,FALSE)</f>
        <v>METHANATION</v>
      </c>
      <c r="AJ1062" t="str">
        <f>VLOOKUP(F1062,Assumptions!$B$116:$C$162,2,FALSE)</f>
        <v>NG_FC_PWR</v>
      </c>
    </row>
    <row r="1063" spans="2:36" x14ac:dyDescent="0.25">
      <c r="B1063" t="s">
        <v>112</v>
      </c>
      <c r="C1063" t="s">
        <v>51</v>
      </c>
      <c r="D1063" t="s">
        <v>155</v>
      </c>
      <c r="E1063" t="s">
        <v>65</v>
      </c>
      <c r="F1063" t="s">
        <v>165</v>
      </c>
      <c r="G1063" t="s">
        <v>126</v>
      </c>
      <c r="H1063" t="s">
        <v>433</v>
      </c>
      <c r="I1063" t="s">
        <v>32</v>
      </c>
      <c r="J1063" t="s">
        <v>77</v>
      </c>
      <c r="K1063">
        <f t="shared" ref="K1063" si="3233">SUMPRODUCT(($C$7:$C$18=$C1063)*($D$6:$H$6=$D1063)*($D$7:$H$18))</f>
        <v>1</v>
      </c>
      <c r="L1063">
        <f t="shared" ref="L1063" si="3234">SUMPRODUCT(($C$19:$C$23=$D1063)*($I$6:$O$6=$E1063)*($I$19:$O$23))</f>
        <v>1</v>
      </c>
      <c r="M1063">
        <f t="shared" ref="M1063" si="3235">SUMPRODUCT(($C$24:$C$30=$E1063)*($P$6:$AI$6=$F1063)*($P$24:$AI$30))</f>
        <v>0</v>
      </c>
      <c r="N1063">
        <f t="shared" ref="N1063" si="3236">SUMPRODUCT(($C$31:$C$50=$F1063)*($AJ$6:$AM$6=$G1063)*($AJ$31:$AM$50))</f>
        <v>1</v>
      </c>
      <c r="O1063">
        <f t="shared" ref="O1063" si="3237">K1063+L1063+M1063+N1063</f>
        <v>3</v>
      </c>
      <c r="P1063" t="str">
        <f t="shared" ref="P1063" si="3238">CONCATENATE(C1063,"-",J1063)</f>
        <v>Medium centralized electrolysis-Marginal abatement cost</v>
      </c>
      <c r="Q1063" t="str">
        <f t="shared" ref="Q1063" si="3239">CONCATENATE(D1063,"-",J1063)</f>
        <v>Central gas storage-Marginal abatement cost</v>
      </c>
      <c r="R1063" t="str">
        <f t="shared" ref="R1063" si="3240">CONCATENATE(E1063,"-",J1063)</f>
        <v>Methanation-Marginal abatement cost</v>
      </c>
      <c r="S1063" t="str">
        <f t="shared" ref="S1063" si="3241">CONCATENATE(F1063,"-",J1063)</f>
        <v>Prime power natural gas fuel cell-Marginal abatement cost</v>
      </c>
      <c r="T1063">
        <f>IFERROR(VLOOKUP($P1063,'TA database'!$I$8:$J$79,2,FALSE),0)</f>
        <v>0</v>
      </c>
      <c r="U1063">
        <f>IFERROR(VLOOKUP($Q1063,'TA database'!$I$86:$J$105,2,FALSE),0)</f>
        <v>0</v>
      </c>
      <c r="V1063">
        <f>IFERROR(VLOOKUP($R1063,'TA database'!$I$112:$J$139,2,FALSE),0)</f>
        <v>0</v>
      </c>
      <c r="W1063">
        <f>IFERROR(VLOOKUP($S1063,'TA database'!$I$146:$J$193,2,FALSE),0)</f>
        <v>0</v>
      </c>
      <c r="X1063">
        <f ca="1">IFERROR(VLOOKUP($S1063,'TA database'!$I$200:$J$271,2,FALSE),0)</f>
        <v>557.19599937241378</v>
      </c>
      <c r="Y1063" s="59">
        <f t="shared" ref="Y1063" ca="1" si="3242">IF($W1063=0,T1063+U1063+V1063+X1063,T1063+U1063+V1063+W1063)</f>
        <v>557.19599937241378</v>
      </c>
      <c r="Z1063" t="str">
        <f t="shared" ref="Z1063" si="3243">CONCATENATE(AG1063,"   →   ",AH1063,"   →   ",AI1063,"   →   ",AJ1063)</f>
        <v>ELCTRLYZ_MED_C   →   C_GAS_STRG   →   METHANATION   →   NG_FC_PWR</v>
      </c>
      <c r="AA1063" t="str">
        <f t="shared" ref="AA1063" si="3244">G1063</f>
        <v>Onsite / Back-up power</v>
      </c>
      <c r="AB1063" t="str">
        <f t="shared" ref="AB1063" si="3245">J1063</f>
        <v>Marginal abatement cost</v>
      </c>
      <c r="AC1063">
        <f t="shared" ref="AC1063" ca="1" si="3246">Y1063</f>
        <v>557.19599937241378</v>
      </c>
      <c r="AD1063">
        <v>1004</v>
      </c>
      <c r="AE1063" t="str">
        <f>IF(AND(ISNUMBER(SEARCH(O1063,4)),ISNUMBER(SEARCH('(4) FCH pathway assessment'!$B$16,AB1063)),ISNUMBER(SEARCH('(4) FCH pathway assessment'!$B$10,AA1063))),AD1063,"")</f>
        <v/>
      </c>
      <c r="AF1063" t="str">
        <f t="shared" si="3083"/>
        <v/>
      </c>
      <c r="AG1063" t="str">
        <f>VLOOKUP(C1063,Assumptions!$B$116:$C$162,2,FALSE)</f>
        <v>ELCTRLYZ_MED_C</v>
      </c>
      <c r="AH1063" t="str">
        <f>VLOOKUP(D1063,Assumptions!$B$116:$C$162,2,FALSE)</f>
        <v>C_GAS_STRG</v>
      </c>
      <c r="AI1063" t="str">
        <f>VLOOKUP(E1063,Assumptions!$B$116:$C$162,2,FALSE)</f>
        <v>METHANATION</v>
      </c>
      <c r="AJ1063" t="str">
        <f>VLOOKUP(F1063,Assumptions!$B$116:$C$162,2,FALSE)</f>
        <v>NG_FC_PWR</v>
      </c>
    </row>
    <row r="1064" spans="2:36" x14ac:dyDescent="0.25">
      <c r="B1064" t="s">
        <v>127</v>
      </c>
      <c r="C1064" t="s">
        <v>57</v>
      </c>
      <c r="D1064" t="s">
        <v>62</v>
      </c>
      <c r="E1064" t="s">
        <v>65</v>
      </c>
      <c r="F1064" t="s">
        <v>165</v>
      </c>
      <c r="G1064" t="s">
        <v>126</v>
      </c>
      <c r="H1064" t="s">
        <v>433</v>
      </c>
      <c r="I1064" t="s">
        <v>32</v>
      </c>
      <c r="J1064" t="s">
        <v>77</v>
      </c>
      <c r="K1064">
        <f t="shared" ref="K1064:K1065" si="3247">SUMPRODUCT(($C$7:$C$18=$C1064)*($D$6:$H$6=$D1064)*($D$7:$H$18))</f>
        <v>1</v>
      </c>
      <c r="L1064">
        <f t="shared" ref="L1064:L1065" si="3248">SUMPRODUCT(($C$19:$C$23=$D1064)*($I$6:$O$6=$E1064)*($I$19:$O$23))</f>
        <v>0</v>
      </c>
      <c r="M1064">
        <f t="shared" ref="M1064:M1065" si="3249">SUMPRODUCT(($C$24:$C$30=$E1064)*($P$6:$AI$6=$F1064)*($P$24:$AI$30))</f>
        <v>0</v>
      </c>
      <c r="N1064">
        <f t="shared" ref="N1064:N1065" si="3250">SUMPRODUCT(($C$31:$C$50=$F1064)*($AJ$6:$AM$6=$G1064)*($AJ$31:$AM$50))</f>
        <v>1</v>
      </c>
      <c r="O1064">
        <f t="shared" ref="O1064:O1065" si="3251">K1064+L1064+M1064+N1064</f>
        <v>2</v>
      </c>
      <c r="P1064" t="str">
        <f t="shared" ref="P1064:P1065" si="3252">CONCATENATE(C1064,"-",J1064)</f>
        <v>Large centralized natural gas steam reforming-Marginal abatement cost</v>
      </c>
      <c r="Q1064" t="str">
        <f t="shared" ref="Q1064:Q1065" si="3253">CONCATENATE(D1064,"-",J1064)</f>
        <v>Underground storage-Marginal abatement cost</v>
      </c>
      <c r="R1064" t="str">
        <f t="shared" ref="R1064:R1065" si="3254">CONCATENATE(E1064,"-",J1064)</f>
        <v>Methanation-Marginal abatement cost</v>
      </c>
      <c r="S1064" t="str">
        <f t="shared" ref="S1064:S1065" si="3255">CONCATENATE(F1064,"-",J1064)</f>
        <v>Prime power natural gas fuel cell-Marginal abatement cost</v>
      </c>
      <c r="T1064">
        <f>IFERROR(VLOOKUP($P1064,'TA database'!$I$8:$J$79,2,FALSE),0)</f>
        <v>0</v>
      </c>
      <c r="U1064">
        <f>IFERROR(VLOOKUP($Q1064,'TA database'!$I$86:$J$105,2,FALSE),0)</f>
        <v>0</v>
      </c>
      <c r="V1064">
        <f>IFERROR(VLOOKUP($R1064,'TA database'!$I$112:$J$139,2,FALSE),0)</f>
        <v>0</v>
      </c>
      <c r="W1064">
        <f>IFERROR(VLOOKUP($S1064,'TA database'!$I$146:$J$193,2,FALSE),0)</f>
        <v>0</v>
      </c>
      <c r="X1064">
        <f ca="1">IFERROR(VLOOKUP($S1064,'TA database'!$I$200:$J$271,2,FALSE),0)</f>
        <v>557.19599937241378</v>
      </c>
      <c r="Y1064" s="59">
        <f t="shared" ref="Y1064" ca="1" si="3256">IF($W1064=0,T1064+U1064+V1064+X1064,T1064+U1064+V1064+W1064)</f>
        <v>557.19599937241378</v>
      </c>
      <c r="Z1064" t="str">
        <f t="shared" ref="Z1064:Z1065" si="3257">CONCATENATE(AG1064,"   →   ",AH1064,"   →   ",AI1064,"   →   ",AJ1064)</f>
        <v>NG_SR_LRG_C   →   C_UNDRGRND_STRG   →   METHANATION   →   NG_FC_PWR</v>
      </c>
      <c r="AA1064" t="str">
        <f t="shared" ref="AA1064:AA1065" si="3258">G1064</f>
        <v>Onsite / Back-up power</v>
      </c>
      <c r="AB1064" t="str">
        <f t="shared" ref="AB1064:AB1065" si="3259">J1064</f>
        <v>Marginal abatement cost</v>
      </c>
      <c r="AC1064">
        <f t="shared" ref="AC1064:AC1065" ca="1" si="3260">Y1064</f>
        <v>557.19599937241378</v>
      </c>
      <c r="AD1064">
        <v>1005</v>
      </c>
      <c r="AE1064" t="str">
        <f>IF(AND(ISNUMBER(SEARCH(O1064,4)),ISNUMBER(SEARCH('(4) FCH pathway assessment'!$B$16,AB1064)),ISNUMBER(SEARCH('(4) FCH pathway assessment'!$B$10,AA1064))),AD1064,"")</f>
        <v/>
      </c>
      <c r="AF1064" t="str">
        <f t="shared" si="3083"/>
        <v/>
      </c>
      <c r="AG1064" t="str">
        <f>VLOOKUP(C1064,Assumptions!$B$116:$C$162,2,FALSE)</f>
        <v>NG_SR_LRG_C</v>
      </c>
      <c r="AH1064" t="str">
        <f>VLOOKUP(D1064,Assumptions!$B$116:$C$162,2,FALSE)</f>
        <v>C_UNDRGRND_STRG</v>
      </c>
      <c r="AI1064" t="str">
        <f>VLOOKUP(E1064,Assumptions!$B$116:$C$162,2,FALSE)</f>
        <v>METHANATION</v>
      </c>
      <c r="AJ1064" t="str">
        <f>VLOOKUP(F1064,Assumptions!$B$116:$C$162,2,FALSE)</f>
        <v>NG_FC_PWR</v>
      </c>
    </row>
    <row r="1065" spans="2:36" x14ac:dyDescent="0.25">
      <c r="B1065" t="s">
        <v>127</v>
      </c>
      <c r="C1065" t="s">
        <v>58</v>
      </c>
      <c r="D1065" t="s">
        <v>155</v>
      </c>
      <c r="E1065" t="s">
        <v>65</v>
      </c>
      <c r="F1065" t="s">
        <v>165</v>
      </c>
      <c r="G1065" t="s">
        <v>126</v>
      </c>
      <c r="H1065" t="s">
        <v>433</v>
      </c>
      <c r="I1065" t="s">
        <v>32</v>
      </c>
      <c r="J1065" t="s">
        <v>77</v>
      </c>
      <c r="K1065">
        <f t="shared" si="3247"/>
        <v>1</v>
      </c>
      <c r="L1065">
        <f t="shared" si="3248"/>
        <v>1</v>
      </c>
      <c r="M1065">
        <f t="shared" si="3249"/>
        <v>0</v>
      </c>
      <c r="N1065">
        <f t="shared" si="3250"/>
        <v>1</v>
      </c>
      <c r="O1065">
        <f t="shared" si="3251"/>
        <v>3</v>
      </c>
      <c r="P1065" t="str">
        <f t="shared" si="3252"/>
        <v>Small centralized natural gas steam reforming-Marginal abatement cost</v>
      </c>
      <c r="Q1065" t="str">
        <f t="shared" si="3253"/>
        <v>Central gas storage-Marginal abatement cost</v>
      </c>
      <c r="R1065" t="str">
        <f t="shared" si="3254"/>
        <v>Methanation-Marginal abatement cost</v>
      </c>
      <c r="S1065" t="str">
        <f t="shared" si="3255"/>
        <v>Prime power natural gas fuel cell-Marginal abatement cost</v>
      </c>
      <c r="T1065">
        <f>IFERROR(VLOOKUP($P1065,'TA database'!$I$8:$J$79,2,FALSE),0)</f>
        <v>0</v>
      </c>
      <c r="U1065">
        <f>IFERROR(VLOOKUP($Q1065,'TA database'!$I$86:$J$105,2,FALSE),0)</f>
        <v>0</v>
      </c>
      <c r="V1065">
        <f>IFERROR(VLOOKUP($R1065,'TA database'!$I$112:$J$139,2,FALSE),0)</f>
        <v>0</v>
      </c>
      <c r="W1065">
        <f>IFERROR(VLOOKUP($S1065,'TA database'!$I$146:$J$193,2,FALSE),0)</f>
        <v>0</v>
      </c>
      <c r="X1065">
        <f ca="1">IFERROR(VLOOKUP($S1065,'TA database'!$I$200:$J$271,2,FALSE),0)</f>
        <v>557.19599937241378</v>
      </c>
      <c r="Y1065" s="59">
        <f t="shared" ref="Y1065" ca="1" si="3261">IF($W1065=0,T1065+U1065+V1065+X1065,T1065+U1065+V1065+W1065)</f>
        <v>557.19599937241378</v>
      </c>
      <c r="Z1065" t="str">
        <f t="shared" si="3257"/>
        <v>NG_SR_SML_C   →   C_GAS_STRG   →   METHANATION   →   NG_FC_PWR</v>
      </c>
      <c r="AA1065" t="str">
        <f t="shared" si="3258"/>
        <v>Onsite / Back-up power</v>
      </c>
      <c r="AB1065" t="str">
        <f t="shared" si="3259"/>
        <v>Marginal abatement cost</v>
      </c>
      <c r="AC1065">
        <f t="shared" ca="1" si="3260"/>
        <v>557.19599937241378</v>
      </c>
      <c r="AD1065">
        <v>1006</v>
      </c>
      <c r="AE1065" t="str">
        <f>IF(AND(ISNUMBER(SEARCH(O1065,4)),ISNUMBER(SEARCH('(4) FCH pathway assessment'!$B$16,AB1065)),ISNUMBER(SEARCH('(4) FCH pathway assessment'!$B$10,AA1065))),AD1065,"")</f>
        <v/>
      </c>
      <c r="AF1065" t="str">
        <f t="shared" si="3083"/>
        <v/>
      </c>
      <c r="AG1065" t="str">
        <f>VLOOKUP(C1065,Assumptions!$B$116:$C$162,2,FALSE)</f>
        <v>NG_SR_SML_C</v>
      </c>
      <c r="AH1065" t="str">
        <f>VLOOKUP(D1065,Assumptions!$B$116:$C$162,2,FALSE)</f>
        <v>C_GAS_STRG</v>
      </c>
      <c r="AI1065" t="str">
        <f>VLOOKUP(E1065,Assumptions!$B$116:$C$162,2,FALSE)</f>
        <v>METHANATION</v>
      </c>
      <c r="AJ1065" t="str">
        <f>VLOOKUP(F1065,Assumptions!$B$116:$C$162,2,FALSE)</f>
        <v>NG_FC_PWR</v>
      </c>
    </row>
    <row r="1066" spans="2:36" x14ac:dyDescent="0.25">
      <c r="B1066" t="s">
        <v>127</v>
      </c>
      <c r="C1066" t="s">
        <v>174</v>
      </c>
      <c r="D1066" s="61" t="s">
        <v>177</v>
      </c>
      <c r="E1066" t="s">
        <v>180</v>
      </c>
      <c r="F1066" t="s">
        <v>165</v>
      </c>
      <c r="G1066" t="s">
        <v>126</v>
      </c>
      <c r="H1066" t="s">
        <v>433</v>
      </c>
      <c r="I1066" t="s">
        <v>32</v>
      </c>
      <c r="J1066" t="s">
        <v>77</v>
      </c>
      <c r="K1066">
        <f t="shared" ref="K1066" si="3262">SUMPRODUCT(($C$7:$C$18=$C1066)*($D$6:$H$6=$D1066)*($D$7:$H$18))</f>
        <v>1</v>
      </c>
      <c r="L1066">
        <f t="shared" ref="L1066" si="3263">SUMPRODUCT(($C$19:$C$23=$D1066)*($I$6:$O$6=$E1066)*($I$19:$O$23))</f>
        <v>1</v>
      </c>
      <c r="M1066">
        <f t="shared" ref="M1066" si="3264">SUMPRODUCT(($C$24:$C$30=$E1066)*($P$6:$AI$6=$F1066)*($P$24:$AI$30))</f>
        <v>1</v>
      </c>
      <c r="N1066">
        <f t="shared" ref="N1066" si="3265">SUMPRODUCT(($C$31:$C$50=$F1066)*($AJ$6:$AM$6=$G1066)*($AJ$31:$AM$50))</f>
        <v>1</v>
      </c>
      <c r="O1066">
        <f t="shared" ref="O1066" si="3266">K1066+L1066+M1066+N1066</f>
        <v>4</v>
      </c>
      <c r="P1066" t="str">
        <f t="shared" ref="P1066" si="3267">CONCATENATE(C1066,"-",J1066)</f>
        <v>Natural gas production-Marginal abatement cost</v>
      </c>
      <c r="Q1066" t="str">
        <f t="shared" ref="Q1066" si="3268">CONCATENATE(D1066,"-",J1066)</f>
        <v>Natural gas storage-Marginal abatement cost</v>
      </c>
      <c r="R1066" t="str">
        <f t="shared" ref="R1066" si="3269">CONCATENATE(E1066,"-",J1066)</f>
        <v>Natural gas transport-Marginal abatement cost</v>
      </c>
      <c r="S1066" t="str">
        <f t="shared" ref="S1066" si="3270">CONCATENATE(F1066,"-",J1066)</f>
        <v>Prime power natural gas fuel cell-Marginal abatement cost</v>
      </c>
      <c r="T1066">
        <f>IFERROR(VLOOKUP($P1066,'TA database'!$I$8:$J$79,2,FALSE),0)</f>
        <v>0</v>
      </c>
      <c r="U1066">
        <f>IFERROR(VLOOKUP($Q1066,'TA database'!$I$86:$J$105,2,FALSE),0)</f>
        <v>0</v>
      </c>
      <c r="V1066">
        <f>IFERROR(VLOOKUP($R1066,'TA database'!$I$112:$J$139,2,FALSE),0)</f>
        <v>0</v>
      </c>
      <c r="W1066">
        <f>IFERROR(VLOOKUP($S1066,'TA database'!$I$146:$J$193,2,FALSE),0)</f>
        <v>0</v>
      </c>
      <c r="X1066">
        <f ca="1">IFERROR(VLOOKUP($S1066,'TA database'!$I$200:$J$271,2,FALSE),0)</f>
        <v>557.19599937241378</v>
      </c>
      <c r="Y1066" s="59">
        <f t="shared" ref="Y1066:Y1074" ca="1" si="3271">IF($W1066=0,T1066+U1066+V1066+X1066,T1066+U1066+V1066+W1066)</f>
        <v>557.19599937241378</v>
      </c>
      <c r="Z1066" t="str">
        <f t="shared" ref="Z1066" si="3272">CONCATENATE(AG1066,"   →   ",AH1066,"   →   ",AI1066,"   →   ",AJ1066)</f>
        <v>[NG_PROD]   →   [NG_STRG]   →   [NG_TRNSP]   →   NG_FC_PWR</v>
      </c>
      <c r="AA1066" t="str">
        <f t="shared" ref="AA1066" si="3273">G1066</f>
        <v>Onsite / Back-up power</v>
      </c>
      <c r="AB1066" t="str">
        <f t="shared" ref="AB1066" si="3274">J1066</f>
        <v>Marginal abatement cost</v>
      </c>
      <c r="AC1066">
        <f t="shared" ref="AC1066" ca="1" si="3275">Y1066</f>
        <v>557.19599937241378</v>
      </c>
      <c r="AD1066">
        <v>1007</v>
      </c>
      <c r="AE1066" t="str">
        <f>IF(AND(ISNUMBER(SEARCH(O1066,4)),ISNUMBER(SEARCH('(4) FCH pathway assessment'!$B$16,AB1066)),ISNUMBER(SEARCH('(4) FCH pathway assessment'!$B$10,AA1066))),AD1066,"")</f>
        <v/>
      </c>
      <c r="AF1066" t="str">
        <f t="shared" si="3083"/>
        <v/>
      </c>
      <c r="AG1066" t="str">
        <f>VLOOKUP(C1066,Assumptions!$B$116:$C$162,2,FALSE)</f>
        <v>[NG_PROD]</v>
      </c>
      <c r="AH1066" t="str">
        <f>VLOOKUP(D1066,Assumptions!$B$116:$C$162,2,FALSE)</f>
        <v>[NG_STRG]</v>
      </c>
      <c r="AI1066" t="str">
        <f>VLOOKUP(E1066,Assumptions!$B$116:$C$162,2,FALSE)</f>
        <v>[NG_TRNSP]</v>
      </c>
      <c r="AJ1066" t="str">
        <f>VLOOKUP(F1066,Assumptions!$B$116:$C$162,2,FALSE)</f>
        <v>NG_FC_PWR</v>
      </c>
    </row>
    <row r="1067" spans="2:36" x14ac:dyDescent="0.25">
      <c r="B1067" t="s">
        <v>117</v>
      </c>
      <c r="C1067" t="s">
        <v>53</v>
      </c>
      <c r="D1067" t="s">
        <v>155</v>
      </c>
      <c r="E1067" t="s">
        <v>157</v>
      </c>
      <c r="F1067" t="s">
        <v>552</v>
      </c>
      <c r="G1067" t="s">
        <v>132</v>
      </c>
      <c r="H1067" t="s">
        <v>434</v>
      </c>
      <c r="I1067" t="s">
        <v>32</v>
      </c>
      <c r="J1067" t="s">
        <v>77</v>
      </c>
      <c r="K1067">
        <f t="shared" ref="K1067:K1074" si="3276">SUMPRODUCT(($C$7:$C$18=$C1067)*($D$6:$H$6=$D1067)*($D$7:$H$18))</f>
        <v>0</v>
      </c>
      <c r="L1067">
        <f t="shared" ref="L1067:L1074" si="3277">SUMPRODUCT(($C$19:$C$23=$D1067)*($I$6:$O$6=$E1067)*($I$19:$O$23))</f>
        <v>1</v>
      </c>
      <c r="M1067">
        <f t="shared" ref="M1067:M1074" si="3278">SUMPRODUCT(($C$24:$C$30=$E1067)*($P$6:$AI$6=$F1067)*($P$24:$AI$30))</f>
        <v>0</v>
      </c>
      <c r="N1067">
        <f t="shared" ref="N1067:N1074" si="3279">SUMPRODUCT(($C$31:$C$50=$F1067)*($AJ$6:$AM$6=$G1067)*($AJ$31:$AM$50))</f>
        <v>1</v>
      </c>
      <c r="O1067">
        <f t="shared" ref="O1067:O1074" si="3280">K1067+L1067+M1067+N1067</f>
        <v>2</v>
      </c>
      <c r="P1067" t="str">
        <f t="shared" ref="P1067:P1074" si="3281">CONCATENATE(C1067,"-",J1067)</f>
        <v>Medium centralized biomass gasification-Marginal abatement cost</v>
      </c>
      <c r="Q1067" t="str">
        <f t="shared" ref="Q1067:Q1074" si="3282">CONCATENATE(D1067,"-",J1067)</f>
        <v>Central gas storage-Marginal abatement cost</v>
      </c>
      <c r="R1067" t="str">
        <f t="shared" ref="R1067:R1074" si="3283">CONCATENATE(E1067,"-",J1067)</f>
        <v>Blending in natural gas pipeline-Marginal abatement cost</v>
      </c>
      <c r="S1067" t="str">
        <f t="shared" ref="S1067:S1074" si="3284">CONCATENATE(F1067,"-",J1067)</f>
        <v>District-CHP with H2 fuel cell (heat)-Marginal abatement cost</v>
      </c>
      <c r="T1067">
        <f>IFERROR(VLOOKUP($P1067,'TA database'!$I$8:$J$79,2,FALSE),0)</f>
        <v>0</v>
      </c>
      <c r="U1067">
        <f>IFERROR(VLOOKUP($Q1067,'TA database'!$I$86:$J$105,2,FALSE),0)</f>
        <v>0</v>
      </c>
      <c r="V1067">
        <f>IFERROR(VLOOKUP($R1067,'TA database'!$I$112:$J$139,2,FALSE),0)</f>
        <v>0</v>
      </c>
      <c r="W1067">
        <f ca="1">IFERROR(VLOOKUP($S1067,'TA database'!$I$146:$J$193,2,FALSE),0)</f>
        <v>279.92840088936202</v>
      </c>
      <c r="X1067">
        <f>IFERROR(VLOOKUP($S1067,'TA database'!$I$200:$J$271,2,FALSE),0)</f>
        <v>0</v>
      </c>
      <c r="Y1067" s="59">
        <f t="shared" ca="1" si="3271"/>
        <v>279.92840088936202</v>
      </c>
      <c r="Z1067" t="str">
        <f t="shared" ref="Z1067:Z1074" si="3285">CONCATENATE(AG1067,"   →   ",AH1067,"   →   ",AI1067,"   →   ",AJ1067)</f>
        <v>BIO_GSF_MED_C   →   C_GAS_STRG   →   H2_BLND_NG_P   →   H2_FC_DCHP_HEAT</v>
      </c>
      <c r="AA1067" t="str">
        <f t="shared" ref="AA1067:AA1074" si="3286">G1067</f>
        <v>Building heat</v>
      </c>
      <c r="AB1067" t="str">
        <f t="shared" ref="AB1067:AB1074" si="3287">J1067</f>
        <v>Marginal abatement cost</v>
      </c>
      <c r="AC1067">
        <f t="shared" ref="AC1067:AC1074" ca="1" si="3288">Y1067</f>
        <v>279.92840088936202</v>
      </c>
      <c r="AD1067">
        <v>1008</v>
      </c>
      <c r="AE1067" t="str">
        <f>IF(AND(ISNUMBER(SEARCH(O1067,4)),ISNUMBER(SEARCH('(4) FCH pathway assessment'!$B$16,AB1067)),ISNUMBER(SEARCH('(4) FCH pathway assessment'!$B$10,AA1067))),AD1067,"")</f>
        <v/>
      </c>
      <c r="AF1067" t="str">
        <f t="shared" si="3083"/>
        <v/>
      </c>
      <c r="AG1067" t="str">
        <f>VLOOKUP(C1067,Assumptions!$B$116:$C$162,2,FALSE)</f>
        <v>BIO_GSF_MED_C</v>
      </c>
      <c r="AH1067" t="str">
        <f>VLOOKUP(D1067,Assumptions!$B$116:$C$162,2,FALSE)</f>
        <v>C_GAS_STRG</v>
      </c>
      <c r="AI1067" t="str">
        <f>VLOOKUP(E1067,Assumptions!$B$116:$C$162,2,FALSE)</f>
        <v>H2_BLND_NG_P</v>
      </c>
      <c r="AJ1067" t="str">
        <f>VLOOKUP(F1067,Assumptions!$B$116:$C$162,2,FALSE)</f>
        <v>H2_FC_DCHP_HEAT</v>
      </c>
    </row>
    <row r="1068" spans="2:36" x14ac:dyDescent="0.25">
      <c r="B1068" t="s">
        <v>117</v>
      </c>
      <c r="C1068" t="s">
        <v>53</v>
      </c>
      <c r="D1068" t="s">
        <v>155</v>
      </c>
      <c r="E1068" t="s">
        <v>122</v>
      </c>
      <c r="F1068" t="s">
        <v>552</v>
      </c>
      <c r="G1068" t="s">
        <v>132</v>
      </c>
      <c r="H1068" t="s">
        <v>434</v>
      </c>
      <c r="I1068" t="s">
        <v>32</v>
      </c>
      <c r="J1068" t="s">
        <v>77</v>
      </c>
      <c r="K1068">
        <f t="shared" si="3276"/>
        <v>0</v>
      </c>
      <c r="L1068">
        <f t="shared" si="3277"/>
        <v>1</v>
      </c>
      <c r="M1068">
        <f t="shared" si="3278"/>
        <v>1</v>
      </c>
      <c r="N1068">
        <f t="shared" si="3279"/>
        <v>1</v>
      </c>
      <c r="O1068">
        <f t="shared" si="3280"/>
        <v>3</v>
      </c>
      <c r="P1068" t="str">
        <f t="shared" si="3281"/>
        <v>Medium centralized biomass gasification-Marginal abatement cost</v>
      </c>
      <c r="Q1068" t="str">
        <f t="shared" si="3282"/>
        <v>Central gas storage-Marginal abatement cost</v>
      </c>
      <c r="R1068" t="str">
        <f t="shared" si="3283"/>
        <v>Hydrogen transmission &amp; distribution pipeline-Marginal abatement cost</v>
      </c>
      <c r="S1068" t="str">
        <f t="shared" si="3284"/>
        <v>District-CHP with H2 fuel cell (heat)-Marginal abatement cost</v>
      </c>
      <c r="T1068">
        <f>IFERROR(VLOOKUP($P1068,'TA database'!$I$8:$J$79,2,FALSE),0)</f>
        <v>0</v>
      </c>
      <c r="U1068">
        <f>IFERROR(VLOOKUP($Q1068,'TA database'!$I$86:$J$105,2,FALSE),0)</f>
        <v>0</v>
      </c>
      <c r="V1068">
        <f>IFERROR(VLOOKUP($R1068,'TA database'!$I$112:$J$139,2,FALSE),0)</f>
        <v>0</v>
      </c>
      <c r="W1068">
        <f ca="1">IFERROR(VLOOKUP($S1068,'TA database'!$I$146:$J$193,2,FALSE),0)</f>
        <v>279.92840088936202</v>
      </c>
      <c r="X1068">
        <f>IFERROR(VLOOKUP($S1068,'TA database'!$I$200:$J$271,2,FALSE),0)</f>
        <v>0</v>
      </c>
      <c r="Y1068" s="59">
        <f t="shared" ca="1" si="3271"/>
        <v>279.92840088936202</v>
      </c>
      <c r="Z1068" t="str">
        <f t="shared" si="3285"/>
        <v>BIO_GSF_MED_C   →   C_GAS_STRG   →   H2_T&amp;D_P   →   H2_FC_DCHP_HEAT</v>
      </c>
      <c r="AA1068" t="str">
        <f t="shared" si="3286"/>
        <v>Building heat</v>
      </c>
      <c r="AB1068" t="str">
        <f t="shared" si="3287"/>
        <v>Marginal abatement cost</v>
      </c>
      <c r="AC1068">
        <f t="shared" ca="1" si="3288"/>
        <v>279.92840088936202</v>
      </c>
      <c r="AD1068">
        <v>1009</v>
      </c>
      <c r="AE1068" t="str">
        <f>IF(AND(ISNUMBER(SEARCH(O1068,4)),ISNUMBER(SEARCH('(4) FCH pathway assessment'!$B$16,AB1068)),ISNUMBER(SEARCH('(4) FCH pathway assessment'!$B$10,AA1068))),AD1068,"")</f>
        <v/>
      </c>
      <c r="AF1068" t="str">
        <f t="shared" si="3083"/>
        <v/>
      </c>
      <c r="AG1068" t="str">
        <f>VLOOKUP(C1068,Assumptions!$B$116:$C$162,2,FALSE)</f>
        <v>BIO_GSF_MED_C</v>
      </c>
      <c r="AH1068" t="str">
        <f>VLOOKUP(D1068,Assumptions!$B$116:$C$162,2,FALSE)</f>
        <v>C_GAS_STRG</v>
      </c>
      <c r="AI1068" t="str">
        <f>VLOOKUP(E1068,Assumptions!$B$116:$C$162,2,FALSE)</f>
        <v>H2_T&amp;D_P</v>
      </c>
      <c r="AJ1068" t="str">
        <f>VLOOKUP(F1068,Assumptions!$B$116:$C$162,2,FALSE)</f>
        <v>H2_FC_DCHP_HEAT</v>
      </c>
    </row>
    <row r="1069" spans="2:36" x14ac:dyDescent="0.25">
      <c r="B1069" t="s">
        <v>117</v>
      </c>
      <c r="C1069" t="s">
        <v>53</v>
      </c>
      <c r="D1069" t="s">
        <v>155</v>
      </c>
      <c r="E1069" t="s">
        <v>116</v>
      </c>
      <c r="F1069" t="s">
        <v>552</v>
      </c>
      <c r="G1069" t="s">
        <v>132</v>
      </c>
      <c r="H1069" t="s">
        <v>434</v>
      </c>
      <c r="I1069" t="s">
        <v>32</v>
      </c>
      <c r="J1069" t="s">
        <v>77</v>
      </c>
      <c r="K1069">
        <f t="shared" si="3276"/>
        <v>0</v>
      </c>
      <c r="L1069">
        <f t="shared" si="3277"/>
        <v>1</v>
      </c>
      <c r="M1069">
        <f t="shared" si="3278"/>
        <v>1</v>
      </c>
      <c r="N1069">
        <f t="shared" si="3279"/>
        <v>1</v>
      </c>
      <c r="O1069">
        <f t="shared" si="3280"/>
        <v>3</v>
      </c>
      <c r="P1069" t="str">
        <f t="shared" si="3281"/>
        <v>Medium centralized biomass gasification-Marginal abatement cost</v>
      </c>
      <c r="Q1069" t="str">
        <f t="shared" si="3282"/>
        <v>Central gas storage-Marginal abatement cost</v>
      </c>
      <c r="R1069" t="str">
        <f t="shared" si="3283"/>
        <v>Liquid hydrogen truck-Marginal abatement cost</v>
      </c>
      <c r="S1069" t="str">
        <f t="shared" si="3284"/>
        <v>District-CHP with H2 fuel cell (heat)-Marginal abatement cost</v>
      </c>
      <c r="T1069">
        <f>IFERROR(VLOOKUP($P1069,'TA database'!$I$8:$J$79,2,FALSE),0)</f>
        <v>0</v>
      </c>
      <c r="U1069">
        <f>IFERROR(VLOOKUP($Q1069,'TA database'!$I$86:$J$105,2,FALSE),0)</f>
        <v>0</v>
      </c>
      <c r="V1069">
        <f>IFERROR(VLOOKUP($R1069,'TA database'!$I$112:$J$139,2,FALSE),0)</f>
        <v>0</v>
      </c>
      <c r="W1069">
        <f ca="1">IFERROR(VLOOKUP($S1069,'TA database'!$I$146:$J$193,2,FALSE),0)</f>
        <v>279.92840088936202</v>
      </c>
      <c r="X1069">
        <f>IFERROR(VLOOKUP($S1069,'TA database'!$I$200:$J$271,2,FALSE),0)</f>
        <v>0</v>
      </c>
      <c r="Y1069" s="59">
        <f t="shared" ca="1" si="3271"/>
        <v>279.92840088936202</v>
      </c>
      <c r="Z1069" t="str">
        <f t="shared" si="3285"/>
        <v>BIO_GSF_MED_C   →   C_GAS_STRG   →   LQ_TRUCK   →   H2_FC_DCHP_HEAT</v>
      </c>
      <c r="AA1069" t="str">
        <f t="shared" si="3286"/>
        <v>Building heat</v>
      </c>
      <c r="AB1069" t="str">
        <f t="shared" si="3287"/>
        <v>Marginal abatement cost</v>
      </c>
      <c r="AC1069">
        <f t="shared" ca="1" si="3288"/>
        <v>279.92840088936202</v>
      </c>
      <c r="AD1069">
        <v>1010</v>
      </c>
      <c r="AE1069" t="str">
        <f>IF(AND(ISNUMBER(SEARCH(O1069,4)),ISNUMBER(SEARCH('(4) FCH pathway assessment'!$B$16,AB1069)),ISNUMBER(SEARCH('(4) FCH pathway assessment'!$B$10,AA1069))),AD1069,"")</f>
        <v/>
      </c>
      <c r="AF1069" t="str">
        <f t="shared" si="3083"/>
        <v/>
      </c>
      <c r="AG1069" t="str">
        <f>VLOOKUP(C1069,Assumptions!$B$116:$C$162,2,FALSE)</f>
        <v>BIO_GSF_MED_C</v>
      </c>
      <c r="AH1069" t="str">
        <f>VLOOKUP(D1069,Assumptions!$B$116:$C$162,2,FALSE)</f>
        <v>C_GAS_STRG</v>
      </c>
      <c r="AI1069" t="str">
        <f>VLOOKUP(E1069,Assumptions!$B$116:$C$162,2,FALSE)</f>
        <v>LQ_TRUCK</v>
      </c>
      <c r="AJ1069" t="str">
        <f>VLOOKUP(F1069,Assumptions!$B$116:$C$162,2,FALSE)</f>
        <v>H2_FC_DCHP_HEAT</v>
      </c>
    </row>
    <row r="1070" spans="2:36" x14ac:dyDescent="0.25">
      <c r="B1070" t="s">
        <v>117</v>
      </c>
      <c r="C1070" t="s">
        <v>53</v>
      </c>
      <c r="D1070" t="s">
        <v>155</v>
      </c>
      <c r="E1070" t="s">
        <v>66</v>
      </c>
      <c r="F1070" t="s">
        <v>552</v>
      </c>
      <c r="G1070" t="s">
        <v>132</v>
      </c>
      <c r="H1070" t="s">
        <v>434</v>
      </c>
      <c r="I1070" t="s">
        <v>32</v>
      </c>
      <c r="J1070" t="s">
        <v>77</v>
      </c>
      <c r="K1070">
        <f t="shared" si="3276"/>
        <v>0</v>
      </c>
      <c r="L1070">
        <f t="shared" si="3277"/>
        <v>1</v>
      </c>
      <c r="M1070">
        <f t="shared" si="3278"/>
        <v>1</v>
      </c>
      <c r="N1070">
        <f t="shared" si="3279"/>
        <v>1</v>
      </c>
      <c r="O1070">
        <f t="shared" si="3280"/>
        <v>3</v>
      </c>
      <c r="P1070" t="str">
        <f t="shared" si="3281"/>
        <v>Medium centralized biomass gasification-Marginal abatement cost</v>
      </c>
      <c r="Q1070" t="str">
        <f t="shared" si="3282"/>
        <v>Central gas storage-Marginal abatement cost</v>
      </c>
      <c r="R1070" t="str">
        <f t="shared" si="3283"/>
        <v>Onsite-Marginal abatement cost</v>
      </c>
      <c r="S1070" t="str">
        <f t="shared" si="3284"/>
        <v>District-CHP with H2 fuel cell (heat)-Marginal abatement cost</v>
      </c>
      <c r="T1070">
        <f>IFERROR(VLOOKUP($P1070,'TA database'!$I$8:$J$79,2,FALSE),0)</f>
        <v>0</v>
      </c>
      <c r="U1070">
        <f>IFERROR(VLOOKUP($Q1070,'TA database'!$I$86:$J$105,2,FALSE),0)</f>
        <v>0</v>
      </c>
      <c r="V1070">
        <f>IFERROR(VLOOKUP($R1070,'TA database'!$I$112:$J$139,2,FALSE),0)</f>
        <v>0</v>
      </c>
      <c r="W1070">
        <f ca="1">IFERROR(VLOOKUP($S1070,'TA database'!$I$146:$J$193,2,FALSE),0)</f>
        <v>279.92840088936202</v>
      </c>
      <c r="X1070">
        <f>IFERROR(VLOOKUP($S1070,'TA database'!$I$200:$J$271,2,FALSE),0)</f>
        <v>0</v>
      </c>
      <c r="Y1070" s="59">
        <f t="shared" ca="1" si="3271"/>
        <v>279.92840088936202</v>
      </c>
      <c r="Z1070" t="str">
        <f t="shared" si="3285"/>
        <v>BIO_GSF_MED_C   →   C_GAS_STRG   →   ONSITE_USE   →   H2_FC_DCHP_HEAT</v>
      </c>
      <c r="AA1070" t="str">
        <f t="shared" si="3286"/>
        <v>Building heat</v>
      </c>
      <c r="AB1070" t="str">
        <f t="shared" si="3287"/>
        <v>Marginal abatement cost</v>
      </c>
      <c r="AC1070">
        <f t="shared" ca="1" si="3288"/>
        <v>279.92840088936202</v>
      </c>
      <c r="AD1070">
        <v>1011</v>
      </c>
      <c r="AE1070" t="str">
        <f>IF(AND(ISNUMBER(SEARCH(O1070,4)),ISNUMBER(SEARCH('(4) FCH pathway assessment'!$B$16,AB1070)),ISNUMBER(SEARCH('(4) FCH pathway assessment'!$B$10,AA1070))),AD1070,"")</f>
        <v/>
      </c>
      <c r="AF1070" t="str">
        <f t="shared" si="3083"/>
        <v/>
      </c>
      <c r="AG1070" t="str">
        <f>VLOOKUP(C1070,Assumptions!$B$116:$C$162,2,FALSE)</f>
        <v>BIO_GSF_MED_C</v>
      </c>
      <c r="AH1070" t="str">
        <f>VLOOKUP(D1070,Assumptions!$B$116:$C$162,2,FALSE)</f>
        <v>C_GAS_STRG</v>
      </c>
      <c r="AI1070" t="str">
        <f>VLOOKUP(E1070,Assumptions!$B$116:$C$162,2,FALSE)</f>
        <v>ONSITE_USE</v>
      </c>
      <c r="AJ1070" t="str">
        <f>VLOOKUP(F1070,Assumptions!$B$116:$C$162,2,FALSE)</f>
        <v>H2_FC_DCHP_HEAT</v>
      </c>
    </row>
    <row r="1071" spans="2:36" x14ac:dyDescent="0.25">
      <c r="B1071" t="s">
        <v>117</v>
      </c>
      <c r="C1071" t="s">
        <v>54</v>
      </c>
      <c r="D1071" t="s">
        <v>155</v>
      </c>
      <c r="E1071" t="s">
        <v>157</v>
      </c>
      <c r="F1071" t="s">
        <v>552</v>
      </c>
      <c r="G1071" t="s">
        <v>132</v>
      </c>
      <c r="H1071" t="s">
        <v>434</v>
      </c>
      <c r="I1071" t="s">
        <v>32</v>
      </c>
      <c r="J1071" t="s">
        <v>77</v>
      </c>
      <c r="K1071">
        <f t="shared" si="3276"/>
        <v>0</v>
      </c>
      <c r="L1071">
        <f t="shared" si="3277"/>
        <v>1</v>
      </c>
      <c r="M1071">
        <f t="shared" si="3278"/>
        <v>0</v>
      </c>
      <c r="N1071">
        <f t="shared" si="3279"/>
        <v>1</v>
      </c>
      <c r="O1071">
        <f t="shared" si="3280"/>
        <v>2</v>
      </c>
      <c r="P1071" t="str">
        <f t="shared" si="3281"/>
        <v>Medium centralized biomass gasification w/ CCS-Marginal abatement cost</v>
      </c>
      <c r="Q1071" t="str">
        <f t="shared" si="3282"/>
        <v>Central gas storage-Marginal abatement cost</v>
      </c>
      <c r="R1071" t="str">
        <f t="shared" si="3283"/>
        <v>Blending in natural gas pipeline-Marginal abatement cost</v>
      </c>
      <c r="S1071" t="str">
        <f t="shared" si="3284"/>
        <v>District-CHP with H2 fuel cell (heat)-Marginal abatement cost</v>
      </c>
      <c r="T1071">
        <f>IFERROR(VLOOKUP($P1071,'TA database'!$I$8:$J$79,2,FALSE),0)</f>
        <v>0</v>
      </c>
      <c r="U1071">
        <f>IFERROR(VLOOKUP($Q1071,'TA database'!$I$86:$J$105,2,FALSE),0)</f>
        <v>0</v>
      </c>
      <c r="V1071">
        <f>IFERROR(VLOOKUP($R1071,'TA database'!$I$112:$J$139,2,FALSE),0)</f>
        <v>0</v>
      </c>
      <c r="W1071">
        <f ca="1">IFERROR(VLOOKUP($S1071,'TA database'!$I$146:$J$193,2,FALSE),0)</f>
        <v>279.92840088936202</v>
      </c>
      <c r="X1071">
        <f>IFERROR(VLOOKUP($S1071,'TA database'!$I$200:$J$271,2,FALSE),0)</f>
        <v>0</v>
      </c>
      <c r="Y1071" s="59">
        <f t="shared" ca="1" si="3271"/>
        <v>279.92840088936202</v>
      </c>
      <c r="Z1071" t="str">
        <f t="shared" si="3285"/>
        <v>BIO_GSF_CCS_MED_C   →   C_GAS_STRG   →   H2_BLND_NG_P   →   H2_FC_DCHP_HEAT</v>
      </c>
      <c r="AA1071" t="str">
        <f t="shared" si="3286"/>
        <v>Building heat</v>
      </c>
      <c r="AB1071" t="str">
        <f t="shared" si="3287"/>
        <v>Marginal abatement cost</v>
      </c>
      <c r="AC1071">
        <f t="shared" ca="1" si="3288"/>
        <v>279.92840088936202</v>
      </c>
      <c r="AD1071">
        <v>1012</v>
      </c>
      <c r="AE1071" t="str">
        <f>IF(AND(ISNUMBER(SEARCH(O1071,4)),ISNUMBER(SEARCH('(4) FCH pathway assessment'!$B$16,AB1071)),ISNUMBER(SEARCH('(4) FCH pathway assessment'!$B$10,AA1071))),AD1071,"")</f>
        <v/>
      </c>
      <c r="AF1071" t="str">
        <f t="shared" si="3083"/>
        <v/>
      </c>
      <c r="AG1071" t="str">
        <f>VLOOKUP(C1071,Assumptions!$B$116:$C$162,2,FALSE)</f>
        <v>BIO_GSF_CCS_MED_C</v>
      </c>
      <c r="AH1071" t="str">
        <f>VLOOKUP(D1071,Assumptions!$B$116:$C$162,2,FALSE)</f>
        <v>C_GAS_STRG</v>
      </c>
      <c r="AI1071" t="str">
        <f>VLOOKUP(E1071,Assumptions!$B$116:$C$162,2,FALSE)</f>
        <v>H2_BLND_NG_P</v>
      </c>
      <c r="AJ1071" t="str">
        <f>VLOOKUP(F1071,Assumptions!$B$116:$C$162,2,FALSE)</f>
        <v>H2_FC_DCHP_HEAT</v>
      </c>
    </row>
    <row r="1072" spans="2:36" x14ac:dyDescent="0.25">
      <c r="B1072" t="s">
        <v>117</v>
      </c>
      <c r="C1072" t="s">
        <v>54</v>
      </c>
      <c r="D1072" t="s">
        <v>155</v>
      </c>
      <c r="E1072" t="s">
        <v>122</v>
      </c>
      <c r="F1072" t="s">
        <v>552</v>
      </c>
      <c r="G1072" t="s">
        <v>132</v>
      </c>
      <c r="H1072" t="s">
        <v>434</v>
      </c>
      <c r="I1072" t="s">
        <v>32</v>
      </c>
      <c r="J1072" t="s">
        <v>77</v>
      </c>
      <c r="K1072">
        <f t="shared" si="3276"/>
        <v>0</v>
      </c>
      <c r="L1072">
        <f t="shared" si="3277"/>
        <v>1</v>
      </c>
      <c r="M1072">
        <f t="shared" si="3278"/>
        <v>1</v>
      </c>
      <c r="N1072">
        <f t="shared" si="3279"/>
        <v>1</v>
      </c>
      <c r="O1072">
        <f t="shared" si="3280"/>
        <v>3</v>
      </c>
      <c r="P1072" t="str">
        <f t="shared" si="3281"/>
        <v>Medium centralized biomass gasification w/ CCS-Marginal abatement cost</v>
      </c>
      <c r="Q1072" t="str">
        <f t="shared" si="3282"/>
        <v>Central gas storage-Marginal abatement cost</v>
      </c>
      <c r="R1072" t="str">
        <f t="shared" si="3283"/>
        <v>Hydrogen transmission &amp; distribution pipeline-Marginal abatement cost</v>
      </c>
      <c r="S1072" t="str">
        <f t="shared" si="3284"/>
        <v>District-CHP with H2 fuel cell (heat)-Marginal abatement cost</v>
      </c>
      <c r="T1072">
        <f>IFERROR(VLOOKUP($P1072,'TA database'!$I$8:$J$79,2,FALSE),0)</f>
        <v>0</v>
      </c>
      <c r="U1072">
        <f>IFERROR(VLOOKUP($Q1072,'TA database'!$I$86:$J$105,2,FALSE),0)</f>
        <v>0</v>
      </c>
      <c r="V1072">
        <f>IFERROR(VLOOKUP($R1072,'TA database'!$I$112:$J$139,2,FALSE),0)</f>
        <v>0</v>
      </c>
      <c r="W1072">
        <f ca="1">IFERROR(VLOOKUP($S1072,'TA database'!$I$146:$J$193,2,FALSE),0)</f>
        <v>279.92840088936202</v>
      </c>
      <c r="X1072">
        <f>IFERROR(VLOOKUP($S1072,'TA database'!$I$200:$J$271,2,FALSE),0)</f>
        <v>0</v>
      </c>
      <c r="Y1072" s="59">
        <f t="shared" ca="1" si="3271"/>
        <v>279.92840088936202</v>
      </c>
      <c r="Z1072" t="str">
        <f t="shared" si="3285"/>
        <v>BIO_GSF_CCS_MED_C   →   C_GAS_STRG   →   H2_T&amp;D_P   →   H2_FC_DCHP_HEAT</v>
      </c>
      <c r="AA1072" t="str">
        <f t="shared" si="3286"/>
        <v>Building heat</v>
      </c>
      <c r="AB1072" t="str">
        <f t="shared" si="3287"/>
        <v>Marginal abatement cost</v>
      </c>
      <c r="AC1072">
        <f t="shared" ca="1" si="3288"/>
        <v>279.92840088936202</v>
      </c>
      <c r="AD1072">
        <v>1013</v>
      </c>
      <c r="AE1072" t="str">
        <f>IF(AND(ISNUMBER(SEARCH(O1072,4)),ISNUMBER(SEARCH('(4) FCH pathway assessment'!$B$16,AB1072)),ISNUMBER(SEARCH('(4) FCH pathway assessment'!$B$10,AA1072))),AD1072,"")</f>
        <v/>
      </c>
      <c r="AF1072" t="str">
        <f t="shared" si="3083"/>
        <v/>
      </c>
      <c r="AG1072" t="str">
        <f>VLOOKUP(C1072,Assumptions!$B$116:$C$162,2,FALSE)</f>
        <v>BIO_GSF_CCS_MED_C</v>
      </c>
      <c r="AH1072" t="str">
        <f>VLOOKUP(D1072,Assumptions!$B$116:$C$162,2,FALSE)</f>
        <v>C_GAS_STRG</v>
      </c>
      <c r="AI1072" t="str">
        <f>VLOOKUP(E1072,Assumptions!$B$116:$C$162,2,FALSE)</f>
        <v>H2_T&amp;D_P</v>
      </c>
      <c r="AJ1072" t="str">
        <f>VLOOKUP(F1072,Assumptions!$B$116:$C$162,2,FALSE)</f>
        <v>H2_FC_DCHP_HEAT</v>
      </c>
    </row>
    <row r="1073" spans="2:36" x14ac:dyDescent="0.25">
      <c r="B1073" t="s">
        <v>117</v>
      </c>
      <c r="C1073" t="s">
        <v>54</v>
      </c>
      <c r="D1073" t="s">
        <v>155</v>
      </c>
      <c r="E1073" t="s">
        <v>116</v>
      </c>
      <c r="F1073" t="s">
        <v>552</v>
      </c>
      <c r="G1073" t="s">
        <v>132</v>
      </c>
      <c r="H1073" t="s">
        <v>434</v>
      </c>
      <c r="I1073" t="s">
        <v>32</v>
      </c>
      <c r="J1073" t="s">
        <v>77</v>
      </c>
      <c r="K1073">
        <f t="shared" si="3276"/>
        <v>0</v>
      </c>
      <c r="L1073">
        <f t="shared" si="3277"/>
        <v>1</v>
      </c>
      <c r="M1073">
        <f t="shared" si="3278"/>
        <v>1</v>
      </c>
      <c r="N1073">
        <f t="shared" si="3279"/>
        <v>1</v>
      </c>
      <c r="O1073">
        <f t="shared" si="3280"/>
        <v>3</v>
      </c>
      <c r="P1073" t="str">
        <f t="shared" si="3281"/>
        <v>Medium centralized biomass gasification w/ CCS-Marginal abatement cost</v>
      </c>
      <c r="Q1073" t="str">
        <f t="shared" si="3282"/>
        <v>Central gas storage-Marginal abatement cost</v>
      </c>
      <c r="R1073" t="str">
        <f t="shared" si="3283"/>
        <v>Liquid hydrogen truck-Marginal abatement cost</v>
      </c>
      <c r="S1073" t="str">
        <f t="shared" si="3284"/>
        <v>District-CHP with H2 fuel cell (heat)-Marginal abatement cost</v>
      </c>
      <c r="T1073">
        <f>IFERROR(VLOOKUP($P1073,'TA database'!$I$8:$J$79,2,FALSE),0)</f>
        <v>0</v>
      </c>
      <c r="U1073">
        <f>IFERROR(VLOOKUP($Q1073,'TA database'!$I$86:$J$105,2,FALSE),0)</f>
        <v>0</v>
      </c>
      <c r="V1073">
        <f>IFERROR(VLOOKUP($R1073,'TA database'!$I$112:$J$139,2,FALSE),0)</f>
        <v>0</v>
      </c>
      <c r="W1073">
        <f ca="1">IFERROR(VLOOKUP($S1073,'TA database'!$I$146:$J$193,2,FALSE),0)</f>
        <v>279.92840088936202</v>
      </c>
      <c r="X1073">
        <f>IFERROR(VLOOKUP($S1073,'TA database'!$I$200:$J$271,2,FALSE),0)</f>
        <v>0</v>
      </c>
      <c r="Y1073" s="59">
        <f t="shared" ca="1" si="3271"/>
        <v>279.92840088936202</v>
      </c>
      <c r="Z1073" t="str">
        <f t="shared" si="3285"/>
        <v>BIO_GSF_CCS_MED_C   →   C_GAS_STRG   →   LQ_TRUCK   →   H2_FC_DCHP_HEAT</v>
      </c>
      <c r="AA1073" t="str">
        <f t="shared" si="3286"/>
        <v>Building heat</v>
      </c>
      <c r="AB1073" t="str">
        <f t="shared" si="3287"/>
        <v>Marginal abatement cost</v>
      </c>
      <c r="AC1073">
        <f t="shared" ca="1" si="3288"/>
        <v>279.92840088936202</v>
      </c>
      <c r="AD1073">
        <v>1014</v>
      </c>
      <c r="AE1073" t="str">
        <f>IF(AND(ISNUMBER(SEARCH(O1073,4)),ISNUMBER(SEARCH('(4) FCH pathway assessment'!$B$16,AB1073)),ISNUMBER(SEARCH('(4) FCH pathway assessment'!$B$10,AA1073))),AD1073,"")</f>
        <v/>
      </c>
      <c r="AF1073" t="str">
        <f t="shared" si="3083"/>
        <v/>
      </c>
      <c r="AG1073" t="str">
        <f>VLOOKUP(C1073,Assumptions!$B$116:$C$162,2,FALSE)</f>
        <v>BIO_GSF_CCS_MED_C</v>
      </c>
      <c r="AH1073" t="str">
        <f>VLOOKUP(D1073,Assumptions!$B$116:$C$162,2,FALSE)</f>
        <v>C_GAS_STRG</v>
      </c>
      <c r="AI1073" t="str">
        <f>VLOOKUP(E1073,Assumptions!$B$116:$C$162,2,FALSE)</f>
        <v>LQ_TRUCK</v>
      </c>
      <c r="AJ1073" t="str">
        <f>VLOOKUP(F1073,Assumptions!$B$116:$C$162,2,FALSE)</f>
        <v>H2_FC_DCHP_HEAT</v>
      </c>
    </row>
    <row r="1074" spans="2:36" x14ac:dyDescent="0.25">
      <c r="B1074" t="s">
        <v>117</v>
      </c>
      <c r="C1074" t="s">
        <v>54</v>
      </c>
      <c r="D1074" t="s">
        <v>155</v>
      </c>
      <c r="E1074" t="s">
        <v>66</v>
      </c>
      <c r="F1074" t="s">
        <v>552</v>
      </c>
      <c r="G1074" t="s">
        <v>132</v>
      </c>
      <c r="H1074" t="s">
        <v>434</v>
      </c>
      <c r="I1074" t="s">
        <v>32</v>
      </c>
      <c r="J1074" t="s">
        <v>77</v>
      </c>
      <c r="K1074">
        <f t="shared" si="3276"/>
        <v>0</v>
      </c>
      <c r="L1074">
        <f t="shared" si="3277"/>
        <v>1</v>
      </c>
      <c r="M1074">
        <f t="shared" si="3278"/>
        <v>1</v>
      </c>
      <c r="N1074">
        <f t="shared" si="3279"/>
        <v>1</v>
      </c>
      <c r="O1074">
        <f t="shared" si="3280"/>
        <v>3</v>
      </c>
      <c r="P1074" t="str">
        <f t="shared" si="3281"/>
        <v>Medium centralized biomass gasification w/ CCS-Marginal abatement cost</v>
      </c>
      <c r="Q1074" t="str">
        <f t="shared" si="3282"/>
        <v>Central gas storage-Marginal abatement cost</v>
      </c>
      <c r="R1074" t="str">
        <f t="shared" si="3283"/>
        <v>Onsite-Marginal abatement cost</v>
      </c>
      <c r="S1074" t="str">
        <f t="shared" si="3284"/>
        <v>District-CHP with H2 fuel cell (heat)-Marginal abatement cost</v>
      </c>
      <c r="T1074">
        <f>IFERROR(VLOOKUP($P1074,'TA database'!$I$8:$J$79,2,FALSE),0)</f>
        <v>0</v>
      </c>
      <c r="U1074">
        <f>IFERROR(VLOOKUP($Q1074,'TA database'!$I$86:$J$105,2,FALSE),0)</f>
        <v>0</v>
      </c>
      <c r="V1074">
        <f>IFERROR(VLOOKUP($R1074,'TA database'!$I$112:$J$139,2,FALSE),0)</f>
        <v>0</v>
      </c>
      <c r="W1074">
        <f ca="1">IFERROR(VLOOKUP($S1074,'TA database'!$I$146:$J$193,2,FALSE),0)</f>
        <v>279.92840088936202</v>
      </c>
      <c r="X1074">
        <f>IFERROR(VLOOKUP($S1074,'TA database'!$I$200:$J$271,2,FALSE),0)</f>
        <v>0</v>
      </c>
      <c r="Y1074" s="59">
        <f t="shared" ca="1" si="3271"/>
        <v>279.92840088936202</v>
      </c>
      <c r="Z1074" t="str">
        <f t="shared" si="3285"/>
        <v>BIO_GSF_CCS_MED_C   →   C_GAS_STRG   →   ONSITE_USE   →   H2_FC_DCHP_HEAT</v>
      </c>
      <c r="AA1074" t="str">
        <f t="shared" si="3286"/>
        <v>Building heat</v>
      </c>
      <c r="AB1074" t="str">
        <f t="shared" si="3287"/>
        <v>Marginal abatement cost</v>
      </c>
      <c r="AC1074">
        <f t="shared" ca="1" si="3288"/>
        <v>279.92840088936202</v>
      </c>
      <c r="AD1074">
        <v>1015</v>
      </c>
      <c r="AE1074" t="str">
        <f>IF(AND(ISNUMBER(SEARCH(O1074,4)),ISNUMBER(SEARCH('(4) FCH pathway assessment'!$B$16,AB1074)),ISNUMBER(SEARCH('(4) FCH pathway assessment'!$B$10,AA1074))),AD1074,"")</f>
        <v/>
      </c>
      <c r="AF1074" t="str">
        <f t="shared" si="3083"/>
        <v/>
      </c>
      <c r="AG1074" t="str">
        <f>VLOOKUP(C1074,Assumptions!$B$116:$C$162,2,FALSE)</f>
        <v>BIO_GSF_CCS_MED_C</v>
      </c>
      <c r="AH1074" t="str">
        <f>VLOOKUP(D1074,Assumptions!$B$116:$C$162,2,FALSE)</f>
        <v>C_GAS_STRG</v>
      </c>
      <c r="AI1074" t="str">
        <f>VLOOKUP(E1074,Assumptions!$B$116:$C$162,2,FALSE)</f>
        <v>ONSITE_USE</v>
      </c>
      <c r="AJ1074" t="str">
        <f>VLOOKUP(F1074,Assumptions!$B$116:$C$162,2,FALSE)</f>
        <v>H2_FC_DCHP_HEAT</v>
      </c>
    </row>
    <row r="1075" spans="2:36" x14ac:dyDescent="0.25">
      <c r="B1075" t="s">
        <v>117</v>
      </c>
      <c r="C1075" t="s">
        <v>55</v>
      </c>
      <c r="D1075" s="60" t="s">
        <v>130</v>
      </c>
      <c r="E1075" t="s">
        <v>66</v>
      </c>
      <c r="F1075" t="s">
        <v>552</v>
      </c>
      <c r="G1075" t="s">
        <v>132</v>
      </c>
      <c r="H1075" t="s">
        <v>434</v>
      </c>
      <c r="I1075" t="s">
        <v>32</v>
      </c>
      <c r="J1075" t="s">
        <v>77</v>
      </c>
      <c r="K1075">
        <f t="shared" ref="K1075:K1080" si="3289">SUMPRODUCT(($C$7:$C$18=$C1075)*($D$6:$H$6=$D1075)*($D$7:$H$18))</f>
        <v>0</v>
      </c>
      <c r="L1075">
        <f t="shared" ref="L1075:L1080" si="3290">SUMPRODUCT(($C$19:$C$23=$D1075)*($I$6:$O$6=$E1075)*($I$19:$O$23))</f>
        <v>1</v>
      </c>
      <c r="M1075">
        <f t="shared" ref="M1075:M1080" si="3291">SUMPRODUCT(($C$24:$C$30=$E1075)*($P$6:$AI$6=$F1075)*($P$24:$AI$30))</f>
        <v>1</v>
      </c>
      <c r="N1075">
        <f t="shared" ref="N1075:N1080" si="3292">SUMPRODUCT(($C$31:$C$50=$F1075)*($AJ$6:$AM$6=$G1075)*($AJ$31:$AM$50))</f>
        <v>1</v>
      </c>
      <c r="O1075">
        <f t="shared" ref="O1075:O1079" si="3293">K1075+L1075+M1075+N1075</f>
        <v>3</v>
      </c>
      <c r="P1075" t="str">
        <f t="shared" ref="P1075:P1080" si="3294">CONCATENATE(C1075,"-",J1075)</f>
        <v>Small decentralized biomass gasification-Marginal abatement cost</v>
      </c>
      <c r="Q1075" t="str">
        <f t="shared" ref="Q1075:Q1080" si="3295">CONCATENATE(D1075,"-",J1075)</f>
        <v>Distributed gas storage-Marginal abatement cost</v>
      </c>
      <c r="R1075" t="str">
        <f t="shared" ref="R1075:R1080" si="3296">CONCATENATE(E1075,"-",J1075)</f>
        <v>Onsite-Marginal abatement cost</v>
      </c>
      <c r="S1075" t="str">
        <f t="shared" ref="S1075:S1080" si="3297">CONCATENATE(F1075,"-",J1075)</f>
        <v>District-CHP with H2 fuel cell (heat)-Marginal abatement cost</v>
      </c>
      <c r="T1075">
        <f>IFERROR(VLOOKUP($P1075,'TA database'!$I$8:$J$79,2,FALSE),0)</f>
        <v>0</v>
      </c>
      <c r="U1075">
        <f>IFERROR(VLOOKUP($Q1075,'TA database'!$I$86:$J$105,2,FALSE),0)</f>
        <v>0</v>
      </c>
      <c r="V1075">
        <f>IFERROR(VLOOKUP($R1075,'TA database'!$I$112:$J$139,2,FALSE),0)</f>
        <v>0</v>
      </c>
      <c r="W1075">
        <f ca="1">IFERROR(VLOOKUP($S1075,'TA database'!$I$146:$J$193,2,FALSE),0)</f>
        <v>279.92840088936202</v>
      </c>
      <c r="X1075">
        <f>IFERROR(VLOOKUP($S1075,'TA database'!$I$200:$J$271,2,FALSE),0)</f>
        <v>0</v>
      </c>
      <c r="Y1075" s="59">
        <f t="shared" ref="Y1075:Y1079" ca="1" si="3298">IF($W1075=0,T1075+U1075+V1075+X1075,T1075+U1075+V1075+W1075)</f>
        <v>279.92840088936202</v>
      </c>
      <c r="Z1075" t="str">
        <f t="shared" ref="Z1075:Z1079" si="3299">CONCATENATE(AG1075,"   →   ",AH1075,"   →   ",AI1075,"   →   ",AJ1075)</f>
        <v>BIO_GSF_SML_D   →   D_GAS_STRG   →   ONSITE_USE   →   H2_FC_DCHP_HEAT</v>
      </c>
      <c r="AA1075" t="str">
        <f t="shared" ref="AA1075:AA1079" si="3300">G1075</f>
        <v>Building heat</v>
      </c>
      <c r="AB1075" t="str">
        <f t="shared" ref="AB1075:AB1079" si="3301">J1075</f>
        <v>Marginal abatement cost</v>
      </c>
      <c r="AC1075">
        <f t="shared" ref="AC1075:AC1079" ca="1" si="3302">Y1075</f>
        <v>279.92840088936202</v>
      </c>
      <c r="AD1075">
        <v>1016</v>
      </c>
      <c r="AE1075" t="str">
        <f>IF(AND(ISNUMBER(SEARCH(O1075,4)),ISNUMBER(SEARCH('(4) FCH pathway assessment'!$B$16,AB1075)),ISNUMBER(SEARCH('(4) FCH pathway assessment'!$B$10,AA1075))),AD1075,"")</f>
        <v/>
      </c>
      <c r="AF1075" t="str">
        <f t="shared" si="3083"/>
        <v/>
      </c>
      <c r="AG1075" t="str">
        <f>VLOOKUP(C1075,Assumptions!$B$116:$C$162,2,FALSE)</f>
        <v>BIO_GSF_SML_D</v>
      </c>
      <c r="AH1075" t="str">
        <f>VLOOKUP(D1075,Assumptions!$B$116:$C$162,2,FALSE)</f>
        <v>D_GAS_STRG</v>
      </c>
      <c r="AI1075" t="str">
        <f>VLOOKUP(E1075,Assumptions!$B$116:$C$162,2,FALSE)</f>
        <v>ONSITE_USE</v>
      </c>
      <c r="AJ1075" t="str">
        <f>VLOOKUP(F1075,Assumptions!$B$116:$C$162,2,FALSE)</f>
        <v>H2_FC_DCHP_HEAT</v>
      </c>
    </row>
    <row r="1076" spans="2:36" x14ac:dyDescent="0.25">
      <c r="B1076" t="s">
        <v>117</v>
      </c>
      <c r="C1076" t="s">
        <v>56</v>
      </c>
      <c r="D1076" t="s">
        <v>62</v>
      </c>
      <c r="E1076" t="s">
        <v>157</v>
      </c>
      <c r="F1076" t="s">
        <v>552</v>
      </c>
      <c r="G1076" t="s">
        <v>132</v>
      </c>
      <c r="H1076" t="s">
        <v>434</v>
      </c>
      <c r="I1076" t="s">
        <v>32</v>
      </c>
      <c r="J1076" t="s">
        <v>77</v>
      </c>
      <c r="K1076">
        <f t="shared" si="3289"/>
        <v>0</v>
      </c>
      <c r="L1076">
        <f t="shared" si="3290"/>
        <v>0</v>
      </c>
      <c r="M1076">
        <f t="shared" si="3291"/>
        <v>0</v>
      </c>
      <c r="N1076">
        <f t="shared" si="3292"/>
        <v>1</v>
      </c>
      <c r="O1076">
        <f t="shared" si="3293"/>
        <v>1</v>
      </c>
      <c r="P1076" t="str">
        <f t="shared" si="3294"/>
        <v>Large centralized biomass steam reforming -Marginal abatement cost</v>
      </c>
      <c r="Q1076" t="str">
        <f t="shared" si="3295"/>
        <v>Underground storage-Marginal abatement cost</v>
      </c>
      <c r="R1076" t="str">
        <f t="shared" si="3296"/>
        <v>Blending in natural gas pipeline-Marginal abatement cost</v>
      </c>
      <c r="S1076" t="str">
        <f t="shared" si="3297"/>
        <v>District-CHP with H2 fuel cell (heat)-Marginal abatement cost</v>
      </c>
      <c r="T1076">
        <f>IFERROR(VLOOKUP($P1076,'TA database'!$I$8:$J$79,2,FALSE),0)</f>
        <v>0</v>
      </c>
      <c r="U1076">
        <f>IFERROR(VLOOKUP($Q1076,'TA database'!$I$86:$J$105,2,FALSE),0)</f>
        <v>0</v>
      </c>
      <c r="V1076">
        <f>IFERROR(VLOOKUP($R1076,'TA database'!$I$112:$J$139,2,FALSE),0)</f>
        <v>0</v>
      </c>
      <c r="W1076">
        <f ca="1">IFERROR(VLOOKUP($S1076,'TA database'!$I$146:$J$193,2,FALSE),0)</f>
        <v>279.92840088936202</v>
      </c>
      <c r="X1076">
        <f>IFERROR(VLOOKUP($S1076,'TA database'!$I$200:$J$271,2,FALSE),0)</f>
        <v>0</v>
      </c>
      <c r="Y1076" s="59">
        <f t="shared" ca="1" si="3298"/>
        <v>279.92840088936202</v>
      </c>
      <c r="Z1076" t="str">
        <f t="shared" si="3299"/>
        <v>BIO_SR_LRG_C   →   C_UNDRGRND_STRG   →   H2_BLND_NG_P   →   H2_FC_DCHP_HEAT</v>
      </c>
      <c r="AA1076" t="str">
        <f t="shared" si="3300"/>
        <v>Building heat</v>
      </c>
      <c r="AB1076" t="str">
        <f t="shared" si="3301"/>
        <v>Marginal abatement cost</v>
      </c>
      <c r="AC1076">
        <f t="shared" ca="1" si="3302"/>
        <v>279.92840088936202</v>
      </c>
      <c r="AD1076">
        <v>1017</v>
      </c>
      <c r="AE1076" t="str">
        <f>IF(AND(ISNUMBER(SEARCH(O1076,4)),ISNUMBER(SEARCH('(4) FCH pathway assessment'!$B$16,AB1076)),ISNUMBER(SEARCH('(4) FCH pathway assessment'!$B$10,AA1076))),AD1076,"")</f>
        <v/>
      </c>
      <c r="AF1076" t="str">
        <f t="shared" si="3083"/>
        <v/>
      </c>
      <c r="AG1076" t="str">
        <f>VLOOKUP(C1076,Assumptions!$B$116:$C$162,2,FALSE)</f>
        <v>BIO_SR_LRG_C</v>
      </c>
      <c r="AH1076" t="str">
        <f>VLOOKUP(D1076,Assumptions!$B$116:$C$162,2,FALSE)</f>
        <v>C_UNDRGRND_STRG</v>
      </c>
      <c r="AI1076" t="str">
        <f>VLOOKUP(E1076,Assumptions!$B$116:$C$162,2,FALSE)</f>
        <v>H2_BLND_NG_P</v>
      </c>
      <c r="AJ1076" t="str">
        <f>VLOOKUP(F1076,Assumptions!$B$116:$C$162,2,FALSE)</f>
        <v>H2_FC_DCHP_HEAT</v>
      </c>
    </row>
    <row r="1077" spans="2:36" x14ac:dyDescent="0.25">
      <c r="B1077" t="s">
        <v>117</v>
      </c>
      <c r="C1077" t="s">
        <v>56</v>
      </c>
      <c r="D1077" t="s">
        <v>62</v>
      </c>
      <c r="E1077" t="s">
        <v>122</v>
      </c>
      <c r="F1077" t="s">
        <v>552</v>
      </c>
      <c r="G1077" t="s">
        <v>132</v>
      </c>
      <c r="H1077" t="s">
        <v>434</v>
      </c>
      <c r="I1077" t="s">
        <v>32</v>
      </c>
      <c r="J1077" t="s">
        <v>77</v>
      </c>
      <c r="K1077">
        <f t="shared" si="3289"/>
        <v>0</v>
      </c>
      <c r="L1077">
        <f t="shared" si="3290"/>
        <v>0</v>
      </c>
      <c r="M1077">
        <f t="shared" si="3291"/>
        <v>1</v>
      </c>
      <c r="N1077">
        <f t="shared" si="3292"/>
        <v>1</v>
      </c>
      <c r="O1077">
        <f t="shared" si="3293"/>
        <v>2</v>
      </c>
      <c r="P1077" t="str">
        <f t="shared" si="3294"/>
        <v>Large centralized biomass steam reforming -Marginal abatement cost</v>
      </c>
      <c r="Q1077" t="str">
        <f t="shared" si="3295"/>
        <v>Underground storage-Marginal abatement cost</v>
      </c>
      <c r="R1077" t="str">
        <f t="shared" si="3296"/>
        <v>Hydrogen transmission &amp; distribution pipeline-Marginal abatement cost</v>
      </c>
      <c r="S1077" t="str">
        <f t="shared" si="3297"/>
        <v>District-CHP with H2 fuel cell (heat)-Marginal abatement cost</v>
      </c>
      <c r="T1077">
        <f>IFERROR(VLOOKUP($P1077,'TA database'!$I$8:$J$79,2,FALSE),0)</f>
        <v>0</v>
      </c>
      <c r="U1077">
        <f>IFERROR(VLOOKUP($Q1077,'TA database'!$I$86:$J$105,2,FALSE),0)</f>
        <v>0</v>
      </c>
      <c r="V1077">
        <f>IFERROR(VLOOKUP($R1077,'TA database'!$I$112:$J$139,2,FALSE),0)</f>
        <v>0</v>
      </c>
      <c r="W1077">
        <f ca="1">IFERROR(VLOOKUP($S1077,'TA database'!$I$146:$J$193,2,FALSE),0)</f>
        <v>279.92840088936202</v>
      </c>
      <c r="X1077">
        <f>IFERROR(VLOOKUP($S1077,'TA database'!$I$200:$J$271,2,FALSE),0)</f>
        <v>0</v>
      </c>
      <c r="Y1077" s="59">
        <f t="shared" ca="1" si="3298"/>
        <v>279.92840088936202</v>
      </c>
      <c r="Z1077" t="str">
        <f t="shared" si="3299"/>
        <v>BIO_SR_LRG_C   →   C_UNDRGRND_STRG   →   H2_T&amp;D_P   →   H2_FC_DCHP_HEAT</v>
      </c>
      <c r="AA1077" t="str">
        <f t="shared" si="3300"/>
        <v>Building heat</v>
      </c>
      <c r="AB1077" t="str">
        <f t="shared" si="3301"/>
        <v>Marginal abatement cost</v>
      </c>
      <c r="AC1077">
        <f t="shared" ca="1" si="3302"/>
        <v>279.92840088936202</v>
      </c>
      <c r="AD1077">
        <v>1018</v>
      </c>
      <c r="AE1077" t="str">
        <f>IF(AND(ISNUMBER(SEARCH(O1077,4)),ISNUMBER(SEARCH('(4) FCH pathway assessment'!$B$16,AB1077)),ISNUMBER(SEARCH('(4) FCH pathway assessment'!$B$10,AA1077))),AD1077,"")</f>
        <v/>
      </c>
      <c r="AF1077" t="str">
        <f t="shared" si="3083"/>
        <v/>
      </c>
      <c r="AG1077" t="str">
        <f>VLOOKUP(C1077,Assumptions!$B$116:$C$162,2,FALSE)</f>
        <v>BIO_SR_LRG_C</v>
      </c>
      <c r="AH1077" t="str">
        <f>VLOOKUP(D1077,Assumptions!$B$116:$C$162,2,FALSE)</f>
        <v>C_UNDRGRND_STRG</v>
      </c>
      <c r="AI1077" t="str">
        <f>VLOOKUP(E1077,Assumptions!$B$116:$C$162,2,FALSE)</f>
        <v>H2_T&amp;D_P</v>
      </c>
      <c r="AJ1077" t="str">
        <f>VLOOKUP(F1077,Assumptions!$B$116:$C$162,2,FALSE)</f>
        <v>H2_FC_DCHP_HEAT</v>
      </c>
    </row>
    <row r="1078" spans="2:36" x14ac:dyDescent="0.25">
      <c r="B1078" t="s">
        <v>117</v>
      </c>
      <c r="C1078" t="s">
        <v>56</v>
      </c>
      <c r="D1078" t="s">
        <v>62</v>
      </c>
      <c r="E1078" t="s">
        <v>116</v>
      </c>
      <c r="F1078" t="s">
        <v>552</v>
      </c>
      <c r="G1078" t="s">
        <v>132</v>
      </c>
      <c r="H1078" t="s">
        <v>434</v>
      </c>
      <c r="I1078" t="s">
        <v>32</v>
      </c>
      <c r="J1078" t="s">
        <v>77</v>
      </c>
      <c r="K1078">
        <f t="shared" si="3289"/>
        <v>0</v>
      </c>
      <c r="L1078">
        <f t="shared" si="3290"/>
        <v>0</v>
      </c>
      <c r="M1078">
        <f t="shared" si="3291"/>
        <v>1</v>
      </c>
      <c r="N1078">
        <f t="shared" si="3292"/>
        <v>1</v>
      </c>
      <c r="O1078">
        <f t="shared" si="3293"/>
        <v>2</v>
      </c>
      <c r="P1078" t="str">
        <f t="shared" si="3294"/>
        <v>Large centralized biomass steam reforming -Marginal abatement cost</v>
      </c>
      <c r="Q1078" t="str">
        <f t="shared" si="3295"/>
        <v>Underground storage-Marginal abatement cost</v>
      </c>
      <c r="R1078" t="str">
        <f t="shared" si="3296"/>
        <v>Liquid hydrogen truck-Marginal abatement cost</v>
      </c>
      <c r="S1078" t="str">
        <f t="shared" si="3297"/>
        <v>District-CHP with H2 fuel cell (heat)-Marginal abatement cost</v>
      </c>
      <c r="T1078">
        <f>IFERROR(VLOOKUP($P1078,'TA database'!$I$8:$J$79,2,FALSE),0)</f>
        <v>0</v>
      </c>
      <c r="U1078">
        <f>IFERROR(VLOOKUP($Q1078,'TA database'!$I$86:$J$105,2,FALSE),0)</f>
        <v>0</v>
      </c>
      <c r="V1078">
        <f>IFERROR(VLOOKUP($R1078,'TA database'!$I$112:$J$139,2,FALSE),0)</f>
        <v>0</v>
      </c>
      <c r="W1078">
        <f ca="1">IFERROR(VLOOKUP($S1078,'TA database'!$I$146:$J$193,2,FALSE),0)</f>
        <v>279.92840088936202</v>
      </c>
      <c r="X1078">
        <f>IFERROR(VLOOKUP($S1078,'TA database'!$I$200:$J$271,2,FALSE),0)</f>
        <v>0</v>
      </c>
      <c r="Y1078" s="59">
        <f t="shared" ca="1" si="3298"/>
        <v>279.92840088936202</v>
      </c>
      <c r="Z1078" t="str">
        <f t="shared" si="3299"/>
        <v>BIO_SR_LRG_C   →   C_UNDRGRND_STRG   →   LQ_TRUCK   →   H2_FC_DCHP_HEAT</v>
      </c>
      <c r="AA1078" t="str">
        <f t="shared" si="3300"/>
        <v>Building heat</v>
      </c>
      <c r="AB1078" t="str">
        <f t="shared" si="3301"/>
        <v>Marginal abatement cost</v>
      </c>
      <c r="AC1078">
        <f t="shared" ca="1" si="3302"/>
        <v>279.92840088936202</v>
      </c>
      <c r="AD1078">
        <v>1019</v>
      </c>
      <c r="AE1078" t="str">
        <f>IF(AND(ISNUMBER(SEARCH(O1078,4)),ISNUMBER(SEARCH('(4) FCH pathway assessment'!$B$16,AB1078)),ISNUMBER(SEARCH('(4) FCH pathway assessment'!$B$10,AA1078))),AD1078,"")</f>
        <v/>
      </c>
      <c r="AF1078" t="str">
        <f t="shared" si="3083"/>
        <v/>
      </c>
      <c r="AG1078" t="str">
        <f>VLOOKUP(C1078,Assumptions!$B$116:$C$162,2,FALSE)</f>
        <v>BIO_SR_LRG_C</v>
      </c>
      <c r="AH1078" t="str">
        <f>VLOOKUP(D1078,Assumptions!$B$116:$C$162,2,FALSE)</f>
        <v>C_UNDRGRND_STRG</v>
      </c>
      <c r="AI1078" t="str">
        <f>VLOOKUP(E1078,Assumptions!$B$116:$C$162,2,FALSE)</f>
        <v>LQ_TRUCK</v>
      </c>
      <c r="AJ1078" t="str">
        <f>VLOOKUP(F1078,Assumptions!$B$116:$C$162,2,FALSE)</f>
        <v>H2_FC_DCHP_HEAT</v>
      </c>
    </row>
    <row r="1079" spans="2:36" x14ac:dyDescent="0.25">
      <c r="B1079" t="s">
        <v>117</v>
      </c>
      <c r="C1079" t="s">
        <v>56</v>
      </c>
      <c r="D1079" t="s">
        <v>62</v>
      </c>
      <c r="E1079" t="s">
        <v>66</v>
      </c>
      <c r="F1079" t="s">
        <v>552</v>
      </c>
      <c r="G1079" t="s">
        <v>132</v>
      </c>
      <c r="H1079" t="s">
        <v>434</v>
      </c>
      <c r="I1079" t="s">
        <v>32</v>
      </c>
      <c r="J1079" t="s">
        <v>77</v>
      </c>
      <c r="K1079">
        <f t="shared" si="3289"/>
        <v>0</v>
      </c>
      <c r="L1079">
        <f t="shared" si="3290"/>
        <v>0</v>
      </c>
      <c r="M1079">
        <f t="shared" si="3291"/>
        <v>1</v>
      </c>
      <c r="N1079">
        <f t="shared" si="3292"/>
        <v>1</v>
      </c>
      <c r="O1079">
        <f t="shared" si="3293"/>
        <v>2</v>
      </c>
      <c r="P1079" t="str">
        <f t="shared" si="3294"/>
        <v>Large centralized biomass steam reforming -Marginal abatement cost</v>
      </c>
      <c r="Q1079" t="str">
        <f t="shared" si="3295"/>
        <v>Underground storage-Marginal abatement cost</v>
      </c>
      <c r="R1079" t="str">
        <f t="shared" si="3296"/>
        <v>Onsite-Marginal abatement cost</v>
      </c>
      <c r="S1079" t="str">
        <f t="shared" si="3297"/>
        <v>District-CHP with H2 fuel cell (heat)-Marginal abatement cost</v>
      </c>
      <c r="T1079">
        <f>IFERROR(VLOOKUP($P1079,'TA database'!$I$8:$J$79,2,FALSE),0)</f>
        <v>0</v>
      </c>
      <c r="U1079">
        <f>IFERROR(VLOOKUP($Q1079,'TA database'!$I$86:$J$105,2,FALSE),0)</f>
        <v>0</v>
      </c>
      <c r="V1079">
        <f>IFERROR(VLOOKUP($R1079,'TA database'!$I$112:$J$139,2,FALSE),0)</f>
        <v>0</v>
      </c>
      <c r="W1079">
        <f ca="1">IFERROR(VLOOKUP($S1079,'TA database'!$I$146:$J$193,2,FALSE),0)</f>
        <v>279.92840088936202</v>
      </c>
      <c r="X1079">
        <f>IFERROR(VLOOKUP($S1079,'TA database'!$I$200:$J$271,2,FALSE),0)</f>
        <v>0</v>
      </c>
      <c r="Y1079" s="59">
        <f t="shared" ca="1" si="3298"/>
        <v>279.92840088936202</v>
      </c>
      <c r="Z1079" t="str">
        <f t="shared" si="3299"/>
        <v>BIO_SR_LRG_C   →   C_UNDRGRND_STRG   →   ONSITE_USE   →   H2_FC_DCHP_HEAT</v>
      </c>
      <c r="AA1079" t="str">
        <f t="shared" si="3300"/>
        <v>Building heat</v>
      </c>
      <c r="AB1079" t="str">
        <f t="shared" si="3301"/>
        <v>Marginal abatement cost</v>
      </c>
      <c r="AC1079">
        <f t="shared" ca="1" si="3302"/>
        <v>279.92840088936202</v>
      </c>
      <c r="AD1079">
        <v>1020</v>
      </c>
      <c r="AE1079" t="str">
        <f>IF(AND(ISNUMBER(SEARCH(O1079,4)),ISNUMBER(SEARCH('(4) FCH pathway assessment'!$B$16,AB1079)),ISNUMBER(SEARCH('(4) FCH pathway assessment'!$B$10,AA1079))),AD1079,"")</f>
        <v/>
      </c>
      <c r="AF1079" t="str">
        <f t="shared" si="3083"/>
        <v/>
      </c>
      <c r="AG1079" t="str">
        <f>VLOOKUP(C1079,Assumptions!$B$116:$C$162,2,FALSE)</f>
        <v>BIO_SR_LRG_C</v>
      </c>
      <c r="AH1079" t="str">
        <f>VLOOKUP(D1079,Assumptions!$B$116:$C$162,2,FALSE)</f>
        <v>C_UNDRGRND_STRG</v>
      </c>
      <c r="AI1079" t="str">
        <f>VLOOKUP(E1079,Assumptions!$B$116:$C$162,2,FALSE)</f>
        <v>ONSITE_USE</v>
      </c>
      <c r="AJ1079" t="str">
        <f>VLOOKUP(F1079,Assumptions!$B$116:$C$162,2,FALSE)</f>
        <v>H2_FC_DCHP_HEAT</v>
      </c>
    </row>
    <row r="1080" spans="2:36" x14ac:dyDescent="0.25">
      <c r="B1080" t="s">
        <v>117</v>
      </c>
      <c r="C1080" t="s">
        <v>56</v>
      </c>
      <c r="D1080" s="61" t="s">
        <v>63</v>
      </c>
      <c r="E1080" t="s">
        <v>122</v>
      </c>
      <c r="F1080" t="s">
        <v>552</v>
      </c>
      <c r="G1080" t="s">
        <v>132</v>
      </c>
      <c r="H1080" t="s">
        <v>434</v>
      </c>
      <c r="I1080" t="s">
        <v>32</v>
      </c>
      <c r="J1080" t="s">
        <v>77</v>
      </c>
      <c r="K1080">
        <f t="shared" si="3289"/>
        <v>0</v>
      </c>
      <c r="L1080">
        <f t="shared" si="3290"/>
        <v>1</v>
      </c>
      <c r="M1080">
        <f t="shared" si="3291"/>
        <v>1</v>
      </c>
      <c r="N1080">
        <f t="shared" si="3292"/>
        <v>1</v>
      </c>
      <c r="O1080">
        <f t="shared" ref="O1080:O1092" si="3303">K1080+L1080+M1080+N1080</f>
        <v>3</v>
      </c>
      <c r="P1080" t="str">
        <f t="shared" si="3294"/>
        <v>Large centralized biomass steam reforming -Marginal abatement cost</v>
      </c>
      <c r="Q1080" t="str">
        <f t="shared" si="3295"/>
        <v>No storage-Marginal abatement cost</v>
      </c>
      <c r="R1080" t="str">
        <f t="shared" si="3296"/>
        <v>Hydrogen transmission &amp; distribution pipeline-Marginal abatement cost</v>
      </c>
      <c r="S1080" t="str">
        <f t="shared" si="3297"/>
        <v>District-CHP with H2 fuel cell (heat)-Marginal abatement cost</v>
      </c>
      <c r="T1080">
        <f>IFERROR(VLOOKUP($P1080,'TA database'!$I$8:$J$79,2,FALSE),0)</f>
        <v>0</v>
      </c>
      <c r="U1080">
        <f>IFERROR(VLOOKUP($Q1080,'TA database'!$I$86:$J$105,2,FALSE),0)</f>
        <v>0</v>
      </c>
      <c r="V1080">
        <f>IFERROR(VLOOKUP($R1080,'TA database'!$I$112:$J$139,2,FALSE),0)</f>
        <v>0</v>
      </c>
      <c r="W1080">
        <f ca="1">IFERROR(VLOOKUP($S1080,'TA database'!$I$146:$J$193,2,FALSE),0)</f>
        <v>279.92840088936202</v>
      </c>
      <c r="X1080">
        <f>IFERROR(VLOOKUP($S1080,'TA database'!$I$200:$J$271,2,FALSE),0)</f>
        <v>0</v>
      </c>
      <c r="Y1080" s="59">
        <f t="shared" ref="Y1080:Y1092" ca="1" si="3304">IF($W1080=0,T1080+U1080+V1080+X1080,T1080+U1080+V1080+W1080)</f>
        <v>279.92840088936202</v>
      </c>
      <c r="Z1080" t="str">
        <f t="shared" ref="Z1080:Z1092" si="3305">CONCATENATE(AG1080,"   →   ",AH1080,"   →   ",AI1080,"   →   ",AJ1080)</f>
        <v>BIO_SR_LRG_C   →   NO_STRG   →   H2_T&amp;D_P   →   H2_FC_DCHP_HEAT</v>
      </c>
      <c r="AA1080" t="str">
        <f t="shared" ref="AA1080:AA1092" si="3306">G1080</f>
        <v>Building heat</v>
      </c>
      <c r="AB1080" t="str">
        <f t="shared" ref="AB1080:AB1092" si="3307">J1080</f>
        <v>Marginal abatement cost</v>
      </c>
      <c r="AC1080">
        <f t="shared" ref="AC1080:AC1092" ca="1" si="3308">Y1080</f>
        <v>279.92840088936202</v>
      </c>
      <c r="AD1080">
        <v>1021</v>
      </c>
      <c r="AE1080" t="str">
        <f>IF(AND(ISNUMBER(SEARCH(O1080,4)),ISNUMBER(SEARCH('(4) FCH pathway assessment'!$B$16,AB1080)),ISNUMBER(SEARCH('(4) FCH pathway assessment'!$B$10,AA1080))),AD1080,"")</f>
        <v/>
      </c>
      <c r="AF1080" t="str">
        <f t="shared" si="3083"/>
        <v/>
      </c>
      <c r="AG1080" t="str">
        <f>VLOOKUP(C1080,Assumptions!$B$116:$C$162,2,FALSE)</f>
        <v>BIO_SR_LRG_C</v>
      </c>
      <c r="AH1080" t="str">
        <f>VLOOKUP(D1080,Assumptions!$B$116:$C$162,2,FALSE)</f>
        <v>NO_STRG</v>
      </c>
      <c r="AI1080" t="str">
        <f>VLOOKUP(E1080,Assumptions!$B$116:$C$162,2,FALSE)</f>
        <v>H2_T&amp;D_P</v>
      </c>
      <c r="AJ1080" t="str">
        <f>VLOOKUP(F1080,Assumptions!$B$116:$C$162,2,FALSE)</f>
        <v>H2_FC_DCHP_HEAT</v>
      </c>
    </row>
    <row r="1081" spans="2:36" x14ac:dyDescent="0.25">
      <c r="B1081" t="s">
        <v>112</v>
      </c>
      <c r="C1081" t="s">
        <v>49</v>
      </c>
      <c r="D1081" t="s">
        <v>62</v>
      </c>
      <c r="E1081" t="s">
        <v>157</v>
      </c>
      <c r="F1081" t="s">
        <v>552</v>
      </c>
      <c r="G1081" t="s">
        <v>132</v>
      </c>
      <c r="H1081" t="s">
        <v>434</v>
      </c>
      <c r="I1081" t="s">
        <v>32</v>
      </c>
      <c r="J1081" t="s">
        <v>77</v>
      </c>
      <c r="K1081">
        <f t="shared" ref="K1081:K1092" si="3309">SUMPRODUCT(($C$7:$C$18=$C1081)*($D$6:$H$6=$D1081)*($D$7:$H$18))</f>
        <v>1</v>
      </c>
      <c r="L1081">
        <f t="shared" ref="L1081:L1092" si="3310">SUMPRODUCT(($C$19:$C$23=$D1081)*($I$6:$O$6=$E1081)*($I$19:$O$23))</f>
        <v>0</v>
      </c>
      <c r="M1081">
        <f t="shared" ref="M1081:M1092" si="3311">SUMPRODUCT(($C$24:$C$30=$E1081)*($P$6:$AI$6=$F1081)*($P$24:$AI$30))</f>
        <v>0</v>
      </c>
      <c r="N1081">
        <f t="shared" ref="N1081:N1092" si="3312">SUMPRODUCT(($C$31:$C$50=$F1081)*($AJ$6:$AM$6=$G1081)*($AJ$31:$AM$50))</f>
        <v>1</v>
      </c>
      <c r="O1081">
        <f t="shared" si="3303"/>
        <v>2</v>
      </c>
      <c r="P1081" t="str">
        <f t="shared" ref="P1081:P1092" si="3313">CONCATENATE(C1081,"-",J1081)</f>
        <v>Large centralized electrolysis-Marginal abatement cost</v>
      </c>
      <c r="Q1081" t="str">
        <f t="shared" ref="Q1081:Q1092" si="3314">CONCATENATE(D1081,"-",J1081)</f>
        <v>Underground storage-Marginal abatement cost</v>
      </c>
      <c r="R1081" t="str">
        <f t="shared" ref="R1081:R1092" si="3315">CONCATENATE(E1081,"-",J1081)</f>
        <v>Blending in natural gas pipeline-Marginal abatement cost</v>
      </c>
      <c r="S1081" t="str">
        <f t="shared" ref="S1081:S1092" si="3316">CONCATENATE(F1081,"-",J1081)</f>
        <v>District-CHP with H2 fuel cell (heat)-Marginal abatement cost</v>
      </c>
      <c r="T1081">
        <f>IFERROR(VLOOKUP($P1081,'TA database'!$I$8:$J$79,2,FALSE),0)</f>
        <v>0</v>
      </c>
      <c r="U1081">
        <f>IFERROR(VLOOKUP($Q1081,'TA database'!$I$86:$J$105,2,FALSE),0)</f>
        <v>0</v>
      </c>
      <c r="V1081">
        <f>IFERROR(VLOOKUP($R1081,'TA database'!$I$112:$J$139,2,FALSE),0)</f>
        <v>0</v>
      </c>
      <c r="W1081">
        <f ca="1">IFERROR(VLOOKUP($S1081,'TA database'!$I$146:$J$193,2,FALSE),0)</f>
        <v>279.92840088936202</v>
      </c>
      <c r="X1081">
        <f>IFERROR(VLOOKUP($S1081,'TA database'!$I$200:$J$271,2,FALSE),0)</f>
        <v>0</v>
      </c>
      <c r="Y1081" s="59">
        <f t="shared" ca="1" si="3304"/>
        <v>279.92840088936202</v>
      </c>
      <c r="Z1081" t="str">
        <f t="shared" si="3305"/>
        <v>ELCTRLYZ_LRG_C   →   C_UNDRGRND_STRG   →   H2_BLND_NG_P   →   H2_FC_DCHP_HEAT</v>
      </c>
      <c r="AA1081" t="str">
        <f t="shared" si="3306"/>
        <v>Building heat</v>
      </c>
      <c r="AB1081" t="str">
        <f t="shared" si="3307"/>
        <v>Marginal abatement cost</v>
      </c>
      <c r="AC1081">
        <f t="shared" ca="1" si="3308"/>
        <v>279.92840088936202</v>
      </c>
      <c r="AD1081">
        <v>1022</v>
      </c>
      <c r="AE1081" t="str">
        <f>IF(AND(ISNUMBER(SEARCH(O1081,4)),ISNUMBER(SEARCH('(4) FCH pathway assessment'!$B$16,AB1081)),ISNUMBER(SEARCH('(4) FCH pathway assessment'!$B$10,AA1081))),AD1081,"")</f>
        <v/>
      </c>
      <c r="AF1081" t="str">
        <f t="shared" si="3083"/>
        <v/>
      </c>
      <c r="AG1081" t="str">
        <f>VLOOKUP(C1081,Assumptions!$B$116:$C$162,2,FALSE)</f>
        <v>ELCTRLYZ_LRG_C</v>
      </c>
      <c r="AH1081" t="str">
        <f>VLOOKUP(D1081,Assumptions!$B$116:$C$162,2,FALSE)</f>
        <v>C_UNDRGRND_STRG</v>
      </c>
      <c r="AI1081" t="str">
        <f>VLOOKUP(E1081,Assumptions!$B$116:$C$162,2,FALSE)</f>
        <v>H2_BLND_NG_P</v>
      </c>
      <c r="AJ1081" t="str">
        <f>VLOOKUP(F1081,Assumptions!$B$116:$C$162,2,FALSE)</f>
        <v>H2_FC_DCHP_HEAT</v>
      </c>
    </row>
    <row r="1082" spans="2:36" x14ac:dyDescent="0.25">
      <c r="B1082" t="s">
        <v>112</v>
      </c>
      <c r="C1082" t="s">
        <v>49</v>
      </c>
      <c r="D1082" t="s">
        <v>62</v>
      </c>
      <c r="E1082" t="s">
        <v>122</v>
      </c>
      <c r="F1082" t="s">
        <v>552</v>
      </c>
      <c r="G1082" t="s">
        <v>132</v>
      </c>
      <c r="H1082" t="s">
        <v>434</v>
      </c>
      <c r="I1082" t="s">
        <v>32</v>
      </c>
      <c r="J1082" t="s">
        <v>77</v>
      </c>
      <c r="K1082">
        <f t="shared" si="3309"/>
        <v>1</v>
      </c>
      <c r="L1082">
        <f t="shared" si="3310"/>
        <v>0</v>
      </c>
      <c r="M1082">
        <f t="shared" si="3311"/>
        <v>1</v>
      </c>
      <c r="N1082">
        <f t="shared" si="3312"/>
        <v>1</v>
      </c>
      <c r="O1082">
        <f t="shared" si="3303"/>
        <v>3</v>
      </c>
      <c r="P1082" t="str">
        <f t="shared" si="3313"/>
        <v>Large centralized electrolysis-Marginal abatement cost</v>
      </c>
      <c r="Q1082" t="str">
        <f t="shared" si="3314"/>
        <v>Underground storage-Marginal abatement cost</v>
      </c>
      <c r="R1082" t="str">
        <f t="shared" si="3315"/>
        <v>Hydrogen transmission &amp; distribution pipeline-Marginal abatement cost</v>
      </c>
      <c r="S1082" t="str">
        <f t="shared" si="3316"/>
        <v>District-CHP with H2 fuel cell (heat)-Marginal abatement cost</v>
      </c>
      <c r="T1082">
        <f>IFERROR(VLOOKUP($P1082,'TA database'!$I$8:$J$79,2,FALSE),0)</f>
        <v>0</v>
      </c>
      <c r="U1082">
        <f>IFERROR(VLOOKUP($Q1082,'TA database'!$I$86:$J$105,2,FALSE),0)</f>
        <v>0</v>
      </c>
      <c r="V1082">
        <f>IFERROR(VLOOKUP($R1082,'TA database'!$I$112:$J$139,2,FALSE),0)</f>
        <v>0</v>
      </c>
      <c r="W1082">
        <f ca="1">IFERROR(VLOOKUP($S1082,'TA database'!$I$146:$J$193,2,FALSE),0)</f>
        <v>279.92840088936202</v>
      </c>
      <c r="X1082">
        <f>IFERROR(VLOOKUP($S1082,'TA database'!$I$200:$J$271,2,FALSE),0)</f>
        <v>0</v>
      </c>
      <c r="Y1082" s="59">
        <f t="shared" ca="1" si="3304"/>
        <v>279.92840088936202</v>
      </c>
      <c r="Z1082" t="str">
        <f t="shared" si="3305"/>
        <v>ELCTRLYZ_LRG_C   →   C_UNDRGRND_STRG   →   H2_T&amp;D_P   →   H2_FC_DCHP_HEAT</v>
      </c>
      <c r="AA1082" t="str">
        <f t="shared" si="3306"/>
        <v>Building heat</v>
      </c>
      <c r="AB1082" t="str">
        <f t="shared" si="3307"/>
        <v>Marginal abatement cost</v>
      </c>
      <c r="AC1082">
        <f t="shared" ca="1" si="3308"/>
        <v>279.92840088936202</v>
      </c>
      <c r="AD1082">
        <v>1023</v>
      </c>
      <c r="AE1082" t="str">
        <f>IF(AND(ISNUMBER(SEARCH(O1082,4)),ISNUMBER(SEARCH('(4) FCH pathway assessment'!$B$16,AB1082)),ISNUMBER(SEARCH('(4) FCH pathway assessment'!$B$10,AA1082))),AD1082,"")</f>
        <v/>
      </c>
      <c r="AF1082" t="str">
        <f t="shared" si="3083"/>
        <v/>
      </c>
      <c r="AG1082" t="str">
        <f>VLOOKUP(C1082,Assumptions!$B$116:$C$162,2,FALSE)</f>
        <v>ELCTRLYZ_LRG_C</v>
      </c>
      <c r="AH1082" t="str">
        <f>VLOOKUP(D1082,Assumptions!$B$116:$C$162,2,FALSE)</f>
        <v>C_UNDRGRND_STRG</v>
      </c>
      <c r="AI1082" t="str">
        <f>VLOOKUP(E1082,Assumptions!$B$116:$C$162,2,FALSE)</f>
        <v>H2_T&amp;D_P</v>
      </c>
      <c r="AJ1082" t="str">
        <f>VLOOKUP(F1082,Assumptions!$B$116:$C$162,2,FALSE)</f>
        <v>H2_FC_DCHP_HEAT</v>
      </c>
    </row>
    <row r="1083" spans="2:36" x14ac:dyDescent="0.25">
      <c r="B1083" t="s">
        <v>112</v>
      </c>
      <c r="C1083" t="s">
        <v>49</v>
      </c>
      <c r="D1083" t="s">
        <v>62</v>
      </c>
      <c r="E1083" t="s">
        <v>116</v>
      </c>
      <c r="F1083" t="s">
        <v>552</v>
      </c>
      <c r="G1083" t="s">
        <v>132</v>
      </c>
      <c r="H1083" t="s">
        <v>434</v>
      </c>
      <c r="I1083" t="s">
        <v>32</v>
      </c>
      <c r="J1083" t="s">
        <v>77</v>
      </c>
      <c r="K1083">
        <f t="shared" si="3309"/>
        <v>1</v>
      </c>
      <c r="L1083">
        <f t="shared" si="3310"/>
        <v>0</v>
      </c>
      <c r="M1083">
        <f t="shared" si="3311"/>
        <v>1</v>
      </c>
      <c r="N1083">
        <f t="shared" si="3312"/>
        <v>1</v>
      </c>
      <c r="O1083">
        <f t="shared" si="3303"/>
        <v>3</v>
      </c>
      <c r="P1083" t="str">
        <f t="shared" si="3313"/>
        <v>Large centralized electrolysis-Marginal abatement cost</v>
      </c>
      <c r="Q1083" t="str">
        <f t="shared" si="3314"/>
        <v>Underground storage-Marginal abatement cost</v>
      </c>
      <c r="R1083" t="str">
        <f t="shared" si="3315"/>
        <v>Liquid hydrogen truck-Marginal abatement cost</v>
      </c>
      <c r="S1083" t="str">
        <f t="shared" si="3316"/>
        <v>District-CHP with H2 fuel cell (heat)-Marginal abatement cost</v>
      </c>
      <c r="T1083">
        <f>IFERROR(VLOOKUP($P1083,'TA database'!$I$8:$J$79,2,FALSE),0)</f>
        <v>0</v>
      </c>
      <c r="U1083">
        <f>IFERROR(VLOOKUP($Q1083,'TA database'!$I$86:$J$105,2,FALSE),0)</f>
        <v>0</v>
      </c>
      <c r="V1083">
        <f>IFERROR(VLOOKUP($R1083,'TA database'!$I$112:$J$139,2,FALSE),0)</f>
        <v>0</v>
      </c>
      <c r="W1083">
        <f ca="1">IFERROR(VLOOKUP($S1083,'TA database'!$I$146:$J$193,2,FALSE),0)</f>
        <v>279.92840088936202</v>
      </c>
      <c r="X1083">
        <f>IFERROR(VLOOKUP($S1083,'TA database'!$I$200:$J$271,2,FALSE),0)</f>
        <v>0</v>
      </c>
      <c r="Y1083" s="59">
        <f t="shared" ca="1" si="3304"/>
        <v>279.92840088936202</v>
      </c>
      <c r="Z1083" t="str">
        <f t="shared" si="3305"/>
        <v>ELCTRLYZ_LRG_C   →   C_UNDRGRND_STRG   →   LQ_TRUCK   →   H2_FC_DCHP_HEAT</v>
      </c>
      <c r="AA1083" t="str">
        <f t="shared" si="3306"/>
        <v>Building heat</v>
      </c>
      <c r="AB1083" t="str">
        <f t="shared" si="3307"/>
        <v>Marginal abatement cost</v>
      </c>
      <c r="AC1083">
        <f t="shared" ca="1" si="3308"/>
        <v>279.92840088936202</v>
      </c>
      <c r="AD1083">
        <v>1024</v>
      </c>
      <c r="AE1083" t="str">
        <f>IF(AND(ISNUMBER(SEARCH(O1083,4)),ISNUMBER(SEARCH('(4) FCH pathway assessment'!$B$16,AB1083)),ISNUMBER(SEARCH('(4) FCH pathway assessment'!$B$10,AA1083))),AD1083,"")</f>
        <v/>
      </c>
      <c r="AF1083" t="str">
        <f t="shared" si="3083"/>
        <v/>
      </c>
      <c r="AG1083" t="str">
        <f>VLOOKUP(C1083,Assumptions!$B$116:$C$162,2,FALSE)</f>
        <v>ELCTRLYZ_LRG_C</v>
      </c>
      <c r="AH1083" t="str">
        <f>VLOOKUP(D1083,Assumptions!$B$116:$C$162,2,FALSE)</f>
        <v>C_UNDRGRND_STRG</v>
      </c>
      <c r="AI1083" t="str">
        <f>VLOOKUP(E1083,Assumptions!$B$116:$C$162,2,FALSE)</f>
        <v>LQ_TRUCK</v>
      </c>
      <c r="AJ1083" t="str">
        <f>VLOOKUP(F1083,Assumptions!$B$116:$C$162,2,FALSE)</f>
        <v>H2_FC_DCHP_HEAT</v>
      </c>
    </row>
    <row r="1084" spans="2:36" x14ac:dyDescent="0.25">
      <c r="B1084" t="s">
        <v>112</v>
      </c>
      <c r="C1084" t="s">
        <v>49</v>
      </c>
      <c r="D1084" t="s">
        <v>62</v>
      </c>
      <c r="E1084" t="s">
        <v>66</v>
      </c>
      <c r="F1084" t="s">
        <v>552</v>
      </c>
      <c r="G1084" t="s">
        <v>132</v>
      </c>
      <c r="H1084" t="s">
        <v>434</v>
      </c>
      <c r="I1084" t="s">
        <v>32</v>
      </c>
      <c r="J1084" t="s">
        <v>77</v>
      </c>
      <c r="K1084">
        <f t="shared" si="3309"/>
        <v>1</v>
      </c>
      <c r="L1084">
        <f t="shared" si="3310"/>
        <v>0</v>
      </c>
      <c r="M1084">
        <f t="shared" si="3311"/>
        <v>1</v>
      </c>
      <c r="N1084">
        <f t="shared" si="3312"/>
        <v>1</v>
      </c>
      <c r="O1084">
        <f t="shared" si="3303"/>
        <v>3</v>
      </c>
      <c r="P1084" t="str">
        <f t="shared" si="3313"/>
        <v>Large centralized electrolysis-Marginal abatement cost</v>
      </c>
      <c r="Q1084" t="str">
        <f t="shared" si="3314"/>
        <v>Underground storage-Marginal abatement cost</v>
      </c>
      <c r="R1084" t="str">
        <f t="shared" si="3315"/>
        <v>Onsite-Marginal abatement cost</v>
      </c>
      <c r="S1084" t="str">
        <f t="shared" si="3316"/>
        <v>District-CHP with H2 fuel cell (heat)-Marginal abatement cost</v>
      </c>
      <c r="T1084">
        <f>IFERROR(VLOOKUP($P1084,'TA database'!$I$8:$J$79,2,FALSE),0)</f>
        <v>0</v>
      </c>
      <c r="U1084">
        <f>IFERROR(VLOOKUP($Q1084,'TA database'!$I$86:$J$105,2,FALSE),0)</f>
        <v>0</v>
      </c>
      <c r="V1084">
        <f>IFERROR(VLOOKUP($R1084,'TA database'!$I$112:$J$139,2,FALSE),0)</f>
        <v>0</v>
      </c>
      <c r="W1084">
        <f ca="1">IFERROR(VLOOKUP($S1084,'TA database'!$I$146:$J$193,2,FALSE),0)</f>
        <v>279.92840088936202</v>
      </c>
      <c r="X1084">
        <f>IFERROR(VLOOKUP($S1084,'TA database'!$I$200:$J$271,2,FALSE),0)</f>
        <v>0</v>
      </c>
      <c r="Y1084" s="59">
        <f t="shared" ca="1" si="3304"/>
        <v>279.92840088936202</v>
      </c>
      <c r="Z1084" t="str">
        <f t="shared" si="3305"/>
        <v>ELCTRLYZ_LRG_C   →   C_UNDRGRND_STRG   →   ONSITE_USE   →   H2_FC_DCHP_HEAT</v>
      </c>
      <c r="AA1084" t="str">
        <f t="shared" si="3306"/>
        <v>Building heat</v>
      </c>
      <c r="AB1084" t="str">
        <f t="shared" si="3307"/>
        <v>Marginal abatement cost</v>
      </c>
      <c r="AC1084">
        <f t="shared" ca="1" si="3308"/>
        <v>279.92840088936202</v>
      </c>
      <c r="AD1084">
        <v>1025</v>
      </c>
      <c r="AE1084" t="str">
        <f>IF(AND(ISNUMBER(SEARCH(O1084,4)),ISNUMBER(SEARCH('(4) FCH pathway assessment'!$B$16,AB1084)),ISNUMBER(SEARCH('(4) FCH pathway assessment'!$B$10,AA1084))),AD1084,"")</f>
        <v/>
      </c>
      <c r="AF1084" t="str">
        <f t="shared" ref="AF1084:AF1147" si="3317">IFERROR(SMALL($AE$60:$AE$1991,AD1084),"")</f>
        <v/>
      </c>
      <c r="AG1084" t="str">
        <f>VLOOKUP(C1084,Assumptions!$B$116:$C$162,2,FALSE)</f>
        <v>ELCTRLYZ_LRG_C</v>
      </c>
      <c r="AH1084" t="str">
        <f>VLOOKUP(D1084,Assumptions!$B$116:$C$162,2,FALSE)</f>
        <v>C_UNDRGRND_STRG</v>
      </c>
      <c r="AI1084" t="str">
        <f>VLOOKUP(E1084,Assumptions!$B$116:$C$162,2,FALSE)</f>
        <v>ONSITE_USE</v>
      </c>
      <c r="AJ1084" t="str">
        <f>VLOOKUP(F1084,Assumptions!$B$116:$C$162,2,FALSE)</f>
        <v>H2_FC_DCHP_HEAT</v>
      </c>
    </row>
    <row r="1085" spans="2:36" x14ac:dyDescent="0.25">
      <c r="B1085" t="s">
        <v>112</v>
      </c>
      <c r="C1085" t="s">
        <v>49</v>
      </c>
      <c r="D1085" t="s">
        <v>155</v>
      </c>
      <c r="E1085" t="s">
        <v>157</v>
      </c>
      <c r="F1085" t="s">
        <v>552</v>
      </c>
      <c r="G1085" t="s">
        <v>132</v>
      </c>
      <c r="H1085" t="s">
        <v>434</v>
      </c>
      <c r="I1085" t="s">
        <v>32</v>
      </c>
      <c r="J1085" t="s">
        <v>77</v>
      </c>
      <c r="K1085">
        <f t="shared" si="3309"/>
        <v>1</v>
      </c>
      <c r="L1085">
        <f t="shared" si="3310"/>
        <v>1</v>
      </c>
      <c r="M1085">
        <f t="shared" si="3311"/>
        <v>0</v>
      </c>
      <c r="N1085">
        <f t="shared" si="3312"/>
        <v>1</v>
      </c>
      <c r="O1085">
        <f t="shared" si="3303"/>
        <v>3</v>
      </c>
      <c r="P1085" t="str">
        <f t="shared" si="3313"/>
        <v>Large centralized electrolysis-Marginal abatement cost</v>
      </c>
      <c r="Q1085" t="str">
        <f t="shared" si="3314"/>
        <v>Central gas storage-Marginal abatement cost</v>
      </c>
      <c r="R1085" t="str">
        <f t="shared" si="3315"/>
        <v>Blending in natural gas pipeline-Marginal abatement cost</v>
      </c>
      <c r="S1085" t="str">
        <f t="shared" si="3316"/>
        <v>District-CHP with H2 fuel cell (heat)-Marginal abatement cost</v>
      </c>
      <c r="T1085">
        <f>IFERROR(VLOOKUP($P1085,'TA database'!$I$8:$J$79,2,FALSE),0)</f>
        <v>0</v>
      </c>
      <c r="U1085">
        <f>IFERROR(VLOOKUP($Q1085,'TA database'!$I$86:$J$105,2,FALSE),0)</f>
        <v>0</v>
      </c>
      <c r="V1085">
        <f>IFERROR(VLOOKUP($R1085,'TA database'!$I$112:$J$139,2,FALSE),0)</f>
        <v>0</v>
      </c>
      <c r="W1085">
        <f ca="1">IFERROR(VLOOKUP($S1085,'TA database'!$I$146:$J$193,2,FALSE),0)</f>
        <v>279.92840088936202</v>
      </c>
      <c r="X1085">
        <f>IFERROR(VLOOKUP($S1085,'TA database'!$I$200:$J$271,2,FALSE),0)</f>
        <v>0</v>
      </c>
      <c r="Y1085" s="59">
        <f t="shared" ca="1" si="3304"/>
        <v>279.92840088936202</v>
      </c>
      <c r="Z1085" t="str">
        <f t="shared" si="3305"/>
        <v>ELCTRLYZ_LRG_C   →   C_GAS_STRG   →   H2_BLND_NG_P   →   H2_FC_DCHP_HEAT</v>
      </c>
      <c r="AA1085" t="str">
        <f t="shared" si="3306"/>
        <v>Building heat</v>
      </c>
      <c r="AB1085" t="str">
        <f t="shared" si="3307"/>
        <v>Marginal abatement cost</v>
      </c>
      <c r="AC1085">
        <f t="shared" ca="1" si="3308"/>
        <v>279.92840088936202</v>
      </c>
      <c r="AD1085">
        <v>1026</v>
      </c>
      <c r="AE1085" t="str">
        <f>IF(AND(ISNUMBER(SEARCH(O1085,4)),ISNUMBER(SEARCH('(4) FCH pathway assessment'!$B$16,AB1085)),ISNUMBER(SEARCH('(4) FCH pathway assessment'!$B$10,AA1085))),AD1085,"")</f>
        <v/>
      </c>
      <c r="AF1085" t="str">
        <f t="shared" si="3317"/>
        <v/>
      </c>
      <c r="AG1085" t="str">
        <f>VLOOKUP(C1085,Assumptions!$B$116:$C$162,2,FALSE)</f>
        <v>ELCTRLYZ_LRG_C</v>
      </c>
      <c r="AH1085" t="str">
        <f>VLOOKUP(D1085,Assumptions!$B$116:$C$162,2,FALSE)</f>
        <v>C_GAS_STRG</v>
      </c>
      <c r="AI1085" t="str">
        <f>VLOOKUP(E1085,Assumptions!$B$116:$C$162,2,FALSE)</f>
        <v>H2_BLND_NG_P</v>
      </c>
      <c r="AJ1085" t="str">
        <f>VLOOKUP(F1085,Assumptions!$B$116:$C$162,2,FALSE)</f>
        <v>H2_FC_DCHP_HEAT</v>
      </c>
    </row>
    <row r="1086" spans="2:36" x14ac:dyDescent="0.25">
      <c r="B1086" t="s">
        <v>112</v>
      </c>
      <c r="C1086" t="s">
        <v>49</v>
      </c>
      <c r="D1086" t="s">
        <v>155</v>
      </c>
      <c r="E1086" t="s">
        <v>122</v>
      </c>
      <c r="F1086" t="s">
        <v>552</v>
      </c>
      <c r="G1086" t="s">
        <v>132</v>
      </c>
      <c r="H1086" t="s">
        <v>434</v>
      </c>
      <c r="I1086" t="s">
        <v>32</v>
      </c>
      <c r="J1086" t="s">
        <v>77</v>
      </c>
      <c r="K1086">
        <f t="shared" si="3309"/>
        <v>1</v>
      </c>
      <c r="L1086">
        <f t="shared" si="3310"/>
        <v>1</v>
      </c>
      <c r="M1086">
        <f t="shared" si="3311"/>
        <v>1</v>
      </c>
      <c r="N1086">
        <f t="shared" si="3312"/>
        <v>1</v>
      </c>
      <c r="O1086">
        <f t="shared" si="3303"/>
        <v>4</v>
      </c>
      <c r="P1086" t="str">
        <f t="shared" si="3313"/>
        <v>Large centralized electrolysis-Marginal abatement cost</v>
      </c>
      <c r="Q1086" t="str">
        <f t="shared" si="3314"/>
        <v>Central gas storage-Marginal abatement cost</v>
      </c>
      <c r="R1086" t="str">
        <f t="shared" si="3315"/>
        <v>Hydrogen transmission &amp; distribution pipeline-Marginal abatement cost</v>
      </c>
      <c r="S1086" t="str">
        <f t="shared" si="3316"/>
        <v>District-CHP with H2 fuel cell (heat)-Marginal abatement cost</v>
      </c>
      <c r="T1086">
        <f>IFERROR(VLOOKUP($P1086,'TA database'!$I$8:$J$79,2,FALSE),0)</f>
        <v>0</v>
      </c>
      <c r="U1086">
        <f>IFERROR(VLOOKUP($Q1086,'TA database'!$I$86:$J$105,2,FALSE),0)</f>
        <v>0</v>
      </c>
      <c r="V1086">
        <f>IFERROR(VLOOKUP($R1086,'TA database'!$I$112:$J$139,2,FALSE),0)</f>
        <v>0</v>
      </c>
      <c r="W1086">
        <f ca="1">IFERROR(VLOOKUP($S1086,'TA database'!$I$146:$J$193,2,FALSE),0)</f>
        <v>279.92840088936202</v>
      </c>
      <c r="X1086">
        <f>IFERROR(VLOOKUP($S1086,'TA database'!$I$200:$J$271,2,FALSE),0)</f>
        <v>0</v>
      </c>
      <c r="Y1086" s="59">
        <f t="shared" ca="1" si="3304"/>
        <v>279.92840088936202</v>
      </c>
      <c r="Z1086" t="str">
        <f t="shared" si="3305"/>
        <v>ELCTRLYZ_LRG_C   →   C_GAS_STRG   →   H2_T&amp;D_P   →   H2_FC_DCHP_HEAT</v>
      </c>
      <c r="AA1086" t="str">
        <f t="shared" si="3306"/>
        <v>Building heat</v>
      </c>
      <c r="AB1086" t="str">
        <f t="shared" si="3307"/>
        <v>Marginal abatement cost</v>
      </c>
      <c r="AC1086">
        <f t="shared" ca="1" si="3308"/>
        <v>279.92840088936202</v>
      </c>
      <c r="AD1086">
        <v>1027</v>
      </c>
      <c r="AE1086" t="str">
        <f>IF(AND(ISNUMBER(SEARCH(O1086,4)),ISNUMBER(SEARCH('(4) FCH pathway assessment'!$B$16,AB1086)),ISNUMBER(SEARCH('(4) FCH pathway assessment'!$B$10,AA1086))),AD1086,"")</f>
        <v/>
      </c>
      <c r="AF1086" t="str">
        <f t="shared" si="3317"/>
        <v/>
      </c>
      <c r="AG1086" t="str">
        <f>VLOOKUP(C1086,Assumptions!$B$116:$C$162,2,FALSE)</f>
        <v>ELCTRLYZ_LRG_C</v>
      </c>
      <c r="AH1086" t="str">
        <f>VLOOKUP(D1086,Assumptions!$B$116:$C$162,2,FALSE)</f>
        <v>C_GAS_STRG</v>
      </c>
      <c r="AI1086" t="str">
        <f>VLOOKUP(E1086,Assumptions!$B$116:$C$162,2,FALSE)</f>
        <v>H2_T&amp;D_P</v>
      </c>
      <c r="AJ1086" t="str">
        <f>VLOOKUP(F1086,Assumptions!$B$116:$C$162,2,FALSE)</f>
        <v>H2_FC_DCHP_HEAT</v>
      </c>
    </row>
    <row r="1087" spans="2:36" x14ac:dyDescent="0.25">
      <c r="B1087" t="s">
        <v>112</v>
      </c>
      <c r="C1087" t="s">
        <v>49</v>
      </c>
      <c r="D1087" t="s">
        <v>155</v>
      </c>
      <c r="E1087" t="s">
        <v>116</v>
      </c>
      <c r="F1087" t="s">
        <v>552</v>
      </c>
      <c r="G1087" t="s">
        <v>132</v>
      </c>
      <c r="H1087" t="s">
        <v>434</v>
      </c>
      <c r="I1087" t="s">
        <v>32</v>
      </c>
      <c r="J1087" t="s">
        <v>77</v>
      </c>
      <c r="K1087">
        <f t="shared" si="3309"/>
        <v>1</v>
      </c>
      <c r="L1087">
        <f t="shared" si="3310"/>
        <v>1</v>
      </c>
      <c r="M1087">
        <f t="shared" si="3311"/>
        <v>1</v>
      </c>
      <c r="N1087">
        <f t="shared" si="3312"/>
        <v>1</v>
      </c>
      <c r="O1087">
        <f t="shared" si="3303"/>
        <v>4</v>
      </c>
      <c r="P1087" t="str">
        <f t="shared" si="3313"/>
        <v>Large centralized electrolysis-Marginal abatement cost</v>
      </c>
      <c r="Q1087" t="str">
        <f t="shared" si="3314"/>
        <v>Central gas storage-Marginal abatement cost</v>
      </c>
      <c r="R1087" t="str">
        <f t="shared" si="3315"/>
        <v>Liquid hydrogen truck-Marginal abatement cost</v>
      </c>
      <c r="S1087" t="str">
        <f t="shared" si="3316"/>
        <v>District-CHP with H2 fuel cell (heat)-Marginal abatement cost</v>
      </c>
      <c r="T1087">
        <f>IFERROR(VLOOKUP($P1087,'TA database'!$I$8:$J$79,2,FALSE),0)</f>
        <v>0</v>
      </c>
      <c r="U1087">
        <f>IFERROR(VLOOKUP($Q1087,'TA database'!$I$86:$J$105,2,FALSE),0)</f>
        <v>0</v>
      </c>
      <c r="V1087">
        <f>IFERROR(VLOOKUP($R1087,'TA database'!$I$112:$J$139,2,FALSE),0)</f>
        <v>0</v>
      </c>
      <c r="W1087">
        <f ca="1">IFERROR(VLOOKUP($S1087,'TA database'!$I$146:$J$193,2,FALSE),0)</f>
        <v>279.92840088936202</v>
      </c>
      <c r="X1087">
        <f>IFERROR(VLOOKUP($S1087,'TA database'!$I$200:$J$271,2,FALSE),0)</f>
        <v>0</v>
      </c>
      <c r="Y1087" s="59">
        <f t="shared" ca="1" si="3304"/>
        <v>279.92840088936202</v>
      </c>
      <c r="Z1087" t="str">
        <f t="shared" si="3305"/>
        <v>ELCTRLYZ_LRG_C   →   C_GAS_STRG   →   LQ_TRUCK   →   H2_FC_DCHP_HEAT</v>
      </c>
      <c r="AA1087" t="str">
        <f t="shared" si="3306"/>
        <v>Building heat</v>
      </c>
      <c r="AB1087" t="str">
        <f t="shared" si="3307"/>
        <v>Marginal abatement cost</v>
      </c>
      <c r="AC1087">
        <f t="shared" ca="1" si="3308"/>
        <v>279.92840088936202</v>
      </c>
      <c r="AD1087">
        <v>1028</v>
      </c>
      <c r="AE1087" t="str">
        <f>IF(AND(ISNUMBER(SEARCH(O1087,4)),ISNUMBER(SEARCH('(4) FCH pathway assessment'!$B$16,AB1087)),ISNUMBER(SEARCH('(4) FCH pathway assessment'!$B$10,AA1087))),AD1087,"")</f>
        <v/>
      </c>
      <c r="AF1087" t="str">
        <f t="shared" si="3317"/>
        <v/>
      </c>
      <c r="AG1087" t="str">
        <f>VLOOKUP(C1087,Assumptions!$B$116:$C$162,2,FALSE)</f>
        <v>ELCTRLYZ_LRG_C</v>
      </c>
      <c r="AH1087" t="str">
        <f>VLOOKUP(D1087,Assumptions!$B$116:$C$162,2,FALSE)</f>
        <v>C_GAS_STRG</v>
      </c>
      <c r="AI1087" t="str">
        <f>VLOOKUP(E1087,Assumptions!$B$116:$C$162,2,FALSE)</f>
        <v>LQ_TRUCK</v>
      </c>
      <c r="AJ1087" t="str">
        <f>VLOOKUP(F1087,Assumptions!$B$116:$C$162,2,FALSE)</f>
        <v>H2_FC_DCHP_HEAT</v>
      </c>
    </row>
    <row r="1088" spans="2:36" x14ac:dyDescent="0.25">
      <c r="B1088" t="s">
        <v>112</v>
      </c>
      <c r="C1088" t="s">
        <v>49</v>
      </c>
      <c r="D1088" t="s">
        <v>155</v>
      </c>
      <c r="E1088" t="s">
        <v>66</v>
      </c>
      <c r="F1088" t="s">
        <v>552</v>
      </c>
      <c r="G1088" t="s">
        <v>132</v>
      </c>
      <c r="H1088" t="s">
        <v>434</v>
      </c>
      <c r="I1088" t="s">
        <v>32</v>
      </c>
      <c r="J1088" t="s">
        <v>77</v>
      </c>
      <c r="K1088">
        <f t="shared" si="3309"/>
        <v>1</v>
      </c>
      <c r="L1088">
        <f t="shared" si="3310"/>
        <v>1</v>
      </c>
      <c r="M1088">
        <f t="shared" si="3311"/>
        <v>1</v>
      </c>
      <c r="N1088">
        <f t="shared" si="3312"/>
        <v>1</v>
      </c>
      <c r="O1088">
        <f t="shared" si="3303"/>
        <v>4</v>
      </c>
      <c r="P1088" t="str">
        <f t="shared" si="3313"/>
        <v>Large centralized electrolysis-Marginal abatement cost</v>
      </c>
      <c r="Q1088" t="str">
        <f t="shared" si="3314"/>
        <v>Central gas storage-Marginal abatement cost</v>
      </c>
      <c r="R1088" t="str">
        <f t="shared" si="3315"/>
        <v>Onsite-Marginal abatement cost</v>
      </c>
      <c r="S1088" t="str">
        <f t="shared" si="3316"/>
        <v>District-CHP with H2 fuel cell (heat)-Marginal abatement cost</v>
      </c>
      <c r="T1088">
        <f>IFERROR(VLOOKUP($P1088,'TA database'!$I$8:$J$79,2,FALSE),0)</f>
        <v>0</v>
      </c>
      <c r="U1088">
        <f>IFERROR(VLOOKUP($Q1088,'TA database'!$I$86:$J$105,2,FALSE),0)</f>
        <v>0</v>
      </c>
      <c r="V1088">
        <f>IFERROR(VLOOKUP($R1088,'TA database'!$I$112:$J$139,2,FALSE),0)</f>
        <v>0</v>
      </c>
      <c r="W1088">
        <f ca="1">IFERROR(VLOOKUP($S1088,'TA database'!$I$146:$J$193,2,FALSE),0)</f>
        <v>279.92840088936202</v>
      </c>
      <c r="X1088">
        <f>IFERROR(VLOOKUP($S1088,'TA database'!$I$200:$J$271,2,FALSE),0)</f>
        <v>0</v>
      </c>
      <c r="Y1088" s="59">
        <f t="shared" ca="1" si="3304"/>
        <v>279.92840088936202</v>
      </c>
      <c r="Z1088" t="str">
        <f t="shared" si="3305"/>
        <v>ELCTRLYZ_LRG_C   →   C_GAS_STRG   →   ONSITE_USE   →   H2_FC_DCHP_HEAT</v>
      </c>
      <c r="AA1088" t="str">
        <f t="shared" si="3306"/>
        <v>Building heat</v>
      </c>
      <c r="AB1088" t="str">
        <f t="shared" si="3307"/>
        <v>Marginal abatement cost</v>
      </c>
      <c r="AC1088">
        <f t="shared" ca="1" si="3308"/>
        <v>279.92840088936202</v>
      </c>
      <c r="AD1088">
        <v>1029</v>
      </c>
      <c r="AE1088" t="str">
        <f>IF(AND(ISNUMBER(SEARCH(O1088,4)),ISNUMBER(SEARCH('(4) FCH pathway assessment'!$B$16,AB1088)),ISNUMBER(SEARCH('(4) FCH pathway assessment'!$B$10,AA1088))),AD1088,"")</f>
        <v/>
      </c>
      <c r="AF1088" t="str">
        <f t="shared" si="3317"/>
        <v/>
      </c>
      <c r="AG1088" t="str">
        <f>VLOOKUP(C1088,Assumptions!$B$116:$C$162,2,FALSE)</f>
        <v>ELCTRLYZ_LRG_C</v>
      </c>
      <c r="AH1088" t="str">
        <f>VLOOKUP(D1088,Assumptions!$B$116:$C$162,2,FALSE)</f>
        <v>C_GAS_STRG</v>
      </c>
      <c r="AI1088" t="str">
        <f>VLOOKUP(E1088,Assumptions!$B$116:$C$162,2,FALSE)</f>
        <v>ONSITE_USE</v>
      </c>
      <c r="AJ1088" t="str">
        <f>VLOOKUP(F1088,Assumptions!$B$116:$C$162,2,FALSE)</f>
        <v>H2_FC_DCHP_HEAT</v>
      </c>
    </row>
    <row r="1089" spans="2:36" x14ac:dyDescent="0.25">
      <c r="B1089" t="s">
        <v>112</v>
      </c>
      <c r="C1089" t="s">
        <v>51</v>
      </c>
      <c r="D1089" t="s">
        <v>155</v>
      </c>
      <c r="E1089" t="s">
        <v>157</v>
      </c>
      <c r="F1089" t="s">
        <v>552</v>
      </c>
      <c r="G1089" t="s">
        <v>132</v>
      </c>
      <c r="H1089" t="s">
        <v>434</v>
      </c>
      <c r="I1089" t="s">
        <v>32</v>
      </c>
      <c r="J1089" t="s">
        <v>77</v>
      </c>
      <c r="K1089">
        <f t="shared" si="3309"/>
        <v>1</v>
      </c>
      <c r="L1089">
        <f t="shared" si="3310"/>
        <v>1</v>
      </c>
      <c r="M1089">
        <f t="shared" si="3311"/>
        <v>0</v>
      </c>
      <c r="N1089">
        <f t="shared" si="3312"/>
        <v>1</v>
      </c>
      <c r="O1089">
        <f t="shared" si="3303"/>
        <v>3</v>
      </c>
      <c r="P1089" t="str">
        <f t="shared" si="3313"/>
        <v>Medium centralized electrolysis-Marginal abatement cost</v>
      </c>
      <c r="Q1089" t="str">
        <f t="shared" si="3314"/>
        <v>Central gas storage-Marginal abatement cost</v>
      </c>
      <c r="R1089" t="str">
        <f t="shared" si="3315"/>
        <v>Blending in natural gas pipeline-Marginal abatement cost</v>
      </c>
      <c r="S1089" t="str">
        <f t="shared" si="3316"/>
        <v>District-CHP with H2 fuel cell (heat)-Marginal abatement cost</v>
      </c>
      <c r="T1089">
        <f>IFERROR(VLOOKUP($P1089,'TA database'!$I$8:$J$79,2,FALSE),0)</f>
        <v>0</v>
      </c>
      <c r="U1089">
        <f>IFERROR(VLOOKUP($Q1089,'TA database'!$I$86:$J$105,2,FALSE),0)</f>
        <v>0</v>
      </c>
      <c r="V1089">
        <f>IFERROR(VLOOKUP($R1089,'TA database'!$I$112:$J$139,2,FALSE),0)</f>
        <v>0</v>
      </c>
      <c r="W1089">
        <f ca="1">IFERROR(VLOOKUP($S1089,'TA database'!$I$146:$J$193,2,FALSE),0)</f>
        <v>279.92840088936202</v>
      </c>
      <c r="X1089">
        <f>IFERROR(VLOOKUP($S1089,'TA database'!$I$200:$J$271,2,FALSE),0)</f>
        <v>0</v>
      </c>
      <c r="Y1089" s="59">
        <f t="shared" ca="1" si="3304"/>
        <v>279.92840088936202</v>
      </c>
      <c r="Z1089" t="str">
        <f t="shared" si="3305"/>
        <v>ELCTRLYZ_MED_C   →   C_GAS_STRG   →   H2_BLND_NG_P   →   H2_FC_DCHP_HEAT</v>
      </c>
      <c r="AA1089" t="str">
        <f t="shared" si="3306"/>
        <v>Building heat</v>
      </c>
      <c r="AB1089" t="str">
        <f t="shared" si="3307"/>
        <v>Marginal abatement cost</v>
      </c>
      <c r="AC1089">
        <f t="shared" ca="1" si="3308"/>
        <v>279.92840088936202</v>
      </c>
      <c r="AD1089">
        <v>1030</v>
      </c>
      <c r="AE1089" t="str">
        <f>IF(AND(ISNUMBER(SEARCH(O1089,4)),ISNUMBER(SEARCH('(4) FCH pathway assessment'!$B$16,AB1089)),ISNUMBER(SEARCH('(4) FCH pathway assessment'!$B$10,AA1089))),AD1089,"")</f>
        <v/>
      </c>
      <c r="AF1089" t="str">
        <f t="shared" si="3317"/>
        <v/>
      </c>
      <c r="AG1089" t="str">
        <f>VLOOKUP(C1089,Assumptions!$B$116:$C$162,2,FALSE)</f>
        <v>ELCTRLYZ_MED_C</v>
      </c>
      <c r="AH1089" t="str">
        <f>VLOOKUP(D1089,Assumptions!$B$116:$C$162,2,FALSE)</f>
        <v>C_GAS_STRG</v>
      </c>
      <c r="AI1089" t="str">
        <f>VLOOKUP(E1089,Assumptions!$B$116:$C$162,2,FALSE)</f>
        <v>H2_BLND_NG_P</v>
      </c>
      <c r="AJ1089" t="str">
        <f>VLOOKUP(F1089,Assumptions!$B$116:$C$162,2,FALSE)</f>
        <v>H2_FC_DCHP_HEAT</v>
      </c>
    </row>
    <row r="1090" spans="2:36" x14ac:dyDescent="0.25">
      <c r="B1090" t="s">
        <v>112</v>
      </c>
      <c r="C1090" t="s">
        <v>51</v>
      </c>
      <c r="D1090" t="s">
        <v>155</v>
      </c>
      <c r="E1090" t="s">
        <v>122</v>
      </c>
      <c r="F1090" t="s">
        <v>552</v>
      </c>
      <c r="G1090" t="s">
        <v>132</v>
      </c>
      <c r="H1090" t="s">
        <v>434</v>
      </c>
      <c r="I1090" t="s">
        <v>32</v>
      </c>
      <c r="J1090" t="s">
        <v>77</v>
      </c>
      <c r="K1090">
        <f t="shared" si="3309"/>
        <v>1</v>
      </c>
      <c r="L1090">
        <f t="shared" si="3310"/>
        <v>1</v>
      </c>
      <c r="M1090">
        <f t="shared" si="3311"/>
        <v>1</v>
      </c>
      <c r="N1090">
        <f t="shared" si="3312"/>
        <v>1</v>
      </c>
      <c r="O1090">
        <f t="shared" si="3303"/>
        <v>4</v>
      </c>
      <c r="P1090" t="str">
        <f t="shared" si="3313"/>
        <v>Medium centralized electrolysis-Marginal abatement cost</v>
      </c>
      <c r="Q1090" t="str">
        <f t="shared" si="3314"/>
        <v>Central gas storage-Marginal abatement cost</v>
      </c>
      <c r="R1090" t="str">
        <f t="shared" si="3315"/>
        <v>Hydrogen transmission &amp; distribution pipeline-Marginal abatement cost</v>
      </c>
      <c r="S1090" t="str">
        <f t="shared" si="3316"/>
        <v>District-CHP with H2 fuel cell (heat)-Marginal abatement cost</v>
      </c>
      <c r="T1090">
        <f>IFERROR(VLOOKUP($P1090,'TA database'!$I$8:$J$79,2,FALSE),0)</f>
        <v>0</v>
      </c>
      <c r="U1090">
        <f>IFERROR(VLOOKUP($Q1090,'TA database'!$I$86:$J$105,2,FALSE),0)</f>
        <v>0</v>
      </c>
      <c r="V1090">
        <f>IFERROR(VLOOKUP($R1090,'TA database'!$I$112:$J$139,2,FALSE),0)</f>
        <v>0</v>
      </c>
      <c r="W1090">
        <f ca="1">IFERROR(VLOOKUP($S1090,'TA database'!$I$146:$J$193,2,FALSE),0)</f>
        <v>279.92840088936202</v>
      </c>
      <c r="X1090">
        <f>IFERROR(VLOOKUP($S1090,'TA database'!$I$200:$J$271,2,FALSE),0)</f>
        <v>0</v>
      </c>
      <c r="Y1090" s="59">
        <f t="shared" ca="1" si="3304"/>
        <v>279.92840088936202</v>
      </c>
      <c r="Z1090" t="str">
        <f t="shared" si="3305"/>
        <v>ELCTRLYZ_MED_C   →   C_GAS_STRG   →   H2_T&amp;D_P   →   H2_FC_DCHP_HEAT</v>
      </c>
      <c r="AA1090" t="str">
        <f t="shared" si="3306"/>
        <v>Building heat</v>
      </c>
      <c r="AB1090" t="str">
        <f t="shared" si="3307"/>
        <v>Marginal abatement cost</v>
      </c>
      <c r="AC1090">
        <f t="shared" ca="1" si="3308"/>
        <v>279.92840088936202</v>
      </c>
      <c r="AD1090">
        <v>1031</v>
      </c>
      <c r="AE1090" t="str">
        <f>IF(AND(ISNUMBER(SEARCH(O1090,4)),ISNUMBER(SEARCH('(4) FCH pathway assessment'!$B$16,AB1090)),ISNUMBER(SEARCH('(4) FCH pathway assessment'!$B$10,AA1090))),AD1090,"")</f>
        <v/>
      </c>
      <c r="AF1090" t="str">
        <f t="shared" si="3317"/>
        <v/>
      </c>
      <c r="AG1090" t="str">
        <f>VLOOKUP(C1090,Assumptions!$B$116:$C$162,2,FALSE)</f>
        <v>ELCTRLYZ_MED_C</v>
      </c>
      <c r="AH1090" t="str">
        <f>VLOOKUP(D1090,Assumptions!$B$116:$C$162,2,FALSE)</f>
        <v>C_GAS_STRG</v>
      </c>
      <c r="AI1090" t="str">
        <f>VLOOKUP(E1090,Assumptions!$B$116:$C$162,2,FALSE)</f>
        <v>H2_T&amp;D_P</v>
      </c>
      <c r="AJ1090" t="str">
        <f>VLOOKUP(F1090,Assumptions!$B$116:$C$162,2,FALSE)</f>
        <v>H2_FC_DCHP_HEAT</v>
      </c>
    </row>
    <row r="1091" spans="2:36" x14ac:dyDescent="0.25">
      <c r="B1091" t="s">
        <v>112</v>
      </c>
      <c r="C1091" t="s">
        <v>51</v>
      </c>
      <c r="D1091" t="s">
        <v>155</v>
      </c>
      <c r="E1091" t="s">
        <v>116</v>
      </c>
      <c r="F1091" t="s">
        <v>552</v>
      </c>
      <c r="G1091" t="s">
        <v>132</v>
      </c>
      <c r="H1091" t="s">
        <v>434</v>
      </c>
      <c r="I1091" t="s">
        <v>32</v>
      </c>
      <c r="J1091" t="s">
        <v>77</v>
      </c>
      <c r="K1091">
        <f t="shared" si="3309"/>
        <v>1</v>
      </c>
      <c r="L1091">
        <f t="shared" si="3310"/>
        <v>1</v>
      </c>
      <c r="M1091">
        <f t="shared" si="3311"/>
        <v>1</v>
      </c>
      <c r="N1091">
        <f t="shared" si="3312"/>
        <v>1</v>
      </c>
      <c r="O1091">
        <f t="shared" si="3303"/>
        <v>4</v>
      </c>
      <c r="P1091" t="str">
        <f t="shared" si="3313"/>
        <v>Medium centralized electrolysis-Marginal abatement cost</v>
      </c>
      <c r="Q1091" t="str">
        <f t="shared" si="3314"/>
        <v>Central gas storage-Marginal abatement cost</v>
      </c>
      <c r="R1091" t="str">
        <f t="shared" si="3315"/>
        <v>Liquid hydrogen truck-Marginal abatement cost</v>
      </c>
      <c r="S1091" t="str">
        <f t="shared" si="3316"/>
        <v>District-CHP with H2 fuel cell (heat)-Marginal abatement cost</v>
      </c>
      <c r="T1091">
        <f>IFERROR(VLOOKUP($P1091,'TA database'!$I$8:$J$79,2,FALSE),0)</f>
        <v>0</v>
      </c>
      <c r="U1091">
        <f>IFERROR(VLOOKUP($Q1091,'TA database'!$I$86:$J$105,2,FALSE),0)</f>
        <v>0</v>
      </c>
      <c r="V1091">
        <f>IFERROR(VLOOKUP($R1091,'TA database'!$I$112:$J$139,2,FALSE),0)</f>
        <v>0</v>
      </c>
      <c r="W1091">
        <f ca="1">IFERROR(VLOOKUP($S1091,'TA database'!$I$146:$J$193,2,FALSE),0)</f>
        <v>279.92840088936202</v>
      </c>
      <c r="X1091">
        <f>IFERROR(VLOOKUP($S1091,'TA database'!$I$200:$J$271,2,FALSE),0)</f>
        <v>0</v>
      </c>
      <c r="Y1091" s="59">
        <f t="shared" ca="1" si="3304"/>
        <v>279.92840088936202</v>
      </c>
      <c r="Z1091" t="str">
        <f t="shared" si="3305"/>
        <v>ELCTRLYZ_MED_C   →   C_GAS_STRG   →   LQ_TRUCK   →   H2_FC_DCHP_HEAT</v>
      </c>
      <c r="AA1091" t="str">
        <f t="shared" si="3306"/>
        <v>Building heat</v>
      </c>
      <c r="AB1091" t="str">
        <f t="shared" si="3307"/>
        <v>Marginal abatement cost</v>
      </c>
      <c r="AC1091">
        <f t="shared" ca="1" si="3308"/>
        <v>279.92840088936202</v>
      </c>
      <c r="AD1091">
        <v>1032</v>
      </c>
      <c r="AE1091" t="str">
        <f>IF(AND(ISNUMBER(SEARCH(O1091,4)),ISNUMBER(SEARCH('(4) FCH pathway assessment'!$B$16,AB1091)),ISNUMBER(SEARCH('(4) FCH pathway assessment'!$B$10,AA1091))),AD1091,"")</f>
        <v/>
      </c>
      <c r="AF1091" t="str">
        <f t="shared" si="3317"/>
        <v/>
      </c>
      <c r="AG1091" t="str">
        <f>VLOOKUP(C1091,Assumptions!$B$116:$C$162,2,FALSE)</f>
        <v>ELCTRLYZ_MED_C</v>
      </c>
      <c r="AH1091" t="str">
        <f>VLOOKUP(D1091,Assumptions!$B$116:$C$162,2,FALSE)</f>
        <v>C_GAS_STRG</v>
      </c>
      <c r="AI1091" t="str">
        <f>VLOOKUP(E1091,Assumptions!$B$116:$C$162,2,FALSE)</f>
        <v>LQ_TRUCK</v>
      </c>
      <c r="AJ1091" t="str">
        <f>VLOOKUP(F1091,Assumptions!$B$116:$C$162,2,FALSE)</f>
        <v>H2_FC_DCHP_HEAT</v>
      </c>
    </row>
    <row r="1092" spans="2:36" x14ac:dyDescent="0.25">
      <c r="B1092" t="s">
        <v>112</v>
      </c>
      <c r="C1092" t="s">
        <v>51</v>
      </c>
      <c r="D1092" t="s">
        <v>155</v>
      </c>
      <c r="E1092" t="s">
        <v>66</v>
      </c>
      <c r="F1092" t="s">
        <v>552</v>
      </c>
      <c r="G1092" t="s">
        <v>132</v>
      </c>
      <c r="H1092" t="s">
        <v>434</v>
      </c>
      <c r="I1092" t="s">
        <v>32</v>
      </c>
      <c r="J1092" t="s">
        <v>77</v>
      </c>
      <c r="K1092">
        <f t="shared" si="3309"/>
        <v>1</v>
      </c>
      <c r="L1092">
        <f t="shared" si="3310"/>
        <v>1</v>
      </c>
      <c r="M1092">
        <f t="shared" si="3311"/>
        <v>1</v>
      </c>
      <c r="N1092">
        <f t="shared" si="3312"/>
        <v>1</v>
      </c>
      <c r="O1092">
        <f t="shared" si="3303"/>
        <v>4</v>
      </c>
      <c r="P1092" t="str">
        <f t="shared" si="3313"/>
        <v>Medium centralized electrolysis-Marginal abatement cost</v>
      </c>
      <c r="Q1092" t="str">
        <f t="shared" si="3314"/>
        <v>Central gas storage-Marginal abatement cost</v>
      </c>
      <c r="R1092" t="str">
        <f t="shared" si="3315"/>
        <v>Onsite-Marginal abatement cost</v>
      </c>
      <c r="S1092" t="str">
        <f t="shared" si="3316"/>
        <v>District-CHP with H2 fuel cell (heat)-Marginal abatement cost</v>
      </c>
      <c r="T1092">
        <f>IFERROR(VLOOKUP($P1092,'TA database'!$I$8:$J$79,2,FALSE),0)</f>
        <v>0</v>
      </c>
      <c r="U1092">
        <f>IFERROR(VLOOKUP($Q1092,'TA database'!$I$86:$J$105,2,FALSE),0)</f>
        <v>0</v>
      </c>
      <c r="V1092">
        <f>IFERROR(VLOOKUP($R1092,'TA database'!$I$112:$J$139,2,FALSE),0)</f>
        <v>0</v>
      </c>
      <c r="W1092">
        <f ca="1">IFERROR(VLOOKUP($S1092,'TA database'!$I$146:$J$193,2,FALSE),0)</f>
        <v>279.92840088936202</v>
      </c>
      <c r="X1092">
        <f>IFERROR(VLOOKUP($S1092,'TA database'!$I$200:$J$271,2,FALSE),0)</f>
        <v>0</v>
      </c>
      <c r="Y1092" s="59">
        <f t="shared" ca="1" si="3304"/>
        <v>279.92840088936202</v>
      </c>
      <c r="Z1092" t="str">
        <f t="shared" si="3305"/>
        <v>ELCTRLYZ_MED_C   →   C_GAS_STRG   →   ONSITE_USE   →   H2_FC_DCHP_HEAT</v>
      </c>
      <c r="AA1092" t="str">
        <f t="shared" si="3306"/>
        <v>Building heat</v>
      </c>
      <c r="AB1092" t="str">
        <f t="shared" si="3307"/>
        <v>Marginal abatement cost</v>
      </c>
      <c r="AC1092">
        <f t="shared" ca="1" si="3308"/>
        <v>279.92840088936202</v>
      </c>
      <c r="AD1092">
        <v>1033</v>
      </c>
      <c r="AE1092" t="str">
        <f>IF(AND(ISNUMBER(SEARCH(O1092,4)),ISNUMBER(SEARCH('(4) FCH pathway assessment'!$B$16,AB1092)),ISNUMBER(SEARCH('(4) FCH pathway assessment'!$B$10,AA1092))),AD1092,"")</f>
        <v/>
      </c>
      <c r="AF1092" t="str">
        <f t="shared" si="3317"/>
        <v/>
      </c>
      <c r="AG1092" t="str">
        <f>VLOOKUP(C1092,Assumptions!$B$116:$C$162,2,FALSE)</f>
        <v>ELCTRLYZ_MED_C</v>
      </c>
      <c r="AH1092" t="str">
        <f>VLOOKUP(D1092,Assumptions!$B$116:$C$162,2,FALSE)</f>
        <v>C_GAS_STRG</v>
      </c>
      <c r="AI1092" t="str">
        <f>VLOOKUP(E1092,Assumptions!$B$116:$C$162,2,FALSE)</f>
        <v>ONSITE_USE</v>
      </c>
      <c r="AJ1092" t="str">
        <f>VLOOKUP(F1092,Assumptions!$B$116:$C$162,2,FALSE)</f>
        <v>H2_FC_DCHP_HEAT</v>
      </c>
    </row>
    <row r="1093" spans="2:36" x14ac:dyDescent="0.25">
      <c r="B1093" t="s">
        <v>112</v>
      </c>
      <c r="C1093" t="s">
        <v>52</v>
      </c>
      <c r="D1093" s="60" t="s">
        <v>130</v>
      </c>
      <c r="E1093" t="s">
        <v>66</v>
      </c>
      <c r="F1093" t="s">
        <v>552</v>
      </c>
      <c r="G1093" t="s">
        <v>132</v>
      </c>
      <c r="H1093" t="s">
        <v>434</v>
      </c>
      <c r="I1093" t="s">
        <v>32</v>
      </c>
      <c r="J1093" t="s">
        <v>77</v>
      </c>
      <c r="K1093">
        <f t="shared" ref="K1093:K1097" si="3318">SUMPRODUCT(($C$7:$C$18=$C1093)*($D$6:$H$6=$D1093)*($D$7:$H$18))</f>
        <v>1</v>
      </c>
      <c r="L1093">
        <f t="shared" ref="L1093:L1097" si="3319">SUMPRODUCT(($C$19:$C$23=$D1093)*($I$6:$O$6=$E1093)*($I$19:$O$23))</f>
        <v>1</v>
      </c>
      <c r="M1093">
        <f t="shared" ref="M1093:M1097" si="3320">SUMPRODUCT(($C$24:$C$30=$E1093)*($P$6:$AI$6=$F1093)*($P$24:$AI$30))</f>
        <v>1</v>
      </c>
      <c r="N1093">
        <f t="shared" ref="N1093:N1097" si="3321">SUMPRODUCT(($C$31:$C$50=$F1093)*($AJ$6:$AM$6=$G1093)*($AJ$31:$AM$50))</f>
        <v>1</v>
      </c>
      <c r="O1093">
        <f t="shared" ref="O1093:O1097" si="3322">K1093+L1093+M1093+N1093</f>
        <v>4</v>
      </c>
      <c r="P1093" t="str">
        <f t="shared" ref="P1093:P1097" si="3323">CONCATENATE(C1093,"-",J1093)</f>
        <v>Small decentralized electrolysis-Marginal abatement cost</v>
      </c>
      <c r="Q1093" t="str">
        <f t="shared" ref="Q1093:Q1097" si="3324">CONCATENATE(D1093,"-",J1093)</f>
        <v>Distributed gas storage-Marginal abatement cost</v>
      </c>
      <c r="R1093" t="str">
        <f t="shared" ref="R1093:R1097" si="3325">CONCATENATE(E1093,"-",J1093)</f>
        <v>Onsite-Marginal abatement cost</v>
      </c>
      <c r="S1093" t="str">
        <f t="shared" ref="S1093:S1097" si="3326">CONCATENATE(F1093,"-",J1093)</f>
        <v>District-CHP with H2 fuel cell (heat)-Marginal abatement cost</v>
      </c>
      <c r="T1093">
        <f>IFERROR(VLOOKUP($P1093,'TA database'!$I$8:$J$79,2,FALSE),0)</f>
        <v>0</v>
      </c>
      <c r="U1093">
        <f>IFERROR(VLOOKUP($Q1093,'TA database'!$I$86:$J$105,2,FALSE),0)</f>
        <v>0</v>
      </c>
      <c r="V1093">
        <f>IFERROR(VLOOKUP($R1093,'TA database'!$I$112:$J$139,2,FALSE),0)</f>
        <v>0</v>
      </c>
      <c r="W1093">
        <f ca="1">IFERROR(VLOOKUP($S1093,'TA database'!$I$146:$J$193,2,FALSE),0)</f>
        <v>279.92840088936202</v>
      </c>
      <c r="X1093">
        <f>IFERROR(VLOOKUP($S1093,'TA database'!$I$200:$J$271,2,FALSE),0)</f>
        <v>0</v>
      </c>
      <c r="Y1093" s="59">
        <f t="shared" ref="Y1093:Y1097" ca="1" si="3327">IF($W1093=0,T1093+U1093+V1093+X1093,T1093+U1093+V1093+W1093)</f>
        <v>279.92840088936202</v>
      </c>
      <c r="Z1093" t="str">
        <f t="shared" ref="Z1093:Z1097" si="3328">CONCATENATE(AG1093,"   →   ",AH1093,"   →   ",AI1093,"   →   ",AJ1093)</f>
        <v>ELCTRLYZ_SML_D   →   D_GAS_STRG   →   ONSITE_USE   →   H2_FC_DCHP_HEAT</v>
      </c>
      <c r="AA1093" t="str">
        <f t="shared" ref="AA1093:AA1097" si="3329">G1093</f>
        <v>Building heat</v>
      </c>
      <c r="AB1093" t="str">
        <f t="shared" ref="AB1093:AB1097" si="3330">J1093</f>
        <v>Marginal abatement cost</v>
      </c>
      <c r="AC1093">
        <f t="shared" ref="AC1093:AC1097" ca="1" si="3331">Y1093</f>
        <v>279.92840088936202</v>
      </c>
      <c r="AD1093">
        <v>1034</v>
      </c>
      <c r="AE1093" t="str">
        <f>IF(AND(ISNUMBER(SEARCH(O1093,4)),ISNUMBER(SEARCH('(4) FCH pathway assessment'!$B$16,AB1093)),ISNUMBER(SEARCH('(4) FCH pathway assessment'!$B$10,AA1093))),AD1093,"")</f>
        <v/>
      </c>
      <c r="AF1093" t="str">
        <f t="shared" si="3317"/>
        <v/>
      </c>
      <c r="AG1093" t="str">
        <f>VLOOKUP(C1093,Assumptions!$B$116:$C$162,2,FALSE)</f>
        <v>ELCTRLYZ_SML_D</v>
      </c>
      <c r="AH1093" t="str">
        <f>VLOOKUP(D1093,Assumptions!$B$116:$C$162,2,FALSE)</f>
        <v>D_GAS_STRG</v>
      </c>
      <c r="AI1093" t="str">
        <f>VLOOKUP(E1093,Assumptions!$B$116:$C$162,2,FALSE)</f>
        <v>ONSITE_USE</v>
      </c>
      <c r="AJ1093" t="str">
        <f>VLOOKUP(F1093,Assumptions!$B$116:$C$162,2,FALSE)</f>
        <v>H2_FC_DCHP_HEAT</v>
      </c>
    </row>
    <row r="1094" spans="2:36" x14ac:dyDescent="0.25">
      <c r="B1094" t="s">
        <v>127</v>
      </c>
      <c r="C1094" t="s">
        <v>57</v>
      </c>
      <c r="D1094" t="s">
        <v>62</v>
      </c>
      <c r="E1094" t="s">
        <v>157</v>
      </c>
      <c r="F1094" t="s">
        <v>552</v>
      </c>
      <c r="G1094" t="s">
        <v>132</v>
      </c>
      <c r="H1094" t="s">
        <v>434</v>
      </c>
      <c r="I1094" t="s">
        <v>32</v>
      </c>
      <c r="J1094" t="s">
        <v>77</v>
      </c>
      <c r="K1094">
        <f t="shared" si="3318"/>
        <v>1</v>
      </c>
      <c r="L1094">
        <f t="shared" si="3319"/>
        <v>0</v>
      </c>
      <c r="M1094">
        <f t="shared" si="3320"/>
        <v>0</v>
      </c>
      <c r="N1094">
        <f t="shared" si="3321"/>
        <v>1</v>
      </c>
      <c r="O1094">
        <f t="shared" si="3322"/>
        <v>2</v>
      </c>
      <c r="P1094" t="str">
        <f t="shared" si="3323"/>
        <v>Large centralized natural gas steam reforming-Marginal abatement cost</v>
      </c>
      <c r="Q1094" t="str">
        <f t="shared" si="3324"/>
        <v>Underground storage-Marginal abatement cost</v>
      </c>
      <c r="R1094" t="str">
        <f t="shared" si="3325"/>
        <v>Blending in natural gas pipeline-Marginal abatement cost</v>
      </c>
      <c r="S1094" t="str">
        <f t="shared" si="3326"/>
        <v>District-CHP with H2 fuel cell (heat)-Marginal abatement cost</v>
      </c>
      <c r="T1094">
        <f>IFERROR(VLOOKUP($P1094,'TA database'!$I$8:$J$79,2,FALSE),0)</f>
        <v>0</v>
      </c>
      <c r="U1094">
        <f>IFERROR(VLOOKUP($Q1094,'TA database'!$I$86:$J$105,2,FALSE),0)</f>
        <v>0</v>
      </c>
      <c r="V1094">
        <f>IFERROR(VLOOKUP($R1094,'TA database'!$I$112:$J$139,2,FALSE),0)</f>
        <v>0</v>
      </c>
      <c r="W1094">
        <f ca="1">IFERROR(VLOOKUP($S1094,'TA database'!$I$146:$J$193,2,FALSE),0)</f>
        <v>279.92840088936202</v>
      </c>
      <c r="X1094">
        <f>IFERROR(VLOOKUP($S1094,'TA database'!$I$200:$J$271,2,FALSE),0)</f>
        <v>0</v>
      </c>
      <c r="Y1094" s="59">
        <f t="shared" ca="1" si="3327"/>
        <v>279.92840088936202</v>
      </c>
      <c r="Z1094" t="str">
        <f t="shared" si="3328"/>
        <v>NG_SR_LRG_C   →   C_UNDRGRND_STRG   →   H2_BLND_NG_P   →   H2_FC_DCHP_HEAT</v>
      </c>
      <c r="AA1094" t="str">
        <f t="shared" si="3329"/>
        <v>Building heat</v>
      </c>
      <c r="AB1094" t="str">
        <f t="shared" si="3330"/>
        <v>Marginal abatement cost</v>
      </c>
      <c r="AC1094">
        <f t="shared" ca="1" si="3331"/>
        <v>279.92840088936202</v>
      </c>
      <c r="AD1094">
        <v>1035</v>
      </c>
      <c r="AE1094" t="str">
        <f>IF(AND(ISNUMBER(SEARCH(O1094,4)),ISNUMBER(SEARCH('(4) FCH pathway assessment'!$B$16,AB1094)),ISNUMBER(SEARCH('(4) FCH pathway assessment'!$B$10,AA1094))),AD1094,"")</f>
        <v/>
      </c>
      <c r="AF1094" t="str">
        <f t="shared" si="3317"/>
        <v/>
      </c>
      <c r="AG1094" t="str">
        <f>VLOOKUP(C1094,Assumptions!$B$116:$C$162,2,FALSE)</f>
        <v>NG_SR_LRG_C</v>
      </c>
      <c r="AH1094" t="str">
        <f>VLOOKUP(D1094,Assumptions!$B$116:$C$162,2,FALSE)</f>
        <v>C_UNDRGRND_STRG</v>
      </c>
      <c r="AI1094" t="str">
        <f>VLOOKUP(E1094,Assumptions!$B$116:$C$162,2,FALSE)</f>
        <v>H2_BLND_NG_P</v>
      </c>
      <c r="AJ1094" t="str">
        <f>VLOOKUP(F1094,Assumptions!$B$116:$C$162,2,FALSE)</f>
        <v>H2_FC_DCHP_HEAT</v>
      </c>
    </row>
    <row r="1095" spans="2:36" x14ac:dyDescent="0.25">
      <c r="B1095" t="s">
        <v>127</v>
      </c>
      <c r="C1095" t="s">
        <v>57</v>
      </c>
      <c r="D1095" t="s">
        <v>62</v>
      </c>
      <c r="E1095" t="s">
        <v>122</v>
      </c>
      <c r="F1095" t="s">
        <v>552</v>
      </c>
      <c r="G1095" t="s">
        <v>132</v>
      </c>
      <c r="H1095" t="s">
        <v>434</v>
      </c>
      <c r="I1095" t="s">
        <v>32</v>
      </c>
      <c r="J1095" t="s">
        <v>77</v>
      </c>
      <c r="K1095">
        <f t="shared" si="3318"/>
        <v>1</v>
      </c>
      <c r="L1095">
        <f t="shared" si="3319"/>
        <v>0</v>
      </c>
      <c r="M1095">
        <f t="shared" si="3320"/>
        <v>1</v>
      </c>
      <c r="N1095">
        <f t="shared" si="3321"/>
        <v>1</v>
      </c>
      <c r="O1095">
        <f t="shared" si="3322"/>
        <v>3</v>
      </c>
      <c r="P1095" t="str">
        <f t="shared" si="3323"/>
        <v>Large centralized natural gas steam reforming-Marginal abatement cost</v>
      </c>
      <c r="Q1095" t="str">
        <f t="shared" si="3324"/>
        <v>Underground storage-Marginal abatement cost</v>
      </c>
      <c r="R1095" t="str">
        <f t="shared" si="3325"/>
        <v>Hydrogen transmission &amp; distribution pipeline-Marginal abatement cost</v>
      </c>
      <c r="S1095" t="str">
        <f t="shared" si="3326"/>
        <v>District-CHP with H2 fuel cell (heat)-Marginal abatement cost</v>
      </c>
      <c r="T1095">
        <f>IFERROR(VLOOKUP($P1095,'TA database'!$I$8:$J$79,2,FALSE),0)</f>
        <v>0</v>
      </c>
      <c r="U1095">
        <f>IFERROR(VLOOKUP($Q1095,'TA database'!$I$86:$J$105,2,FALSE),0)</f>
        <v>0</v>
      </c>
      <c r="V1095">
        <f>IFERROR(VLOOKUP($R1095,'TA database'!$I$112:$J$139,2,FALSE),0)</f>
        <v>0</v>
      </c>
      <c r="W1095">
        <f ca="1">IFERROR(VLOOKUP($S1095,'TA database'!$I$146:$J$193,2,FALSE),0)</f>
        <v>279.92840088936202</v>
      </c>
      <c r="X1095">
        <f>IFERROR(VLOOKUP($S1095,'TA database'!$I$200:$J$271,2,FALSE),0)</f>
        <v>0</v>
      </c>
      <c r="Y1095" s="59">
        <f t="shared" ca="1" si="3327"/>
        <v>279.92840088936202</v>
      </c>
      <c r="Z1095" t="str">
        <f t="shared" si="3328"/>
        <v>NG_SR_LRG_C   →   C_UNDRGRND_STRG   →   H2_T&amp;D_P   →   H2_FC_DCHP_HEAT</v>
      </c>
      <c r="AA1095" t="str">
        <f t="shared" si="3329"/>
        <v>Building heat</v>
      </c>
      <c r="AB1095" t="str">
        <f t="shared" si="3330"/>
        <v>Marginal abatement cost</v>
      </c>
      <c r="AC1095">
        <f t="shared" ca="1" si="3331"/>
        <v>279.92840088936202</v>
      </c>
      <c r="AD1095">
        <v>1036</v>
      </c>
      <c r="AE1095" t="str">
        <f>IF(AND(ISNUMBER(SEARCH(O1095,4)),ISNUMBER(SEARCH('(4) FCH pathway assessment'!$B$16,AB1095)),ISNUMBER(SEARCH('(4) FCH pathway assessment'!$B$10,AA1095))),AD1095,"")</f>
        <v/>
      </c>
      <c r="AF1095" t="str">
        <f t="shared" si="3317"/>
        <v/>
      </c>
      <c r="AG1095" t="str">
        <f>VLOOKUP(C1095,Assumptions!$B$116:$C$162,2,FALSE)</f>
        <v>NG_SR_LRG_C</v>
      </c>
      <c r="AH1095" t="str">
        <f>VLOOKUP(D1095,Assumptions!$B$116:$C$162,2,FALSE)</f>
        <v>C_UNDRGRND_STRG</v>
      </c>
      <c r="AI1095" t="str">
        <f>VLOOKUP(E1095,Assumptions!$B$116:$C$162,2,FALSE)</f>
        <v>H2_T&amp;D_P</v>
      </c>
      <c r="AJ1095" t="str">
        <f>VLOOKUP(F1095,Assumptions!$B$116:$C$162,2,FALSE)</f>
        <v>H2_FC_DCHP_HEAT</v>
      </c>
    </row>
    <row r="1096" spans="2:36" x14ac:dyDescent="0.25">
      <c r="B1096" t="s">
        <v>127</v>
      </c>
      <c r="C1096" t="s">
        <v>57</v>
      </c>
      <c r="D1096" t="s">
        <v>62</v>
      </c>
      <c r="E1096" t="s">
        <v>116</v>
      </c>
      <c r="F1096" t="s">
        <v>552</v>
      </c>
      <c r="G1096" t="s">
        <v>132</v>
      </c>
      <c r="H1096" t="s">
        <v>434</v>
      </c>
      <c r="I1096" t="s">
        <v>32</v>
      </c>
      <c r="J1096" t="s">
        <v>77</v>
      </c>
      <c r="K1096">
        <f t="shared" si="3318"/>
        <v>1</v>
      </c>
      <c r="L1096">
        <f t="shared" si="3319"/>
        <v>0</v>
      </c>
      <c r="M1096">
        <f t="shared" si="3320"/>
        <v>1</v>
      </c>
      <c r="N1096">
        <f t="shared" si="3321"/>
        <v>1</v>
      </c>
      <c r="O1096">
        <f t="shared" si="3322"/>
        <v>3</v>
      </c>
      <c r="P1096" t="str">
        <f t="shared" si="3323"/>
        <v>Large centralized natural gas steam reforming-Marginal abatement cost</v>
      </c>
      <c r="Q1096" t="str">
        <f t="shared" si="3324"/>
        <v>Underground storage-Marginal abatement cost</v>
      </c>
      <c r="R1096" t="str">
        <f t="shared" si="3325"/>
        <v>Liquid hydrogen truck-Marginal abatement cost</v>
      </c>
      <c r="S1096" t="str">
        <f t="shared" si="3326"/>
        <v>District-CHP with H2 fuel cell (heat)-Marginal abatement cost</v>
      </c>
      <c r="T1096">
        <f>IFERROR(VLOOKUP($P1096,'TA database'!$I$8:$J$79,2,FALSE),0)</f>
        <v>0</v>
      </c>
      <c r="U1096">
        <f>IFERROR(VLOOKUP($Q1096,'TA database'!$I$86:$J$105,2,FALSE),0)</f>
        <v>0</v>
      </c>
      <c r="V1096">
        <f>IFERROR(VLOOKUP($R1096,'TA database'!$I$112:$J$139,2,FALSE),0)</f>
        <v>0</v>
      </c>
      <c r="W1096">
        <f ca="1">IFERROR(VLOOKUP($S1096,'TA database'!$I$146:$J$193,2,FALSE),0)</f>
        <v>279.92840088936202</v>
      </c>
      <c r="X1096">
        <f>IFERROR(VLOOKUP($S1096,'TA database'!$I$200:$J$271,2,FALSE),0)</f>
        <v>0</v>
      </c>
      <c r="Y1096" s="59">
        <f t="shared" ca="1" si="3327"/>
        <v>279.92840088936202</v>
      </c>
      <c r="Z1096" t="str">
        <f t="shared" si="3328"/>
        <v>NG_SR_LRG_C   →   C_UNDRGRND_STRG   →   LQ_TRUCK   →   H2_FC_DCHP_HEAT</v>
      </c>
      <c r="AA1096" t="str">
        <f t="shared" si="3329"/>
        <v>Building heat</v>
      </c>
      <c r="AB1096" t="str">
        <f t="shared" si="3330"/>
        <v>Marginal abatement cost</v>
      </c>
      <c r="AC1096">
        <f t="shared" ca="1" si="3331"/>
        <v>279.92840088936202</v>
      </c>
      <c r="AD1096">
        <v>1037</v>
      </c>
      <c r="AE1096" t="str">
        <f>IF(AND(ISNUMBER(SEARCH(O1096,4)),ISNUMBER(SEARCH('(4) FCH pathway assessment'!$B$16,AB1096)),ISNUMBER(SEARCH('(4) FCH pathway assessment'!$B$10,AA1096))),AD1096,"")</f>
        <v/>
      </c>
      <c r="AF1096" t="str">
        <f t="shared" si="3317"/>
        <v/>
      </c>
      <c r="AG1096" t="str">
        <f>VLOOKUP(C1096,Assumptions!$B$116:$C$162,2,FALSE)</f>
        <v>NG_SR_LRG_C</v>
      </c>
      <c r="AH1096" t="str">
        <f>VLOOKUP(D1096,Assumptions!$B$116:$C$162,2,FALSE)</f>
        <v>C_UNDRGRND_STRG</v>
      </c>
      <c r="AI1096" t="str">
        <f>VLOOKUP(E1096,Assumptions!$B$116:$C$162,2,FALSE)</f>
        <v>LQ_TRUCK</v>
      </c>
      <c r="AJ1096" t="str">
        <f>VLOOKUP(F1096,Assumptions!$B$116:$C$162,2,FALSE)</f>
        <v>H2_FC_DCHP_HEAT</v>
      </c>
    </row>
    <row r="1097" spans="2:36" x14ac:dyDescent="0.25">
      <c r="B1097" t="s">
        <v>127</v>
      </c>
      <c r="C1097" t="s">
        <v>57</v>
      </c>
      <c r="D1097" t="s">
        <v>62</v>
      </c>
      <c r="E1097" t="s">
        <v>66</v>
      </c>
      <c r="F1097" t="s">
        <v>552</v>
      </c>
      <c r="G1097" t="s">
        <v>132</v>
      </c>
      <c r="H1097" t="s">
        <v>434</v>
      </c>
      <c r="I1097" t="s">
        <v>32</v>
      </c>
      <c r="J1097" t="s">
        <v>77</v>
      </c>
      <c r="K1097">
        <f t="shared" si="3318"/>
        <v>1</v>
      </c>
      <c r="L1097">
        <f t="shared" si="3319"/>
        <v>0</v>
      </c>
      <c r="M1097">
        <f t="shared" si="3320"/>
        <v>1</v>
      </c>
      <c r="N1097">
        <f t="shared" si="3321"/>
        <v>1</v>
      </c>
      <c r="O1097">
        <f t="shared" si="3322"/>
        <v>3</v>
      </c>
      <c r="P1097" t="str">
        <f t="shared" si="3323"/>
        <v>Large centralized natural gas steam reforming-Marginal abatement cost</v>
      </c>
      <c r="Q1097" t="str">
        <f t="shared" si="3324"/>
        <v>Underground storage-Marginal abatement cost</v>
      </c>
      <c r="R1097" t="str">
        <f t="shared" si="3325"/>
        <v>Onsite-Marginal abatement cost</v>
      </c>
      <c r="S1097" t="str">
        <f t="shared" si="3326"/>
        <v>District-CHP with H2 fuel cell (heat)-Marginal abatement cost</v>
      </c>
      <c r="T1097">
        <f>IFERROR(VLOOKUP($P1097,'TA database'!$I$8:$J$79,2,FALSE),0)</f>
        <v>0</v>
      </c>
      <c r="U1097">
        <f>IFERROR(VLOOKUP($Q1097,'TA database'!$I$86:$J$105,2,FALSE),0)</f>
        <v>0</v>
      </c>
      <c r="V1097">
        <f>IFERROR(VLOOKUP($R1097,'TA database'!$I$112:$J$139,2,FALSE),0)</f>
        <v>0</v>
      </c>
      <c r="W1097">
        <f ca="1">IFERROR(VLOOKUP($S1097,'TA database'!$I$146:$J$193,2,FALSE),0)</f>
        <v>279.92840088936202</v>
      </c>
      <c r="X1097">
        <f>IFERROR(VLOOKUP($S1097,'TA database'!$I$200:$J$271,2,FALSE),0)</f>
        <v>0</v>
      </c>
      <c r="Y1097" s="59">
        <f t="shared" ca="1" si="3327"/>
        <v>279.92840088936202</v>
      </c>
      <c r="Z1097" t="str">
        <f t="shared" si="3328"/>
        <v>NG_SR_LRG_C   →   C_UNDRGRND_STRG   →   ONSITE_USE   →   H2_FC_DCHP_HEAT</v>
      </c>
      <c r="AA1097" t="str">
        <f t="shared" si="3329"/>
        <v>Building heat</v>
      </c>
      <c r="AB1097" t="str">
        <f t="shared" si="3330"/>
        <v>Marginal abatement cost</v>
      </c>
      <c r="AC1097">
        <f t="shared" ca="1" si="3331"/>
        <v>279.92840088936202</v>
      </c>
      <c r="AD1097">
        <v>1038</v>
      </c>
      <c r="AE1097" t="str">
        <f>IF(AND(ISNUMBER(SEARCH(O1097,4)),ISNUMBER(SEARCH('(4) FCH pathway assessment'!$B$16,AB1097)),ISNUMBER(SEARCH('(4) FCH pathway assessment'!$B$10,AA1097))),AD1097,"")</f>
        <v/>
      </c>
      <c r="AF1097" t="str">
        <f t="shared" si="3317"/>
        <v/>
      </c>
      <c r="AG1097" t="str">
        <f>VLOOKUP(C1097,Assumptions!$B$116:$C$162,2,FALSE)</f>
        <v>NG_SR_LRG_C</v>
      </c>
      <c r="AH1097" t="str">
        <f>VLOOKUP(D1097,Assumptions!$B$116:$C$162,2,FALSE)</f>
        <v>C_UNDRGRND_STRG</v>
      </c>
      <c r="AI1097" t="str">
        <f>VLOOKUP(E1097,Assumptions!$B$116:$C$162,2,FALSE)</f>
        <v>ONSITE_USE</v>
      </c>
      <c r="AJ1097" t="str">
        <f>VLOOKUP(F1097,Assumptions!$B$116:$C$162,2,FALSE)</f>
        <v>H2_FC_DCHP_HEAT</v>
      </c>
    </row>
    <row r="1098" spans="2:36" x14ac:dyDescent="0.25">
      <c r="B1098" t="s">
        <v>127</v>
      </c>
      <c r="C1098" t="s">
        <v>57</v>
      </c>
      <c r="D1098" s="61" t="s">
        <v>63</v>
      </c>
      <c r="E1098" t="s">
        <v>122</v>
      </c>
      <c r="F1098" t="s">
        <v>552</v>
      </c>
      <c r="G1098" t="s">
        <v>132</v>
      </c>
      <c r="H1098" t="s">
        <v>434</v>
      </c>
      <c r="I1098" t="s">
        <v>32</v>
      </c>
      <c r="J1098" t="s">
        <v>77</v>
      </c>
      <c r="K1098">
        <f t="shared" ref="K1098:K1102" si="3332">SUMPRODUCT(($C$7:$C$18=$C1098)*($D$6:$H$6=$D1098)*($D$7:$H$18))</f>
        <v>1</v>
      </c>
      <c r="L1098">
        <f t="shared" ref="L1098:L1102" si="3333">SUMPRODUCT(($C$19:$C$23=$D1098)*($I$6:$O$6=$E1098)*($I$19:$O$23))</f>
        <v>1</v>
      </c>
      <c r="M1098">
        <f t="shared" ref="M1098:M1102" si="3334">SUMPRODUCT(($C$24:$C$30=$E1098)*($P$6:$AI$6=$F1098)*($P$24:$AI$30))</f>
        <v>1</v>
      </c>
      <c r="N1098">
        <f t="shared" ref="N1098:N1102" si="3335">SUMPRODUCT(($C$31:$C$50=$F1098)*($AJ$6:$AM$6=$G1098)*($AJ$31:$AM$50))</f>
        <v>1</v>
      </c>
      <c r="O1098">
        <f t="shared" ref="O1098:O1102" si="3336">K1098+L1098+M1098+N1098</f>
        <v>4</v>
      </c>
      <c r="P1098" t="str">
        <f t="shared" ref="P1098:P1102" si="3337">CONCATENATE(C1098,"-",J1098)</f>
        <v>Large centralized natural gas steam reforming-Marginal abatement cost</v>
      </c>
      <c r="Q1098" t="str">
        <f t="shared" ref="Q1098:Q1102" si="3338">CONCATENATE(D1098,"-",J1098)</f>
        <v>No storage-Marginal abatement cost</v>
      </c>
      <c r="R1098" t="str">
        <f t="shared" ref="R1098:R1102" si="3339">CONCATENATE(E1098,"-",J1098)</f>
        <v>Hydrogen transmission &amp; distribution pipeline-Marginal abatement cost</v>
      </c>
      <c r="S1098" t="str">
        <f t="shared" ref="S1098:S1102" si="3340">CONCATENATE(F1098,"-",J1098)</f>
        <v>District-CHP with H2 fuel cell (heat)-Marginal abatement cost</v>
      </c>
      <c r="T1098">
        <f>IFERROR(VLOOKUP($P1098,'TA database'!$I$8:$J$79,2,FALSE),0)</f>
        <v>0</v>
      </c>
      <c r="U1098">
        <f>IFERROR(VLOOKUP($Q1098,'TA database'!$I$86:$J$105,2,FALSE),0)</f>
        <v>0</v>
      </c>
      <c r="V1098">
        <f>IFERROR(VLOOKUP($R1098,'TA database'!$I$112:$J$139,2,FALSE),0)</f>
        <v>0</v>
      </c>
      <c r="W1098">
        <f ca="1">IFERROR(VLOOKUP($S1098,'TA database'!$I$146:$J$193,2,FALSE),0)</f>
        <v>279.92840088936202</v>
      </c>
      <c r="X1098">
        <f>IFERROR(VLOOKUP($S1098,'TA database'!$I$200:$J$271,2,FALSE),0)</f>
        <v>0</v>
      </c>
      <c r="Y1098" s="59">
        <f t="shared" ref="Y1098:Y1102" ca="1" si="3341">IF($W1098=0,T1098+U1098+V1098+X1098,T1098+U1098+V1098+W1098)</f>
        <v>279.92840088936202</v>
      </c>
      <c r="Z1098" t="str">
        <f t="shared" ref="Z1098:Z1102" si="3342">CONCATENATE(AG1098,"   →   ",AH1098,"   →   ",AI1098,"   →   ",AJ1098)</f>
        <v>NG_SR_LRG_C   →   NO_STRG   →   H2_T&amp;D_P   →   H2_FC_DCHP_HEAT</v>
      </c>
      <c r="AA1098" t="str">
        <f t="shared" ref="AA1098:AA1102" si="3343">G1098</f>
        <v>Building heat</v>
      </c>
      <c r="AB1098" t="str">
        <f t="shared" ref="AB1098:AB1102" si="3344">J1098</f>
        <v>Marginal abatement cost</v>
      </c>
      <c r="AC1098">
        <f t="shared" ref="AC1098:AC1102" ca="1" si="3345">Y1098</f>
        <v>279.92840088936202</v>
      </c>
      <c r="AD1098">
        <v>1039</v>
      </c>
      <c r="AE1098" t="str">
        <f>IF(AND(ISNUMBER(SEARCH(O1098,4)),ISNUMBER(SEARCH('(4) FCH pathway assessment'!$B$16,AB1098)),ISNUMBER(SEARCH('(4) FCH pathway assessment'!$B$10,AA1098))),AD1098,"")</f>
        <v/>
      </c>
      <c r="AF1098" t="str">
        <f t="shared" si="3317"/>
        <v/>
      </c>
      <c r="AG1098" t="str">
        <f>VLOOKUP(C1098,Assumptions!$B$116:$C$162,2,FALSE)</f>
        <v>NG_SR_LRG_C</v>
      </c>
      <c r="AH1098" t="str">
        <f>VLOOKUP(D1098,Assumptions!$B$116:$C$162,2,FALSE)</f>
        <v>NO_STRG</v>
      </c>
      <c r="AI1098" t="str">
        <f>VLOOKUP(E1098,Assumptions!$B$116:$C$162,2,FALSE)</f>
        <v>H2_T&amp;D_P</v>
      </c>
      <c r="AJ1098" t="str">
        <f>VLOOKUP(F1098,Assumptions!$B$116:$C$162,2,FALSE)</f>
        <v>H2_FC_DCHP_HEAT</v>
      </c>
    </row>
    <row r="1099" spans="2:36" x14ac:dyDescent="0.25">
      <c r="B1099" t="s">
        <v>127</v>
      </c>
      <c r="C1099" t="s">
        <v>58</v>
      </c>
      <c r="D1099" t="s">
        <v>155</v>
      </c>
      <c r="E1099" t="s">
        <v>157</v>
      </c>
      <c r="F1099" t="s">
        <v>552</v>
      </c>
      <c r="G1099" t="s">
        <v>132</v>
      </c>
      <c r="H1099" t="s">
        <v>434</v>
      </c>
      <c r="I1099" t="s">
        <v>32</v>
      </c>
      <c r="J1099" t="s">
        <v>77</v>
      </c>
      <c r="K1099">
        <f t="shared" si="3332"/>
        <v>1</v>
      </c>
      <c r="L1099">
        <f t="shared" si="3333"/>
        <v>1</v>
      </c>
      <c r="M1099">
        <f t="shared" si="3334"/>
        <v>0</v>
      </c>
      <c r="N1099">
        <f t="shared" si="3335"/>
        <v>1</v>
      </c>
      <c r="O1099">
        <f t="shared" si="3336"/>
        <v>3</v>
      </c>
      <c r="P1099" t="str">
        <f t="shared" si="3337"/>
        <v>Small centralized natural gas steam reforming-Marginal abatement cost</v>
      </c>
      <c r="Q1099" t="str">
        <f t="shared" si="3338"/>
        <v>Central gas storage-Marginal abatement cost</v>
      </c>
      <c r="R1099" t="str">
        <f t="shared" si="3339"/>
        <v>Blending in natural gas pipeline-Marginal abatement cost</v>
      </c>
      <c r="S1099" t="str">
        <f t="shared" si="3340"/>
        <v>District-CHP with H2 fuel cell (heat)-Marginal abatement cost</v>
      </c>
      <c r="T1099">
        <f>IFERROR(VLOOKUP($P1099,'TA database'!$I$8:$J$79,2,FALSE),0)</f>
        <v>0</v>
      </c>
      <c r="U1099">
        <f>IFERROR(VLOOKUP($Q1099,'TA database'!$I$86:$J$105,2,FALSE),0)</f>
        <v>0</v>
      </c>
      <c r="V1099">
        <f>IFERROR(VLOOKUP($R1099,'TA database'!$I$112:$J$139,2,FALSE),0)</f>
        <v>0</v>
      </c>
      <c r="W1099">
        <f ca="1">IFERROR(VLOOKUP($S1099,'TA database'!$I$146:$J$193,2,FALSE),0)</f>
        <v>279.92840088936202</v>
      </c>
      <c r="X1099">
        <f>IFERROR(VLOOKUP($S1099,'TA database'!$I$200:$J$271,2,FALSE),0)</f>
        <v>0</v>
      </c>
      <c r="Y1099" s="59">
        <f t="shared" ca="1" si="3341"/>
        <v>279.92840088936202</v>
      </c>
      <c r="Z1099" t="str">
        <f t="shared" si="3342"/>
        <v>NG_SR_SML_C   →   C_GAS_STRG   →   H2_BLND_NG_P   →   H2_FC_DCHP_HEAT</v>
      </c>
      <c r="AA1099" t="str">
        <f t="shared" si="3343"/>
        <v>Building heat</v>
      </c>
      <c r="AB1099" t="str">
        <f t="shared" si="3344"/>
        <v>Marginal abatement cost</v>
      </c>
      <c r="AC1099">
        <f t="shared" ca="1" si="3345"/>
        <v>279.92840088936202</v>
      </c>
      <c r="AD1099">
        <v>1040</v>
      </c>
      <c r="AE1099" t="str">
        <f>IF(AND(ISNUMBER(SEARCH(O1099,4)),ISNUMBER(SEARCH('(4) FCH pathway assessment'!$B$16,AB1099)),ISNUMBER(SEARCH('(4) FCH pathway assessment'!$B$10,AA1099))),AD1099,"")</f>
        <v/>
      </c>
      <c r="AF1099" t="str">
        <f t="shared" si="3317"/>
        <v/>
      </c>
      <c r="AG1099" t="str">
        <f>VLOOKUP(C1099,Assumptions!$B$116:$C$162,2,FALSE)</f>
        <v>NG_SR_SML_C</v>
      </c>
      <c r="AH1099" t="str">
        <f>VLOOKUP(D1099,Assumptions!$B$116:$C$162,2,FALSE)</f>
        <v>C_GAS_STRG</v>
      </c>
      <c r="AI1099" t="str">
        <f>VLOOKUP(E1099,Assumptions!$B$116:$C$162,2,FALSE)</f>
        <v>H2_BLND_NG_P</v>
      </c>
      <c r="AJ1099" t="str">
        <f>VLOOKUP(F1099,Assumptions!$B$116:$C$162,2,FALSE)</f>
        <v>H2_FC_DCHP_HEAT</v>
      </c>
    </row>
    <row r="1100" spans="2:36" x14ac:dyDescent="0.25">
      <c r="B1100" t="s">
        <v>127</v>
      </c>
      <c r="C1100" t="s">
        <v>58</v>
      </c>
      <c r="D1100" t="s">
        <v>155</v>
      </c>
      <c r="E1100" t="s">
        <v>122</v>
      </c>
      <c r="F1100" t="s">
        <v>552</v>
      </c>
      <c r="G1100" t="s">
        <v>132</v>
      </c>
      <c r="H1100" t="s">
        <v>434</v>
      </c>
      <c r="I1100" t="s">
        <v>32</v>
      </c>
      <c r="J1100" t="s">
        <v>77</v>
      </c>
      <c r="K1100">
        <f t="shared" si="3332"/>
        <v>1</v>
      </c>
      <c r="L1100">
        <f t="shared" si="3333"/>
        <v>1</v>
      </c>
      <c r="M1100">
        <f t="shared" si="3334"/>
        <v>1</v>
      </c>
      <c r="N1100">
        <f t="shared" si="3335"/>
        <v>1</v>
      </c>
      <c r="O1100">
        <f t="shared" si="3336"/>
        <v>4</v>
      </c>
      <c r="P1100" t="str">
        <f t="shared" si="3337"/>
        <v>Small centralized natural gas steam reforming-Marginal abatement cost</v>
      </c>
      <c r="Q1100" t="str">
        <f t="shared" si="3338"/>
        <v>Central gas storage-Marginal abatement cost</v>
      </c>
      <c r="R1100" t="str">
        <f t="shared" si="3339"/>
        <v>Hydrogen transmission &amp; distribution pipeline-Marginal abatement cost</v>
      </c>
      <c r="S1100" t="str">
        <f t="shared" si="3340"/>
        <v>District-CHP with H2 fuel cell (heat)-Marginal abatement cost</v>
      </c>
      <c r="T1100">
        <f>IFERROR(VLOOKUP($P1100,'TA database'!$I$8:$J$79,2,FALSE),0)</f>
        <v>0</v>
      </c>
      <c r="U1100">
        <f>IFERROR(VLOOKUP($Q1100,'TA database'!$I$86:$J$105,2,FALSE),0)</f>
        <v>0</v>
      </c>
      <c r="V1100">
        <f>IFERROR(VLOOKUP($R1100,'TA database'!$I$112:$J$139,2,FALSE),0)</f>
        <v>0</v>
      </c>
      <c r="W1100">
        <f ca="1">IFERROR(VLOOKUP($S1100,'TA database'!$I$146:$J$193,2,FALSE),0)</f>
        <v>279.92840088936202</v>
      </c>
      <c r="X1100">
        <f>IFERROR(VLOOKUP($S1100,'TA database'!$I$200:$J$271,2,FALSE),0)</f>
        <v>0</v>
      </c>
      <c r="Y1100" s="59">
        <f t="shared" ca="1" si="3341"/>
        <v>279.92840088936202</v>
      </c>
      <c r="Z1100" t="str">
        <f t="shared" si="3342"/>
        <v>NG_SR_SML_C   →   C_GAS_STRG   →   H2_T&amp;D_P   →   H2_FC_DCHP_HEAT</v>
      </c>
      <c r="AA1100" t="str">
        <f t="shared" si="3343"/>
        <v>Building heat</v>
      </c>
      <c r="AB1100" t="str">
        <f t="shared" si="3344"/>
        <v>Marginal abatement cost</v>
      </c>
      <c r="AC1100">
        <f t="shared" ca="1" si="3345"/>
        <v>279.92840088936202</v>
      </c>
      <c r="AD1100">
        <v>1041</v>
      </c>
      <c r="AE1100" t="str">
        <f>IF(AND(ISNUMBER(SEARCH(O1100,4)),ISNUMBER(SEARCH('(4) FCH pathway assessment'!$B$16,AB1100)),ISNUMBER(SEARCH('(4) FCH pathway assessment'!$B$10,AA1100))),AD1100,"")</f>
        <v/>
      </c>
      <c r="AF1100" t="str">
        <f t="shared" si="3317"/>
        <v/>
      </c>
      <c r="AG1100" t="str">
        <f>VLOOKUP(C1100,Assumptions!$B$116:$C$162,2,FALSE)</f>
        <v>NG_SR_SML_C</v>
      </c>
      <c r="AH1100" t="str">
        <f>VLOOKUP(D1100,Assumptions!$B$116:$C$162,2,FALSE)</f>
        <v>C_GAS_STRG</v>
      </c>
      <c r="AI1100" t="str">
        <f>VLOOKUP(E1100,Assumptions!$B$116:$C$162,2,FALSE)</f>
        <v>H2_T&amp;D_P</v>
      </c>
      <c r="AJ1100" t="str">
        <f>VLOOKUP(F1100,Assumptions!$B$116:$C$162,2,FALSE)</f>
        <v>H2_FC_DCHP_HEAT</v>
      </c>
    </row>
    <row r="1101" spans="2:36" x14ac:dyDescent="0.25">
      <c r="B1101" t="s">
        <v>127</v>
      </c>
      <c r="C1101" t="s">
        <v>58</v>
      </c>
      <c r="D1101" t="s">
        <v>155</v>
      </c>
      <c r="E1101" t="s">
        <v>116</v>
      </c>
      <c r="F1101" t="s">
        <v>552</v>
      </c>
      <c r="G1101" t="s">
        <v>132</v>
      </c>
      <c r="H1101" t="s">
        <v>434</v>
      </c>
      <c r="I1101" t="s">
        <v>32</v>
      </c>
      <c r="J1101" t="s">
        <v>77</v>
      </c>
      <c r="K1101">
        <f t="shared" si="3332"/>
        <v>1</v>
      </c>
      <c r="L1101">
        <f t="shared" si="3333"/>
        <v>1</v>
      </c>
      <c r="M1101">
        <f t="shared" si="3334"/>
        <v>1</v>
      </c>
      <c r="N1101">
        <f t="shared" si="3335"/>
        <v>1</v>
      </c>
      <c r="O1101">
        <f t="shared" si="3336"/>
        <v>4</v>
      </c>
      <c r="P1101" t="str">
        <f t="shared" si="3337"/>
        <v>Small centralized natural gas steam reforming-Marginal abatement cost</v>
      </c>
      <c r="Q1101" t="str">
        <f t="shared" si="3338"/>
        <v>Central gas storage-Marginal abatement cost</v>
      </c>
      <c r="R1101" t="str">
        <f t="shared" si="3339"/>
        <v>Liquid hydrogen truck-Marginal abatement cost</v>
      </c>
      <c r="S1101" t="str">
        <f t="shared" si="3340"/>
        <v>District-CHP with H2 fuel cell (heat)-Marginal abatement cost</v>
      </c>
      <c r="T1101">
        <f>IFERROR(VLOOKUP($P1101,'TA database'!$I$8:$J$79,2,FALSE),0)</f>
        <v>0</v>
      </c>
      <c r="U1101">
        <f>IFERROR(VLOOKUP($Q1101,'TA database'!$I$86:$J$105,2,FALSE),0)</f>
        <v>0</v>
      </c>
      <c r="V1101">
        <f>IFERROR(VLOOKUP($R1101,'TA database'!$I$112:$J$139,2,FALSE),0)</f>
        <v>0</v>
      </c>
      <c r="W1101">
        <f ca="1">IFERROR(VLOOKUP($S1101,'TA database'!$I$146:$J$193,2,FALSE),0)</f>
        <v>279.92840088936202</v>
      </c>
      <c r="X1101">
        <f>IFERROR(VLOOKUP($S1101,'TA database'!$I$200:$J$271,2,FALSE),0)</f>
        <v>0</v>
      </c>
      <c r="Y1101" s="59">
        <f t="shared" ca="1" si="3341"/>
        <v>279.92840088936202</v>
      </c>
      <c r="Z1101" t="str">
        <f t="shared" si="3342"/>
        <v>NG_SR_SML_C   →   C_GAS_STRG   →   LQ_TRUCK   →   H2_FC_DCHP_HEAT</v>
      </c>
      <c r="AA1101" t="str">
        <f t="shared" si="3343"/>
        <v>Building heat</v>
      </c>
      <c r="AB1101" t="str">
        <f t="shared" si="3344"/>
        <v>Marginal abatement cost</v>
      </c>
      <c r="AC1101">
        <f t="shared" ca="1" si="3345"/>
        <v>279.92840088936202</v>
      </c>
      <c r="AD1101">
        <v>1042</v>
      </c>
      <c r="AE1101" t="str">
        <f>IF(AND(ISNUMBER(SEARCH(O1101,4)),ISNUMBER(SEARCH('(4) FCH pathway assessment'!$B$16,AB1101)),ISNUMBER(SEARCH('(4) FCH pathway assessment'!$B$10,AA1101))),AD1101,"")</f>
        <v/>
      </c>
      <c r="AF1101" t="str">
        <f t="shared" si="3317"/>
        <v/>
      </c>
      <c r="AG1101" t="str">
        <f>VLOOKUP(C1101,Assumptions!$B$116:$C$162,2,FALSE)</f>
        <v>NG_SR_SML_C</v>
      </c>
      <c r="AH1101" t="str">
        <f>VLOOKUP(D1101,Assumptions!$B$116:$C$162,2,FALSE)</f>
        <v>C_GAS_STRG</v>
      </c>
      <c r="AI1101" t="str">
        <f>VLOOKUP(E1101,Assumptions!$B$116:$C$162,2,FALSE)</f>
        <v>LQ_TRUCK</v>
      </c>
      <c r="AJ1101" t="str">
        <f>VLOOKUP(F1101,Assumptions!$B$116:$C$162,2,FALSE)</f>
        <v>H2_FC_DCHP_HEAT</v>
      </c>
    </row>
    <row r="1102" spans="2:36" x14ac:dyDescent="0.25">
      <c r="B1102" t="s">
        <v>127</v>
      </c>
      <c r="C1102" t="s">
        <v>58</v>
      </c>
      <c r="D1102" t="s">
        <v>155</v>
      </c>
      <c r="E1102" t="s">
        <v>66</v>
      </c>
      <c r="F1102" t="s">
        <v>552</v>
      </c>
      <c r="G1102" t="s">
        <v>132</v>
      </c>
      <c r="H1102" t="s">
        <v>434</v>
      </c>
      <c r="I1102" t="s">
        <v>32</v>
      </c>
      <c r="J1102" t="s">
        <v>77</v>
      </c>
      <c r="K1102">
        <f t="shared" si="3332"/>
        <v>1</v>
      </c>
      <c r="L1102">
        <f t="shared" si="3333"/>
        <v>1</v>
      </c>
      <c r="M1102">
        <f t="shared" si="3334"/>
        <v>1</v>
      </c>
      <c r="N1102">
        <f t="shared" si="3335"/>
        <v>1</v>
      </c>
      <c r="O1102">
        <f t="shared" si="3336"/>
        <v>4</v>
      </c>
      <c r="P1102" t="str">
        <f t="shared" si="3337"/>
        <v>Small centralized natural gas steam reforming-Marginal abatement cost</v>
      </c>
      <c r="Q1102" t="str">
        <f t="shared" si="3338"/>
        <v>Central gas storage-Marginal abatement cost</v>
      </c>
      <c r="R1102" t="str">
        <f t="shared" si="3339"/>
        <v>Onsite-Marginal abatement cost</v>
      </c>
      <c r="S1102" t="str">
        <f t="shared" si="3340"/>
        <v>District-CHP with H2 fuel cell (heat)-Marginal abatement cost</v>
      </c>
      <c r="T1102">
        <f>IFERROR(VLOOKUP($P1102,'TA database'!$I$8:$J$79,2,FALSE),0)</f>
        <v>0</v>
      </c>
      <c r="U1102">
        <f>IFERROR(VLOOKUP($Q1102,'TA database'!$I$86:$J$105,2,FALSE),0)</f>
        <v>0</v>
      </c>
      <c r="V1102">
        <f>IFERROR(VLOOKUP($R1102,'TA database'!$I$112:$J$139,2,FALSE),0)</f>
        <v>0</v>
      </c>
      <c r="W1102">
        <f ca="1">IFERROR(VLOOKUP($S1102,'TA database'!$I$146:$J$193,2,FALSE),0)</f>
        <v>279.92840088936202</v>
      </c>
      <c r="X1102">
        <f>IFERROR(VLOOKUP($S1102,'TA database'!$I$200:$J$271,2,FALSE),0)</f>
        <v>0</v>
      </c>
      <c r="Y1102" s="59">
        <f t="shared" ca="1" si="3341"/>
        <v>279.92840088936202</v>
      </c>
      <c r="Z1102" t="str">
        <f t="shared" si="3342"/>
        <v>NG_SR_SML_C   →   C_GAS_STRG   →   ONSITE_USE   →   H2_FC_DCHP_HEAT</v>
      </c>
      <c r="AA1102" t="str">
        <f t="shared" si="3343"/>
        <v>Building heat</v>
      </c>
      <c r="AB1102" t="str">
        <f t="shared" si="3344"/>
        <v>Marginal abatement cost</v>
      </c>
      <c r="AC1102">
        <f t="shared" ca="1" si="3345"/>
        <v>279.92840088936202</v>
      </c>
      <c r="AD1102">
        <v>1043</v>
      </c>
      <c r="AE1102" t="str">
        <f>IF(AND(ISNUMBER(SEARCH(O1102,4)),ISNUMBER(SEARCH('(4) FCH pathway assessment'!$B$16,AB1102)),ISNUMBER(SEARCH('(4) FCH pathway assessment'!$B$10,AA1102))),AD1102,"")</f>
        <v/>
      </c>
      <c r="AF1102" t="str">
        <f t="shared" si="3317"/>
        <v/>
      </c>
      <c r="AG1102" t="str">
        <f>VLOOKUP(C1102,Assumptions!$B$116:$C$162,2,FALSE)</f>
        <v>NG_SR_SML_C</v>
      </c>
      <c r="AH1102" t="str">
        <f>VLOOKUP(D1102,Assumptions!$B$116:$C$162,2,FALSE)</f>
        <v>C_GAS_STRG</v>
      </c>
      <c r="AI1102" t="str">
        <f>VLOOKUP(E1102,Assumptions!$B$116:$C$162,2,FALSE)</f>
        <v>ONSITE_USE</v>
      </c>
      <c r="AJ1102" t="str">
        <f>VLOOKUP(F1102,Assumptions!$B$116:$C$162,2,FALSE)</f>
        <v>H2_FC_DCHP_HEAT</v>
      </c>
    </row>
    <row r="1103" spans="2:36" x14ac:dyDescent="0.25">
      <c r="B1103" t="s">
        <v>127</v>
      </c>
      <c r="C1103" t="s">
        <v>59</v>
      </c>
      <c r="D1103" s="60" t="s">
        <v>130</v>
      </c>
      <c r="E1103" t="s">
        <v>66</v>
      </c>
      <c r="F1103" t="s">
        <v>552</v>
      </c>
      <c r="G1103" t="s">
        <v>132</v>
      </c>
      <c r="H1103" t="s">
        <v>434</v>
      </c>
      <c r="I1103" t="s">
        <v>32</v>
      </c>
      <c r="J1103" t="s">
        <v>77</v>
      </c>
      <c r="K1103">
        <f t="shared" ref="K1103:K1104" si="3346">SUMPRODUCT(($C$7:$C$18=$C1103)*($D$6:$H$6=$D1103)*($D$7:$H$18))</f>
        <v>1</v>
      </c>
      <c r="L1103">
        <f t="shared" ref="L1103:L1104" si="3347">SUMPRODUCT(($C$19:$C$23=$D1103)*($I$6:$O$6=$E1103)*($I$19:$O$23))</f>
        <v>1</v>
      </c>
      <c r="M1103">
        <f t="shared" ref="M1103:M1104" si="3348">SUMPRODUCT(($C$24:$C$30=$E1103)*($P$6:$AI$6=$F1103)*($P$24:$AI$30))</f>
        <v>1</v>
      </c>
      <c r="N1103">
        <f t="shared" ref="N1103:N1104" si="3349">SUMPRODUCT(($C$31:$C$50=$F1103)*($AJ$6:$AM$6=$G1103)*($AJ$31:$AM$50))</f>
        <v>1</v>
      </c>
      <c r="O1103">
        <f t="shared" ref="O1103:O1104" si="3350">K1103+L1103+M1103+N1103</f>
        <v>4</v>
      </c>
      <c r="P1103" t="str">
        <f t="shared" ref="P1103:P1104" si="3351">CONCATENATE(C1103,"-",J1103)</f>
        <v>Medium decentralized natural gas steam reforming-Marginal abatement cost</v>
      </c>
      <c r="Q1103" t="str">
        <f t="shared" ref="Q1103:Q1104" si="3352">CONCATENATE(D1103,"-",J1103)</f>
        <v>Distributed gas storage-Marginal abatement cost</v>
      </c>
      <c r="R1103" t="str">
        <f t="shared" ref="R1103:R1104" si="3353">CONCATENATE(E1103,"-",J1103)</f>
        <v>Onsite-Marginal abatement cost</v>
      </c>
      <c r="S1103" t="str">
        <f t="shared" ref="S1103:S1104" si="3354">CONCATENATE(F1103,"-",J1103)</f>
        <v>District-CHP with H2 fuel cell (heat)-Marginal abatement cost</v>
      </c>
      <c r="T1103">
        <f>IFERROR(VLOOKUP($P1103,'TA database'!$I$8:$J$79,2,FALSE),0)</f>
        <v>0</v>
      </c>
      <c r="U1103">
        <f>IFERROR(VLOOKUP($Q1103,'TA database'!$I$86:$J$105,2,FALSE),0)</f>
        <v>0</v>
      </c>
      <c r="V1103">
        <f>IFERROR(VLOOKUP($R1103,'TA database'!$I$112:$J$139,2,FALSE),0)</f>
        <v>0</v>
      </c>
      <c r="W1103">
        <f ca="1">IFERROR(VLOOKUP($S1103,'TA database'!$I$146:$J$193,2,FALSE),0)</f>
        <v>279.92840088936202</v>
      </c>
      <c r="X1103">
        <f>IFERROR(VLOOKUP($S1103,'TA database'!$I$200:$J$271,2,FALSE),0)</f>
        <v>0</v>
      </c>
      <c r="Y1103" s="59">
        <f t="shared" ref="Y1103:Y1104" ca="1" si="3355">IF($W1103=0,T1103+U1103+V1103+X1103,T1103+U1103+V1103+W1103)</f>
        <v>279.92840088936202</v>
      </c>
      <c r="Z1103" t="str">
        <f t="shared" ref="Z1103:Z1104" si="3356">CONCATENATE(AG1103,"   →   ",AH1103,"   →   ",AI1103,"   →   ",AJ1103)</f>
        <v>NG_SR_MED_D   →   D_GAS_STRG   →   ONSITE_USE   →   H2_FC_DCHP_HEAT</v>
      </c>
      <c r="AA1103" t="str">
        <f t="shared" ref="AA1103:AA1104" si="3357">G1103</f>
        <v>Building heat</v>
      </c>
      <c r="AB1103" t="str">
        <f t="shared" ref="AB1103:AB1104" si="3358">J1103</f>
        <v>Marginal abatement cost</v>
      </c>
      <c r="AC1103">
        <f t="shared" ref="AC1103:AC1104" ca="1" si="3359">Y1103</f>
        <v>279.92840088936202</v>
      </c>
      <c r="AD1103">
        <v>1044</v>
      </c>
      <c r="AE1103" t="str">
        <f>IF(AND(ISNUMBER(SEARCH(O1103,4)),ISNUMBER(SEARCH('(4) FCH pathway assessment'!$B$16,AB1103)),ISNUMBER(SEARCH('(4) FCH pathway assessment'!$B$10,AA1103))),AD1103,"")</f>
        <v/>
      </c>
      <c r="AF1103" t="str">
        <f t="shared" si="3317"/>
        <v/>
      </c>
      <c r="AG1103" t="str">
        <f>VLOOKUP(C1103,Assumptions!$B$116:$C$162,2,FALSE)</f>
        <v>NG_SR_MED_D</v>
      </c>
      <c r="AH1103" t="str">
        <f>VLOOKUP(D1103,Assumptions!$B$116:$C$162,2,FALSE)</f>
        <v>D_GAS_STRG</v>
      </c>
      <c r="AI1103" t="str">
        <f>VLOOKUP(E1103,Assumptions!$B$116:$C$162,2,FALSE)</f>
        <v>ONSITE_USE</v>
      </c>
      <c r="AJ1103" t="str">
        <f>VLOOKUP(F1103,Assumptions!$B$116:$C$162,2,FALSE)</f>
        <v>H2_FC_DCHP_HEAT</v>
      </c>
    </row>
    <row r="1104" spans="2:36" x14ac:dyDescent="0.25">
      <c r="B1104" t="s">
        <v>127</v>
      </c>
      <c r="C1104" t="s">
        <v>60</v>
      </c>
      <c r="D1104" s="60" t="s">
        <v>130</v>
      </c>
      <c r="E1104" t="s">
        <v>66</v>
      </c>
      <c r="F1104" t="s">
        <v>552</v>
      </c>
      <c r="G1104" t="s">
        <v>132</v>
      </c>
      <c r="H1104" t="s">
        <v>434</v>
      </c>
      <c r="I1104" t="s">
        <v>32</v>
      </c>
      <c r="J1104" t="s">
        <v>77</v>
      </c>
      <c r="K1104">
        <f t="shared" si="3346"/>
        <v>1</v>
      </c>
      <c r="L1104">
        <f t="shared" si="3347"/>
        <v>1</v>
      </c>
      <c r="M1104">
        <f t="shared" si="3348"/>
        <v>1</v>
      </c>
      <c r="N1104">
        <f t="shared" si="3349"/>
        <v>1</v>
      </c>
      <c r="O1104">
        <f t="shared" si="3350"/>
        <v>4</v>
      </c>
      <c r="P1104" t="str">
        <f t="shared" si="3351"/>
        <v>Small decentralized natural gas steam reforming-Marginal abatement cost</v>
      </c>
      <c r="Q1104" t="str">
        <f t="shared" si="3352"/>
        <v>Distributed gas storage-Marginal abatement cost</v>
      </c>
      <c r="R1104" t="str">
        <f t="shared" si="3353"/>
        <v>Onsite-Marginal abatement cost</v>
      </c>
      <c r="S1104" t="str">
        <f t="shared" si="3354"/>
        <v>District-CHP with H2 fuel cell (heat)-Marginal abatement cost</v>
      </c>
      <c r="T1104">
        <f>IFERROR(VLOOKUP($P1104,'TA database'!$I$8:$J$79,2,FALSE),0)</f>
        <v>0</v>
      </c>
      <c r="U1104">
        <f>IFERROR(VLOOKUP($Q1104,'TA database'!$I$86:$J$105,2,FALSE),0)</f>
        <v>0</v>
      </c>
      <c r="V1104">
        <f>IFERROR(VLOOKUP($R1104,'TA database'!$I$112:$J$139,2,FALSE),0)</f>
        <v>0</v>
      </c>
      <c r="W1104">
        <f ca="1">IFERROR(VLOOKUP($S1104,'TA database'!$I$146:$J$193,2,FALSE),0)</f>
        <v>279.92840088936202</v>
      </c>
      <c r="X1104">
        <f>IFERROR(VLOOKUP($S1104,'TA database'!$I$200:$J$271,2,FALSE),0)</f>
        <v>0</v>
      </c>
      <c r="Y1104" s="59">
        <f t="shared" ca="1" si="3355"/>
        <v>279.92840088936202</v>
      </c>
      <c r="Z1104" t="str">
        <f t="shared" si="3356"/>
        <v>NG_SR_SML_D   →   D_GAS_STRG   →   ONSITE_USE   →   H2_FC_DCHP_HEAT</v>
      </c>
      <c r="AA1104" t="str">
        <f t="shared" si="3357"/>
        <v>Building heat</v>
      </c>
      <c r="AB1104" t="str">
        <f t="shared" si="3358"/>
        <v>Marginal abatement cost</v>
      </c>
      <c r="AC1104">
        <f t="shared" ca="1" si="3359"/>
        <v>279.92840088936202</v>
      </c>
      <c r="AD1104">
        <v>1045</v>
      </c>
      <c r="AE1104" t="str">
        <f>IF(AND(ISNUMBER(SEARCH(O1104,4)),ISNUMBER(SEARCH('(4) FCH pathway assessment'!$B$16,AB1104)),ISNUMBER(SEARCH('(4) FCH pathway assessment'!$B$10,AA1104))),AD1104,"")</f>
        <v/>
      </c>
      <c r="AF1104" t="str">
        <f t="shared" si="3317"/>
        <v/>
      </c>
      <c r="AG1104" t="str">
        <f>VLOOKUP(C1104,Assumptions!$B$116:$C$162,2,FALSE)</f>
        <v>NG_SR_SML_D</v>
      </c>
      <c r="AH1104" t="str">
        <f>VLOOKUP(D1104,Assumptions!$B$116:$C$162,2,FALSE)</f>
        <v>D_GAS_STRG</v>
      </c>
      <c r="AI1104" t="str">
        <f>VLOOKUP(E1104,Assumptions!$B$116:$C$162,2,FALSE)</f>
        <v>ONSITE_USE</v>
      </c>
      <c r="AJ1104" t="str">
        <f>VLOOKUP(F1104,Assumptions!$B$116:$C$162,2,FALSE)</f>
        <v>H2_FC_DCHP_HEAT</v>
      </c>
    </row>
    <row r="1105" spans="2:36" x14ac:dyDescent="0.25">
      <c r="B1105" t="s">
        <v>117</v>
      </c>
      <c r="C1105" t="s">
        <v>53</v>
      </c>
      <c r="D1105" t="s">
        <v>155</v>
      </c>
      <c r="E1105" t="s">
        <v>157</v>
      </c>
      <c r="F1105" t="s">
        <v>543</v>
      </c>
      <c r="G1105" t="s">
        <v>132</v>
      </c>
      <c r="H1105" t="s">
        <v>434</v>
      </c>
      <c r="I1105" t="s">
        <v>32</v>
      </c>
      <c r="J1105" t="s">
        <v>77</v>
      </c>
      <c r="K1105">
        <f t="shared" ref="K1105:K1108" si="3360">SUMPRODUCT(($C$7:$C$18=$C1105)*($D$6:$H$6=$D1105)*($D$7:$H$18))</f>
        <v>0</v>
      </c>
      <c r="L1105">
        <f t="shared" ref="L1105:L1108" si="3361">SUMPRODUCT(($C$19:$C$23=$D1105)*($I$6:$O$6=$E1105)*($I$19:$O$23))</f>
        <v>1</v>
      </c>
      <c r="M1105">
        <f t="shared" ref="M1105:M1108" si="3362">SUMPRODUCT(($C$24:$C$30=$E1105)*($P$6:$AI$6=$F1105)*($P$24:$AI$30))</f>
        <v>0</v>
      </c>
      <c r="N1105">
        <f t="shared" ref="N1105:N1108" si="3363">SUMPRODUCT(($C$31:$C$50=$F1105)*($AJ$6:$AM$6=$G1105)*($AJ$31:$AM$50))</f>
        <v>0</v>
      </c>
      <c r="O1105">
        <f t="shared" ref="O1105:O1108" si="3364">K1105+L1105+M1105+N1105</f>
        <v>1</v>
      </c>
      <c r="P1105" t="str">
        <f t="shared" ref="P1105:P1108" si="3365">CONCATENATE(C1105,"-",J1105)</f>
        <v>Medium centralized biomass gasification-Marginal abatement cost</v>
      </c>
      <c r="Q1105" t="str">
        <f t="shared" ref="Q1105:Q1108" si="3366">CONCATENATE(D1105,"-",J1105)</f>
        <v>Central gas storage-Marginal abatement cost</v>
      </c>
      <c r="R1105" t="str">
        <f t="shared" ref="R1105:R1108" si="3367">CONCATENATE(E1105,"-",J1105)</f>
        <v>Blending in natural gas pipeline-Marginal abatement cost</v>
      </c>
      <c r="S1105" t="str">
        <f t="shared" ref="S1105:S1108" si="3368">CONCATENATE(F1105,"-",J1105)</f>
        <v>Micro-CHP with H2 fuel cell (heat)-Marginal abatement cost</v>
      </c>
      <c r="T1105">
        <f>IFERROR(VLOOKUP($P1105,'TA database'!$I$8:$J$79,2,FALSE),0)</f>
        <v>0</v>
      </c>
      <c r="U1105">
        <f>IFERROR(VLOOKUP($Q1105,'TA database'!$I$86:$J$105,2,FALSE),0)</f>
        <v>0</v>
      </c>
      <c r="V1105">
        <f>IFERROR(VLOOKUP($R1105,'TA database'!$I$112:$J$139,2,FALSE),0)</f>
        <v>0</v>
      </c>
      <c r="W1105">
        <f ca="1">IFERROR(VLOOKUP($S1105,'TA database'!$I$146:$J$193,2,FALSE),0)</f>
        <v>442.00853843442945</v>
      </c>
      <c r="X1105">
        <f>IFERROR(VLOOKUP($S1105,'TA database'!$I$200:$J$271,2,FALSE),0)</f>
        <v>0</v>
      </c>
      <c r="Y1105" s="59">
        <f t="shared" ref="Y1105:Y1108" ca="1" si="3369">IF($W1105=0,T1105+U1105+V1105+X1105,T1105+U1105+V1105+W1105)</f>
        <v>442.00853843442945</v>
      </c>
      <c r="Z1105" t="str">
        <f t="shared" ref="Z1105:Z1108" si="3370">CONCATENATE(AG1105,"   →   ",AH1105,"   →   ",AI1105,"   →   ",AJ1105)</f>
        <v>BIO_GSF_MED_C   →   C_GAS_STRG   →   H2_BLND_NG_P   →   H2_FC_mCHP_HEAT</v>
      </c>
      <c r="AA1105" t="str">
        <f t="shared" ref="AA1105:AA1108" si="3371">G1105</f>
        <v>Building heat</v>
      </c>
      <c r="AB1105" t="str">
        <f t="shared" ref="AB1105:AB1108" si="3372">J1105</f>
        <v>Marginal abatement cost</v>
      </c>
      <c r="AC1105">
        <f t="shared" ref="AC1105:AC1108" ca="1" si="3373">Y1105</f>
        <v>442.00853843442945</v>
      </c>
      <c r="AD1105">
        <v>1046</v>
      </c>
      <c r="AE1105" t="str">
        <f>IF(AND(ISNUMBER(SEARCH(O1105,4)),ISNUMBER(SEARCH('(4) FCH pathway assessment'!$B$16,AB1105)),ISNUMBER(SEARCH('(4) FCH pathway assessment'!$B$10,AA1105))),AD1105,"")</f>
        <v/>
      </c>
      <c r="AF1105" t="str">
        <f t="shared" si="3317"/>
        <v/>
      </c>
      <c r="AG1105" t="str">
        <f>VLOOKUP(C1105,Assumptions!$B$116:$C$162,2,FALSE)</f>
        <v>BIO_GSF_MED_C</v>
      </c>
      <c r="AH1105" t="str">
        <f>VLOOKUP(D1105,Assumptions!$B$116:$C$162,2,FALSE)</f>
        <v>C_GAS_STRG</v>
      </c>
      <c r="AI1105" t="str">
        <f>VLOOKUP(E1105,Assumptions!$B$116:$C$162,2,FALSE)</f>
        <v>H2_BLND_NG_P</v>
      </c>
      <c r="AJ1105" t="str">
        <f>VLOOKUP(F1105,Assumptions!$B$116:$C$162,2,FALSE)</f>
        <v>H2_FC_mCHP_HEAT</v>
      </c>
    </row>
    <row r="1106" spans="2:36" x14ac:dyDescent="0.25">
      <c r="B1106" t="s">
        <v>117</v>
      </c>
      <c r="C1106" t="s">
        <v>53</v>
      </c>
      <c r="D1106" t="s">
        <v>155</v>
      </c>
      <c r="E1106" t="s">
        <v>122</v>
      </c>
      <c r="F1106" t="s">
        <v>543</v>
      </c>
      <c r="G1106" t="s">
        <v>132</v>
      </c>
      <c r="H1106" t="s">
        <v>434</v>
      </c>
      <c r="I1106" t="s">
        <v>32</v>
      </c>
      <c r="J1106" t="s">
        <v>77</v>
      </c>
      <c r="K1106">
        <f t="shared" si="3360"/>
        <v>0</v>
      </c>
      <c r="L1106">
        <f t="shared" si="3361"/>
        <v>1</v>
      </c>
      <c r="M1106">
        <f t="shared" si="3362"/>
        <v>1</v>
      </c>
      <c r="N1106">
        <f t="shared" si="3363"/>
        <v>0</v>
      </c>
      <c r="O1106">
        <f t="shared" si="3364"/>
        <v>2</v>
      </c>
      <c r="P1106" t="str">
        <f t="shared" si="3365"/>
        <v>Medium centralized biomass gasification-Marginal abatement cost</v>
      </c>
      <c r="Q1106" t="str">
        <f t="shared" si="3366"/>
        <v>Central gas storage-Marginal abatement cost</v>
      </c>
      <c r="R1106" t="str">
        <f t="shared" si="3367"/>
        <v>Hydrogen transmission &amp; distribution pipeline-Marginal abatement cost</v>
      </c>
      <c r="S1106" t="str">
        <f t="shared" si="3368"/>
        <v>Micro-CHP with H2 fuel cell (heat)-Marginal abatement cost</v>
      </c>
      <c r="T1106">
        <f>IFERROR(VLOOKUP($P1106,'TA database'!$I$8:$J$79,2,FALSE),0)</f>
        <v>0</v>
      </c>
      <c r="U1106">
        <f>IFERROR(VLOOKUP($Q1106,'TA database'!$I$86:$J$105,2,FALSE),0)</f>
        <v>0</v>
      </c>
      <c r="V1106">
        <f>IFERROR(VLOOKUP($R1106,'TA database'!$I$112:$J$139,2,FALSE),0)</f>
        <v>0</v>
      </c>
      <c r="W1106">
        <f ca="1">IFERROR(VLOOKUP($S1106,'TA database'!$I$146:$J$193,2,FALSE),0)</f>
        <v>442.00853843442945</v>
      </c>
      <c r="X1106">
        <f>IFERROR(VLOOKUP($S1106,'TA database'!$I$200:$J$271,2,FALSE),0)</f>
        <v>0</v>
      </c>
      <c r="Y1106" s="59">
        <f t="shared" ca="1" si="3369"/>
        <v>442.00853843442945</v>
      </c>
      <c r="Z1106" t="str">
        <f t="shared" si="3370"/>
        <v>BIO_GSF_MED_C   →   C_GAS_STRG   →   H2_T&amp;D_P   →   H2_FC_mCHP_HEAT</v>
      </c>
      <c r="AA1106" t="str">
        <f t="shared" si="3371"/>
        <v>Building heat</v>
      </c>
      <c r="AB1106" t="str">
        <f t="shared" si="3372"/>
        <v>Marginal abatement cost</v>
      </c>
      <c r="AC1106">
        <f t="shared" ca="1" si="3373"/>
        <v>442.00853843442945</v>
      </c>
      <c r="AD1106">
        <v>1047</v>
      </c>
      <c r="AE1106" t="str">
        <f>IF(AND(ISNUMBER(SEARCH(O1106,4)),ISNUMBER(SEARCH('(4) FCH pathway assessment'!$B$16,AB1106)),ISNUMBER(SEARCH('(4) FCH pathway assessment'!$B$10,AA1106))),AD1106,"")</f>
        <v/>
      </c>
      <c r="AF1106" t="str">
        <f t="shared" si="3317"/>
        <v/>
      </c>
      <c r="AG1106" t="str">
        <f>VLOOKUP(C1106,Assumptions!$B$116:$C$162,2,FALSE)</f>
        <v>BIO_GSF_MED_C</v>
      </c>
      <c r="AH1106" t="str">
        <f>VLOOKUP(D1106,Assumptions!$B$116:$C$162,2,FALSE)</f>
        <v>C_GAS_STRG</v>
      </c>
      <c r="AI1106" t="str">
        <f>VLOOKUP(E1106,Assumptions!$B$116:$C$162,2,FALSE)</f>
        <v>H2_T&amp;D_P</v>
      </c>
      <c r="AJ1106" t="str">
        <f>VLOOKUP(F1106,Assumptions!$B$116:$C$162,2,FALSE)</f>
        <v>H2_FC_mCHP_HEAT</v>
      </c>
    </row>
    <row r="1107" spans="2:36" x14ac:dyDescent="0.25">
      <c r="B1107" t="s">
        <v>117</v>
      </c>
      <c r="C1107" t="s">
        <v>54</v>
      </c>
      <c r="D1107" t="s">
        <v>155</v>
      </c>
      <c r="E1107" t="s">
        <v>157</v>
      </c>
      <c r="F1107" t="s">
        <v>543</v>
      </c>
      <c r="G1107" t="s">
        <v>132</v>
      </c>
      <c r="H1107" t="s">
        <v>434</v>
      </c>
      <c r="I1107" t="s">
        <v>32</v>
      </c>
      <c r="J1107" t="s">
        <v>77</v>
      </c>
      <c r="K1107">
        <f t="shared" si="3360"/>
        <v>0</v>
      </c>
      <c r="L1107">
        <f t="shared" si="3361"/>
        <v>1</v>
      </c>
      <c r="M1107">
        <f t="shared" si="3362"/>
        <v>0</v>
      </c>
      <c r="N1107">
        <f t="shared" si="3363"/>
        <v>0</v>
      </c>
      <c r="O1107">
        <f t="shared" si="3364"/>
        <v>1</v>
      </c>
      <c r="P1107" t="str">
        <f t="shared" si="3365"/>
        <v>Medium centralized biomass gasification w/ CCS-Marginal abatement cost</v>
      </c>
      <c r="Q1107" t="str">
        <f t="shared" si="3366"/>
        <v>Central gas storage-Marginal abatement cost</v>
      </c>
      <c r="R1107" t="str">
        <f t="shared" si="3367"/>
        <v>Blending in natural gas pipeline-Marginal abatement cost</v>
      </c>
      <c r="S1107" t="str">
        <f t="shared" si="3368"/>
        <v>Micro-CHP with H2 fuel cell (heat)-Marginal abatement cost</v>
      </c>
      <c r="T1107">
        <f>IFERROR(VLOOKUP($P1107,'TA database'!$I$8:$J$79,2,FALSE),0)</f>
        <v>0</v>
      </c>
      <c r="U1107">
        <f>IFERROR(VLOOKUP($Q1107,'TA database'!$I$86:$J$105,2,FALSE),0)</f>
        <v>0</v>
      </c>
      <c r="V1107">
        <f>IFERROR(VLOOKUP($R1107,'TA database'!$I$112:$J$139,2,FALSE),0)</f>
        <v>0</v>
      </c>
      <c r="W1107">
        <f ca="1">IFERROR(VLOOKUP($S1107,'TA database'!$I$146:$J$193,2,FALSE),0)</f>
        <v>442.00853843442945</v>
      </c>
      <c r="X1107">
        <f>IFERROR(VLOOKUP($S1107,'TA database'!$I$200:$J$271,2,FALSE),0)</f>
        <v>0</v>
      </c>
      <c r="Y1107" s="59">
        <f t="shared" ca="1" si="3369"/>
        <v>442.00853843442945</v>
      </c>
      <c r="Z1107" t="str">
        <f t="shared" si="3370"/>
        <v>BIO_GSF_CCS_MED_C   →   C_GAS_STRG   →   H2_BLND_NG_P   →   H2_FC_mCHP_HEAT</v>
      </c>
      <c r="AA1107" t="str">
        <f t="shared" si="3371"/>
        <v>Building heat</v>
      </c>
      <c r="AB1107" t="str">
        <f t="shared" si="3372"/>
        <v>Marginal abatement cost</v>
      </c>
      <c r="AC1107">
        <f t="shared" ca="1" si="3373"/>
        <v>442.00853843442945</v>
      </c>
      <c r="AD1107">
        <v>1048</v>
      </c>
      <c r="AE1107" t="str">
        <f>IF(AND(ISNUMBER(SEARCH(O1107,4)),ISNUMBER(SEARCH('(4) FCH pathway assessment'!$B$16,AB1107)),ISNUMBER(SEARCH('(4) FCH pathway assessment'!$B$10,AA1107))),AD1107,"")</f>
        <v/>
      </c>
      <c r="AF1107" t="str">
        <f t="shared" si="3317"/>
        <v/>
      </c>
      <c r="AG1107" t="str">
        <f>VLOOKUP(C1107,Assumptions!$B$116:$C$162,2,FALSE)</f>
        <v>BIO_GSF_CCS_MED_C</v>
      </c>
      <c r="AH1107" t="str">
        <f>VLOOKUP(D1107,Assumptions!$B$116:$C$162,2,FALSE)</f>
        <v>C_GAS_STRG</v>
      </c>
      <c r="AI1107" t="str">
        <f>VLOOKUP(E1107,Assumptions!$B$116:$C$162,2,FALSE)</f>
        <v>H2_BLND_NG_P</v>
      </c>
      <c r="AJ1107" t="str">
        <f>VLOOKUP(F1107,Assumptions!$B$116:$C$162,2,FALSE)</f>
        <v>H2_FC_mCHP_HEAT</v>
      </c>
    </row>
    <row r="1108" spans="2:36" x14ac:dyDescent="0.25">
      <c r="B1108" t="s">
        <v>117</v>
      </c>
      <c r="C1108" t="s">
        <v>54</v>
      </c>
      <c r="D1108" t="s">
        <v>155</v>
      </c>
      <c r="E1108" t="s">
        <v>122</v>
      </c>
      <c r="F1108" t="s">
        <v>543</v>
      </c>
      <c r="G1108" t="s">
        <v>132</v>
      </c>
      <c r="H1108" t="s">
        <v>434</v>
      </c>
      <c r="I1108" t="s">
        <v>32</v>
      </c>
      <c r="J1108" t="s">
        <v>77</v>
      </c>
      <c r="K1108">
        <f t="shared" si="3360"/>
        <v>0</v>
      </c>
      <c r="L1108">
        <f t="shared" si="3361"/>
        <v>1</v>
      </c>
      <c r="M1108">
        <f t="shared" si="3362"/>
        <v>1</v>
      </c>
      <c r="N1108">
        <f t="shared" si="3363"/>
        <v>0</v>
      </c>
      <c r="O1108">
        <f t="shared" si="3364"/>
        <v>2</v>
      </c>
      <c r="P1108" t="str">
        <f t="shared" si="3365"/>
        <v>Medium centralized biomass gasification w/ CCS-Marginal abatement cost</v>
      </c>
      <c r="Q1108" t="str">
        <f t="shared" si="3366"/>
        <v>Central gas storage-Marginal abatement cost</v>
      </c>
      <c r="R1108" t="str">
        <f t="shared" si="3367"/>
        <v>Hydrogen transmission &amp; distribution pipeline-Marginal abatement cost</v>
      </c>
      <c r="S1108" t="str">
        <f t="shared" si="3368"/>
        <v>Micro-CHP with H2 fuel cell (heat)-Marginal abatement cost</v>
      </c>
      <c r="T1108">
        <f>IFERROR(VLOOKUP($P1108,'TA database'!$I$8:$J$79,2,FALSE),0)</f>
        <v>0</v>
      </c>
      <c r="U1108">
        <f>IFERROR(VLOOKUP($Q1108,'TA database'!$I$86:$J$105,2,FALSE),0)</f>
        <v>0</v>
      </c>
      <c r="V1108">
        <f>IFERROR(VLOOKUP($R1108,'TA database'!$I$112:$J$139,2,FALSE),0)</f>
        <v>0</v>
      </c>
      <c r="W1108">
        <f ca="1">IFERROR(VLOOKUP($S1108,'TA database'!$I$146:$J$193,2,FALSE),0)</f>
        <v>442.00853843442945</v>
      </c>
      <c r="X1108">
        <f>IFERROR(VLOOKUP($S1108,'TA database'!$I$200:$J$271,2,FALSE),0)</f>
        <v>0</v>
      </c>
      <c r="Y1108" s="59">
        <f t="shared" ca="1" si="3369"/>
        <v>442.00853843442945</v>
      </c>
      <c r="Z1108" t="str">
        <f t="shared" si="3370"/>
        <v>BIO_GSF_CCS_MED_C   →   C_GAS_STRG   →   H2_T&amp;D_P   →   H2_FC_mCHP_HEAT</v>
      </c>
      <c r="AA1108" t="str">
        <f t="shared" si="3371"/>
        <v>Building heat</v>
      </c>
      <c r="AB1108" t="str">
        <f t="shared" si="3372"/>
        <v>Marginal abatement cost</v>
      </c>
      <c r="AC1108">
        <f t="shared" ca="1" si="3373"/>
        <v>442.00853843442945</v>
      </c>
      <c r="AD1108">
        <v>1049</v>
      </c>
      <c r="AE1108" t="str">
        <f>IF(AND(ISNUMBER(SEARCH(O1108,4)),ISNUMBER(SEARCH('(4) FCH pathway assessment'!$B$16,AB1108)),ISNUMBER(SEARCH('(4) FCH pathway assessment'!$B$10,AA1108))),AD1108,"")</f>
        <v/>
      </c>
      <c r="AF1108" t="str">
        <f t="shared" si="3317"/>
        <v/>
      </c>
      <c r="AG1108" t="str">
        <f>VLOOKUP(C1108,Assumptions!$B$116:$C$162,2,FALSE)</f>
        <v>BIO_GSF_CCS_MED_C</v>
      </c>
      <c r="AH1108" t="str">
        <f>VLOOKUP(D1108,Assumptions!$B$116:$C$162,2,FALSE)</f>
        <v>C_GAS_STRG</v>
      </c>
      <c r="AI1108" t="str">
        <f>VLOOKUP(E1108,Assumptions!$B$116:$C$162,2,FALSE)</f>
        <v>H2_T&amp;D_P</v>
      </c>
      <c r="AJ1108" t="str">
        <f>VLOOKUP(F1108,Assumptions!$B$116:$C$162,2,FALSE)</f>
        <v>H2_FC_mCHP_HEAT</v>
      </c>
    </row>
    <row r="1109" spans="2:36" x14ac:dyDescent="0.25">
      <c r="B1109" t="s">
        <v>117</v>
      </c>
      <c r="C1109" t="s">
        <v>55</v>
      </c>
      <c r="D1109" s="60" t="s">
        <v>130</v>
      </c>
      <c r="E1109" t="s">
        <v>128</v>
      </c>
      <c r="F1109" t="s">
        <v>543</v>
      </c>
      <c r="G1109" t="s">
        <v>132</v>
      </c>
      <c r="H1109" t="s">
        <v>434</v>
      </c>
      <c r="I1109" t="s">
        <v>32</v>
      </c>
      <c r="J1109" t="s">
        <v>77</v>
      </c>
      <c r="K1109">
        <f t="shared" ref="K1109:K1111" si="3374">SUMPRODUCT(($C$7:$C$18=$C1109)*($D$6:$H$6=$D1109)*($D$7:$H$18))</f>
        <v>0</v>
      </c>
      <c r="L1109">
        <f t="shared" ref="L1109:L1111" si="3375">SUMPRODUCT(($C$19:$C$23=$D1109)*($I$6:$O$6=$E1109)*($I$19:$O$23))</f>
        <v>1</v>
      </c>
      <c r="M1109">
        <f t="shared" ref="M1109:M1111" si="3376">SUMPRODUCT(($C$24:$C$30=$E1109)*($P$6:$AI$6=$F1109)*($P$24:$AI$30))</f>
        <v>1</v>
      </c>
      <c r="N1109">
        <f t="shared" ref="N1109:N1111" si="3377">SUMPRODUCT(($C$31:$C$50=$F1109)*($AJ$6:$AM$6=$G1109)*($AJ$31:$AM$50))</f>
        <v>0</v>
      </c>
      <c r="O1109">
        <f t="shared" ref="O1109:O1111" si="3378">K1109+L1109+M1109+N1109</f>
        <v>2</v>
      </c>
      <c r="P1109" t="str">
        <f t="shared" ref="P1109:P1111" si="3379">CONCATENATE(C1109,"-",J1109)</f>
        <v>Small decentralized biomass gasification-Marginal abatement cost</v>
      </c>
      <c r="Q1109" t="str">
        <f t="shared" ref="Q1109:Q1111" si="3380">CONCATENATE(D1109,"-",J1109)</f>
        <v>Distributed gas storage-Marginal abatement cost</v>
      </c>
      <c r="R1109" t="str">
        <f t="shared" ref="R1109:R1111" si="3381">CONCATENATE(E1109,"-",J1109)</f>
        <v>Hydrogen distribution pipeline-Marginal abatement cost</v>
      </c>
      <c r="S1109" t="str">
        <f t="shared" ref="S1109:S1111" si="3382">CONCATENATE(F1109,"-",J1109)</f>
        <v>Micro-CHP with H2 fuel cell (heat)-Marginal abatement cost</v>
      </c>
      <c r="T1109">
        <f>IFERROR(VLOOKUP($P1109,'TA database'!$I$8:$J$79,2,FALSE),0)</f>
        <v>0</v>
      </c>
      <c r="U1109">
        <f>IFERROR(VLOOKUP($Q1109,'TA database'!$I$86:$J$105,2,FALSE),0)</f>
        <v>0</v>
      </c>
      <c r="V1109">
        <f>IFERROR(VLOOKUP($R1109,'TA database'!$I$112:$J$139,2,FALSE),0)</f>
        <v>0</v>
      </c>
      <c r="W1109">
        <f ca="1">IFERROR(VLOOKUP($S1109,'TA database'!$I$146:$J$193,2,FALSE),0)</f>
        <v>442.00853843442945</v>
      </c>
      <c r="X1109">
        <f>IFERROR(VLOOKUP($S1109,'TA database'!$I$200:$J$271,2,FALSE),0)</f>
        <v>0</v>
      </c>
      <c r="Y1109" s="59">
        <f t="shared" ref="Y1109:Y1111" ca="1" si="3383">IF($W1109=0,T1109+U1109+V1109+X1109,T1109+U1109+V1109+W1109)</f>
        <v>442.00853843442945</v>
      </c>
      <c r="Z1109" t="str">
        <f t="shared" ref="Z1109:Z1111" si="3384">CONCATENATE(AG1109,"   →   ",AH1109,"   →   ",AI1109,"   →   ",AJ1109)</f>
        <v>BIO_GSF_SML_D   →   D_GAS_STRG   →   H2_DSTRB_P   →   H2_FC_mCHP_HEAT</v>
      </c>
      <c r="AA1109" t="str">
        <f t="shared" ref="AA1109:AA1111" si="3385">G1109</f>
        <v>Building heat</v>
      </c>
      <c r="AB1109" t="str">
        <f t="shared" ref="AB1109:AB1111" si="3386">J1109</f>
        <v>Marginal abatement cost</v>
      </c>
      <c r="AC1109">
        <f t="shared" ref="AC1109:AC1111" ca="1" si="3387">Y1109</f>
        <v>442.00853843442945</v>
      </c>
      <c r="AD1109">
        <v>1050</v>
      </c>
      <c r="AE1109" t="str">
        <f>IF(AND(ISNUMBER(SEARCH(O1109,4)),ISNUMBER(SEARCH('(4) FCH pathway assessment'!$B$16,AB1109)),ISNUMBER(SEARCH('(4) FCH pathway assessment'!$B$10,AA1109))),AD1109,"")</f>
        <v/>
      </c>
      <c r="AF1109" t="str">
        <f t="shared" si="3317"/>
        <v/>
      </c>
      <c r="AG1109" t="str">
        <f>VLOOKUP(C1109,Assumptions!$B$116:$C$162,2,FALSE)</f>
        <v>BIO_GSF_SML_D</v>
      </c>
      <c r="AH1109" t="str">
        <f>VLOOKUP(D1109,Assumptions!$B$116:$C$162,2,FALSE)</f>
        <v>D_GAS_STRG</v>
      </c>
      <c r="AI1109" t="str">
        <f>VLOOKUP(E1109,Assumptions!$B$116:$C$162,2,FALSE)</f>
        <v>H2_DSTRB_P</v>
      </c>
      <c r="AJ1109" t="str">
        <f>VLOOKUP(F1109,Assumptions!$B$116:$C$162,2,FALSE)</f>
        <v>H2_FC_mCHP_HEAT</v>
      </c>
    </row>
    <row r="1110" spans="2:36" x14ac:dyDescent="0.25">
      <c r="B1110" t="s">
        <v>117</v>
      </c>
      <c r="C1110" t="s">
        <v>56</v>
      </c>
      <c r="D1110" t="s">
        <v>62</v>
      </c>
      <c r="E1110" t="s">
        <v>157</v>
      </c>
      <c r="F1110" t="s">
        <v>543</v>
      </c>
      <c r="G1110" t="s">
        <v>132</v>
      </c>
      <c r="H1110" t="s">
        <v>434</v>
      </c>
      <c r="I1110" t="s">
        <v>32</v>
      </c>
      <c r="J1110" t="s">
        <v>77</v>
      </c>
      <c r="K1110">
        <f t="shared" si="3374"/>
        <v>0</v>
      </c>
      <c r="L1110">
        <f t="shared" si="3375"/>
        <v>0</v>
      </c>
      <c r="M1110">
        <f t="shared" si="3376"/>
        <v>0</v>
      </c>
      <c r="N1110">
        <f t="shared" si="3377"/>
        <v>0</v>
      </c>
      <c r="O1110">
        <f t="shared" si="3378"/>
        <v>0</v>
      </c>
      <c r="P1110" t="str">
        <f t="shared" si="3379"/>
        <v>Large centralized biomass steam reforming -Marginal abatement cost</v>
      </c>
      <c r="Q1110" t="str">
        <f t="shared" si="3380"/>
        <v>Underground storage-Marginal abatement cost</v>
      </c>
      <c r="R1110" t="str">
        <f t="shared" si="3381"/>
        <v>Blending in natural gas pipeline-Marginal abatement cost</v>
      </c>
      <c r="S1110" t="str">
        <f t="shared" si="3382"/>
        <v>Micro-CHP with H2 fuel cell (heat)-Marginal abatement cost</v>
      </c>
      <c r="T1110">
        <f>IFERROR(VLOOKUP($P1110,'TA database'!$I$8:$J$79,2,FALSE),0)</f>
        <v>0</v>
      </c>
      <c r="U1110">
        <f>IFERROR(VLOOKUP($Q1110,'TA database'!$I$86:$J$105,2,FALSE),0)</f>
        <v>0</v>
      </c>
      <c r="V1110">
        <f>IFERROR(VLOOKUP($R1110,'TA database'!$I$112:$J$139,2,FALSE),0)</f>
        <v>0</v>
      </c>
      <c r="W1110">
        <f ca="1">IFERROR(VLOOKUP($S1110,'TA database'!$I$146:$J$193,2,FALSE),0)</f>
        <v>442.00853843442945</v>
      </c>
      <c r="X1110">
        <f>IFERROR(VLOOKUP($S1110,'TA database'!$I$200:$J$271,2,FALSE),0)</f>
        <v>0</v>
      </c>
      <c r="Y1110" s="59">
        <f t="shared" ca="1" si="3383"/>
        <v>442.00853843442945</v>
      </c>
      <c r="Z1110" t="str">
        <f t="shared" si="3384"/>
        <v>BIO_SR_LRG_C   →   C_UNDRGRND_STRG   →   H2_BLND_NG_P   →   H2_FC_mCHP_HEAT</v>
      </c>
      <c r="AA1110" t="str">
        <f t="shared" si="3385"/>
        <v>Building heat</v>
      </c>
      <c r="AB1110" t="str">
        <f t="shared" si="3386"/>
        <v>Marginal abatement cost</v>
      </c>
      <c r="AC1110">
        <f t="shared" ca="1" si="3387"/>
        <v>442.00853843442945</v>
      </c>
      <c r="AD1110">
        <v>1051</v>
      </c>
      <c r="AE1110" t="str">
        <f>IF(AND(ISNUMBER(SEARCH(O1110,4)),ISNUMBER(SEARCH('(4) FCH pathway assessment'!$B$16,AB1110)),ISNUMBER(SEARCH('(4) FCH pathway assessment'!$B$10,AA1110))),AD1110,"")</f>
        <v/>
      </c>
      <c r="AF1110" t="str">
        <f t="shared" si="3317"/>
        <v/>
      </c>
      <c r="AG1110" t="str">
        <f>VLOOKUP(C1110,Assumptions!$B$116:$C$162,2,FALSE)</f>
        <v>BIO_SR_LRG_C</v>
      </c>
      <c r="AH1110" t="str">
        <f>VLOOKUP(D1110,Assumptions!$B$116:$C$162,2,FALSE)</f>
        <v>C_UNDRGRND_STRG</v>
      </c>
      <c r="AI1110" t="str">
        <f>VLOOKUP(E1110,Assumptions!$B$116:$C$162,2,FALSE)</f>
        <v>H2_BLND_NG_P</v>
      </c>
      <c r="AJ1110" t="str">
        <f>VLOOKUP(F1110,Assumptions!$B$116:$C$162,2,FALSE)</f>
        <v>H2_FC_mCHP_HEAT</v>
      </c>
    </row>
    <row r="1111" spans="2:36" x14ac:dyDescent="0.25">
      <c r="B1111" t="s">
        <v>117</v>
      </c>
      <c r="C1111" t="s">
        <v>56</v>
      </c>
      <c r="D1111" t="s">
        <v>62</v>
      </c>
      <c r="E1111" t="s">
        <v>122</v>
      </c>
      <c r="F1111" t="s">
        <v>543</v>
      </c>
      <c r="G1111" t="s">
        <v>132</v>
      </c>
      <c r="H1111" t="s">
        <v>434</v>
      </c>
      <c r="I1111" t="s">
        <v>32</v>
      </c>
      <c r="J1111" t="s">
        <v>77</v>
      </c>
      <c r="K1111">
        <f t="shared" si="3374"/>
        <v>0</v>
      </c>
      <c r="L1111">
        <f t="shared" si="3375"/>
        <v>0</v>
      </c>
      <c r="M1111">
        <f t="shared" si="3376"/>
        <v>1</v>
      </c>
      <c r="N1111">
        <f t="shared" si="3377"/>
        <v>0</v>
      </c>
      <c r="O1111">
        <f t="shared" si="3378"/>
        <v>1</v>
      </c>
      <c r="P1111" t="str">
        <f t="shared" si="3379"/>
        <v>Large centralized biomass steam reforming -Marginal abatement cost</v>
      </c>
      <c r="Q1111" t="str">
        <f t="shared" si="3380"/>
        <v>Underground storage-Marginal abatement cost</v>
      </c>
      <c r="R1111" t="str">
        <f t="shared" si="3381"/>
        <v>Hydrogen transmission &amp; distribution pipeline-Marginal abatement cost</v>
      </c>
      <c r="S1111" t="str">
        <f t="shared" si="3382"/>
        <v>Micro-CHP with H2 fuel cell (heat)-Marginal abatement cost</v>
      </c>
      <c r="T1111">
        <f>IFERROR(VLOOKUP($P1111,'TA database'!$I$8:$J$79,2,FALSE),0)</f>
        <v>0</v>
      </c>
      <c r="U1111">
        <f>IFERROR(VLOOKUP($Q1111,'TA database'!$I$86:$J$105,2,FALSE),0)</f>
        <v>0</v>
      </c>
      <c r="V1111">
        <f>IFERROR(VLOOKUP($R1111,'TA database'!$I$112:$J$139,2,FALSE),0)</f>
        <v>0</v>
      </c>
      <c r="W1111">
        <f ca="1">IFERROR(VLOOKUP($S1111,'TA database'!$I$146:$J$193,2,FALSE),0)</f>
        <v>442.00853843442945</v>
      </c>
      <c r="X1111">
        <f>IFERROR(VLOOKUP($S1111,'TA database'!$I$200:$J$271,2,FALSE),0)</f>
        <v>0</v>
      </c>
      <c r="Y1111" s="59">
        <f t="shared" ca="1" si="3383"/>
        <v>442.00853843442945</v>
      </c>
      <c r="Z1111" t="str">
        <f t="shared" si="3384"/>
        <v>BIO_SR_LRG_C   →   C_UNDRGRND_STRG   →   H2_T&amp;D_P   →   H2_FC_mCHP_HEAT</v>
      </c>
      <c r="AA1111" t="str">
        <f t="shared" si="3385"/>
        <v>Building heat</v>
      </c>
      <c r="AB1111" t="str">
        <f t="shared" si="3386"/>
        <v>Marginal abatement cost</v>
      </c>
      <c r="AC1111">
        <f t="shared" ca="1" si="3387"/>
        <v>442.00853843442945</v>
      </c>
      <c r="AD1111">
        <v>1052</v>
      </c>
      <c r="AE1111" t="str">
        <f>IF(AND(ISNUMBER(SEARCH(O1111,4)),ISNUMBER(SEARCH('(4) FCH pathway assessment'!$B$16,AB1111)),ISNUMBER(SEARCH('(4) FCH pathway assessment'!$B$10,AA1111))),AD1111,"")</f>
        <v/>
      </c>
      <c r="AF1111" t="str">
        <f t="shared" si="3317"/>
        <v/>
      </c>
      <c r="AG1111" t="str">
        <f>VLOOKUP(C1111,Assumptions!$B$116:$C$162,2,FALSE)</f>
        <v>BIO_SR_LRG_C</v>
      </c>
      <c r="AH1111" t="str">
        <f>VLOOKUP(D1111,Assumptions!$B$116:$C$162,2,FALSE)</f>
        <v>C_UNDRGRND_STRG</v>
      </c>
      <c r="AI1111" t="str">
        <f>VLOOKUP(E1111,Assumptions!$B$116:$C$162,2,FALSE)</f>
        <v>H2_T&amp;D_P</v>
      </c>
      <c r="AJ1111" t="str">
        <f>VLOOKUP(F1111,Assumptions!$B$116:$C$162,2,FALSE)</f>
        <v>H2_FC_mCHP_HEAT</v>
      </c>
    </row>
    <row r="1112" spans="2:36" x14ac:dyDescent="0.25">
      <c r="B1112" t="s">
        <v>117</v>
      </c>
      <c r="C1112" t="s">
        <v>56</v>
      </c>
      <c r="D1112" s="61" t="s">
        <v>63</v>
      </c>
      <c r="E1112" t="s">
        <v>122</v>
      </c>
      <c r="F1112" t="s">
        <v>543</v>
      </c>
      <c r="G1112" t="s">
        <v>132</v>
      </c>
      <c r="H1112" t="s">
        <v>434</v>
      </c>
      <c r="I1112" t="s">
        <v>32</v>
      </c>
      <c r="J1112" t="s">
        <v>77</v>
      </c>
      <c r="K1112">
        <f t="shared" ref="K1112:K1118" si="3388">SUMPRODUCT(($C$7:$C$18=$C1112)*($D$6:$H$6=$D1112)*($D$7:$H$18))</f>
        <v>0</v>
      </c>
      <c r="L1112">
        <f t="shared" ref="L1112:L1118" si="3389">SUMPRODUCT(($C$19:$C$23=$D1112)*($I$6:$O$6=$E1112)*($I$19:$O$23))</f>
        <v>1</v>
      </c>
      <c r="M1112">
        <f t="shared" ref="M1112:M1118" si="3390">SUMPRODUCT(($C$24:$C$30=$E1112)*($P$6:$AI$6=$F1112)*($P$24:$AI$30))</f>
        <v>1</v>
      </c>
      <c r="N1112">
        <f t="shared" ref="N1112:N1118" si="3391">SUMPRODUCT(($C$31:$C$50=$F1112)*($AJ$6:$AM$6=$G1112)*($AJ$31:$AM$50))</f>
        <v>0</v>
      </c>
      <c r="O1112">
        <f t="shared" ref="O1112:O1117" si="3392">K1112+L1112+M1112+N1112</f>
        <v>2</v>
      </c>
      <c r="P1112" t="str">
        <f t="shared" ref="P1112:P1118" si="3393">CONCATENATE(C1112,"-",J1112)</f>
        <v>Large centralized biomass steam reforming -Marginal abatement cost</v>
      </c>
      <c r="Q1112" t="str">
        <f t="shared" ref="Q1112:Q1118" si="3394">CONCATENATE(D1112,"-",J1112)</f>
        <v>No storage-Marginal abatement cost</v>
      </c>
      <c r="R1112" t="str">
        <f t="shared" ref="R1112:R1118" si="3395">CONCATENATE(E1112,"-",J1112)</f>
        <v>Hydrogen transmission &amp; distribution pipeline-Marginal abatement cost</v>
      </c>
      <c r="S1112" t="str">
        <f t="shared" ref="S1112:S1118" si="3396">CONCATENATE(F1112,"-",J1112)</f>
        <v>Micro-CHP with H2 fuel cell (heat)-Marginal abatement cost</v>
      </c>
      <c r="T1112">
        <f>IFERROR(VLOOKUP($P1112,'TA database'!$I$8:$J$79,2,FALSE),0)</f>
        <v>0</v>
      </c>
      <c r="U1112">
        <f>IFERROR(VLOOKUP($Q1112,'TA database'!$I$86:$J$105,2,FALSE),0)</f>
        <v>0</v>
      </c>
      <c r="V1112">
        <f>IFERROR(VLOOKUP($R1112,'TA database'!$I$112:$J$139,2,FALSE),0)</f>
        <v>0</v>
      </c>
      <c r="W1112">
        <f ca="1">IFERROR(VLOOKUP($S1112,'TA database'!$I$146:$J$193,2,FALSE),0)</f>
        <v>442.00853843442945</v>
      </c>
      <c r="X1112">
        <f>IFERROR(VLOOKUP($S1112,'TA database'!$I$200:$J$271,2,FALSE),0)</f>
        <v>0</v>
      </c>
      <c r="Y1112" s="59">
        <f t="shared" ref="Y1112:Y1116" ca="1" si="3397">IF($W1112=0,T1112+U1112+V1112+X1112,T1112+U1112+V1112+W1112)</f>
        <v>442.00853843442945</v>
      </c>
      <c r="Z1112" t="str">
        <f t="shared" ref="Z1112:Z1117" si="3398">CONCATENATE(AG1112,"   →   ",AH1112,"   →   ",AI1112,"   →   ",AJ1112)</f>
        <v>BIO_SR_LRG_C   →   NO_STRG   →   H2_T&amp;D_P   →   H2_FC_mCHP_HEAT</v>
      </c>
      <c r="AA1112" t="str">
        <f t="shared" ref="AA1112:AA1117" si="3399">G1112</f>
        <v>Building heat</v>
      </c>
      <c r="AB1112" t="str">
        <f t="shared" ref="AB1112:AB1117" si="3400">J1112</f>
        <v>Marginal abatement cost</v>
      </c>
      <c r="AC1112">
        <f t="shared" ref="AC1112:AC1117" ca="1" si="3401">Y1112</f>
        <v>442.00853843442945</v>
      </c>
      <c r="AD1112">
        <v>1053</v>
      </c>
      <c r="AE1112" t="str">
        <f>IF(AND(ISNUMBER(SEARCH(O1112,4)),ISNUMBER(SEARCH('(4) FCH pathway assessment'!$B$16,AB1112)),ISNUMBER(SEARCH('(4) FCH pathway assessment'!$B$10,AA1112))),AD1112,"")</f>
        <v/>
      </c>
      <c r="AF1112" t="str">
        <f t="shared" si="3317"/>
        <v/>
      </c>
      <c r="AG1112" t="str">
        <f>VLOOKUP(C1112,Assumptions!$B$116:$C$162,2,FALSE)</f>
        <v>BIO_SR_LRG_C</v>
      </c>
      <c r="AH1112" t="str">
        <f>VLOOKUP(D1112,Assumptions!$B$116:$C$162,2,FALSE)</f>
        <v>NO_STRG</v>
      </c>
      <c r="AI1112" t="str">
        <f>VLOOKUP(E1112,Assumptions!$B$116:$C$162,2,FALSE)</f>
        <v>H2_T&amp;D_P</v>
      </c>
      <c r="AJ1112" t="str">
        <f>VLOOKUP(F1112,Assumptions!$B$116:$C$162,2,FALSE)</f>
        <v>H2_FC_mCHP_HEAT</v>
      </c>
    </row>
    <row r="1113" spans="2:36" x14ac:dyDescent="0.25">
      <c r="B1113" t="s">
        <v>112</v>
      </c>
      <c r="C1113" t="s">
        <v>49</v>
      </c>
      <c r="D1113" t="s">
        <v>62</v>
      </c>
      <c r="E1113" t="s">
        <v>157</v>
      </c>
      <c r="F1113" t="s">
        <v>543</v>
      </c>
      <c r="G1113" t="s">
        <v>132</v>
      </c>
      <c r="H1113" t="s">
        <v>434</v>
      </c>
      <c r="I1113" t="s">
        <v>32</v>
      </c>
      <c r="J1113" t="s">
        <v>77</v>
      </c>
      <c r="K1113">
        <f t="shared" si="3388"/>
        <v>1</v>
      </c>
      <c r="L1113">
        <f t="shared" si="3389"/>
        <v>0</v>
      </c>
      <c r="M1113">
        <f t="shared" si="3390"/>
        <v>0</v>
      </c>
      <c r="N1113">
        <f t="shared" si="3391"/>
        <v>0</v>
      </c>
      <c r="O1113">
        <f t="shared" si="3392"/>
        <v>1</v>
      </c>
      <c r="P1113" t="str">
        <f t="shared" si="3393"/>
        <v>Large centralized electrolysis-Marginal abatement cost</v>
      </c>
      <c r="Q1113" t="str">
        <f t="shared" si="3394"/>
        <v>Underground storage-Marginal abatement cost</v>
      </c>
      <c r="R1113" t="str">
        <f t="shared" si="3395"/>
        <v>Blending in natural gas pipeline-Marginal abatement cost</v>
      </c>
      <c r="S1113" t="str">
        <f t="shared" si="3396"/>
        <v>Micro-CHP with H2 fuel cell (heat)-Marginal abatement cost</v>
      </c>
      <c r="T1113">
        <f>IFERROR(VLOOKUP($P1113,'TA database'!$I$8:$J$79,2,FALSE),0)</f>
        <v>0</v>
      </c>
      <c r="U1113">
        <f>IFERROR(VLOOKUP($Q1113,'TA database'!$I$86:$J$105,2,FALSE),0)</f>
        <v>0</v>
      </c>
      <c r="V1113">
        <f>IFERROR(VLOOKUP($R1113,'TA database'!$I$112:$J$139,2,FALSE),0)</f>
        <v>0</v>
      </c>
      <c r="W1113">
        <f ca="1">IFERROR(VLOOKUP($S1113,'TA database'!$I$146:$J$193,2,FALSE),0)</f>
        <v>442.00853843442945</v>
      </c>
      <c r="X1113">
        <f>IFERROR(VLOOKUP($S1113,'TA database'!$I$200:$J$271,2,FALSE),0)</f>
        <v>0</v>
      </c>
      <c r="Y1113" s="59">
        <f t="shared" ca="1" si="3397"/>
        <v>442.00853843442945</v>
      </c>
      <c r="Z1113" t="str">
        <f t="shared" si="3398"/>
        <v>ELCTRLYZ_LRG_C   →   C_UNDRGRND_STRG   →   H2_BLND_NG_P   →   H2_FC_mCHP_HEAT</v>
      </c>
      <c r="AA1113" t="str">
        <f t="shared" si="3399"/>
        <v>Building heat</v>
      </c>
      <c r="AB1113" t="str">
        <f t="shared" si="3400"/>
        <v>Marginal abatement cost</v>
      </c>
      <c r="AC1113">
        <f t="shared" ca="1" si="3401"/>
        <v>442.00853843442945</v>
      </c>
      <c r="AD1113">
        <v>1054</v>
      </c>
      <c r="AE1113" t="str">
        <f>IF(AND(ISNUMBER(SEARCH(O1113,4)),ISNUMBER(SEARCH('(4) FCH pathway assessment'!$B$16,AB1113)),ISNUMBER(SEARCH('(4) FCH pathway assessment'!$B$10,AA1113))),AD1113,"")</f>
        <v/>
      </c>
      <c r="AF1113" t="str">
        <f t="shared" si="3317"/>
        <v/>
      </c>
      <c r="AG1113" t="str">
        <f>VLOOKUP(C1113,Assumptions!$B$116:$C$162,2,FALSE)</f>
        <v>ELCTRLYZ_LRG_C</v>
      </c>
      <c r="AH1113" t="str">
        <f>VLOOKUP(D1113,Assumptions!$B$116:$C$162,2,FALSE)</f>
        <v>C_UNDRGRND_STRG</v>
      </c>
      <c r="AI1113" t="str">
        <f>VLOOKUP(E1113,Assumptions!$B$116:$C$162,2,FALSE)</f>
        <v>H2_BLND_NG_P</v>
      </c>
      <c r="AJ1113" t="str">
        <f>VLOOKUP(F1113,Assumptions!$B$116:$C$162,2,FALSE)</f>
        <v>H2_FC_mCHP_HEAT</v>
      </c>
    </row>
    <row r="1114" spans="2:36" x14ac:dyDescent="0.25">
      <c r="B1114" t="s">
        <v>112</v>
      </c>
      <c r="C1114" t="s">
        <v>49</v>
      </c>
      <c r="D1114" t="s">
        <v>62</v>
      </c>
      <c r="E1114" t="s">
        <v>122</v>
      </c>
      <c r="F1114" t="s">
        <v>543</v>
      </c>
      <c r="G1114" t="s">
        <v>132</v>
      </c>
      <c r="H1114" t="s">
        <v>434</v>
      </c>
      <c r="I1114" t="s">
        <v>32</v>
      </c>
      <c r="J1114" t="s">
        <v>77</v>
      </c>
      <c r="K1114">
        <f t="shared" si="3388"/>
        <v>1</v>
      </c>
      <c r="L1114">
        <f t="shared" si="3389"/>
        <v>0</v>
      </c>
      <c r="M1114">
        <f t="shared" si="3390"/>
        <v>1</v>
      </c>
      <c r="N1114">
        <f t="shared" si="3391"/>
        <v>0</v>
      </c>
      <c r="O1114">
        <f t="shared" si="3392"/>
        <v>2</v>
      </c>
      <c r="P1114" t="str">
        <f t="shared" si="3393"/>
        <v>Large centralized electrolysis-Marginal abatement cost</v>
      </c>
      <c r="Q1114" t="str">
        <f t="shared" si="3394"/>
        <v>Underground storage-Marginal abatement cost</v>
      </c>
      <c r="R1114" t="str">
        <f t="shared" si="3395"/>
        <v>Hydrogen transmission &amp; distribution pipeline-Marginal abatement cost</v>
      </c>
      <c r="S1114" t="str">
        <f t="shared" si="3396"/>
        <v>Micro-CHP with H2 fuel cell (heat)-Marginal abatement cost</v>
      </c>
      <c r="T1114">
        <f>IFERROR(VLOOKUP($P1114,'TA database'!$I$8:$J$79,2,FALSE),0)</f>
        <v>0</v>
      </c>
      <c r="U1114">
        <f>IFERROR(VLOOKUP($Q1114,'TA database'!$I$86:$J$105,2,FALSE),0)</f>
        <v>0</v>
      </c>
      <c r="V1114">
        <f>IFERROR(VLOOKUP($R1114,'TA database'!$I$112:$J$139,2,FALSE),0)</f>
        <v>0</v>
      </c>
      <c r="W1114">
        <f ca="1">IFERROR(VLOOKUP($S1114,'TA database'!$I$146:$J$193,2,FALSE),0)</f>
        <v>442.00853843442945</v>
      </c>
      <c r="X1114">
        <f>IFERROR(VLOOKUP($S1114,'TA database'!$I$200:$J$271,2,FALSE),0)</f>
        <v>0</v>
      </c>
      <c r="Y1114" s="59">
        <f t="shared" ca="1" si="3397"/>
        <v>442.00853843442945</v>
      </c>
      <c r="Z1114" t="str">
        <f t="shared" si="3398"/>
        <v>ELCTRLYZ_LRG_C   →   C_UNDRGRND_STRG   →   H2_T&amp;D_P   →   H2_FC_mCHP_HEAT</v>
      </c>
      <c r="AA1114" t="str">
        <f t="shared" si="3399"/>
        <v>Building heat</v>
      </c>
      <c r="AB1114" t="str">
        <f t="shared" si="3400"/>
        <v>Marginal abatement cost</v>
      </c>
      <c r="AC1114">
        <f t="shared" ca="1" si="3401"/>
        <v>442.00853843442945</v>
      </c>
      <c r="AD1114">
        <v>1055</v>
      </c>
      <c r="AE1114" t="str">
        <f>IF(AND(ISNUMBER(SEARCH(O1114,4)),ISNUMBER(SEARCH('(4) FCH pathway assessment'!$B$16,AB1114)),ISNUMBER(SEARCH('(4) FCH pathway assessment'!$B$10,AA1114))),AD1114,"")</f>
        <v/>
      </c>
      <c r="AF1114" t="str">
        <f t="shared" si="3317"/>
        <v/>
      </c>
      <c r="AG1114" t="str">
        <f>VLOOKUP(C1114,Assumptions!$B$116:$C$162,2,FALSE)</f>
        <v>ELCTRLYZ_LRG_C</v>
      </c>
      <c r="AH1114" t="str">
        <f>VLOOKUP(D1114,Assumptions!$B$116:$C$162,2,FALSE)</f>
        <v>C_UNDRGRND_STRG</v>
      </c>
      <c r="AI1114" t="str">
        <f>VLOOKUP(E1114,Assumptions!$B$116:$C$162,2,FALSE)</f>
        <v>H2_T&amp;D_P</v>
      </c>
      <c r="AJ1114" t="str">
        <f>VLOOKUP(F1114,Assumptions!$B$116:$C$162,2,FALSE)</f>
        <v>H2_FC_mCHP_HEAT</v>
      </c>
    </row>
    <row r="1115" spans="2:36" x14ac:dyDescent="0.25">
      <c r="B1115" t="s">
        <v>112</v>
      </c>
      <c r="C1115" t="s">
        <v>49</v>
      </c>
      <c r="D1115" t="s">
        <v>155</v>
      </c>
      <c r="E1115" t="s">
        <v>157</v>
      </c>
      <c r="F1115" t="s">
        <v>543</v>
      </c>
      <c r="G1115" t="s">
        <v>132</v>
      </c>
      <c r="H1115" t="s">
        <v>434</v>
      </c>
      <c r="I1115" t="s">
        <v>32</v>
      </c>
      <c r="J1115" t="s">
        <v>77</v>
      </c>
      <c r="K1115">
        <f t="shared" si="3388"/>
        <v>1</v>
      </c>
      <c r="L1115">
        <f t="shared" si="3389"/>
        <v>1</v>
      </c>
      <c r="M1115">
        <f t="shared" si="3390"/>
        <v>0</v>
      </c>
      <c r="N1115">
        <f t="shared" si="3391"/>
        <v>0</v>
      </c>
      <c r="O1115">
        <f t="shared" si="3392"/>
        <v>2</v>
      </c>
      <c r="P1115" t="str">
        <f t="shared" si="3393"/>
        <v>Large centralized electrolysis-Marginal abatement cost</v>
      </c>
      <c r="Q1115" t="str">
        <f t="shared" si="3394"/>
        <v>Central gas storage-Marginal abatement cost</v>
      </c>
      <c r="R1115" t="str">
        <f t="shared" si="3395"/>
        <v>Blending in natural gas pipeline-Marginal abatement cost</v>
      </c>
      <c r="S1115" t="str">
        <f t="shared" si="3396"/>
        <v>Micro-CHP with H2 fuel cell (heat)-Marginal abatement cost</v>
      </c>
      <c r="T1115">
        <f>IFERROR(VLOOKUP($P1115,'TA database'!$I$8:$J$79,2,FALSE),0)</f>
        <v>0</v>
      </c>
      <c r="U1115">
        <f>IFERROR(VLOOKUP($Q1115,'TA database'!$I$86:$J$105,2,FALSE),0)</f>
        <v>0</v>
      </c>
      <c r="V1115">
        <f>IFERROR(VLOOKUP($R1115,'TA database'!$I$112:$J$139,2,FALSE),0)</f>
        <v>0</v>
      </c>
      <c r="W1115">
        <f ca="1">IFERROR(VLOOKUP($S1115,'TA database'!$I$146:$J$193,2,FALSE),0)</f>
        <v>442.00853843442945</v>
      </c>
      <c r="X1115">
        <f>IFERROR(VLOOKUP($S1115,'TA database'!$I$200:$J$271,2,FALSE),0)</f>
        <v>0</v>
      </c>
      <c r="Y1115" s="59">
        <f t="shared" ca="1" si="3397"/>
        <v>442.00853843442945</v>
      </c>
      <c r="Z1115" t="str">
        <f t="shared" si="3398"/>
        <v>ELCTRLYZ_LRG_C   →   C_GAS_STRG   →   H2_BLND_NG_P   →   H2_FC_mCHP_HEAT</v>
      </c>
      <c r="AA1115" t="str">
        <f t="shared" si="3399"/>
        <v>Building heat</v>
      </c>
      <c r="AB1115" t="str">
        <f t="shared" si="3400"/>
        <v>Marginal abatement cost</v>
      </c>
      <c r="AC1115">
        <f t="shared" ca="1" si="3401"/>
        <v>442.00853843442945</v>
      </c>
      <c r="AD1115">
        <v>1056</v>
      </c>
      <c r="AE1115" t="str">
        <f>IF(AND(ISNUMBER(SEARCH(O1115,4)),ISNUMBER(SEARCH('(4) FCH pathway assessment'!$B$16,AB1115)),ISNUMBER(SEARCH('(4) FCH pathway assessment'!$B$10,AA1115))),AD1115,"")</f>
        <v/>
      </c>
      <c r="AF1115" t="str">
        <f t="shared" si="3317"/>
        <v/>
      </c>
      <c r="AG1115" t="str">
        <f>VLOOKUP(C1115,Assumptions!$B$116:$C$162,2,FALSE)</f>
        <v>ELCTRLYZ_LRG_C</v>
      </c>
      <c r="AH1115" t="str">
        <f>VLOOKUP(D1115,Assumptions!$B$116:$C$162,2,FALSE)</f>
        <v>C_GAS_STRG</v>
      </c>
      <c r="AI1115" t="str">
        <f>VLOOKUP(E1115,Assumptions!$B$116:$C$162,2,FALSE)</f>
        <v>H2_BLND_NG_P</v>
      </c>
      <c r="AJ1115" t="str">
        <f>VLOOKUP(F1115,Assumptions!$B$116:$C$162,2,FALSE)</f>
        <v>H2_FC_mCHP_HEAT</v>
      </c>
    </row>
    <row r="1116" spans="2:36" x14ac:dyDescent="0.25">
      <c r="B1116" t="s">
        <v>112</v>
      </c>
      <c r="C1116" t="s">
        <v>49</v>
      </c>
      <c r="D1116" t="s">
        <v>155</v>
      </c>
      <c r="E1116" t="s">
        <v>122</v>
      </c>
      <c r="F1116" t="s">
        <v>543</v>
      </c>
      <c r="G1116" t="s">
        <v>132</v>
      </c>
      <c r="H1116" t="s">
        <v>434</v>
      </c>
      <c r="I1116" t="s">
        <v>32</v>
      </c>
      <c r="J1116" t="s">
        <v>77</v>
      </c>
      <c r="K1116">
        <f t="shared" si="3388"/>
        <v>1</v>
      </c>
      <c r="L1116">
        <f t="shared" si="3389"/>
        <v>1</v>
      </c>
      <c r="M1116">
        <f t="shared" si="3390"/>
        <v>1</v>
      </c>
      <c r="N1116">
        <f t="shared" si="3391"/>
        <v>0</v>
      </c>
      <c r="O1116">
        <f t="shared" si="3392"/>
        <v>3</v>
      </c>
      <c r="P1116" t="str">
        <f t="shared" si="3393"/>
        <v>Large centralized electrolysis-Marginal abatement cost</v>
      </c>
      <c r="Q1116" t="str">
        <f t="shared" si="3394"/>
        <v>Central gas storage-Marginal abatement cost</v>
      </c>
      <c r="R1116" t="str">
        <f t="shared" si="3395"/>
        <v>Hydrogen transmission &amp; distribution pipeline-Marginal abatement cost</v>
      </c>
      <c r="S1116" t="str">
        <f t="shared" si="3396"/>
        <v>Micro-CHP with H2 fuel cell (heat)-Marginal abatement cost</v>
      </c>
      <c r="T1116">
        <f>IFERROR(VLOOKUP($P1116,'TA database'!$I$8:$J$79,2,FALSE),0)</f>
        <v>0</v>
      </c>
      <c r="U1116">
        <f>IFERROR(VLOOKUP($Q1116,'TA database'!$I$86:$J$105,2,FALSE),0)</f>
        <v>0</v>
      </c>
      <c r="V1116">
        <f>IFERROR(VLOOKUP($R1116,'TA database'!$I$112:$J$139,2,FALSE),0)</f>
        <v>0</v>
      </c>
      <c r="W1116">
        <f ca="1">IFERROR(VLOOKUP($S1116,'TA database'!$I$146:$J$193,2,FALSE),0)</f>
        <v>442.00853843442945</v>
      </c>
      <c r="X1116">
        <f>IFERROR(VLOOKUP($S1116,'TA database'!$I$200:$J$271,2,FALSE),0)</f>
        <v>0</v>
      </c>
      <c r="Y1116" s="59">
        <f t="shared" ca="1" si="3397"/>
        <v>442.00853843442945</v>
      </c>
      <c r="Z1116" t="str">
        <f t="shared" si="3398"/>
        <v>ELCTRLYZ_LRG_C   →   C_GAS_STRG   →   H2_T&amp;D_P   →   H2_FC_mCHP_HEAT</v>
      </c>
      <c r="AA1116" t="str">
        <f t="shared" si="3399"/>
        <v>Building heat</v>
      </c>
      <c r="AB1116" t="str">
        <f t="shared" si="3400"/>
        <v>Marginal abatement cost</v>
      </c>
      <c r="AC1116">
        <f t="shared" ca="1" si="3401"/>
        <v>442.00853843442945</v>
      </c>
      <c r="AD1116">
        <v>1057</v>
      </c>
      <c r="AE1116" t="str">
        <f>IF(AND(ISNUMBER(SEARCH(O1116,4)),ISNUMBER(SEARCH('(4) FCH pathway assessment'!$B$16,AB1116)),ISNUMBER(SEARCH('(4) FCH pathway assessment'!$B$10,AA1116))),AD1116,"")</f>
        <v/>
      </c>
      <c r="AF1116" t="str">
        <f t="shared" si="3317"/>
        <v/>
      </c>
      <c r="AG1116" t="str">
        <f>VLOOKUP(C1116,Assumptions!$B$116:$C$162,2,FALSE)</f>
        <v>ELCTRLYZ_LRG_C</v>
      </c>
      <c r="AH1116" t="str">
        <f>VLOOKUP(D1116,Assumptions!$B$116:$C$162,2,FALSE)</f>
        <v>C_GAS_STRG</v>
      </c>
      <c r="AI1116" t="str">
        <f>VLOOKUP(E1116,Assumptions!$B$116:$C$162,2,FALSE)</f>
        <v>H2_T&amp;D_P</v>
      </c>
      <c r="AJ1116" t="str">
        <f>VLOOKUP(F1116,Assumptions!$B$116:$C$162,2,FALSE)</f>
        <v>H2_FC_mCHP_HEAT</v>
      </c>
    </row>
    <row r="1117" spans="2:36" x14ac:dyDescent="0.25">
      <c r="B1117" t="s">
        <v>112</v>
      </c>
      <c r="C1117" t="s">
        <v>51</v>
      </c>
      <c r="D1117" t="s">
        <v>155</v>
      </c>
      <c r="E1117" t="s">
        <v>157</v>
      </c>
      <c r="F1117" t="s">
        <v>543</v>
      </c>
      <c r="G1117" t="s">
        <v>132</v>
      </c>
      <c r="H1117" t="s">
        <v>434</v>
      </c>
      <c r="I1117" t="s">
        <v>32</v>
      </c>
      <c r="J1117" t="s">
        <v>77</v>
      </c>
      <c r="K1117">
        <f t="shared" si="3388"/>
        <v>1</v>
      </c>
      <c r="L1117">
        <f t="shared" si="3389"/>
        <v>1</v>
      </c>
      <c r="M1117">
        <f t="shared" si="3390"/>
        <v>0</v>
      </c>
      <c r="N1117">
        <f t="shared" si="3391"/>
        <v>0</v>
      </c>
      <c r="O1117">
        <f t="shared" si="3392"/>
        <v>2</v>
      </c>
      <c r="P1117" t="str">
        <f t="shared" si="3393"/>
        <v>Medium centralized electrolysis-Marginal abatement cost</v>
      </c>
      <c r="Q1117" t="str">
        <f t="shared" si="3394"/>
        <v>Central gas storage-Marginal abatement cost</v>
      </c>
      <c r="R1117" t="str">
        <f t="shared" si="3395"/>
        <v>Blending in natural gas pipeline-Marginal abatement cost</v>
      </c>
      <c r="S1117" t="str">
        <f t="shared" si="3396"/>
        <v>Micro-CHP with H2 fuel cell (heat)-Marginal abatement cost</v>
      </c>
      <c r="T1117">
        <f>IFERROR(VLOOKUP($P1117,'TA database'!$I$8:$J$79,2,FALSE),0)</f>
        <v>0</v>
      </c>
      <c r="U1117">
        <f>IFERROR(VLOOKUP($Q1117,'TA database'!$I$86:$J$105,2,FALSE),0)</f>
        <v>0</v>
      </c>
      <c r="V1117">
        <f>IFERROR(VLOOKUP($R1117,'TA database'!$I$112:$J$139,2,FALSE),0)</f>
        <v>0</v>
      </c>
      <c r="W1117">
        <f ca="1">IFERROR(VLOOKUP($S1117,'TA database'!$I$146:$J$193,2,FALSE),0)</f>
        <v>442.00853843442945</v>
      </c>
      <c r="X1117">
        <f>IFERROR(VLOOKUP($S1117,'TA database'!$I$200:$J$271,2,FALSE),0)</f>
        <v>0</v>
      </c>
      <c r="Y1117" s="59">
        <f t="shared" ref="Y1117:Y1119" ca="1" si="3402">IF($W1117=0,T1117+U1117+V1117+X1117,T1117+U1117+V1117+W1117)</f>
        <v>442.00853843442945</v>
      </c>
      <c r="Z1117" t="str">
        <f t="shared" si="3398"/>
        <v>ELCTRLYZ_MED_C   →   C_GAS_STRG   →   H2_BLND_NG_P   →   H2_FC_mCHP_HEAT</v>
      </c>
      <c r="AA1117" t="str">
        <f t="shared" si="3399"/>
        <v>Building heat</v>
      </c>
      <c r="AB1117" t="str">
        <f t="shared" si="3400"/>
        <v>Marginal abatement cost</v>
      </c>
      <c r="AC1117">
        <f t="shared" ca="1" si="3401"/>
        <v>442.00853843442945</v>
      </c>
      <c r="AD1117">
        <v>1058</v>
      </c>
      <c r="AE1117" t="str">
        <f>IF(AND(ISNUMBER(SEARCH(O1117,4)),ISNUMBER(SEARCH('(4) FCH pathway assessment'!$B$16,AB1117)),ISNUMBER(SEARCH('(4) FCH pathway assessment'!$B$10,AA1117))),AD1117,"")</f>
        <v/>
      </c>
      <c r="AF1117" t="str">
        <f t="shared" si="3317"/>
        <v/>
      </c>
      <c r="AG1117" t="str">
        <f>VLOOKUP(C1117,Assumptions!$B$116:$C$162,2,FALSE)</f>
        <v>ELCTRLYZ_MED_C</v>
      </c>
      <c r="AH1117" t="str">
        <f>VLOOKUP(D1117,Assumptions!$B$116:$C$162,2,FALSE)</f>
        <v>C_GAS_STRG</v>
      </c>
      <c r="AI1117" t="str">
        <f>VLOOKUP(E1117,Assumptions!$B$116:$C$162,2,FALSE)</f>
        <v>H2_BLND_NG_P</v>
      </c>
      <c r="AJ1117" t="str">
        <f>VLOOKUP(F1117,Assumptions!$B$116:$C$162,2,FALSE)</f>
        <v>H2_FC_mCHP_HEAT</v>
      </c>
    </row>
    <row r="1118" spans="2:36" x14ac:dyDescent="0.25">
      <c r="B1118" t="s">
        <v>112</v>
      </c>
      <c r="C1118" t="s">
        <v>51</v>
      </c>
      <c r="D1118" t="s">
        <v>155</v>
      </c>
      <c r="E1118" t="s">
        <v>122</v>
      </c>
      <c r="F1118" t="s">
        <v>543</v>
      </c>
      <c r="G1118" t="s">
        <v>132</v>
      </c>
      <c r="H1118" t="s">
        <v>434</v>
      </c>
      <c r="I1118" t="s">
        <v>32</v>
      </c>
      <c r="J1118" t="s">
        <v>77</v>
      </c>
      <c r="K1118">
        <f t="shared" si="3388"/>
        <v>1</v>
      </c>
      <c r="L1118">
        <f t="shared" si="3389"/>
        <v>1</v>
      </c>
      <c r="M1118">
        <f t="shared" si="3390"/>
        <v>1</v>
      </c>
      <c r="N1118">
        <f t="shared" si="3391"/>
        <v>0</v>
      </c>
      <c r="O1118">
        <f t="shared" ref="O1118:O1121" si="3403">K1118+L1118+M1118+N1118</f>
        <v>3</v>
      </c>
      <c r="P1118" t="str">
        <f t="shared" si="3393"/>
        <v>Medium centralized electrolysis-Marginal abatement cost</v>
      </c>
      <c r="Q1118" t="str">
        <f t="shared" si="3394"/>
        <v>Central gas storage-Marginal abatement cost</v>
      </c>
      <c r="R1118" t="str">
        <f t="shared" si="3395"/>
        <v>Hydrogen transmission &amp; distribution pipeline-Marginal abatement cost</v>
      </c>
      <c r="S1118" t="str">
        <f t="shared" si="3396"/>
        <v>Micro-CHP with H2 fuel cell (heat)-Marginal abatement cost</v>
      </c>
      <c r="T1118">
        <f>IFERROR(VLOOKUP($P1118,'TA database'!$I$8:$J$79,2,FALSE),0)</f>
        <v>0</v>
      </c>
      <c r="U1118">
        <f>IFERROR(VLOOKUP($Q1118,'TA database'!$I$86:$J$105,2,FALSE),0)</f>
        <v>0</v>
      </c>
      <c r="V1118">
        <f>IFERROR(VLOOKUP($R1118,'TA database'!$I$112:$J$139,2,FALSE),0)</f>
        <v>0</v>
      </c>
      <c r="W1118">
        <f ca="1">IFERROR(VLOOKUP($S1118,'TA database'!$I$146:$J$193,2,FALSE),0)</f>
        <v>442.00853843442945</v>
      </c>
      <c r="X1118">
        <f>IFERROR(VLOOKUP($S1118,'TA database'!$I$200:$J$271,2,FALSE),0)</f>
        <v>0</v>
      </c>
      <c r="Y1118" s="59">
        <f t="shared" ca="1" si="3402"/>
        <v>442.00853843442945</v>
      </c>
      <c r="Z1118" t="str">
        <f t="shared" ref="Z1118:Z1121" si="3404">CONCATENATE(AG1118,"   →   ",AH1118,"   →   ",AI1118,"   →   ",AJ1118)</f>
        <v>ELCTRLYZ_MED_C   →   C_GAS_STRG   →   H2_T&amp;D_P   →   H2_FC_mCHP_HEAT</v>
      </c>
      <c r="AA1118" t="str">
        <f t="shared" ref="AA1118:AA1121" si="3405">G1118</f>
        <v>Building heat</v>
      </c>
      <c r="AB1118" t="str">
        <f t="shared" ref="AB1118:AB1121" si="3406">J1118</f>
        <v>Marginal abatement cost</v>
      </c>
      <c r="AC1118">
        <f t="shared" ref="AC1118:AC1121" ca="1" si="3407">Y1118</f>
        <v>442.00853843442945</v>
      </c>
      <c r="AD1118">
        <v>1059</v>
      </c>
      <c r="AE1118" t="str">
        <f>IF(AND(ISNUMBER(SEARCH(O1118,4)),ISNUMBER(SEARCH('(4) FCH pathway assessment'!$B$16,AB1118)),ISNUMBER(SEARCH('(4) FCH pathway assessment'!$B$10,AA1118))),AD1118,"")</f>
        <v/>
      </c>
      <c r="AF1118" t="str">
        <f t="shared" si="3317"/>
        <v/>
      </c>
      <c r="AG1118" t="str">
        <f>VLOOKUP(C1118,Assumptions!$B$116:$C$162,2,FALSE)</f>
        <v>ELCTRLYZ_MED_C</v>
      </c>
      <c r="AH1118" t="str">
        <f>VLOOKUP(D1118,Assumptions!$B$116:$C$162,2,FALSE)</f>
        <v>C_GAS_STRG</v>
      </c>
      <c r="AI1118" t="str">
        <f>VLOOKUP(E1118,Assumptions!$B$116:$C$162,2,FALSE)</f>
        <v>H2_T&amp;D_P</v>
      </c>
      <c r="AJ1118" t="str">
        <f>VLOOKUP(F1118,Assumptions!$B$116:$C$162,2,FALSE)</f>
        <v>H2_FC_mCHP_HEAT</v>
      </c>
    </row>
    <row r="1119" spans="2:36" x14ac:dyDescent="0.25">
      <c r="B1119" t="s">
        <v>112</v>
      </c>
      <c r="C1119" t="s">
        <v>52</v>
      </c>
      <c r="D1119" s="60" t="s">
        <v>130</v>
      </c>
      <c r="E1119" t="s">
        <v>128</v>
      </c>
      <c r="F1119" t="s">
        <v>543</v>
      </c>
      <c r="G1119" t="s">
        <v>132</v>
      </c>
      <c r="H1119" t="s">
        <v>434</v>
      </c>
      <c r="I1119" t="s">
        <v>32</v>
      </c>
      <c r="J1119" t="s">
        <v>77</v>
      </c>
      <c r="K1119">
        <f t="shared" ref="K1119:K1121" si="3408">SUMPRODUCT(($C$7:$C$18=$C1119)*($D$6:$H$6=$D1119)*($D$7:$H$18))</f>
        <v>1</v>
      </c>
      <c r="L1119">
        <f t="shared" ref="L1119:L1121" si="3409">SUMPRODUCT(($C$19:$C$23=$D1119)*($I$6:$O$6=$E1119)*($I$19:$O$23))</f>
        <v>1</v>
      </c>
      <c r="M1119">
        <f t="shared" ref="M1119:M1121" si="3410">SUMPRODUCT(($C$24:$C$30=$E1119)*($P$6:$AI$6=$F1119)*($P$24:$AI$30))</f>
        <v>1</v>
      </c>
      <c r="N1119">
        <f t="shared" ref="N1119:N1121" si="3411">SUMPRODUCT(($C$31:$C$50=$F1119)*($AJ$6:$AM$6=$G1119)*($AJ$31:$AM$50))</f>
        <v>0</v>
      </c>
      <c r="O1119">
        <f t="shared" si="3403"/>
        <v>3</v>
      </c>
      <c r="P1119" t="str">
        <f t="shared" ref="P1119:P1121" si="3412">CONCATENATE(C1119,"-",J1119)</f>
        <v>Small decentralized electrolysis-Marginal abatement cost</v>
      </c>
      <c r="Q1119" t="str">
        <f t="shared" ref="Q1119:Q1121" si="3413">CONCATENATE(D1119,"-",J1119)</f>
        <v>Distributed gas storage-Marginal abatement cost</v>
      </c>
      <c r="R1119" t="str">
        <f t="shared" ref="R1119:R1121" si="3414">CONCATENATE(E1119,"-",J1119)</f>
        <v>Hydrogen distribution pipeline-Marginal abatement cost</v>
      </c>
      <c r="S1119" t="str">
        <f t="shared" ref="S1119:S1121" si="3415">CONCATENATE(F1119,"-",J1119)</f>
        <v>Micro-CHP with H2 fuel cell (heat)-Marginal abatement cost</v>
      </c>
      <c r="T1119">
        <f>IFERROR(VLOOKUP($P1119,'TA database'!$I$8:$J$79,2,FALSE),0)</f>
        <v>0</v>
      </c>
      <c r="U1119">
        <f>IFERROR(VLOOKUP($Q1119,'TA database'!$I$86:$J$105,2,FALSE),0)</f>
        <v>0</v>
      </c>
      <c r="V1119">
        <f>IFERROR(VLOOKUP($R1119,'TA database'!$I$112:$J$139,2,FALSE),0)</f>
        <v>0</v>
      </c>
      <c r="W1119">
        <f ca="1">IFERROR(VLOOKUP($S1119,'TA database'!$I$146:$J$193,2,FALSE),0)</f>
        <v>442.00853843442945</v>
      </c>
      <c r="X1119">
        <f>IFERROR(VLOOKUP($S1119,'TA database'!$I$200:$J$271,2,FALSE),0)</f>
        <v>0</v>
      </c>
      <c r="Y1119" s="59">
        <f t="shared" ca="1" si="3402"/>
        <v>442.00853843442945</v>
      </c>
      <c r="Z1119" t="str">
        <f t="shared" si="3404"/>
        <v>ELCTRLYZ_SML_D   →   D_GAS_STRG   →   H2_DSTRB_P   →   H2_FC_mCHP_HEAT</v>
      </c>
      <c r="AA1119" t="str">
        <f t="shared" si="3405"/>
        <v>Building heat</v>
      </c>
      <c r="AB1119" t="str">
        <f t="shared" si="3406"/>
        <v>Marginal abatement cost</v>
      </c>
      <c r="AC1119">
        <f t="shared" ca="1" si="3407"/>
        <v>442.00853843442945</v>
      </c>
      <c r="AD1119">
        <v>1060</v>
      </c>
      <c r="AE1119" t="str">
        <f>IF(AND(ISNUMBER(SEARCH(O1119,4)),ISNUMBER(SEARCH('(4) FCH pathway assessment'!$B$16,AB1119)),ISNUMBER(SEARCH('(4) FCH pathway assessment'!$B$10,AA1119))),AD1119,"")</f>
        <v/>
      </c>
      <c r="AF1119" t="str">
        <f t="shared" si="3317"/>
        <v/>
      </c>
      <c r="AG1119" t="str">
        <f>VLOOKUP(C1119,Assumptions!$B$116:$C$162,2,FALSE)</f>
        <v>ELCTRLYZ_SML_D</v>
      </c>
      <c r="AH1119" t="str">
        <f>VLOOKUP(D1119,Assumptions!$B$116:$C$162,2,FALSE)</f>
        <v>D_GAS_STRG</v>
      </c>
      <c r="AI1119" t="str">
        <f>VLOOKUP(E1119,Assumptions!$B$116:$C$162,2,FALSE)</f>
        <v>H2_DSTRB_P</v>
      </c>
      <c r="AJ1119" t="str">
        <f>VLOOKUP(F1119,Assumptions!$B$116:$C$162,2,FALSE)</f>
        <v>H2_FC_mCHP_HEAT</v>
      </c>
    </row>
    <row r="1120" spans="2:36" x14ac:dyDescent="0.25">
      <c r="B1120" t="s">
        <v>127</v>
      </c>
      <c r="C1120" t="s">
        <v>57</v>
      </c>
      <c r="D1120" t="s">
        <v>62</v>
      </c>
      <c r="E1120" t="s">
        <v>157</v>
      </c>
      <c r="F1120" t="s">
        <v>543</v>
      </c>
      <c r="G1120" t="s">
        <v>132</v>
      </c>
      <c r="H1120" t="s">
        <v>434</v>
      </c>
      <c r="I1120" t="s">
        <v>32</v>
      </c>
      <c r="J1120" t="s">
        <v>77</v>
      </c>
      <c r="K1120">
        <f t="shared" si="3408"/>
        <v>1</v>
      </c>
      <c r="L1120">
        <f t="shared" si="3409"/>
        <v>0</v>
      </c>
      <c r="M1120">
        <f t="shared" si="3410"/>
        <v>0</v>
      </c>
      <c r="N1120">
        <f t="shared" si="3411"/>
        <v>0</v>
      </c>
      <c r="O1120">
        <f t="shared" si="3403"/>
        <v>1</v>
      </c>
      <c r="P1120" t="str">
        <f t="shared" si="3412"/>
        <v>Large centralized natural gas steam reforming-Marginal abatement cost</v>
      </c>
      <c r="Q1120" t="str">
        <f t="shared" si="3413"/>
        <v>Underground storage-Marginal abatement cost</v>
      </c>
      <c r="R1120" t="str">
        <f t="shared" si="3414"/>
        <v>Blending in natural gas pipeline-Marginal abatement cost</v>
      </c>
      <c r="S1120" t="str">
        <f t="shared" si="3415"/>
        <v>Micro-CHP with H2 fuel cell (heat)-Marginal abatement cost</v>
      </c>
      <c r="T1120">
        <f>IFERROR(VLOOKUP($P1120,'TA database'!$I$8:$J$79,2,FALSE),0)</f>
        <v>0</v>
      </c>
      <c r="U1120">
        <f>IFERROR(VLOOKUP($Q1120,'TA database'!$I$86:$J$105,2,FALSE),0)</f>
        <v>0</v>
      </c>
      <c r="V1120">
        <f>IFERROR(VLOOKUP($R1120,'TA database'!$I$112:$J$139,2,FALSE),0)</f>
        <v>0</v>
      </c>
      <c r="W1120">
        <f ca="1">IFERROR(VLOOKUP($S1120,'TA database'!$I$146:$J$193,2,FALSE),0)</f>
        <v>442.00853843442945</v>
      </c>
      <c r="X1120">
        <f>IFERROR(VLOOKUP($S1120,'TA database'!$I$200:$J$271,2,FALSE),0)</f>
        <v>0</v>
      </c>
      <c r="Y1120" s="59">
        <f t="shared" ref="Y1120:Y1124" ca="1" si="3416">IF($W1120=0,T1120+U1120+V1120+X1120,T1120+U1120+V1120+W1120)</f>
        <v>442.00853843442945</v>
      </c>
      <c r="Z1120" t="str">
        <f t="shared" si="3404"/>
        <v>NG_SR_LRG_C   →   C_UNDRGRND_STRG   →   H2_BLND_NG_P   →   H2_FC_mCHP_HEAT</v>
      </c>
      <c r="AA1120" t="str">
        <f t="shared" si="3405"/>
        <v>Building heat</v>
      </c>
      <c r="AB1120" t="str">
        <f t="shared" si="3406"/>
        <v>Marginal abatement cost</v>
      </c>
      <c r="AC1120">
        <f t="shared" ca="1" si="3407"/>
        <v>442.00853843442945</v>
      </c>
      <c r="AD1120">
        <v>1061</v>
      </c>
      <c r="AE1120" t="str">
        <f>IF(AND(ISNUMBER(SEARCH(O1120,4)),ISNUMBER(SEARCH('(4) FCH pathway assessment'!$B$16,AB1120)),ISNUMBER(SEARCH('(4) FCH pathway assessment'!$B$10,AA1120))),AD1120,"")</f>
        <v/>
      </c>
      <c r="AF1120" t="str">
        <f t="shared" si="3317"/>
        <v/>
      </c>
      <c r="AG1120" t="str">
        <f>VLOOKUP(C1120,Assumptions!$B$116:$C$162,2,FALSE)</f>
        <v>NG_SR_LRG_C</v>
      </c>
      <c r="AH1120" t="str">
        <f>VLOOKUP(D1120,Assumptions!$B$116:$C$162,2,FALSE)</f>
        <v>C_UNDRGRND_STRG</v>
      </c>
      <c r="AI1120" t="str">
        <f>VLOOKUP(E1120,Assumptions!$B$116:$C$162,2,FALSE)</f>
        <v>H2_BLND_NG_P</v>
      </c>
      <c r="AJ1120" t="str">
        <f>VLOOKUP(F1120,Assumptions!$B$116:$C$162,2,FALSE)</f>
        <v>H2_FC_mCHP_HEAT</v>
      </c>
    </row>
    <row r="1121" spans="2:36" x14ac:dyDescent="0.25">
      <c r="B1121" t="s">
        <v>127</v>
      </c>
      <c r="C1121" t="s">
        <v>57</v>
      </c>
      <c r="D1121" t="s">
        <v>62</v>
      </c>
      <c r="E1121" t="s">
        <v>122</v>
      </c>
      <c r="F1121" t="s">
        <v>543</v>
      </c>
      <c r="G1121" t="s">
        <v>132</v>
      </c>
      <c r="H1121" t="s">
        <v>434</v>
      </c>
      <c r="I1121" t="s">
        <v>32</v>
      </c>
      <c r="J1121" t="s">
        <v>77</v>
      </c>
      <c r="K1121">
        <f t="shared" si="3408"/>
        <v>1</v>
      </c>
      <c r="L1121">
        <f t="shared" si="3409"/>
        <v>0</v>
      </c>
      <c r="M1121">
        <f t="shared" si="3410"/>
        <v>1</v>
      </c>
      <c r="N1121">
        <f t="shared" si="3411"/>
        <v>0</v>
      </c>
      <c r="O1121">
        <f t="shared" si="3403"/>
        <v>2</v>
      </c>
      <c r="P1121" t="str">
        <f t="shared" si="3412"/>
        <v>Large centralized natural gas steam reforming-Marginal abatement cost</v>
      </c>
      <c r="Q1121" t="str">
        <f t="shared" si="3413"/>
        <v>Underground storage-Marginal abatement cost</v>
      </c>
      <c r="R1121" t="str">
        <f t="shared" si="3414"/>
        <v>Hydrogen transmission &amp; distribution pipeline-Marginal abatement cost</v>
      </c>
      <c r="S1121" t="str">
        <f t="shared" si="3415"/>
        <v>Micro-CHP with H2 fuel cell (heat)-Marginal abatement cost</v>
      </c>
      <c r="T1121">
        <f>IFERROR(VLOOKUP($P1121,'TA database'!$I$8:$J$79,2,FALSE),0)</f>
        <v>0</v>
      </c>
      <c r="U1121">
        <f>IFERROR(VLOOKUP($Q1121,'TA database'!$I$86:$J$105,2,FALSE),0)</f>
        <v>0</v>
      </c>
      <c r="V1121">
        <f>IFERROR(VLOOKUP($R1121,'TA database'!$I$112:$J$139,2,FALSE),0)</f>
        <v>0</v>
      </c>
      <c r="W1121">
        <f ca="1">IFERROR(VLOOKUP($S1121,'TA database'!$I$146:$J$193,2,FALSE),0)</f>
        <v>442.00853843442945</v>
      </c>
      <c r="X1121">
        <f>IFERROR(VLOOKUP($S1121,'TA database'!$I$200:$J$271,2,FALSE),0)</f>
        <v>0</v>
      </c>
      <c r="Y1121" s="59">
        <f t="shared" ca="1" si="3416"/>
        <v>442.00853843442945</v>
      </c>
      <c r="Z1121" t="str">
        <f t="shared" si="3404"/>
        <v>NG_SR_LRG_C   →   C_UNDRGRND_STRG   →   H2_T&amp;D_P   →   H2_FC_mCHP_HEAT</v>
      </c>
      <c r="AA1121" t="str">
        <f t="shared" si="3405"/>
        <v>Building heat</v>
      </c>
      <c r="AB1121" t="str">
        <f t="shared" si="3406"/>
        <v>Marginal abatement cost</v>
      </c>
      <c r="AC1121">
        <f t="shared" ca="1" si="3407"/>
        <v>442.00853843442945</v>
      </c>
      <c r="AD1121">
        <v>1062</v>
      </c>
      <c r="AE1121" t="str">
        <f>IF(AND(ISNUMBER(SEARCH(O1121,4)),ISNUMBER(SEARCH('(4) FCH pathway assessment'!$B$16,AB1121)),ISNUMBER(SEARCH('(4) FCH pathway assessment'!$B$10,AA1121))),AD1121,"")</f>
        <v/>
      </c>
      <c r="AF1121" t="str">
        <f t="shared" si="3317"/>
        <v/>
      </c>
      <c r="AG1121" t="str">
        <f>VLOOKUP(C1121,Assumptions!$B$116:$C$162,2,FALSE)</f>
        <v>NG_SR_LRG_C</v>
      </c>
      <c r="AH1121" t="str">
        <f>VLOOKUP(D1121,Assumptions!$B$116:$C$162,2,FALSE)</f>
        <v>C_UNDRGRND_STRG</v>
      </c>
      <c r="AI1121" t="str">
        <f>VLOOKUP(E1121,Assumptions!$B$116:$C$162,2,FALSE)</f>
        <v>H2_T&amp;D_P</v>
      </c>
      <c r="AJ1121" t="str">
        <f>VLOOKUP(F1121,Assumptions!$B$116:$C$162,2,FALSE)</f>
        <v>H2_FC_mCHP_HEAT</v>
      </c>
    </row>
    <row r="1122" spans="2:36" x14ac:dyDescent="0.25">
      <c r="B1122" t="s">
        <v>127</v>
      </c>
      <c r="C1122" t="s">
        <v>57</v>
      </c>
      <c r="D1122" s="61" t="s">
        <v>63</v>
      </c>
      <c r="E1122" t="s">
        <v>122</v>
      </c>
      <c r="F1122" t="s">
        <v>543</v>
      </c>
      <c r="G1122" t="s">
        <v>132</v>
      </c>
      <c r="H1122" t="s">
        <v>434</v>
      </c>
      <c r="I1122" t="s">
        <v>32</v>
      </c>
      <c r="J1122" t="s">
        <v>77</v>
      </c>
      <c r="K1122">
        <f t="shared" ref="K1122:K1124" si="3417">SUMPRODUCT(($C$7:$C$18=$C1122)*($D$6:$H$6=$D1122)*($D$7:$H$18))</f>
        <v>1</v>
      </c>
      <c r="L1122">
        <f t="shared" ref="L1122:L1124" si="3418">SUMPRODUCT(($C$19:$C$23=$D1122)*($I$6:$O$6=$E1122)*($I$19:$O$23))</f>
        <v>1</v>
      </c>
      <c r="M1122">
        <f t="shared" ref="M1122:M1124" si="3419">SUMPRODUCT(($C$24:$C$30=$E1122)*($P$6:$AI$6=$F1122)*($P$24:$AI$30))</f>
        <v>1</v>
      </c>
      <c r="N1122">
        <f t="shared" ref="N1122:N1124" si="3420">SUMPRODUCT(($C$31:$C$50=$F1122)*($AJ$6:$AM$6=$G1122)*($AJ$31:$AM$50))</f>
        <v>0</v>
      </c>
      <c r="O1122">
        <f t="shared" ref="O1122:O1124" si="3421">K1122+L1122+M1122+N1122</f>
        <v>3</v>
      </c>
      <c r="P1122" t="str">
        <f t="shared" ref="P1122:P1124" si="3422">CONCATENATE(C1122,"-",J1122)</f>
        <v>Large centralized natural gas steam reforming-Marginal abatement cost</v>
      </c>
      <c r="Q1122" t="str">
        <f t="shared" ref="Q1122:Q1124" si="3423">CONCATENATE(D1122,"-",J1122)</f>
        <v>No storage-Marginal abatement cost</v>
      </c>
      <c r="R1122" t="str">
        <f t="shared" ref="R1122:R1124" si="3424">CONCATENATE(E1122,"-",J1122)</f>
        <v>Hydrogen transmission &amp; distribution pipeline-Marginal abatement cost</v>
      </c>
      <c r="S1122" t="str">
        <f t="shared" ref="S1122:S1124" si="3425">CONCATENATE(F1122,"-",J1122)</f>
        <v>Micro-CHP with H2 fuel cell (heat)-Marginal abatement cost</v>
      </c>
      <c r="T1122">
        <f>IFERROR(VLOOKUP($P1122,'TA database'!$I$8:$J$79,2,FALSE),0)</f>
        <v>0</v>
      </c>
      <c r="U1122">
        <f>IFERROR(VLOOKUP($Q1122,'TA database'!$I$86:$J$105,2,FALSE),0)</f>
        <v>0</v>
      </c>
      <c r="V1122">
        <f>IFERROR(VLOOKUP($R1122,'TA database'!$I$112:$J$139,2,FALSE),0)</f>
        <v>0</v>
      </c>
      <c r="W1122">
        <f ca="1">IFERROR(VLOOKUP($S1122,'TA database'!$I$146:$J$193,2,FALSE),0)</f>
        <v>442.00853843442945</v>
      </c>
      <c r="X1122">
        <f>IFERROR(VLOOKUP($S1122,'TA database'!$I$200:$J$271,2,FALSE),0)</f>
        <v>0</v>
      </c>
      <c r="Y1122" s="59">
        <f t="shared" ca="1" si="3416"/>
        <v>442.00853843442945</v>
      </c>
      <c r="Z1122" t="str">
        <f t="shared" ref="Z1122:Z1124" si="3426">CONCATENATE(AG1122,"   →   ",AH1122,"   →   ",AI1122,"   →   ",AJ1122)</f>
        <v>NG_SR_LRG_C   →   NO_STRG   →   H2_T&amp;D_P   →   H2_FC_mCHP_HEAT</v>
      </c>
      <c r="AA1122" t="str">
        <f t="shared" ref="AA1122:AA1124" si="3427">G1122</f>
        <v>Building heat</v>
      </c>
      <c r="AB1122" t="str">
        <f t="shared" ref="AB1122:AB1124" si="3428">J1122</f>
        <v>Marginal abatement cost</v>
      </c>
      <c r="AC1122">
        <f t="shared" ref="AC1122:AC1124" ca="1" si="3429">Y1122</f>
        <v>442.00853843442945</v>
      </c>
      <c r="AD1122">
        <v>1063</v>
      </c>
      <c r="AE1122" t="str">
        <f>IF(AND(ISNUMBER(SEARCH(O1122,4)),ISNUMBER(SEARCH('(4) FCH pathway assessment'!$B$16,AB1122)),ISNUMBER(SEARCH('(4) FCH pathway assessment'!$B$10,AA1122))),AD1122,"")</f>
        <v/>
      </c>
      <c r="AF1122" t="str">
        <f t="shared" si="3317"/>
        <v/>
      </c>
      <c r="AG1122" t="str">
        <f>VLOOKUP(C1122,Assumptions!$B$116:$C$162,2,FALSE)</f>
        <v>NG_SR_LRG_C</v>
      </c>
      <c r="AH1122" t="str">
        <f>VLOOKUP(D1122,Assumptions!$B$116:$C$162,2,FALSE)</f>
        <v>NO_STRG</v>
      </c>
      <c r="AI1122" t="str">
        <f>VLOOKUP(E1122,Assumptions!$B$116:$C$162,2,FALSE)</f>
        <v>H2_T&amp;D_P</v>
      </c>
      <c r="AJ1122" t="str">
        <f>VLOOKUP(F1122,Assumptions!$B$116:$C$162,2,FALSE)</f>
        <v>H2_FC_mCHP_HEAT</v>
      </c>
    </row>
    <row r="1123" spans="2:36" x14ac:dyDescent="0.25">
      <c r="B1123" t="s">
        <v>127</v>
      </c>
      <c r="C1123" t="s">
        <v>58</v>
      </c>
      <c r="D1123" t="s">
        <v>155</v>
      </c>
      <c r="E1123" t="s">
        <v>157</v>
      </c>
      <c r="F1123" t="s">
        <v>543</v>
      </c>
      <c r="G1123" t="s">
        <v>132</v>
      </c>
      <c r="H1123" t="s">
        <v>434</v>
      </c>
      <c r="I1123" t="s">
        <v>32</v>
      </c>
      <c r="J1123" t="s">
        <v>77</v>
      </c>
      <c r="K1123">
        <f t="shared" si="3417"/>
        <v>1</v>
      </c>
      <c r="L1123">
        <f t="shared" si="3418"/>
        <v>1</v>
      </c>
      <c r="M1123">
        <f t="shared" si="3419"/>
        <v>0</v>
      </c>
      <c r="N1123">
        <f t="shared" si="3420"/>
        <v>0</v>
      </c>
      <c r="O1123">
        <f t="shared" si="3421"/>
        <v>2</v>
      </c>
      <c r="P1123" t="str">
        <f t="shared" si="3422"/>
        <v>Small centralized natural gas steam reforming-Marginal abatement cost</v>
      </c>
      <c r="Q1123" t="str">
        <f t="shared" si="3423"/>
        <v>Central gas storage-Marginal abatement cost</v>
      </c>
      <c r="R1123" t="str">
        <f t="shared" si="3424"/>
        <v>Blending in natural gas pipeline-Marginal abatement cost</v>
      </c>
      <c r="S1123" t="str">
        <f t="shared" si="3425"/>
        <v>Micro-CHP with H2 fuel cell (heat)-Marginal abatement cost</v>
      </c>
      <c r="T1123">
        <f>IFERROR(VLOOKUP($P1123,'TA database'!$I$8:$J$79,2,FALSE),0)</f>
        <v>0</v>
      </c>
      <c r="U1123">
        <f>IFERROR(VLOOKUP($Q1123,'TA database'!$I$86:$J$105,2,FALSE),0)</f>
        <v>0</v>
      </c>
      <c r="V1123">
        <f>IFERROR(VLOOKUP($R1123,'TA database'!$I$112:$J$139,2,FALSE),0)</f>
        <v>0</v>
      </c>
      <c r="W1123">
        <f ca="1">IFERROR(VLOOKUP($S1123,'TA database'!$I$146:$J$193,2,FALSE),0)</f>
        <v>442.00853843442945</v>
      </c>
      <c r="X1123">
        <f>IFERROR(VLOOKUP($S1123,'TA database'!$I$200:$J$271,2,FALSE),0)</f>
        <v>0</v>
      </c>
      <c r="Y1123" s="59">
        <f t="shared" ca="1" si="3416"/>
        <v>442.00853843442945</v>
      </c>
      <c r="Z1123" t="str">
        <f t="shared" si="3426"/>
        <v>NG_SR_SML_C   →   C_GAS_STRG   →   H2_BLND_NG_P   →   H2_FC_mCHP_HEAT</v>
      </c>
      <c r="AA1123" t="str">
        <f t="shared" si="3427"/>
        <v>Building heat</v>
      </c>
      <c r="AB1123" t="str">
        <f t="shared" si="3428"/>
        <v>Marginal abatement cost</v>
      </c>
      <c r="AC1123">
        <f t="shared" ca="1" si="3429"/>
        <v>442.00853843442945</v>
      </c>
      <c r="AD1123">
        <v>1064</v>
      </c>
      <c r="AE1123" t="str">
        <f>IF(AND(ISNUMBER(SEARCH(O1123,4)),ISNUMBER(SEARCH('(4) FCH pathway assessment'!$B$16,AB1123)),ISNUMBER(SEARCH('(4) FCH pathway assessment'!$B$10,AA1123))),AD1123,"")</f>
        <v/>
      </c>
      <c r="AF1123" t="str">
        <f t="shared" si="3317"/>
        <v/>
      </c>
      <c r="AG1123" t="str">
        <f>VLOOKUP(C1123,Assumptions!$B$116:$C$162,2,FALSE)</f>
        <v>NG_SR_SML_C</v>
      </c>
      <c r="AH1123" t="str">
        <f>VLOOKUP(D1123,Assumptions!$B$116:$C$162,2,FALSE)</f>
        <v>C_GAS_STRG</v>
      </c>
      <c r="AI1123" t="str">
        <f>VLOOKUP(E1123,Assumptions!$B$116:$C$162,2,FALSE)</f>
        <v>H2_BLND_NG_P</v>
      </c>
      <c r="AJ1123" t="str">
        <f>VLOOKUP(F1123,Assumptions!$B$116:$C$162,2,FALSE)</f>
        <v>H2_FC_mCHP_HEAT</v>
      </c>
    </row>
    <row r="1124" spans="2:36" x14ac:dyDescent="0.25">
      <c r="B1124" t="s">
        <v>127</v>
      </c>
      <c r="C1124" t="s">
        <v>58</v>
      </c>
      <c r="D1124" t="s">
        <v>155</v>
      </c>
      <c r="E1124" t="s">
        <v>122</v>
      </c>
      <c r="F1124" t="s">
        <v>543</v>
      </c>
      <c r="G1124" t="s">
        <v>132</v>
      </c>
      <c r="H1124" t="s">
        <v>434</v>
      </c>
      <c r="I1124" t="s">
        <v>32</v>
      </c>
      <c r="J1124" t="s">
        <v>77</v>
      </c>
      <c r="K1124">
        <f t="shared" si="3417"/>
        <v>1</v>
      </c>
      <c r="L1124">
        <f t="shared" si="3418"/>
        <v>1</v>
      </c>
      <c r="M1124">
        <f t="shared" si="3419"/>
        <v>1</v>
      </c>
      <c r="N1124">
        <f t="shared" si="3420"/>
        <v>0</v>
      </c>
      <c r="O1124">
        <f t="shared" si="3421"/>
        <v>3</v>
      </c>
      <c r="P1124" t="str">
        <f t="shared" si="3422"/>
        <v>Small centralized natural gas steam reforming-Marginal abatement cost</v>
      </c>
      <c r="Q1124" t="str">
        <f t="shared" si="3423"/>
        <v>Central gas storage-Marginal abatement cost</v>
      </c>
      <c r="R1124" t="str">
        <f t="shared" si="3424"/>
        <v>Hydrogen transmission &amp; distribution pipeline-Marginal abatement cost</v>
      </c>
      <c r="S1124" t="str">
        <f t="shared" si="3425"/>
        <v>Micro-CHP with H2 fuel cell (heat)-Marginal abatement cost</v>
      </c>
      <c r="T1124">
        <f>IFERROR(VLOOKUP($P1124,'TA database'!$I$8:$J$79,2,FALSE),0)</f>
        <v>0</v>
      </c>
      <c r="U1124">
        <f>IFERROR(VLOOKUP($Q1124,'TA database'!$I$86:$J$105,2,FALSE),0)</f>
        <v>0</v>
      </c>
      <c r="V1124">
        <f>IFERROR(VLOOKUP($R1124,'TA database'!$I$112:$J$139,2,FALSE),0)</f>
        <v>0</v>
      </c>
      <c r="W1124">
        <f ca="1">IFERROR(VLOOKUP($S1124,'TA database'!$I$146:$J$193,2,FALSE),0)</f>
        <v>442.00853843442945</v>
      </c>
      <c r="X1124">
        <f>IFERROR(VLOOKUP($S1124,'TA database'!$I$200:$J$271,2,FALSE),0)</f>
        <v>0</v>
      </c>
      <c r="Y1124" s="59">
        <f t="shared" ca="1" si="3416"/>
        <v>442.00853843442945</v>
      </c>
      <c r="Z1124" t="str">
        <f t="shared" si="3426"/>
        <v>NG_SR_SML_C   →   C_GAS_STRG   →   H2_T&amp;D_P   →   H2_FC_mCHP_HEAT</v>
      </c>
      <c r="AA1124" t="str">
        <f t="shared" si="3427"/>
        <v>Building heat</v>
      </c>
      <c r="AB1124" t="str">
        <f t="shared" si="3428"/>
        <v>Marginal abatement cost</v>
      </c>
      <c r="AC1124">
        <f t="shared" ca="1" si="3429"/>
        <v>442.00853843442945</v>
      </c>
      <c r="AD1124">
        <v>1065</v>
      </c>
      <c r="AE1124" t="str">
        <f>IF(AND(ISNUMBER(SEARCH(O1124,4)),ISNUMBER(SEARCH('(4) FCH pathway assessment'!$B$16,AB1124)),ISNUMBER(SEARCH('(4) FCH pathway assessment'!$B$10,AA1124))),AD1124,"")</f>
        <v/>
      </c>
      <c r="AF1124" t="str">
        <f t="shared" si="3317"/>
        <v/>
      </c>
      <c r="AG1124" t="str">
        <f>VLOOKUP(C1124,Assumptions!$B$116:$C$162,2,FALSE)</f>
        <v>NG_SR_SML_C</v>
      </c>
      <c r="AH1124" t="str">
        <f>VLOOKUP(D1124,Assumptions!$B$116:$C$162,2,FALSE)</f>
        <v>C_GAS_STRG</v>
      </c>
      <c r="AI1124" t="str">
        <f>VLOOKUP(E1124,Assumptions!$B$116:$C$162,2,FALSE)</f>
        <v>H2_T&amp;D_P</v>
      </c>
      <c r="AJ1124" t="str">
        <f>VLOOKUP(F1124,Assumptions!$B$116:$C$162,2,FALSE)</f>
        <v>H2_FC_mCHP_HEAT</v>
      </c>
    </row>
    <row r="1125" spans="2:36" x14ac:dyDescent="0.25">
      <c r="B1125" t="s">
        <v>127</v>
      </c>
      <c r="C1125" t="s">
        <v>59</v>
      </c>
      <c r="D1125" s="60" t="s">
        <v>130</v>
      </c>
      <c r="E1125" t="s">
        <v>128</v>
      </c>
      <c r="F1125" t="s">
        <v>543</v>
      </c>
      <c r="G1125" t="s">
        <v>132</v>
      </c>
      <c r="H1125" t="s">
        <v>434</v>
      </c>
      <c r="I1125" t="s">
        <v>32</v>
      </c>
      <c r="J1125" t="s">
        <v>77</v>
      </c>
      <c r="K1125">
        <f t="shared" ref="K1125:K1126" si="3430">SUMPRODUCT(($C$7:$C$18=$C1125)*($D$6:$H$6=$D1125)*($D$7:$H$18))</f>
        <v>1</v>
      </c>
      <c r="L1125">
        <f t="shared" ref="L1125:L1126" si="3431">SUMPRODUCT(($C$19:$C$23=$D1125)*($I$6:$O$6=$E1125)*($I$19:$O$23))</f>
        <v>1</v>
      </c>
      <c r="M1125">
        <f t="shared" ref="M1125:M1126" si="3432">SUMPRODUCT(($C$24:$C$30=$E1125)*($P$6:$AI$6=$F1125)*($P$24:$AI$30))</f>
        <v>1</v>
      </c>
      <c r="N1125">
        <f t="shared" ref="N1125:N1126" si="3433">SUMPRODUCT(($C$31:$C$50=$F1125)*($AJ$6:$AM$6=$G1125)*($AJ$31:$AM$50))</f>
        <v>0</v>
      </c>
      <c r="O1125">
        <f t="shared" ref="O1125:O1126" si="3434">K1125+L1125+M1125+N1125</f>
        <v>3</v>
      </c>
      <c r="P1125" t="str">
        <f t="shared" ref="P1125:P1126" si="3435">CONCATENATE(C1125,"-",J1125)</f>
        <v>Medium decentralized natural gas steam reforming-Marginal abatement cost</v>
      </c>
      <c r="Q1125" t="str">
        <f t="shared" ref="Q1125:Q1126" si="3436">CONCATENATE(D1125,"-",J1125)</f>
        <v>Distributed gas storage-Marginal abatement cost</v>
      </c>
      <c r="R1125" t="str">
        <f t="shared" ref="R1125:R1126" si="3437">CONCATENATE(E1125,"-",J1125)</f>
        <v>Hydrogen distribution pipeline-Marginal abatement cost</v>
      </c>
      <c r="S1125" t="str">
        <f t="shared" ref="S1125:S1126" si="3438">CONCATENATE(F1125,"-",J1125)</f>
        <v>Micro-CHP with H2 fuel cell (heat)-Marginal abatement cost</v>
      </c>
      <c r="T1125">
        <f>IFERROR(VLOOKUP($P1125,'TA database'!$I$8:$J$79,2,FALSE),0)</f>
        <v>0</v>
      </c>
      <c r="U1125">
        <f>IFERROR(VLOOKUP($Q1125,'TA database'!$I$86:$J$105,2,FALSE),0)</f>
        <v>0</v>
      </c>
      <c r="V1125">
        <f>IFERROR(VLOOKUP($R1125,'TA database'!$I$112:$J$139,2,FALSE),0)</f>
        <v>0</v>
      </c>
      <c r="W1125">
        <f ca="1">IFERROR(VLOOKUP($S1125,'TA database'!$I$146:$J$193,2,FALSE),0)</f>
        <v>442.00853843442945</v>
      </c>
      <c r="X1125">
        <f>IFERROR(VLOOKUP($S1125,'TA database'!$I$200:$J$271,2,FALSE),0)</f>
        <v>0</v>
      </c>
      <c r="Y1125" s="59">
        <f t="shared" ref="Y1125:Y1126" ca="1" si="3439">IF($W1125=0,T1125+U1125+V1125+X1125,T1125+U1125+V1125+W1125)</f>
        <v>442.00853843442945</v>
      </c>
      <c r="Z1125" t="str">
        <f t="shared" ref="Z1125:Z1126" si="3440">CONCATENATE(AG1125,"   →   ",AH1125,"   →   ",AI1125,"   →   ",AJ1125)</f>
        <v>NG_SR_MED_D   →   D_GAS_STRG   →   H2_DSTRB_P   →   H2_FC_mCHP_HEAT</v>
      </c>
      <c r="AA1125" t="str">
        <f t="shared" ref="AA1125:AA1126" si="3441">G1125</f>
        <v>Building heat</v>
      </c>
      <c r="AB1125" t="str">
        <f t="shared" ref="AB1125:AB1126" si="3442">J1125</f>
        <v>Marginal abatement cost</v>
      </c>
      <c r="AC1125">
        <f t="shared" ref="AC1125:AC1126" ca="1" si="3443">Y1125</f>
        <v>442.00853843442945</v>
      </c>
      <c r="AD1125">
        <v>1066</v>
      </c>
      <c r="AE1125" t="str">
        <f>IF(AND(ISNUMBER(SEARCH(O1125,4)),ISNUMBER(SEARCH('(4) FCH pathway assessment'!$B$16,AB1125)),ISNUMBER(SEARCH('(4) FCH pathway assessment'!$B$10,AA1125))),AD1125,"")</f>
        <v/>
      </c>
      <c r="AF1125" t="str">
        <f t="shared" si="3317"/>
        <v/>
      </c>
      <c r="AG1125" t="str">
        <f>VLOOKUP(C1125,Assumptions!$B$116:$C$162,2,FALSE)</f>
        <v>NG_SR_MED_D</v>
      </c>
      <c r="AH1125" t="str">
        <f>VLOOKUP(D1125,Assumptions!$B$116:$C$162,2,FALSE)</f>
        <v>D_GAS_STRG</v>
      </c>
      <c r="AI1125" t="str">
        <f>VLOOKUP(E1125,Assumptions!$B$116:$C$162,2,FALSE)</f>
        <v>H2_DSTRB_P</v>
      </c>
      <c r="AJ1125" t="str">
        <f>VLOOKUP(F1125,Assumptions!$B$116:$C$162,2,FALSE)</f>
        <v>H2_FC_mCHP_HEAT</v>
      </c>
    </row>
    <row r="1126" spans="2:36" x14ac:dyDescent="0.25">
      <c r="B1126" t="s">
        <v>127</v>
      </c>
      <c r="C1126" t="s">
        <v>60</v>
      </c>
      <c r="D1126" s="60" t="s">
        <v>130</v>
      </c>
      <c r="E1126" t="s">
        <v>128</v>
      </c>
      <c r="F1126" t="s">
        <v>543</v>
      </c>
      <c r="G1126" t="s">
        <v>132</v>
      </c>
      <c r="H1126" t="s">
        <v>434</v>
      </c>
      <c r="I1126" t="s">
        <v>32</v>
      </c>
      <c r="J1126" t="s">
        <v>77</v>
      </c>
      <c r="K1126">
        <f t="shared" si="3430"/>
        <v>1</v>
      </c>
      <c r="L1126">
        <f t="shared" si="3431"/>
        <v>1</v>
      </c>
      <c r="M1126">
        <f t="shared" si="3432"/>
        <v>1</v>
      </c>
      <c r="N1126">
        <f t="shared" si="3433"/>
        <v>0</v>
      </c>
      <c r="O1126">
        <f t="shared" si="3434"/>
        <v>3</v>
      </c>
      <c r="P1126" t="str">
        <f t="shared" si="3435"/>
        <v>Small decentralized natural gas steam reforming-Marginal abatement cost</v>
      </c>
      <c r="Q1126" t="str">
        <f t="shared" si="3436"/>
        <v>Distributed gas storage-Marginal abatement cost</v>
      </c>
      <c r="R1126" t="str">
        <f t="shared" si="3437"/>
        <v>Hydrogen distribution pipeline-Marginal abatement cost</v>
      </c>
      <c r="S1126" t="str">
        <f t="shared" si="3438"/>
        <v>Micro-CHP with H2 fuel cell (heat)-Marginal abatement cost</v>
      </c>
      <c r="T1126">
        <f>IFERROR(VLOOKUP($P1126,'TA database'!$I$8:$J$79,2,FALSE),0)</f>
        <v>0</v>
      </c>
      <c r="U1126">
        <f>IFERROR(VLOOKUP($Q1126,'TA database'!$I$86:$J$105,2,FALSE),0)</f>
        <v>0</v>
      </c>
      <c r="V1126">
        <f>IFERROR(VLOOKUP($R1126,'TA database'!$I$112:$J$139,2,FALSE),0)</f>
        <v>0</v>
      </c>
      <c r="W1126">
        <f ca="1">IFERROR(VLOOKUP($S1126,'TA database'!$I$146:$J$193,2,FALSE),0)</f>
        <v>442.00853843442945</v>
      </c>
      <c r="X1126">
        <f>IFERROR(VLOOKUP($S1126,'TA database'!$I$200:$J$271,2,FALSE),0)</f>
        <v>0</v>
      </c>
      <c r="Y1126" s="59">
        <f t="shared" ca="1" si="3439"/>
        <v>442.00853843442945</v>
      </c>
      <c r="Z1126" t="str">
        <f t="shared" si="3440"/>
        <v>NG_SR_SML_D   →   D_GAS_STRG   →   H2_DSTRB_P   →   H2_FC_mCHP_HEAT</v>
      </c>
      <c r="AA1126" t="str">
        <f t="shared" si="3441"/>
        <v>Building heat</v>
      </c>
      <c r="AB1126" t="str">
        <f t="shared" si="3442"/>
        <v>Marginal abatement cost</v>
      </c>
      <c r="AC1126">
        <f t="shared" ca="1" si="3443"/>
        <v>442.00853843442945</v>
      </c>
      <c r="AD1126">
        <v>1067</v>
      </c>
      <c r="AE1126" t="str">
        <f>IF(AND(ISNUMBER(SEARCH(O1126,4)),ISNUMBER(SEARCH('(4) FCH pathway assessment'!$B$16,AB1126)),ISNUMBER(SEARCH('(4) FCH pathway assessment'!$B$10,AA1126))),AD1126,"")</f>
        <v/>
      </c>
      <c r="AF1126" t="str">
        <f t="shared" si="3317"/>
        <v/>
      </c>
      <c r="AG1126" t="str">
        <f>VLOOKUP(C1126,Assumptions!$B$116:$C$162,2,FALSE)</f>
        <v>NG_SR_SML_D</v>
      </c>
      <c r="AH1126" t="str">
        <f>VLOOKUP(D1126,Assumptions!$B$116:$C$162,2,FALSE)</f>
        <v>D_GAS_STRG</v>
      </c>
      <c r="AI1126" t="str">
        <f>VLOOKUP(E1126,Assumptions!$B$116:$C$162,2,FALSE)</f>
        <v>H2_DSTRB_P</v>
      </c>
      <c r="AJ1126" t="str">
        <f>VLOOKUP(F1126,Assumptions!$B$116:$C$162,2,FALSE)</f>
        <v>H2_FC_mCHP_HEAT</v>
      </c>
    </row>
    <row r="1127" spans="2:36" x14ac:dyDescent="0.25">
      <c r="B1127" t="s">
        <v>117</v>
      </c>
      <c r="C1127" t="s">
        <v>53</v>
      </c>
      <c r="D1127" t="s">
        <v>155</v>
      </c>
      <c r="E1127" t="s">
        <v>65</v>
      </c>
      <c r="F1127" t="s">
        <v>553</v>
      </c>
      <c r="G1127" t="s">
        <v>132</v>
      </c>
      <c r="H1127" t="s">
        <v>434</v>
      </c>
      <c r="I1127" t="s">
        <v>32</v>
      </c>
      <c r="J1127" t="s">
        <v>77</v>
      </c>
      <c r="K1127">
        <f t="shared" ref="K1127" si="3444">SUMPRODUCT(($C$7:$C$18=$C1127)*($D$6:$H$6=$D1127)*($D$7:$H$18))</f>
        <v>0</v>
      </c>
      <c r="L1127">
        <f t="shared" ref="L1127" si="3445">SUMPRODUCT(($C$19:$C$23=$D1127)*($I$6:$O$6=$E1127)*($I$19:$O$23))</f>
        <v>1</v>
      </c>
      <c r="M1127">
        <f t="shared" ref="M1127" si="3446">SUMPRODUCT(($C$24:$C$30=$E1127)*($P$6:$AI$6=$F1127)*($P$24:$AI$30))</f>
        <v>0</v>
      </c>
      <c r="N1127">
        <f t="shared" ref="N1127" si="3447">SUMPRODUCT(($C$31:$C$50=$F1127)*($AJ$6:$AM$6=$G1127)*($AJ$31:$AM$50))</f>
        <v>1</v>
      </c>
      <c r="O1127">
        <f t="shared" ref="O1127" si="3448">K1127+L1127+M1127+N1127</f>
        <v>2</v>
      </c>
      <c r="P1127" t="str">
        <f t="shared" ref="P1127" si="3449">CONCATENATE(C1127,"-",J1127)</f>
        <v>Medium centralized biomass gasification-Marginal abatement cost</v>
      </c>
      <c r="Q1127" t="str">
        <f t="shared" ref="Q1127" si="3450">CONCATENATE(D1127,"-",J1127)</f>
        <v>Central gas storage-Marginal abatement cost</v>
      </c>
      <c r="R1127" t="str">
        <f t="shared" ref="R1127" si="3451">CONCATENATE(E1127,"-",J1127)</f>
        <v>Methanation-Marginal abatement cost</v>
      </c>
      <c r="S1127" t="str">
        <f t="shared" ref="S1127" si="3452">CONCATENATE(F1127,"-",J1127)</f>
        <v>Micro-CHP with natural gas fuel cell (heat)-Marginal abatement cost</v>
      </c>
      <c r="T1127">
        <f>IFERROR(VLOOKUP($P1127,'TA database'!$I$8:$J$79,2,FALSE),0)</f>
        <v>0</v>
      </c>
      <c r="U1127">
        <f>IFERROR(VLOOKUP($Q1127,'TA database'!$I$86:$J$105,2,FALSE),0)</f>
        <v>0</v>
      </c>
      <c r="V1127">
        <f>IFERROR(VLOOKUP($R1127,'TA database'!$I$112:$J$139,2,FALSE),0)</f>
        <v>0</v>
      </c>
      <c r="W1127">
        <f ca="1">IFERROR(VLOOKUP($S1127,'TA database'!$I$146:$J$193,2,FALSE),0)</f>
        <v>12818.247614598467</v>
      </c>
      <c r="X1127">
        <f>IFERROR(VLOOKUP($S1127,'TA database'!$I$200:$J$271,2,FALSE),0)</f>
        <v>0</v>
      </c>
      <c r="Y1127" s="59">
        <f t="shared" ref="Y1127" ca="1" si="3453">IF($W1127=0,T1127+U1127+V1127+X1127,T1127+U1127+V1127+W1127)</f>
        <v>12818.247614598467</v>
      </c>
      <c r="Z1127" t="str">
        <f t="shared" ref="Z1127" si="3454">CONCATENATE(AG1127,"   →   ",AH1127,"   →   ",AI1127,"   →   ",AJ1127)</f>
        <v>BIO_GSF_MED_C   →   C_GAS_STRG   →   METHANATION   →   NG_FC_mCHP_HEAT</v>
      </c>
      <c r="AA1127" t="str">
        <f t="shared" ref="AA1127" si="3455">G1127</f>
        <v>Building heat</v>
      </c>
      <c r="AB1127" t="str">
        <f t="shared" ref="AB1127" si="3456">J1127</f>
        <v>Marginal abatement cost</v>
      </c>
      <c r="AC1127">
        <f t="shared" ref="AC1127" ca="1" si="3457">Y1127</f>
        <v>12818.247614598467</v>
      </c>
      <c r="AD1127">
        <v>1068</v>
      </c>
      <c r="AE1127" t="str">
        <f>IF(AND(ISNUMBER(SEARCH(O1127,4)),ISNUMBER(SEARCH('(4) FCH pathway assessment'!$B$16,AB1127)),ISNUMBER(SEARCH('(4) FCH pathway assessment'!$B$10,AA1127))),AD1127,"")</f>
        <v/>
      </c>
      <c r="AF1127" t="str">
        <f t="shared" si="3317"/>
        <v/>
      </c>
      <c r="AG1127" t="str">
        <f>VLOOKUP(C1127,Assumptions!$B$116:$C$162,2,FALSE)</f>
        <v>BIO_GSF_MED_C</v>
      </c>
      <c r="AH1127" t="str">
        <f>VLOOKUP(D1127,Assumptions!$B$116:$C$162,2,FALSE)</f>
        <v>C_GAS_STRG</v>
      </c>
      <c r="AI1127" t="str">
        <f>VLOOKUP(E1127,Assumptions!$B$116:$C$162,2,FALSE)</f>
        <v>METHANATION</v>
      </c>
      <c r="AJ1127" t="str">
        <f>VLOOKUP(F1127,Assumptions!$B$116:$C$162,2,FALSE)</f>
        <v>NG_FC_mCHP_HEAT</v>
      </c>
    </row>
    <row r="1128" spans="2:36" x14ac:dyDescent="0.25">
      <c r="B1128" t="s">
        <v>117</v>
      </c>
      <c r="C1128" t="s">
        <v>54</v>
      </c>
      <c r="D1128" t="s">
        <v>155</v>
      </c>
      <c r="E1128" t="s">
        <v>65</v>
      </c>
      <c r="F1128" t="s">
        <v>553</v>
      </c>
      <c r="G1128" t="s">
        <v>132</v>
      </c>
      <c r="H1128" t="s">
        <v>434</v>
      </c>
      <c r="I1128" t="s">
        <v>32</v>
      </c>
      <c r="J1128" t="s">
        <v>77</v>
      </c>
      <c r="K1128">
        <f t="shared" ref="K1128" si="3458">SUMPRODUCT(($C$7:$C$18=$C1128)*($D$6:$H$6=$D1128)*($D$7:$H$18))</f>
        <v>0</v>
      </c>
      <c r="L1128">
        <f t="shared" ref="L1128" si="3459">SUMPRODUCT(($C$19:$C$23=$D1128)*($I$6:$O$6=$E1128)*($I$19:$O$23))</f>
        <v>1</v>
      </c>
      <c r="M1128">
        <f t="shared" ref="M1128" si="3460">SUMPRODUCT(($C$24:$C$30=$E1128)*($P$6:$AI$6=$F1128)*($P$24:$AI$30))</f>
        <v>0</v>
      </c>
      <c r="N1128">
        <f t="shared" ref="N1128" si="3461">SUMPRODUCT(($C$31:$C$50=$F1128)*($AJ$6:$AM$6=$G1128)*($AJ$31:$AM$50))</f>
        <v>1</v>
      </c>
      <c r="O1128">
        <f t="shared" ref="O1128" si="3462">K1128+L1128+M1128+N1128</f>
        <v>2</v>
      </c>
      <c r="P1128" t="str">
        <f t="shared" ref="P1128" si="3463">CONCATENATE(C1128,"-",J1128)</f>
        <v>Medium centralized biomass gasification w/ CCS-Marginal abatement cost</v>
      </c>
      <c r="Q1128" t="str">
        <f t="shared" ref="Q1128" si="3464">CONCATENATE(D1128,"-",J1128)</f>
        <v>Central gas storage-Marginal abatement cost</v>
      </c>
      <c r="R1128" t="str">
        <f t="shared" ref="R1128" si="3465">CONCATENATE(E1128,"-",J1128)</f>
        <v>Methanation-Marginal abatement cost</v>
      </c>
      <c r="S1128" t="str">
        <f t="shared" ref="S1128" si="3466">CONCATENATE(F1128,"-",J1128)</f>
        <v>Micro-CHP with natural gas fuel cell (heat)-Marginal abatement cost</v>
      </c>
      <c r="T1128">
        <f>IFERROR(VLOOKUP($P1128,'TA database'!$I$8:$J$79,2,FALSE),0)</f>
        <v>0</v>
      </c>
      <c r="U1128">
        <f>IFERROR(VLOOKUP($Q1128,'TA database'!$I$86:$J$105,2,FALSE),0)</f>
        <v>0</v>
      </c>
      <c r="V1128">
        <f>IFERROR(VLOOKUP($R1128,'TA database'!$I$112:$J$139,2,FALSE),0)</f>
        <v>0</v>
      </c>
      <c r="W1128">
        <f ca="1">IFERROR(VLOOKUP($S1128,'TA database'!$I$146:$J$193,2,FALSE),0)</f>
        <v>12818.247614598467</v>
      </c>
      <c r="X1128">
        <f>IFERROR(VLOOKUP($S1128,'TA database'!$I$200:$J$271,2,FALSE),0)</f>
        <v>0</v>
      </c>
      <c r="Y1128" s="59">
        <f t="shared" ref="Y1128" ca="1" si="3467">IF($W1128=0,T1128+U1128+V1128+X1128,T1128+U1128+V1128+W1128)</f>
        <v>12818.247614598467</v>
      </c>
      <c r="Z1128" t="str">
        <f t="shared" ref="Z1128" si="3468">CONCATENATE(AG1128,"   →   ",AH1128,"   →   ",AI1128,"   →   ",AJ1128)</f>
        <v>BIO_GSF_CCS_MED_C   →   C_GAS_STRG   →   METHANATION   →   NG_FC_mCHP_HEAT</v>
      </c>
      <c r="AA1128" t="str">
        <f t="shared" ref="AA1128" si="3469">G1128</f>
        <v>Building heat</v>
      </c>
      <c r="AB1128" t="str">
        <f t="shared" ref="AB1128" si="3470">J1128</f>
        <v>Marginal abatement cost</v>
      </c>
      <c r="AC1128">
        <f t="shared" ref="AC1128" ca="1" si="3471">Y1128</f>
        <v>12818.247614598467</v>
      </c>
      <c r="AD1128">
        <v>1069</v>
      </c>
      <c r="AE1128" t="str">
        <f>IF(AND(ISNUMBER(SEARCH(O1128,4)),ISNUMBER(SEARCH('(4) FCH pathway assessment'!$B$16,AB1128)),ISNUMBER(SEARCH('(4) FCH pathway assessment'!$B$10,AA1128))),AD1128,"")</f>
        <v/>
      </c>
      <c r="AF1128" t="str">
        <f t="shared" si="3317"/>
        <v/>
      </c>
      <c r="AG1128" t="str">
        <f>VLOOKUP(C1128,Assumptions!$B$116:$C$162,2,FALSE)</f>
        <v>BIO_GSF_CCS_MED_C</v>
      </c>
      <c r="AH1128" t="str">
        <f>VLOOKUP(D1128,Assumptions!$B$116:$C$162,2,FALSE)</f>
        <v>C_GAS_STRG</v>
      </c>
      <c r="AI1128" t="str">
        <f>VLOOKUP(E1128,Assumptions!$B$116:$C$162,2,FALSE)</f>
        <v>METHANATION</v>
      </c>
      <c r="AJ1128" t="str">
        <f>VLOOKUP(F1128,Assumptions!$B$116:$C$162,2,FALSE)</f>
        <v>NG_FC_mCHP_HEAT</v>
      </c>
    </row>
    <row r="1129" spans="2:36" x14ac:dyDescent="0.25">
      <c r="B1129" t="s">
        <v>117</v>
      </c>
      <c r="C1129" t="s">
        <v>56</v>
      </c>
      <c r="D1129" t="s">
        <v>62</v>
      </c>
      <c r="E1129" t="s">
        <v>65</v>
      </c>
      <c r="F1129" t="s">
        <v>553</v>
      </c>
      <c r="G1129" t="s">
        <v>132</v>
      </c>
      <c r="H1129" t="s">
        <v>434</v>
      </c>
      <c r="I1129" t="s">
        <v>32</v>
      </c>
      <c r="J1129" t="s">
        <v>77</v>
      </c>
      <c r="K1129">
        <f t="shared" ref="K1129:K1130" si="3472">SUMPRODUCT(($C$7:$C$18=$C1129)*($D$6:$H$6=$D1129)*($D$7:$H$18))</f>
        <v>0</v>
      </c>
      <c r="L1129">
        <f t="shared" ref="L1129:L1130" si="3473">SUMPRODUCT(($C$19:$C$23=$D1129)*($I$6:$O$6=$E1129)*($I$19:$O$23))</f>
        <v>0</v>
      </c>
      <c r="M1129">
        <f t="shared" ref="M1129:M1130" si="3474">SUMPRODUCT(($C$24:$C$30=$E1129)*($P$6:$AI$6=$F1129)*($P$24:$AI$30))</f>
        <v>0</v>
      </c>
      <c r="N1129">
        <f t="shared" ref="N1129:N1130" si="3475">SUMPRODUCT(($C$31:$C$50=$F1129)*($AJ$6:$AM$6=$G1129)*($AJ$31:$AM$50))</f>
        <v>1</v>
      </c>
      <c r="O1129">
        <f t="shared" ref="O1129:O1130" si="3476">K1129+L1129+M1129+N1129</f>
        <v>1</v>
      </c>
      <c r="P1129" t="str">
        <f t="shared" ref="P1129:P1130" si="3477">CONCATENATE(C1129,"-",J1129)</f>
        <v>Large centralized biomass steam reforming -Marginal abatement cost</v>
      </c>
      <c r="Q1129" t="str">
        <f t="shared" ref="Q1129:Q1130" si="3478">CONCATENATE(D1129,"-",J1129)</f>
        <v>Underground storage-Marginal abatement cost</v>
      </c>
      <c r="R1129" t="str">
        <f t="shared" ref="R1129:R1130" si="3479">CONCATENATE(E1129,"-",J1129)</f>
        <v>Methanation-Marginal abatement cost</v>
      </c>
      <c r="S1129" t="str">
        <f t="shared" ref="S1129:S1130" si="3480">CONCATENATE(F1129,"-",J1129)</f>
        <v>Micro-CHP with natural gas fuel cell (heat)-Marginal abatement cost</v>
      </c>
      <c r="T1129">
        <f>IFERROR(VLOOKUP($P1129,'TA database'!$I$8:$J$79,2,FALSE),0)</f>
        <v>0</v>
      </c>
      <c r="U1129">
        <f>IFERROR(VLOOKUP($Q1129,'TA database'!$I$86:$J$105,2,FALSE),0)</f>
        <v>0</v>
      </c>
      <c r="V1129">
        <f>IFERROR(VLOOKUP($R1129,'TA database'!$I$112:$J$139,2,FALSE),0)</f>
        <v>0</v>
      </c>
      <c r="W1129">
        <f ca="1">IFERROR(VLOOKUP($S1129,'TA database'!$I$146:$J$193,2,FALSE),0)</f>
        <v>12818.247614598467</v>
      </c>
      <c r="X1129">
        <f>IFERROR(VLOOKUP($S1129,'TA database'!$I$200:$J$271,2,FALSE),0)</f>
        <v>0</v>
      </c>
      <c r="Y1129" s="59">
        <f t="shared" ref="Y1129:Y1130" ca="1" si="3481">IF($W1129=0,T1129+U1129+V1129+X1129,T1129+U1129+V1129+W1129)</f>
        <v>12818.247614598467</v>
      </c>
      <c r="Z1129" t="str">
        <f t="shared" ref="Z1129:Z1130" si="3482">CONCATENATE(AG1129,"   →   ",AH1129,"   →   ",AI1129,"   →   ",AJ1129)</f>
        <v>BIO_SR_LRG_C   →   C_UNDRGRND_STRG   →   METHANATION   →   NG_FC_mCHP_HEAT</v>
      </c>
      <c r="AA1129" t="str">
        <f t="shared" ref="AA1129:AA1130" si="3483">G1129</f>
        <v>Building heat</v>
      </c>
      <c r="AB1129" t="str">
        <f t="shared" ref="AB1129:AB1130" si="3484">J1129</f>
        <v>Marginal abatement cost</v>
      </c>
      <c r="AC1129">
        <f t="shared" ref="AC1129:AC1130" ca="1" si="3485">Y1129</f>
        <v>12818.247614598467</v>
      </c>
      <c r="AD1129">
        <v>1070</v>
      </c>
      <c r="AE1129" t="str">
        <f>IF(AND(ISNUMBER(SEARCH(O1129,4)),ISNUMBER(SEARCH('(4) FCH pathway assessment'!$B$16,AB1129)),ISNUMBER(SEARCH('(4) FCH pathway assessment'!$B$10,AA1129))),AD1129,"")</f>
        <v/>
      </c>
      <c r="AF1129" t="str">
        <f t="shared" si="3317"/>
        <v/>
      </c>
      <c r="AG1129" t="str">
        <f>VLOOKUP(C1129,Assumptions!$B$116:$C$162,2,FALSE)</f>
        <v>BIO_SR_LRG_C</v>
      </c>
      <c r="AH1129" t="str">
        <f>VLOOKUP(D1129,Assumptions!$B$116:$C$162,2,FALSE)</f>
        <v>C_UNDRGRND_STRG</v>
      </c>
      <c r="AI1129" t="str">
        <f>VLOOKUP(E1129,Assumptions!$B$116:$C$162,2,FALSE)</f>
        <v>METHANATION</v>
      </c>
      <c r="AJ1129" t="str">
        <f>VLOOKUP(F1129,Assumptions!$B$116:$C$162,2,FALSE)</f>
        <v>NG_FC_mCHP_HEAT</v>
      </c>
    </row>
    <row r="1130" spans="2:36" x14ac:dyDescent="0.25">
      <c r="B1130" t="s">
        <v>112</v>
      </c>
      <c r="C1130" t="s">
        <v>49</v>
      </c>
      <c r="D1130" t="s">
        <v>62</v>
      </c>
      <c r="E1130" t="s">
        <v>65</v>
      </c>
      <c r="F1130" t="s">
        <v>553</v>
      </c>
      <c r="G1130" t="s">
        <v>132</v>
      </c>
      <c r="H1130" t="s">
        <v>434</v>
      </c>
      <c r="I1130" t="s">
        <v>32</v>
      </c>
      <c r="J1130" t="s">
        <v>77</v>
      </c>
      <c r="K1130">
        <f t="shared" si="3472"/>
        <v>1</v>
      </c>
      <c r="L1130">
        <f t="shared" si="3473"/>
        <v>0</v>
      </c>
      <c r="M1130">
        <f t="shared" si="3474"/>
        <v>0</v>
      </c>
      <c r="N1130">
        <f t="shared" si="3475"/>
        <v>1</v>
      </c>
      <c r="O1130">
        <f t="shared" si="3476"/>
        <v>2</v>
      </c>
      <c r="P1130" t="str">
        <f t="shared" si="3477"/>
        <v>Large centralized electrolysis-Marginal abatement cost</v>
      </c>
      <c r="Q1130" t="str">
        <f t="shared" si="3478"/>
        <v>Underground storage-Marginal abatement cost</v>
      </c>
      <c r="R1130" t="str">
        <f t="shared" si="3479"/>
        <v>Methanation-Marginal abatement cost</v>
      </c>
      <c r="S1130" t="str">
        <f t="shared" si="3480"/>
        <v>Micro-CHP with natural gas fuel cell (heat)-Marginal abatement cost</v>
      </c>
      <c r="T1130">
        <f>IFERROR(VLOOKUP($P1130,'TA database'!$I$8:$J$79,2,FALSE),0)</f>
        <v>0</v>
      </c>
      <c r="U1130">
        <f>IFERROR(VLOOKUP($Q1130,'TA database'!$I$86:$J$105,2,FALSE),0)</f>
        <v>0</v>
      </c>
      <c r="V1130">
        <f>IFERROR(VLOOKUP($R1130,'TA database'!$I$112:$J$139,2,FALSE),0)</f>
        <v>0</v>
      </c>
      <c r="W1130">
        <f ca="1">IFERROR(VLOOKUP($S1130,'TA database'!$I$146:$J$193,2,FALSE),0)</f>
        <v>12818.247614598467</v>
      </c>
      <c r="X1130">
        <f>IFERROR(VLOOKUP($S1130,'TA database'!$I$200:$J$271,2,FALSE),0)</f>
        <v>0</v>
      </c>
      <c r="Y1130" s="59">
        <f t="shared" ca="1" si="3481"/>
        <v>12818.247614598467</v>
      </c>
      <c r="Z1130" t="str">
        <f t="shared" si="3482"/>
        <v>ELCTRLYZ_LRG_C   →   C_UNDRGRND_STRG   →   METHANATION   →   NG_FC_mCHP_HEAT</v>
      </c>
      <c r="AA1130" t="str">
        <f t="shared" si="3483"/>
        <v>Building heat</v>
      </c>
      <c r="AB1130" t="str">
        <f t="shared" si="3484"/>
        <v>Marginal abatement cost</v>
      </c>
      <c r="AC1130">
        <f t="shared" ca="1" si="3485"/>
        <v>12818.247614598467</v>
      </c>
      <c r="AD1130">
        <v>1071</v>
      </c>
      <c r="AE1130" t="str">
        <f>IF(AND(ISNUMBER(SEARCH(O1130,4)),ISNUMBER(SEARCH('(4) FCH pathway assessment'!$B$16,AB1130)),ISNUMBER(SEARCH('(4) FCH pathway assessment'!$B$10,AA1130))),AD1130,"")</f>
        <v/>
      </c>
      <c r="AF1130" t="str">
        <f t="shared" si="3317"/>
        <v/>
      </c>
      <c r="AG1130" t="str">
        <f>VLOOKUP(C1130,Assumptions!$B$116:$C$162,2,FALSE)</f>
        <v>ELCTRLYZ_LRG_C</v>
      </c>
      <c r="AH1130" t="str">
        <f>VLOOKUP(D1130,Assumptions!$B$116:$C$162,2,FALSE)</f>
        <v>C_UNDRGRND_STRG</v>
      </c>
      <c r="AI1130" t="str">
        <f>VLOOKUP(E1130,Assumptions!$B$116:$C$162,2,FALSE)</f>
        <v>METHANATION</v>
      </c>
      <c r="AJ1130" t="str">
        <f>VLOOKUP(F1130,Assumptions!$B$116:$C$162,2,FALSE)</f>
        <v>NG_FC_mCHP_HEAT</v>
      </c>
    </row>
    <row r="1131" spans="2:36" x14ac:dyDescent="0.25">
      <c r="B1131" t="s">
        <v>112</v>
      </c>
      <c r="C1131" t="s">
        <v>49</v>
      </c>
      <c r="D1131" t="s">
        <v>155</v>
      </c>
      <c r="E1131" t="s">
        <v>65</v>
      </c>
      <c r="F1131" t="s">
        <v>553</v>
      </c>
      <c r="G1131" t="s">
        <v>132</v>
      </c>
      <c r="H1131" t="s">
        <v>434</v>
      </c>
      <c r="I1131" t="s">
        <v>32</v>
      </c>
      <c r="J1131" t="s">
        <v>77</v>
      </c>
      <c r="K1131">
        <f t="shared" ref="K1131:K1132" si="3486">SUMPRODUCT(($C$7:$C$18=$C1131)*($D$6:$H$6=$D1131)*($D$7:$H$18))</f>
        <v>1</v>
      </c>
      <c r="L1131">
        <f t="shared" ref="L1131:L1132" si="3487">SUMPRODUCT(($C$19:$C$23=$D1131)*($I$6:$O$6=$E1131)*($I$19:$O$23))</f>
        <v>1</v>
      </c>
      <c r="M1131">
        <f t="shared" ref="M1131:M1132" si="3488">SUMPRODUCT(($C$24:$C$30=$E1131)*($P$6:$AI$6=$F1131)*($P$24:$AI$30))</f>
        <v>0</v>
      </c>
      <c r="N1131">
        <f t="shared" ref="N1131:N1132" si="3489">SUMPRODUCT(($C$31:$C$50=$F1131)*($AJ$6:$AM$6=$G1131)*($AJ$31:$AM$50))</f>
        <v>1</v>
      </c>
      <c r="O1131">
        <f t="shared" ref="O1131:O1132" si="3490">K1131+L1131+M1131+N1131</f>
        <v>3</v>
      </c>
      <c r="P1131" t="str">
        <f t="shared" ref="P1131:P1132" si="3491">CONCATENATE(C1131,"-",J1131)</f>
        <v>Large centralized electrolysis-Marginal abatement cost</v>
      </c>
      <c r="Q1131" t="str">
        <f t="shared" ref="Q1131:Q1132" si="3492">CONCATENATE(D1131,"-",J1131)</f>
        <v>Central gas storage-Marginal abatement cost</v>
      </c>
      <c r="R1131" t="str">
        <f t="shared" ref="R1131:R1132" si="3493">CONCATENATE(E1131,"-",J1131)</f>
        <v>Methanation-Marginal abatement cost</v>
      </c>
      <c r="S1131" t="str">
        <f t="shared" ref="S1131:S1132" si="3494">CONCATENATE(F1131,"-",J1131)</f>
        <v>Micro-CHP with natural gas fuel cell (heat)-Marginal abatement cost</v>
      </c>
      <c r="T1131">
        <f>IFERROR(VLOOKUP($P1131,'TA database'!$I$8:$J$79,2,FALSE),0)</f>
        <v>0</v>
      </c>
      <c r="U1131">
        <f>IFERROR(VLOOKUP($Q1131,'TA database'!$I$86:$J$105,2,FALSE),0)</f>
        <v>0</v>
      </c>
      <c r="V1131">
        <f>IFERROR(VLOOKUP($R1131,'TA database'!$I$112:$J$139,2,FALSE),0)</f>
        <v>0</v>
      </c>
      <c r="W1131">
        <f ca="1">IFERROR(VLOOKUP($S1131,'TA database'!$I$146:$J$193,2,FALSE),0)</f>
        <v>12818.247614598467</v>
      </c>
      <c r="X1131">
        <f>IFERROR(VLOOKUP($S1131,'TA database'!$I$200:$J$271,2,FALSE),0)</f>
        <v>0</v>
      </c>
      <c r="Y1131" s="59">
        <f t="shared" ref="Y1131:Y1132" ca="1" si="3495">IF($W1131=0,T1131+U1131+V1131+X1131,T1131+U1131+V1131+W1131)</f>
        <v>12818.247614598467</v>
      </c>
      <c r="Z1131" t="str">
        <f t="shared" ref="Z1131:Z1132" si="3496">CONCATENATE(AG1131,"   →   ",AH1131,"   →   ",AI1131,"   →   ",AJ1131)</f>
        <v>ELCTRLYZ_LRG_C   →   C_GAS_STRG   →   METHANATION   →   NG_FC_mCHP_HEAT</v>
      </c>
      <c r="AA1131" t="str">
        <f t="shared" ref="AA1131:AA1132" si="3497">G1131</f>
        <v>Building heat</v>
      </c>
      <c r="AB1131" t="str">
        <f t="shared" ref="AB1131:AB1132" si="3498">J1131</f>
        <v>Marginal abatement cost</v>
      </c>
      <c r="AC1131">
        <f t="shared" ref="AC1131:AC1132" ca="1" si="3499">Y1131</f>
        <v>12818.247614598467</v>
      </c>
      <c r="AD1131">
        <v>1072</v>
      </c>
      <c r="AE1131" t="str">
        <f>IF(AND(ISNUMBER(SEARCH(O1131,4)),ISNUMBER(SEARCH('(4) FCH pathway assessment'!$B$16,AB1131)),ISNUMBER(SEARCH('(4) FCH pathway assessment'!$B$10,AA1131))),AD1131,"")</f>
        <v/>
      </c>
      <c r="AF1131" t="str">
        <f t="shared" si="3317"/>
        <v/>
      </c>
      <c r="AG1131" t="str">
        <f>VLOOKUP(C1131,Assumptions!$B$116:$C$162,2,FALSE)</f>
        <v>ELCTRLYZ_LRG_C</v>
      </c>
      <c r="AH1131" t="str">
        <f>VLOOKUP(D1131,Assumptions!$B$116:$C$162,2,FALSE)</f>
        <v>C_GAS_STRG</v>
      </c>
      <c r="AI1131" t="str">
        <f>VLOOKUP(E1131,Assumptions!$B$116:$C$162,2,FALSE)</f>
        <v>METHANATION</v>
      </c>
      <c r="AJ1131" t="str">
        <f>VLOOKUP(F1131,Assumptions!$B$116:$C$162,2,FALSE)</f>
        <v>NG_FC_mCHP_HEAT</v>
      </c>
    </row>
    <row r="1132" spans="2:36" x14ac:dyDescent="0.25">
      <c r="B1132" t="s">
        <v>112</v>
      </c>
      <c r="C1132" t="s">
        <v>51</v>
      </c>
      <c r="D1132" t="s">
        <v>155</v>
      </c>
      <c r="E1132" t="s">
        <v>65</v>
      </c>
      <c r="F1132" t="s">
        <v>553</v>
      </c>
      <c r="G1132" t="s">
        <v>132</v>
      </c>
      <c r="H1132" t="s">
        <v>434</v>
      </c>
      <c r="I1132" t="s">
        <v>32</v>
      </c>
      <c r="J1132" t="s">
        <v>77</v>
      </c>
      <c r="K1132">
        <f t="shared" si="3486"/>
        <v>1</v>
      </c>
      <c r="L1132">
        <f t="shared" si="3487"/>
        <v>1</v>
      </c>
      <c r="M1132">
        <f t="shared" si="3488"/>
        <v>0</v>
      </c>
      <c r="N1132">
        <f t="shared" si="3489"/>
        <v>1</v>
      </c>
      <c r="O1132">
        <f t="shared" si="3490"/>
        <v>3</v>
      </c>
      <c r="P1132" t="str">
        <f t="shared" si="3491"/>
        <v>Medium centralized electrolysis-Marginal abatement cost</v>
      </c>
      <c r="Q1132" t="str">
        <f t="shared" si="3492"/>
        <v>Central gas storage-Marginal abatement cost</v>
      </c>
      <c r="R1132" t="str">
        <f t="shared" si="3493"/>
        <v>Methanation-Marginal abatement cost</v>
      </c>
      <c r="S1132" t="str">
        <f t="shared" si="3494"/>
        <v>Micro-CHP with natural gas fuel cell (heat)-Marginal abatement cost</v>
      </c>
      <c r="T1132">
        <f>IFERROR(VLOOKUP($P1132,'TA database'!$I$8:$J$79,2,FALSE),0)</f>
        <v>0</v>
      </c>
      <c r="U1132">
        <f>IFERROR(VLOOKUP($Q1132,'TA database'!$I$86:$J$105,2,FALSE),0)</f>
        <v>0</v>
      </c>
      <c r="V1132">
        <f>IFERROR(VLOOKUP($R1132,'TA database'!$I$112:$J$139,2,FALSE),0)</f>
        <v>0</v>
      </c>
      <c r="W1132">
        <f ca="1">IFERROR(VLOOKUP($S1132,'TA database'!$I$146:$J$193,2,FALSE),0)</f>
        <v>12818.247614598467</v>
      </c>
      <c r="X1132">
        <f>IFERROR(VLOOKUP($S1132,'TA database'!$I$200:$J$271,2,FALSE),0)</f>
        <v>0</v>
      </c>
      <c r="Y1132" s="59">
        <f t="shared" ca="1" si="3495"/>
        <v>12818.247614598467</v>
      </c>
      <c r="Z1132" t="str">
        <f t="shared" si="3496"/>
        <v>ELCTRLYZ_MED_C   →   C_GAS_STRG   →   METHANATION   →   NG_FC_mCHP_HEAT</v>
      </c>
      <c r="AA1132" t="str">
        <f t="shared" si="3497"/>
        <v>Building heat</v>
      </c>
      <c r="AB1132" t="str">
        <f t="shared" si="3498"/>
        <v>Marginal abatement cost</v>
      </c>
      <c r="AC1132">
        <f t="shared" ca="1" si="3499"/>
        <v>12818.247614598467</v>
      </c>
      <c r="AD1132">
        <v>1073</v>
      </c>
      <c r="AE1132" t="str">
        <f>IF(AND(ISNUMBER(SEARCH(O1132,4)),ISNUMBER(SEARCH('(4) FCH pathway assessment'!$B$16,AB1132)),ISNUMBER(SEARCH('(4) FCH pathway assessment'!$B$10,AA1132))),AD1132,"")</f>
        <v/>
      </c>
      <c r="AF1132" t="str">
        <f t="shared" si="3317"/>
        <v/>
      </c>
      <c r="AG1132" t="str">
        <f>VLOOKUP(C1132,Assumptions!$B$116:$C$162,2,FALSE)</f>
        <v>ELCTRLYZ_MED_C</v>
      </c>
      <c r="AH1132" t="str">
        <f>VLOOKUP(D1132,Assumptions!$B$116:$C$162,2,FALSE)</f>
        <v>C_GAS_STRG</v>
      </c>
      <c r="AI1132" t="str">
        <f>VLOOKUP(E1132,Assumptions!$B$116:$C$162,2,FALSE)</f>
        <v>METHANATION</v>
      </c>
      <c r="AJ1132" t="str">
        <f>VLOOKUP(F1132,Assumptions!$B$116:$C$162,2,FALSE)</f>
        <v>NG_FC_mCHP_HEAT</v>
      </c>
    </row>
    <row r="1133" spans="2:36" x14ac:dyDescent="0.25">
      <c r="B1133" t="s">
        <v>127</v>
      </c>
      <c r="C1133" t="s">
        <v>57</v>
      </c>
      <c r="D1133" t="s">
        <v>62</v>
      </c>
      <c r="E1133" t="s">
        <v>65</v>
      </c>
      <c r="F1133" t="s">
        <v>553</v>
      </c>
      <c r="G1133" t="s">
        <v>132</v>
      </c>
      <c r="H1133" t="s">
        <v>434</v>
      </c>
      <c r="I1133" t="s">
        <v>32</v>
      </c>
      <c r="J1133" t="s">
        <v>77</v>
      </c>
      <c r="K1133">
        <f t="shared" ref="K1133" si="3500">SUMPRODUCT(($C$7:$C$18=$C1133)*($D$6:$H$6=$D1133)*($D$7:$H$18))</f>
        <v>1</v>
      </c>
      <c r="L1133">
        <f t="shared" ref="L1133" si="3501">SUMPRODUCT(($C$19:$C$23=$D1133)*($I$6:$O$6=$E1133)*($I$19:$O$23))</f>
        <v>0</v>
      </c>
      <c r="M1133">
        <f t="shared" ref="M1133" si="3502">SUMPRODUCT(($C$24:$C$30=$E1133)*($P$6:$AI$6=$F1133)*($P$24:$AI$30))</f>
        <v>0</v>
      </c>
      <c r="N1133">
        <f t="shared" ref="N1133" si="3503">SUMPRODUCT(($C$31:$C$50=$F1133)*($AJ$6:$AM$6=$G1133)*($AJ$31:$AM$50))</f>
        <v>1</v>
      </c>
      <c r="O1133">
        <f t="shared" ref="O1133" si="3504">K1133+L1133+M1133+N1133</f>
        <v>2</v>
      </c>
      <c r="P1133" t="str">
        <f t="shared" ref="P1133" si="3505">CONCATENATE(C1133,"-",J1133)</f>
        <v>Large centralized natural gas steam reforming-Marginal abatement cost</v>
      </c>
      <c r="Q1133" t="str">
        <f t="shared" ref="Q1133" si="3506">CONCATENATE(D1133,"-",J1133)</f>
        <v>Underground storage-Marginal abatement cost</v>
      </c>
      <c r="R1133" t="str">
        <f t="shared" ref="R1133" si="3507">CONCATENATE(E1133,"-",J1133)</f>
        <v>Methanation-Marginal abatement cost</v>
      </c>
      <c r="S1133" t="str">
        <f t="shared" ref="S1133" si="3508">CONCATENATE(F1133,"-",J1133)</f>
        <v>Micro-CHP with natural gas fuel cell (heat)-Marginal abatement cost</v>
      </c>
      <c r="T1133">
        <f>IFERROR(VLOOKUP($P1133,'TA database'!$I$8:$J$79,2,FALSE),0)</f>
        <v>0</v>
      </c>
      <c r="U1133">
        <f>IFERROR(VLOOKUP($Q1133,'TA database'!$I$86:$J$105,2,FALSE),0)</f>
        <v>0</v>
      </c>
      <c r="V1133">
        <f>IFERROR(VLOOKUP($R1133,'TA database'!$I$112:$J$139,2,FALSE),0)</f>
        <v>0</v>
      </c>
      <c r="W1133">
        <f ca="1">IFERROR(VLOOKUP($S1133,'TA database'!$I$146:$J$193,2,FALSE),0)</f>
        <v>12818.247614598467</v>
      </c>
      <c r="X1133">
        <f>IFERROR(VLOOKUP($S1133,'TA database'!$I$200:$J$271,2,FALSE),0)</f>
        <v>0</v>
      </c>
      <c r="Y1133" s="59">
        <f t="shared" ref="Y1133" ca="1" si="3509">IF($W1133=0,T1133+U1133+V1133+X1133,T1133+U1133+V1133+W1133)</f>
        <v>12818.247614598467</v>
      </c>
      <c r="Z1133" t="str">
        <f t="shared" ref="Z1133" si="3510">CONCATENATE(AG1133,"   →   ",AH1133,"   →   ",AI1133,"   →   ",AJ1133)</f>
        <v>NG_SR_LRG_C   →   C_UNDRGRND_STRG   →   METHANATION   →   NG_FC_mCHP_HEAT</v>
      </c>
      <c r="AA1133" t="str">
        <f t="shared" ref="AA1133" si="3511">G1133</f>
        <v>Building heat</v>
      </c>
      <c r="AB1133" t="str">
        <f t="shared" ref="AB1133" si="3512">J1133</f>
        <v>Marginal abatement cost</v>
      </c>
      <c r="AC1133">
        <f t="shared" ref="AC1133" ca="1" si="3513">Y1133</f>
        <v>12818.247614598467</v>
      </c>
      <c r="AD1133">
        <v>1074</v>
      </c>
      <c r="AE1133" t="str">
        <f>IF(AND(ISNUMBER(SEARCH(O1133,4)),ISNUMBER(SEARCH('(4) FCH pathway assessment'!$B$16,AB1133)),ISNUMBER(SEARCH('(4) FCH pathway assessment'!$B$10,AA1133))),AD1133,"")</f>
        <v/>
      </c>
      <c r="AF1133" t="str">
        <f t="shared" si="3317"/>
        <v/>
      </c>
      <c r="AG1133" t="str">
        <f>VLOOKUP(C1133,Assumptions!$B$116:$C$162,2,FALSE)</f>
        <v>NG_SR_LRG_C</v>
      </c>
      <c r="AH1133" t="str">
        <f>VLOOKUP(D1133,Assumptions!$B$116:$C$162,2,FALSE)</f>
        <v>C_UNDRGRND_STRG</v>
      </c>
      <c r="AI1133" t="str">
        <f>VLOOKUP(E1133,Assumptions!$B$116:$C$162,2,FALSE)</f>
        <v>METHANATION</v>
      </c>
      <c r="AJ1133" t="str">
        <f>VLOOKUP(F1133,Assumptions!$B$116:$C$162,2,FALSE)</f>
        <v>NG_FC_mCHP_HEAT</v>
      </c>
    </row>
    <row r="1134" spans="2:36" x14ac:dyDescent="0.25">
      <c r="B1134" t="s">
        <v>127</v>
      </c>
      <c r="C1134" t="s">
        <v>58</v>
      </c>
      <c r="D1134" t="s">
        <v>155</v>
      </c>
      <c r="E1134" t="s">
        <v>65</v>
      </c>
      <c r="F1134" t="s">
        <v>553</v>
      </c>
      <c r="G1134" t="s">
        <v>132</v>
      </c>
      <c r="H1134" t="s">
        <v>434</v>
      </c>
      <c r="I1134" t="s">
        <v>32</v>
      </c>
      <c r="J1134" t="s">
        <v>77</v>
      </c>
      <c r="K1134">
        <f t="shared" ref="K1134" si="3514">SUMPRODUCT(($C$7:$C$18=$C1134)*($D$6:$H$6=$D1134)*($D$7:$H$18))</f>
        <v>1</v>
      </c>
      <c r="L1134">
        <f t="shared" ref="L1134" si="3515">SUMPRODUCT(($C$19:$C$23=$D1134)*($I$6:$O$6=$E1134)*($I$19:$O$23))</f>
        <v>1</v>
      </c>
      <c r="M1134">
        <f t="shared" ref="M1134" si="3516">SUMPRODUCT(($C$24:$C$30=$E1134)*($P$6:$AI$6=$F1134)*($P$24:$AI$30))</f>
        <v>0</v>
      </c>
      <c r="N1134">
        <f t="shared" ref="N1134" si="3517">SUMPRODUCT(($C$31:$C$50=$F1134)*($AJ$6:$AM$6=$G1134)*($AJ$31:$AM$50))</f>
        <v>1</v>
      </c>
      <c r="O1134">
        <f t="shared" ref="O1134" si="3518">K1134+L1134+M1134+N1134</f>
        <v>3</v>
      </c>
      <c r="P1134" t="str">
        <f t="shared" ref="P1134" si="3519">CONCATENATE(C1134,"-",J1134)</f>
        <v>Small centralized natural gas steam reforming-Marginal abatement cost</v>
      </c>
      <c r="Q1134" t="str">
        <f t="shared" ref="Q1134" si="3520">CONCATENATE(D1134,"-",J1134)</f>
        <v>Central gas storage-Marginal abatement cost</v>
      </c>
      <c r="R1134" t="str">
        <f t="shared" ref="R1134" si="3521">CONCATENATE(E1134,"-",J1134)</f>
        <v>Methanation-Marginal abatement cost</v>
      </c>
      <c r="S1134" t="str">
        <f t="shared" ref="S1134" si="3522">CONCATENATE(F1134,"-",J1134)</f>
        <v>Micro-CHP with natural gas fuel cell (heat)-Marginal abatement cost</v>
      </c>
      <c r="T1134">
        <f>IFERROR(VLOOKUP($P1134,'TA database'!$I$8:$J$79,2,FALSE),0)</f>
        <v>0</v>
      </c>
      <c r="U1134">
        <f>IFERROR(VLOOKUP($Q1134,'TA database'!$I$86:$J$105,2,FALSE),0)</f>
        <v>0</v>
      </c>
      <c r="V1134">
        <f>IFERROR(VLOOKUP($R1134,'TA database'!$I$112:$J$139,2,FALSE),0)</f>
        <v>0</v>
      </c>
      <c r="W1134">
        <f ca="1">IFERROR(VLOOKUP($S1134,'TA database'!$I$146:$J$193,2,FALSE),0)</f>
        <v>12818.247614598467</v>
      </c>
      <c r="X1134">
        <f>IFERROR(VLOOKUP($S1134,'TA database'!$I$200:$J$271,2,FALSE),0)</f>
        <v>0</v>
      </c>
      <c r="Y1134" s="59">
        <f t="shared" ref="Y1134" ca="1" si="3523">IF($W1134=0,T1134+U1134+V1134+X1134,T1134+U1134+V1134+W1134)</f>
        <v>12818.247614598467</v>
      </c>
      <c r="Z1134" t="str">
        <f t="shared" ref="Z1134" si="3524">CONCATENATE(AG1134,"   →   ",AH1134,"   →   ",AI1134,"   →   ",AJ1134)</f>
        <v>NG_SR_SML_C   →   C_GAS_STRG   →   METHANATION   →   NG_FC_mCHP_HEAT</v>
      </c>
      <c r="AA1134" t="str">
        <f t="shared" ref="AA1134" si="3525">G1134</f>
        <v>Building heat</v>
      </c>
      <c r="AB1134" t="str">
        <f t="shared" ref="AB1134" si="3526">J1134</f>
        <v>Marginal abatement cost</v>
      </c>
      <c r="AC1134">
        <f t="shared" ref="AC1134" ca="1" si="3527">Y1134</f>
        <v>12818.247614598467</v>
      </c>
      <c r="AD1134">
        <v>1075</v>
      </c>
      <c r="AE1134" t="str">
        <f>IF(AND(ISNUMBER(SEARCH(O1134,4)),ISNUMBER(SEARCH('(4) FCH pathway assessment'!$B$16,AB1134)),ISNUMBER(SEARCH('(4) FCH pathway assessment'!$B$10,AA1134))),AD1134,"")</f>
        <v/>
      </c>
      <c r="AF1134" t="str">
        <f t="shared" si="3317"/>
        <v/>
      </c>
      <c r="AG1134" t="str">
        <f>VLOOKUP(C1134,Assumptions!$B$116:$C$162,2,FALSE)</f>
        <v>NG_SR_SML_C</v>
      </c>
      <c r="AH1134" t="str">
        <f>VLOOKUP(D1134,Assumptions!$B$116:$C$162,2,FALSE)</f>
        <v>C_GAS_STRG</v>
      </c>
      <c r="AI1134" t="str">
        <f>VLOOKUP(E1134,Assumptions!$B$116:$C$162,2,FALSE)</f>
        <v>METHANATION</v>
      </c>
      <c r="AJ1134" t="str">
        <f>VLOOKUP(F1134,Assumptions!$B$116:$C$162,2,FALSE)</f>
        <v>NG_FC_mCHP_HEAT</v>
      </c>
    </row>
    <row r="1135" spans="2:36" x14ac:dyDescent="0.25">
      <c r="B1135" t="s">
        <v>127</v>
      </c>
      <c r="C1135" t="s">
        <v>174</v>
      </c>
      <c r="D1135" s="61" t="s">
        <v>177</v>
      </c>
      <c r="E1135" t="s">
        <v>180</v>
      </c>
      <c r="F1135" t="s">
        <v>553</v>
      </c>
      <c r="G1135" t="s">
        <v>132</v>
      </c>
      <c r="H1135" t="s">
        <v>434</v>
      </c>
      <c r="I1135" t="s">
        <v>32</v>
      </c>
      <c r="J1135" t="s">
        <v>77</v>
      </c>
      <c r="K1135">
        <f t="shared" ref="K1135:K1143" si="3528">SUMPRODUCT(($C$7:$C$18=$C1135)*($D$6:$H$6=$D1135)*($D$7:$H$18))</f>
        <v>1</v>
      </c>
      <c r="L1135">
        <f t="shared" ref="L1135:L1143" si="3529">SUMPRODUCT(($C$19:$C$23=$D1135)*($I$6:$O$6=$E1135)*($I$19:$O$23))</f>
        <v>1</v>
      </c>
      <c r="M1135">
        <f t="shared" ref="M1135:M1143" si="3530">SUMPRODUCT(($C$24:$C$30=$E1135)*($P$6:$AI$6=$F1135)*($P$24:$AI$30))</f>
        <v>1</v>
      </c>
      <c r="N1135">
        <f t="shared" ref="N1135:N1143" si="3531">SUMPRODUCT(($C$31:$C$50=$F1135)*($AJ$6:$AM$6=$G1135)*($AJ$31:$AM$50))</f>
        <v>1</v>
      </c>
      <c r="O1135">
        <f t="shared" ref="O1135:O1143" si="3532">K1135+L1135+M1135+N1135</f>
        <v>4</v>
      </c>
      <c r="P1135" t="str">
        <f t="shared" ref="P1135:P1143" si="3533">CONCATENATE(C1135,"-",J1135)</f>
        <v>Natural gas production-Marginal abatement cost</v>
      </c>
      <c r="Q1135" t="str">
        <f t="shared" ref="Q1135:Q1143" si="3534">CONCATENATE(D1135,"-",J1135)</f>
        <v>Natural gas storage-Marginal abatement cost</v>
      </c>
      <c r="R1135" t="str">
        <f t="shared" ref="R1135:R1143" si="3535">CONCATENATE(E1135,"-",J1135)</f>
        <v>Natural gas transport-Marginal abatement cost</v>
      </c>
      <c r="S1135" t="str">
        <f t="shared" ref="S1135:S1143" si="3536">CONCATENATE(F1135,"-",J1135)</f>
        <v>Micro-CHP with natural gas fuel cell (heat)-Marginal abatement cost</v>
      </c>
      <c r="T1135">
        <f>IFERROR(VLOOKUP($P1135,'TA database'!$I$8:$J$79,2,FALSE),0)</f>
        <v>0</v>
      </c>
      <c r="U1135">
        <f>IFERROR(VLOOKUP($Q1135,'TA database'!$I$86:$J$105,2,FALSE),0)</f>
        <v>0</v>
      </c>
      <c r="V1135">
        <f>IFERROR(VLOOKUP($R1135,'TA database'!$I$112:$J$139,2,FALSE),0)</f>
        <v>0</v>
      </c>
      <c r="W1135">
        <f ca="1">IFERROR(VLOOKUP($S1135,'TA database'!$I$146:$J$193,2,FALSE),0)</f>
        <v>12818.247614598467</v>
      </c>
      <c r="X1135">
        <f>IFERROR(VLOOKUP($S1135,'TA database'!$I$200:$J$271,2,FALSE),0)</f>
        <v>0</v>
      </c>
      <c r="Y1135" s="59">
        <f t="shared" ref="Y1135" ca="1" si="3537">IF($W1135=0,T1135+U1135+V1135+X1135,T1135+U1135+V1135+W1135)</f>
        <v>12818.247614598467</v>
      </c>
      <c r="Z1135" t="str">
        <f t="shared" ref="Z1135:Z1143" si="3538">CONCATENATE(AG1135,"   →   ",AH1135,"   →   ",AI1135,"   →   ",AJ1135)</f>
        <v>[NG_PROD]   →   [NG_STRG]   →   [NG_TRNSP]   →   NG_FC_mCHP_HEAT</v>
      </c>
      <c r="AA1135" t="str">
        <f t="shared" ref="AA1135:AA1143" si="3539">G1135</f>
        <v>Building heat</v>
      </c>
      <c r="AB1135" t="str">
        <f t="shared" ref="AB1135:AB1143" si="3540">J1135</f>
        <v>Marginal abatement cost</v>
      </c>
      <c r="AC1135">
        <f t="shared" ref="AC1135:AC1143" ca="1" si="3541">Y1135</f>
        <v>12818.247614598467</v>
      </c>
      <c r="AD1135">
        <v>1076</v>
      </c>
      <c r="AE1135" t="str">
        <f>IF(AND(ISNUMBER(SEARCH(O1135,4)),ISNUMBER(SEARCH('(4) FCH pathway assessment'!$B$16,AB1135)),ISNUMBER(SEARCH('(4) FCH pathway assessment'!$B$10,AA1135))),AD1135,"")</f>
        <v/>
      </c>
      <c r="AF1135" t="str">
        <f t="shared" si="3317"/>
        <v/>
      </c>
      <c r="AG1135" t="str">
        <f>VLOOKUP(C1135,Assumptions!$B$116:$C$162,2,FALSE)</f>
        <v>[NG_PROD]</v>
      </c>
      <c r="AH1135" t="str">
        <f>VLOOKUP(D1135,Assumptions!$B$116:$C$162,2,FALSE)</f>
        <v>[NG_STRG]</v>
      </c>
      <c r="AI1135" t="str">
        <f>VLOOKUP(E1135,Assumptions!$B$116:$C$162,2,FALSE)</f>
        <v>[NG_TRNSP]</v>
      </c>
      <c r="AJ1135" t="str">
        <f>VLOOKUP(F1135,Assumptions!$B$116:$C$162,2,FALSE)</f>
        <v>NG_FC_mCHP_HEAT</v>
      </c>
    </row>
    <row r="1136" spans="2:36" x14ac:dyDescent="0.25">
      <c r="B1136" t="s">
        <v>117</v>
      </c>
      <c r="C1136" t="s">
        <v>53</v>
      </c>
      <c r="D1136" t="s">
        <v>155</v>
      </c>
      <c r="E1136" t="s">
        <v>157</v>
      </c>
      <c r="F1136" t="s">
        <v>570</v>
      </c>
      <c r="G1136" t="s">
        <v>120</v>
      </c>
      <c r="H1136" t="s">
        <v>432</v>
      </c>
      <c r="I1136" t="s">
        <v>32</v>
      </c>
      <c r="J1136" t="s">
        <v>78</v>
      </c>
      <c r="K1136">
        <f t="shared" si="3528"/>
        <v>0</v>
      </c>
      <c r="L1136">
        <f t="shared" si="3529"/>
        <v>1</v>
      </c>
      <c r="M1136">
        <f t="shared" si="3530"/>
        <v>0</v>
      </c>
      <c r="N1136">
        <f t="shared" si="3531"/>
        <v>1</v>
      </c>
      <c r="O1136">
        <f t="shared" si="3532"/>
        <v>2</v>
      </c>
      <c r="P1136" t="str">
        <f t="shared" si="3533"/>
        <v>Medium centralized biomass gasification-Maturity</v>
      </c>
      <c r="Q1136" t="str">
        <f t="shared" si="3534"/>
        <v>Central gas storage-Maturity</v>
      </c>
      <c r="R1136" t="str">
        <f t="shared" si="3535"/>
        <v>Blending in natural gas pipeline-Maturity</v>
      </c>
      <c r="S1136" t="str">
        <f t="shared" si="3536"/>
        <v>Industrial H2 boiler-Maturity</v>
      </c>
      <c r="T1136">
        <f ca="1">VLOOKUP($P1136,'TA database'!$I$8:$J$79,2,FALSE)</f>
        <v>6</v>
      </c>
      <c r="U1136">
        <f ca="1">VLOOKUP($Q1136,'TA database'!$I$86:$J$105,2,FALSE)</f>
        <v>9</v>
      </c>
      <c r="V1136">
        <f ca="1">VLOOKUP($R1136,'TA database'!$I$112:$J$139,2,FALSE)</f>
        <v>7</v>
      </c>
      <c r="W1136">
        <f ca="1">IFERROR(VLOOKUP($S1136,'TA database'!$I$146:$J$193,2,FALSE),0)</f>
        <v>9</v>
      </c>
      <c r="X1136">
        <f>IFERROR(VLOOKUP($S1136,'TA database'!$I$200:$J$271,2,FALSE),0)</f>
        <v>0</v>
      </c>
      <c r="Y1136">
        <f t="shared" ref="Y1136:Y1143" ca="1" si="3542">IF($W1136=0,MIN($T1136:$V1136,$X1136),MIN($T1136:$W1136))</f>
        <v>6</v>
      </c>
      <c r="Z1136" t="str">
        <f t="shared" si="3538"/>
        <v>BIO_GSF_MED_C   →   C_GAS_STRG   →   H2_BLND_NG_P   →   H2_IND_BOIL_HEAT</v>
      </c>
      <c r="AA1136" t="str">
        <f t="shared" si="3539"/>
        <v>Industrial heat</v>
      </c>
      <c r="AB1136" t="str">
        <f t="shared" si="3540"/>
        <v>Maturity</v>
      </c>
      <c r="AC1136">
        <f t="shared" ca="1" si="3541"/>
        <v>6</v>
      </c>
      <c r="AD1136">
        <v>1077</v>
      </c>
      <c r="AE1136" t="str">
        <f>IF(AND(ISNUMBER(SEARCH(O1136,4)),ISNUMBER(SEARCH('(4) FCH pathway assessment'!$B$16,AB1136)),ISNUMBER(SEARCH('(4) FCH pathway assessment'!$B$10,AA1136))),AD1136,"")</f>
        <v/>
      </c>
      <c r="AF1136" t="str">
        <f t="shared" si="3317"/>
        <v/>
      </c>
      <c r="AG1136" t="str">
        <f>VLOOKUP(C1136,Assumptions!$B$116:$C$162,2,FALSE)</f>
        <v>BIO_GSF_MED_C</v>
      </c>
      <c r="AH1136" t="str">
        <f>VLOOKUP(D1136,Assumptions!$B$116:$C$162,2,FALSE)</f>
        <v>C_GAS_STRG</v>
      </c>
      <c r="AI1136" t="str">
        <f>VLOOKUP(E1136,Assumptions!$B$116:$C$162,2,FALSE)</f>
        <v>H2_BLND_NG_P</v>
      </c>
      <c r="AJ1136" t="str">
        <f>VLOOKUP(F1136,Assumptions!$B$116:$C$162,2,FALSE)</f>
        <v>H2_IND_BOIL_HEAT</v>
      </c>
    </row>
    <row r="1137" spans="2:36" x14ac:dyDescent="0.25">
      <c r="B1137" t="s">
        <v>117</v>
      </c>
      <c r="C1137" t="s">
        <v>53</v>
      </c>
      <c r="D1137" t="s">
        <v>155</v>
      </c>
      <c r="E1137" t="s">
        <v>122</v>
      </c>
      <c r="F1137" t="s">
        <v>570</v>
      </c>
      <c r="G1137" t="s">
        <v>120</v>
      </c>
      <c r="H1137" t="s">
        <v>432</v>
      </c>
      <c r="I1137" t="s">
        <v>32</v>
      </c>
      <c r="J1137" t="s">
        <v>78</v>
      </c>
      <c r="K1137">
        <f t="shared" si="3528"/>
        <v>0</v>
      </c>
      <c r="L1137">
        <f t="shared" si="3529"/>
        <v>1</v>
      </c>
      <c r="M1137">
        <f t="shared" si="3530"/>
        <v>1</v>
      </c>
      <c r="N1137">
        <f t="shared" si="3531"/>
        <v>1</v>
      </c>
      <c r="O1137">
        <f t="shared" si="3532"/>
        <v>3</v>
      </c>
      <c r="P1137" t="str">
        <f t="shared" si="3533"/>
        <v>Medium centralized biomass gasification-Maturity</v>
      </c>
      <c r="Q1137" t="str">
        <f t="shared" si="3534"/>
        <v>Central gas storage-Maturity</v>
      </c>
      <c r="R1137" t="str">
        <f t="shared" si="3535"/>
        <v>Hydrogen transmission &amp; distribution pipeline-Maturity</v>
      </c>
      <c r="S1137" t="str">
        <f t="shared" si="3536"/>
        <v>Industrial H2 boiler-Maturity</v>
      </c>
      <c r="T1137">
        <f ca="1">VLOOKUP($P1137,'TA database'!$I$8:$J$79,2,FALSE)</f>
        <v>6</v>
      </c>
      <c r="U1137">
        <f ca="1">VLOOKUP($Q1137,'TA database'!$I$86:$J$105,2,FALSE)</f>
        <v>9</v>
      </c>
      <c r="V1137">
        <f ca="1">VLOOKUP($R1137,'TA database'!$I$112:$J$139,2,FALSE)</f>
        <v>9</v>
      </c>
      <c r="W1137">
        <f ca="1">IFERROR(VLOOKUP($S1137,'TA database'!$I$146:$J$193,2,FALSE),0)</f>
        <v>9</v>
      </c>
      <c r="X1137">
        <f>IFERROR(VLOOKUP($S1137,'TA database'!$I$200:$J$271,2,FALSE),0)</f>
        <v>0</v>
      </c>
      <c r="Y1137">
        <f t="shared" ca="1" si="3542"/>
        <v>6</v>
      </c>
      <c r="Z1137" t="str">
        <f t="shared" si="3538"/>
        <v>BIO_GSF_MED_C   →   C_GAS_STRG   →   H2_T&amp;D_P   →   H2_IND_BOIL_HEAT</v>
      </c>
      <c r="AA1137" t="str">
        <f t="shared" si="3539"/>
        <v>Industrial heat</v>
      </c>
      <c r="AB1137" t="str">
        <f t="shared" si="3540"/>
        <v>Maturity</v>
      </c>
      <c r="AC1137">
        <f t="shared" ca="1" si="3541"/>
        <v>6</v>
      </c>
      <c r="AD1137">
        <v>1078</v>
      </c>
      <c r="AE1137" t="str">
        <f>IF(AND(ISNUMBER(SEARCH(O1137,4)),ISNUMBER(SEARCH('(4) FCH pathway assessment'!$B$16,AB1137)),ISNUMBER(SEARCH('(4) FCH pathway assessment'!$B$10,AA1137))),AD1137,"")</f>
        <v/>
      </c>
      <c r="AF1137" t="str">
        <f t="shared" si="3317"/>
        <v/>
      </c>
      <c r="AG1137" t="str">
        <f>VLOOKUP(C1137,Assumptions!$B$116:$C$162,2,FALSE)</f>
        <v>BIO_GSF_MED_C</v>
      </c>
      <c r="AH1137" t="str">
        <f>VLOOKUP(D1137,Assumptions!$B$116:$C$162,2,FALSE)</f>
        <v>C_GAS_STRG</v>
      </c>
      <c r="AI1137" t="str">
        <f>VLOOKUP(E1137,Assumptions!$B$116:$C$162,2,FALSE)</f>
        <v>H2_T&amp;D_P</v>
      </c>
      <c r="AJ1137" t="str">
        <f>VLOOKUP(F1137,Assumptions!$B$116:$C$162,2,FALSE)</f>
        <v>H2_IND_BOIL_HEAT</v>
      </c>
    </row>
    <row r="1138" spans="2:36" x14ac:dyDescent="0.25">
      <c r="B1138" t="s">
        <v>117</v>
      </c>
      <c r="C1138" t="s">
        <v>53</v>
      </c>
      <c r="D1138" t="s">
        <v>155</v>
      </c>
      <c r="E1138" t="s">
        <v>116</v>
      </c>
      <c r="F1138" t="s">
        <v>570</v>
      </c>
      <c r="G1138" t="s">
        <v>120</v>
      </c>
      <c r="H1138" t="s">
        <v>432</v>
      </c>
      <c r="I1138" t="s">
        <v>32</v>
      </c>
      <c r="J1138" t="s">
        <v>78</v>
      </c>
      <c r="K1138">
        <f t="shared" si="3528"/>
        <v>0</v>
      </c>
      <c r="L1138">
        <f t="shared" si="3529"/>
        <v>1</v>
      </c>
      <c r="M1138">
        <f t="shared" si="3530"/>
        <v>1</v>
      </c>
      <c r="N1138">
        <f t="shared" si="3531"/>
        <v>1</v>
      </c>
      <c r="O1138">
        <f t="shared" si="3532"/>
        <v>3</v>
      </c>
      <c r="P1138" t="str">
        <f t="shared" si="3533"/>
        <v>Medium centralized biomass gasification-Maturity</v>
      </c>
      <c r="Q1138" t="str">
        <f t="shared" si="3534"/>
        <v>Central gas storage-Maturity</v>
      </c>
      <c r="R1138" t="str">
        <f t="shared" si="3535"/>
        <v>Liquid hydrogen truck-Maturity</v>
      </c>
      <c r="S1138" t="str">
        <f t="shared" si="3536"/>
        <v>Industrial H2 boiler-Maturity</v>
      </c>
      <c r="T1138">
        <f ca="1">VLOOKUP($P1138,'TA database'!$I$8:$J$79,2,FALSE)</f>
        <v>6</v>
      </c>
      <c r="U1138">
        <f ca="1">VLOOKUP($Q1138,'TA database'!$I$86:$J$105,2,FALSE)</f>
        <v>9</v>
      </c>
      <c r="V1138">
        <f ca="1">VLOOKUP($R1138,'TA database'!$I$112:$J$139,2,FALSE)</f>
        <v>9</v>
      </c>
      <c r="W1138">
        <f ca="1">IFERROR(VLOOKUP($S1138,'TA database'!$I$146:$J$193,2,FALSE),0)</f>
        <v>9</v>
      </c>
      <c r="X1138">
        <f>IFERROR(VLOOKUP($S1138,'TA database'!$I$200:$J$271,2,FALSE),0)</f>
        <v>0</v>
      </c>
      <c r="Y1138">
        <f t="shared" ca="1" si="3542"/>
        <v>6</v>
      </c>
      <c r="Z1138" t="str">
        <f t="shared" si="3538"/>
        <v>BIO_GSF_MED_C   →   C_GAS_STRG   →   LQ_TRUCK   →   H2_IND_BOIL_HEAT</v>
      </c>
      <c r="AA1138" t="str">
        <f t="shared" si="3539"/>
        <v>Industrial heat</v>
      </c>
      <c r="AB1138" t="str">
        <f t="shared" si="3540"/>
        <v>Maturity</v>
      </c>
      <c r="AC1138">
        <f t="shared" ca="1" si="3541"/>
        <v>6</v>
      </c>
      <c r="AD1138">
        <v>1079</v>
      </c>
      <c r="AE1138" t="str">
        <f>IF(AND(ISNUMBER(SEARCH(O1138,4)),ISNUMBER(SEARCH('(4) FCH pathway assessment'!$B$16,AB1138)),ISNUMBER(SEARCH('(4) FCH pathway assessment'!$B$10,AA1138))),AD1138,"")</f>
        <v/>
      </c>
      <c r="AF1138" t="str">
        <f t="shared" si="3317"/>
        <v/>
      </c>
      <c r="AG1138" t="str">
        <f>VLOOKUP(C1138,Assumptions!$B$116:$C$162,2,FALSE)</f>
        <v>BIO_GSF_MED_C</v>
      </c>
      <c r="AH1138" t="str">
        <f>VLOOKUP(D1138,Assumptions!$B$116:$C$162,2,FALSE)</f>
        <v>C_GAS_STRG</v>
      </c>
      <c r="AI1138" t="str">
        <f>VLOOKUP(E1138,Assumptions!$B$116:$C$162,2,FALSE)</f>
        <v>LQ_TRUCK</v>
      </c>
      <c r="AJ1138" t="str">
        <f>VLOOKUP(F1138,Assumptions!$B$116:$C$162,2,FALSE)</f>
        <v>H2_IND_BOIL_HEAT</v>
      </c>
    </row>
    <row r="1139" spans="2:36" x14ac:dyDescent="0.25">
      <c r="B1139" t="s">
        <v>117</v>
      </c>
      <c r="C1139" t="s">
        <v>53</v>
      </c>
      <c r="D1139" t="s">
        <v>155</v>
      </c>
      <c r="E1139" t="s">
        <v>66</v>
      </c>
      <c r="F1139" t="s">
        <v>570</v>
      </c>
      <c r="G1139" t="s">
        <v>120</v>
      </c>
      <c r="H1139" t="s">
        <v>432</v>
      </c>
      <c r="I1139" t="s">
        <v>32</v>
      </c>
      <c r="J1139" t="s">
        <v>78</v>
      </c>
      <c r="K1139">
        <f t="shared" si="3528"/>
        <v>0</v>
      </c>
      <c r="L1139">
        <f t="shared" si="3529"/>
        <v>1</v>
      </c>
      <c r="M1139">
        <f t="shared" si="3530"/>
        <v>1</v>
      </c>
      <c r="N1139">
        <f t="shared" si="3531"/>
        <v>1</v>
      </c>
      <c r="O1139">
        <f t="shared" si="3532"/>
        <v>3</v>
      </c>
      <c r="P1139" t="str">
        <f t="shared" si="3533"/>
        <v>Medium centralized biomass gasification-Maturity</v>
      </c>
      <c r="Q1139" t="str">
        <f t="shared" si="3534"/>
        <v>Central gas storage-Maturity</v>
      </c>
      <c r="R1139" t="str">
        <f t="shared" si="3535"/>
        <v>Onsite-Maturity</v>
      </c>
      <c r="S1139" t="str">
        <f t="shared" si="3536"/>
        <v>Industrial H2 boiler-Maturity</v>
      </c>
      <c r="T1139">
        <f ca="1">VLOOKUP($P1139,'TA database'!$I$8:$J$79,2,FALSE)</f>
        <v>6</v>
      </c>
      <c r="U1139">
        <f ca="1">VLOOKUP($Q1139,'TA database'!$I$86:$J$105,2,FALSE)</f>
        <v>9</v>
      </c>
      <c r="V1139">
        <f ca="1">VLOOKUP($R1139,'TA database'!$I$112:$J$139,2,FALSE)</f>
        <v>9</v>
      </c>
      <c r="W1139">
        <f ca="1">IFERROR(VLOOKUP($S1139,'TA database'!$I$146:$J$193,2,FALSE),0)</f>
        <v>9</v>
      </c>
      <c r="X1139">
        <f>IFERROR(VLOOKUP($S1139,'TA database'!$I$200:$J$271,2,FALSE),0)</f>
        <v>0</v>
      </c>
      <c r="Y1139">
        <f t="shared" ca="1" si="3542"/>
        <v>6</v>
      </c>
      <c r="Z1139" t="str">
        <f t="shared" si="3538"/>
        <v>BIO_GSF_MED_C   →   C_GAS_STRG   →   ONSITE_USE   →   H2_IND_BOIL_HEAT</v>
      </c>
      <c r="AA1139" t="str">
        <f t="shared" si="3539"/>
        <v>Industrial heat</v>
      </c>
      <c r="AB1139" t="str">
        <f t="shared" si="3540"/>
        <v>Maturity</v>
      </c>
      <c r="AC1139">
        <f t="shared" ca="1" si="3541"/>
        <v>6</v>
      </c>
      <c r="AD1139">
        <v>1080</v>
      </c>
      <c r="AE1139" t="str">
        <f>IF(AND(ISNUMBER(SEARCH(O1139,4)),ISNUMBER(SEARCH('(4) FCH pathway assessment'!$B$16,AB1139)),ISNUMBER(SEARCH('(4) FCH pathway assessment'!$B$10,AA1139))),AD1139,"")</f>
        <v/>
      </c>
      <c r="AF1139" t="str">
        <f t="shared" si="3317"/>
        <v/>
      </c>
      <c r="AG1139" t="str">
        <f>VLOOKUP(C1139,Assumptions!$B$116:$C$162,2,FALSE)</f>
        <v>BIO_GSF_MED_C</v>
      </c>
      <c r="AH1139" t="str">
        <f>VLOOKUP(D1139,Assumptions!$B$116:$C$162,2,FALSE)</f>
        <v>C_GAS_STRG</v>
      </c>
      <c r="AI1139" t="str">
        <f>VLOOKUP(E1139,Assumptions!$B$116:$C$162,2,FALSE)</f>
        <v>ONSITE_USE</v>
      </c>
      <c r="AJ1139" t="str">
        <f>VLOOKUP(F1139,Assumptions!$B$116:$C$162,2,FALSE)</f>
        <v>H2_IND_BOIL_HEAT</v>
      </c>
    </row>
    <row r="1140" spans="2:36" x14ac:dyDescent="0.25">
      <c r="B1140" t="s">
        <v>117</v>
      </c>
      <c r="C1140" t="s">
        <v>54</v>
      </c>
      <c r="D1140" t="s">
        <v>155</v>
      </c>
      <c r="E1140" t="s">
        <v>157</v>
      </c>
      <c r="F1140" t="s">
        <v>570</v>
      </c>
      <c r="G1140" t="s">
        <v>120</v>
      </c>
      <c r="H1140" t="s">
        <v>432</v>
      </c>
      <c r="I1140" t="s">
        <v>32</v>
      </c>
      <c r="J1140" t="s">
        <v>78</v>
      </c>
      <c r="K1140">
        <f t="shared" si="3528"/>
        <v>0</v>
      </c>
      <c r="L1140">
        <f t="shared" si="3529"/>
        <v>1</v>
      </c>
      <c r="M1140">
        <f t="shared" si="3530"/>
        <v>0</v>
      </c>
      <c r="N1140">
        <f t="shared" si="3531"/>
        <v>1</v>
      </c>
      <c r="O1140">
        <f t="shared" si="3532"/>
        <v>2</v>
      </c>
      <c r="P1140" t="str">
        <f t="shared" si="3533"/>
        <v>Medium centralized biomass gasification w/ CCS-Maturity</v>
      </c>
      <c r="Q1140" t="str">
        <f t="shared" si="3534"/>
        <v>Central gas storage-Maturity</v>
      </c>
      <c r="R1140" t="str">
        <f t="shared" si="3535"/>
        <v>Blending in natural gas pipeline-Maturity</v>
      </c>
      <c r="S1140" t="str">
        <f t="shared" si="3536"/>
        <v>Industrial H2 boiler-Maturity</v>
      </c>
      <c r="T1140">
        <f ca="1">VLOOKUP($P1140,'TA database'!$I$8:$J$79,2,FALSE)</f>
        <v>6</v>
      </c>
      <c r="U1140">
        <f ca="1">VLOOKUP($Q1140,'TA database'!$I$86:$J$105,2,FALSE)</f>
        <v>9</v>
      </c>
      <c r="V1140">
        <f ca="1">VLOOKUP($R1140,'TA database'!$I$112:$J$139,2,FALSE)</f>
        <v>7</v>
      </c>
      <c r="W1140">
        <f ca="1">IFERROR(VLOOKUP($S1140,'TA database'!$I$146:$J$193,2,FALSE),0)</f>
        <v>9</v>
      </c>
      <c r="X1140">
        <f>IFERROR(VLOOKUP($S1140,'TA database'!$I$200:$J$271,2,FALSE),0)</f>
        <v>0</v>
      </c>
      <c r="Y1140">
        <f t="shared" ca="1" si="3542"/>
        <v>6</v>
      </c>
      <c r="Z1140" t="str">
        <f t="shared" si="3538"/>
        <v>BIO_GSF_CCS_MED_C   →   C_GAS_STRG   →   H2_BLND_NG_P   →   H2_IND_BOIL_HEAT</v>
      </c>
      <c r="AA1140" t="str">
        <f t="shared" si="3539"/>
        <v>Industrial heat</v>
      </c>
      <c r="AB1140" t="str">
        <f t="shared" si="3540"/>
        <v>Maturity</v>
      </c>
      <c r="AC1140">
        <f t="shared" ca="1" si="3541"/>
        <v>6</v>
      </c>
      <c r="AD1140">
        <v>1081</v>
      </c>
      <c r="AE1140" t="str">
        <f>IF(AND(ISNUMBER(SEARCH(O1140,4)),ISNUMBER(SEARCH('(4) FCH pathway assessment'!$B$16,AB1140)),ISNUMBER(SEARCH('(4) FCH pathway assessment'!$B$10,AA1140))),AD1140,"")</f>
        <v/>
      </c>
      <c r="AF1140" t="str">
        <f t="shared" si="3317"/>
        <v/>
      </c>
      <c r="AG1140" t="str">
        <f>VLOOKUP(C1140,Assumptions!$B$116:$C$162,2,FALSE)</f>
        <v>BIO_GSF_CCS_MED_C</v>
      </c>
      <c r="AH1140" t="str">
        <f>VLOOKUP(D1140,Assumptions!$B$116:$C$162,2,FALSE)</f>
        <v>C_GAS_STRG</v>
      </c>
      <c r="AI1140" t="str">
        <f>VLOOKUP(E1140,Assumptions!$B$116:$C$162,2,FALSE)</f>
        <v>H2_BLND_NG_P</v>
      </c>
      <c r="AJ1140" t="str">
        <f>VLOOKUP(F1140,Assumptions!$B$116:$C$162,2,FALSE)</f>
        <v>H2_IND_BOIL_HEAT</v>
      </c>
    </row>
    <row r="1141" spans="2:36" x14ac:dyDescent="0.25">
      <c r="B1141" t="s">
        <v>117</v>
      </c>
      <c r="C1141" t="s">
        <v>54</v>
      </c>
      <c r="D1141" t="s">
        <v>155</v>
      </c>
      <c r="E1141" t="s">
        <v>122</v>
      </c>
      <c r="F1141" t="s">
        <v>570</v>
      </c>
      <c r="G1141" t="s">
        <v>120</v>
      </c>
      <c r="H1141" t="s">
        <v>432</v>
      </c>
      <c r="I1141" t="s">
        <v>32</v>
      </c>
      <c r="J1141" t="s">
        <v>78</v>
      </c>
      <c r="K1141">
        <f t="shared" si="3528"/>
        <v>0</v>
      </c>
      <c r="L1141">
        <f t="shared" si="3529"/>
        <v>1</v>
      </c>
      <c r="M1141">
        <f t="shared" si="3530"/>
        <v>1</v>
      </c>
      <c r="N1141">
        <f t="shared" si="3531"/>
        <v>1</v>
      </c>
      <c r="O1141">
        <f t="shared" si="3532"/>
        <v>3</v>
      </c>
      <c r="P1141" t="str">
        <f t="shared" si="3533"/>
        <v>Medium centralized biomass gasification w/ CCS-Maturity</v>
      </c>
      <c r="Q1141" t="str">
        <f t="shared" si="3534"/>
        <v>Central gas storage-Maturity</v>
      </c>
      <c r="R1141" t="str">
        <f t="shared" si="3535"/>
        <v>Hydrogen transmission &amp; distribution pipeline-Maturity</v>
      </c>
      <c r="S1141" t="str">
        <f t="shared" si="3536"/>
        <v>Industrial H2 boiler-Maturity</v>
      </c>
      <c r="T1141">
        <f ca="1">VLOOKUP($P1141,'TA database'!$I$8:$J$79,2,FALSE)</f>
        <v>6</v>
      </c>
      <c r="U1141">
        <f ca="1">VLOOKUP($Q1141,'TA database'!$I$86:$J$105,2,FALSE)</f>
        <v>9</v>
      </c>
      <c r="V1141">
        <f ca="1">VLOOKUP($R1141,'TA database'!$I$112:$J$139,2,FALSE)</f>
        <v>9</v>
      </c>
      <c r="W1141">
        <f ca="1">IFERROR(VLOOKUP($S1141,'TA database'!$I$146:$J$193,2,FALSE),0)</f>
        <v>9</v>
      </c>
      <c r="X1141">
        <f>IFERROR(VLOOKUP($S1141,'TA database'!$I$200:$J$271,2,FALSE),0)</f>
        <v>0</v>
      </c>
      <c r="Y1141">
        <f t="shared" ca="1" si="3542"/>
        <v>6</v>
      </c>
      <c r="Z1141" t="str">
        <f t="shared" si="3538"/>
        <v>BIO_GSF_CCS_MED_C   →   C_GAS_STRG   →   H2_T&amp;D_P   →   H2_IND_BOIL_HEAT</v>
      </c>
      <c r="AA1141" t="str">
        <f t="shared" si="3539"/>
        <v>Industrial heat</v>
      </c>
      <c r="AB1141" t="str">
        <f t="shared" si="3540"/>
        <v>Maturity</v>
      </c>
      <c r="AC1141">
        <f t="shared" ca="1" si="3541"/>
        <v>6</v>
      </c>
      <c r="AD1141">
        <v>1082</v>
      </c>
      <c r="AE1141" t="str">
        <f>IF(AND(ISNUMBER(SEARCH(O1141,4)),ISNUMBER(SEARCH('(4) FCH pathway assessment'!$B$16,AB1141)),ISNUMBER(SEARCH('(4) FCH pathway assessment'!$B$10,AA1141))),AD1141,"")</f>
        <v/>
      </c>
      <c r="AF1141" t="str">
        <f t="shared" si="3317"/>
        <v/>
      </c>
      <c r="AG1141" t="str">
        <f>VLOOKUP(C1141,Assumptions!$B$116:$C$162,2,FALSE)</f>
        <v>BIO_GSF_CCS_MED_C</v>
      </c>
      <c r="AH1141" t="str">
        <f>VLOOKUP(D1141,Assumptions!$B$116:$C$162,2,FALSE)</f>
        <v>C_GAS_STRG</v>
      </c>
      <c r="AI1141" t="str">
        <f>VLOOKUP(E1141,Assumptions!$B$116:$C$162,2,FALSE)</f>
        <v>H2_T&amp;D_P</v>
      </c>
      <c r="AJ1141" t="str">
        <f>VLOOKUP(F1141,Assumptions!$B$116:$C$162,2,FALSE)</f>
        <v>H2_IND_BOIL_HEAT</v>
      </c>
    </row>
    <row r="1142" spans="2:36" x14ac:dyDescent="0.25">
      <c r="B1142" t="s">
        <v>117</v>
      </c>
      <c r="C1142" t="s">
        <v>54</v>
      </c>
      <c r="D1142" t="s">
        <v>155</v>
      </c>
      <c r="E1142" t="s">
        <v>116</v>
      </c>
      <c r="F1142" t="s">
        <v>570</v>
      </c>
      <c r="G1142" t="s">
        <v>120</v>
      </c>
      <c r="H1142" t="s">
        <v>432</v>
      </c>
      <c r="I1142" t="s">
        <v>32</v>
      </c>
      <c r="J1142" t="s">
        <v>78</v>
      </c>
      <c r="K1142">
        <f t="shared" si="3528"/>
        <v>0</v>
      </c>
      <c r="L1142">
        <f t="shared" si="3529"/>
        <v>1</v>
      </c>
      <c r="M1142">
        <f t="shared" si="3530"/>
        <v>1</v>
      </c>
      <c r="N1142">
        <f t="shared" si="3531"/>
        <v>1</v>
      </c>
      <c r="O1142">
        <f t="shared" si="3532"/>
        <v>3</v>
      </c>
      <c r="P1142" t="str">
        <f t="shared" si="3533"/>
        <v>Medium centralized biomass gasification w/ CCS-Maturity</v>
      </c>
      <c r="Q1142" t="str">
        <f t="shared" si="3534"/>
        <v>Central gas storage-Maturity</v>
      </c>
      <c r="R1142" t="str">
        <f t="shared" si="3535"/>
        <v>Liquid hydrogen truck-Maturity</v>
      </c>
      <c r="S1142" t="str">
        <f t="shared" si="3536"/>
        <v>Industrial H2 boiler-Maturity</v>
      </c>
      <c r="T1142">
        <f ca="1">VLOOKUP($P1142,'TA database'!$I$8:$J$79,2,FALSE)</f>
        <v>6</v>
      </c>
      <c r="U1142">
        <f ca="1">VLOOKUP($Q1142,'TA database'!$I$86:$J$105,2,FALSE)</f>
        <v>9</v>
      </c>
      <c r="V1142">
        <f ca="1">VLOOKUP($R1142,'TA database'!$I$112:$J$139,2,FALSE)</f>
        <v>9</v>
      </c>
      <c r="W1142">
        <f ca="1">IFERROR(VLOOKUP($S1142,'TA database'!$I$146:$J$193,2,FALSE),0)</f>
        <v>9</v>
      </c>
      <c r="X1142">
        <f>IFERROR(VLOOKUP($S1142,'TA database'!$I$200:$J$271,2,FALSE),0)</f>
        <v>0</v>
      </c>
      <c r="Y1142">
        <f t="shared" ca="1" si="3542"/>
        <v>6</v>
      </c>
      <c r="Z1142" t="str">
        <f t="shared" si="3538"/>
        <v>BIO_GSF_CCS_MED_C   →   C_GAS_STRG   →   LQ_TRUCK   →   H2_IND_BOIL_HEAT</v>
      </c>
      <c r="AA1142" t="str">
        <f t="shared" si="3539"/>
        <v>Industrial heat</v>
      </c>
      <c r="AB1142" t="str">
        <f t="shared" si="3540"/>
        <v>Maturity</v>
      </c>
      <c r="AC1142">
        <f t="shared" ca="1" si="3541"/>
        <v>6</v>
      </c>
      <c r="AD1142">
        <v>1083</v>
      </c>
      <c r="AE1142" t="str">
        <f>IF(AND(ISNUMBER(SEARCH(O1142,4)),ISNUMBER(SEARCH('(4) FCH pathway assessment'!$B$16,AB1142)),ISNUMBER(SEARCH('(4) FCH pathway assessment'!$B$10,AA1142))),AD1142,"")</f>
        <v/>
      </c>
      <c r="AF1142" t="str">
        <f t="shared" si="3317"/>
        <v/>
      </c>
      <c r="AG1142" t="str">
        <f>VLOOKUP(C1142,Assumptions!$B$116:$C$162,2,FALSE)</f>
        <v>BIO_GSF_CCS_MED_C</v>
      </c>
      <c r="AH1142" t="str">
        <f>VLOOKUP(D1142,Assumptions!$B$116:$C$162,2,FALSE)</f>
        <v>C_GAS_STRG</v>
      </c>
      <c r="AI1142" t="str">
        <f>VLOOKUP(E1142,Assumptions!$B$116:$C$162,2,FALSE)</f>
        <v>LQ_TRUCK</v>
      </c>
      <c r="AJ1142" t="str">
        <f>VLOOKUP(F1142,Assumptions!$B$116:$C$162,2,FALSE)</f>
        <v>H2_IND_BOIL_HEAT</v>
      </c>
    </row>
    <row r="1143" spans="2:36" x14ac:dyDescent="0.25">
      <c r="B1143" t="s">
        <v>117</v>
      </c>
      <c r="C1143" t="s">
        <v>54</v>
      </c>
      <c r="D1143" t="s">
        <v>155</v>
      </c>
      <c r="E1143" t="s">
        <v>66</v>
      </c>
      <c r="F1143" t="s">
        <v>570</v>
      </c>
      <c r="G1143" t="s">
        <v>120</v>
      </c>
      <c r="H1143" t="s">
        <v>432</v>
      </c>
      <c r="I1143" t="s">
        <v>32</v>
      </c>
      <c r="J1143" t="s">
        <v>78</v>
      </c>
      <c r="K1143">
        <f t="shared" si="3528"/>
        <v>0</v>
      </c>
      <c r="L1143">
        <f t="shared" si="3529"/>
        <v>1</v>
      </c>
      <c r="M1143">
        <f t="shared" si="3530"/>
        <v>1</v>
      </c>
      <c r="N1143">
        <f t="shared" si="3531"/>
        <v>1</v>
      </c>
      <c r="O1143">
        <f t="shared" si="3532"/>
        <v>3</v>
      </c>
      <c r="P1143" t="str">
        <f t="shared" si="3533"/>
        <v>Medium centralized biomass gasification w/ CCS-Maturity</v>
      </c>
      <c r="Q1143" t="str">
        <f t="shared" si="3534"/>
        <v>Central gas storage-Maturity</v>
      </c>
      <c r="R1143" t="str">
        <f t="shared" si="3535"/>
        <v>Onsite-Maturity</v>
      </c>
      <c r="S1143" t="str">
        <f t="shared" si="3536"/>
        <v>Industrial H2 boiler-Maturity</v>
      </c>
      <c r="T1143">
        <f ca="1">VLOOKUP($P1143,'TA database'!$I$8:$J$79,2,FALSE)</f>
        <v>6</v>
      </c>
      <c r="U1143">
        <f ca="1">VLOOKUP($Q1143,'TA database'!$I$86:$J$105,2,FALSE)</f>
        <v>9</v>
      </c>
      <c r="V1143">
        <f ca="1">VLOOKUP($R1143,'TA database'!$I$112:$J$139,2,FALSE)</f>
        <v>9</v>
      </c>
      <c r="W1143">
        <f ca="1">IFERROR(VLOOKUP($S1143,'TA database'!$I$146:$J$193,2,FALSE),0)</f>
        <v>9</v>
      </c>
      <c r="X1143">
        <f>IFERROR(VLOOKUP($S1143,'TA database'!$I$200:$J$271,2,FALSE),0)</f>
        <v>0</v>
      </c>
      <c r="Y1143">
        <f t="shared" ca="1" si="3542"/>
        <v>6</v>
      </c>
      <c r="Z1143" t="str">
        <f t="shared" si="3538"/>
        <v>BIO_GSF_CCS_MED_C   →   C_GAS_STRG   →   ONSITE_USE   →   H2_IND_BOIL_HEAT</v>
      </c>
      <c r="AA1143" t="str">
        <f t="shared" si="3539"/>
        <v>Industrial heat</v>
      </c>
      <c r="AB1143" t="str">
        <f t="shared" si="3540"/>
        <v>Maturity</v>
      </c>
      <c r="AC1143">
        <f t="shared" ca="1" si="3541"/>
        <v>6</v>
      </c>
      <c r="AD1143">
        <v>1084</v>
      </c>
      <c r="AE1143" t="str">
        <f>IF(AND(ISNUMBER(SEARCH(O1143,4)),ISNUMBER(SEARCH('(4) FCH pathway assessment'!$B$16,AB1143)),ISNUMBER(SEARCH('(4) FCH pathway assessment'!$B$10,AA1143))),AD1143,"")</f>
        <v/>
      </c>
      <c r="AF1143" t="str">
        <f t="shared" si="3317"/>
        <v/>
      </c>
      <c r="AG1143" t="str">
        <f>VLOOKUP(C1143,Assumptions!$B$116:$C$162,2,FALSE)</f>
        <v>BIO_GSF_CCS_MED_C</v>
      </c>
      <c r="AH1143" t="str">
        <f>VLOOKUP(D1143,Assumptions!$B$116:$C$162,2,FALSE)</f>
        <v>C_GAS_STRG</v>
      </c>
      <c r="AI1143" t="str">
        <f>VLOOKUP(E1143,Assumptions!$B$116:$C$162,2,FALSE)</f>
        <v>ONSITE_USE</v>
      </c>
      <c r="AJ1143" t="str">
        <f>VLOOKUP(F1143,Assumptions!$B$116:$C$162,2,FALSE)</f>
        <v>H2_IND_BOIL_HEAT</v>
      </c>
    </row>
    <row r="1144" spans="2:36" x14ac:dyDescent="0.25">
      <c r="B1144" t="s">
        <v>117</v>
      </c>
      <c r="C1144" t="s">
        <v>55</v>
      </c>
      <c r="D1144" s="60" t="s">
        <v>130</v>
      </c>
      <c r="E1144" t="s">
        <v>66</v>
      </c>
      <c r="F1144" t="s">
        <v>570</v>
      </c>
      <c r="G1144" t="s">
        <v>120</v>
      </c>
      <c r="H1144" t="s">
        <v>432</v>
      </c>
      <c r="I1144" t="s">
        <v>32</v>
      </c>
      <c r="J1144" t="s">
        <v>78</v>
      </c>
      <c r="K1144">
        <f t="shared" ref="K1144:K1148" si="3543">SUMPRODUCT(($C$7:$C$18=$C1144)*($D$6:$H$6=$D1144)*($D$7:$H$18))</f>
        <v>0</v>
      </c>
      <c r="L1144">
        <f t="shared" ref="L1144:L1148" si="3544">SUMPRODUCT(($C$19:$C$23=$D1144)*($I$6:$O$6=$E1144)*($I$19:$O$23))</f>
        <v>1</v>
      </c>
      <c r="M1144">
        <f t="shared" ref="M1144:M1148" si="3545">SUMPRODUCT(($C$24:$C$30=$E1144)*($P$6:$AI$6=$F1144)*($P$24:$AI$30))</f>
        <v>1</v>
      </c>
      <c r="N1144">
        <f t="shared" ref="N1144:N1148" si="3546">SUMPRODUCT(($C$31:$C$50=$F1144)*($AJ$6:$AM$6=$G1144)*($AJ$31:$AM$50))</f>
        <v>1</v>
      </c>
      <c r="O1144">
        <f t="shared" ref="O1144:O1148" si="3547">K1144+L1144+M1144+N1144</f>
        <v>3</v>
      </c>
      <c r="P1144" t="str">
        <f t="shared" ref="P1144:P1148" si="3548">CONCATENATE(C1144,"-",J1144)</f>
        <v>Small decentralized biomass gasification-Maturity</v>
      </c>
      <c r="Q1144" t="str">
        <f t="shared" ref="Q1144:Q1148" si="3549">CONCATENATE(D1144,"-",J1144)</f>
        <v>Distributed gas storage-Maturity</v>
      </c>
      <c r="R1144" t="str">
        <f t="shared" ref="R1144:R1148" si="3550">CONCATENATE(E1144,"-",J1144)</f>
        <v>Onsite-Maturity</v>
      </c>
      <c r="S1144" t="str">
        <f t="shared" ref="S1144:S1148" si="3551">CONCATENATE(F1144,"-",J1144)</f>
        <v>Industrial H2 boiler-Maturity</v>
      </c>
      <c r="T1144">
        <f ca="1">VLOOKUP($P1144,'TA database'!$I$8:$J$79,2,FALSE)</f>
        <v>6</v>
      </c>
      <c r="U1144">
        <f ca="1">VLOOKUP($Q1144,'TA database'!$I$86:$J$105,2,FALSE)</f>
        <v>9</v>
      </c>
      <c r="V1144">
        <f ca="1">VLOOKUP($R1144,'TA database'!$I$112:$J$139,2,FALSE)</f>
        <v>9</v>
      </c>
      <c r="W1144">
        <f ca="1">IFERROR(VLOOKUP($S1144,'TA database'!$I$146:$J$193,2,FALSE),0)</f>
        <v>9</v>
      </c>
      <c r="X1144">
        <f>IFERROR(VLOOKUP($S1144,'TA database'!$I$200:$J$271,2,FALSE),0)</f>
        <v>0</v>
      </c>
      <c r="Y1144">
        <f t="shared" ref="Y1144:Y1148" ca="1" si="3552">IF($W1144=0,MIN($T1144:$V1144,$X1144),MIN($T1144:$W1144))</f>
        <v>6</v>
      </c>
      <c r="Z1144" t="str">
        <f t="shared" ref="Z1144:Z1148" si="3553">CONCATENATE(AG1144,"   →   ",AH1144,"   →   ",AI1144,"   →   ",AJ1144)</f>
        <v>BIO_GSF_SML_D   →   D_GAS_STRG   →   ONSITE_USE   →   H2_IND_BOIL_HEAT</v>
      </c>
      <c r="AA1144" t="str">
        <f t="shared" ref="AA1144:AA1148" si="3554">G1144</f>
        <v>Industrial heat</v>
      </c>
      <c r="AB1144" t="str">
        <f t="shared" ref="AB1144:AB1148" si="3555">J1144</f>
        <v>Maturity</v>
      </c>
      <c r="AC1144">
        <f t="shared" ref="AC1144:AC1148" ca="1" si="3556">Y1144</f>
        <v>6</v>
      </c>
      <c r="AD1144">
        <v>1085</v>
      </c>
      <c r="AE1144" t="str">
        <f>IF(AND(ISNUMBER(SEARCH(O1144,4)),ISNUMBER(SEARCH('(4) FCH pathway assessment'!$B$16,AB1144)),ISNUMBER(SEARCH('(4) FCH pathway assessment'!$B$10,AA1144))),AD1144,"")</f>
        <v/>
      </c>
      <c r="AF1144" t="str">
        <f t="shared" si="3317"/>
        <v/>
      </c>
      <c r="AG1144" t="str">
        <f>VLOOKUP(C1144,Assumptions!$B$116:$C$162,2,FALSE)</f>
        <v>BIO_GSF_SML_D</v>
      </c>
      <c r="AH1144" t="str">
        <f>VLOOKUP(D1144,Assumptions!$B$116:$C$162,2,FALSE)</f>
        <v>D_GAS_STRG</v>
      </c>
      <c r="AI1144" t="str">
        <f>VLOOKUP(E1144,Assumptions!$B$116:$C$162,2,FALSE)</f>
        <v>ONSITE_USE</v>
      </c>
      <c r="AJ1144" t="str">
        <f>VLOOKUP(F1144,Assumptions!$B$116:$C$162,2,FALSE)</f>
        <v>H2_IND_BOIL_HEAT</v>
      </c>
    </row>
    <row r="1145" spans="2:36" x14ac:dyDescent="0.25">
      <c r="B1145" t="s">
        <v>117</v>
      </c>
      <c r="C1145" t="s">
        <v>56</v>
      </c>
      <c r="D1145" t="s">
        <v>62</v>
      </c>
      <c r="E1145" t="s">
        <v>157</v>
      </c>
      <c r="F1145" t="s">
        <v>570</v>
      </c>
      <c r="G1145" t="s">
        <v>120</v>
      </c>
      <c r="H1145" t="s">
        <v>432</v>
      </c>
      <c r="I1145" t="s">
        <v>32</v>
      </c>
      <c r="J1145" t="s">
        <v>78</v>
      </c>
      <c r="K1145">
        <f t="shared" si="3543"/>
        <v>0</v>
      </c>
      <c r="L1145">
        <f t="shared" si="3544"/>
        <v>0</v>
      </c>
      <c r="M1145">
        <f t="shared" si="3545"/>
        <v>0</v>
      </c>
      <c r="N1145">
        <f t="shared" si="3546"/>
        <v>1</v>
      </c>
      <c r="O1145">
        <f t="shared" si="3547"/>
        <v>1</v>
      </c>
      <c r="P1145" t="str">
        <f t="shared" si="3548"/>
        <v>Large centralized biomass steam reforming -Maturity</v>
      </c>
      <c r="Q1145" t="str">
        <f t="shared" si="3549"/>
        <v>Underground storage-Maturity</v>
      </c>
      <c r="R1145" t="str">
        <f t="shared" si="3550"/>
        <v>Blending in natural gas pipeline-Maturity</v>
      </c>
      <c r="S1145" t="str">
        <f t="shared" si="3551"/>
        <v>Industrial H2 boiler-Maturity</v>
      </c>
      <c r="T1145">
        <f ca="1">VLOOKUP($P1145,'TA database'!$I$8:$J$79,2,FALSE)</f>
        <v>6</v>
      </c>
      <c r="U1145">
        <f ca="1">VLOOKUP($Q1145,'TA database'!$I$86:$J$105,2,FALSE)</f>
        <v>6</v>
      </c>
      <c r="V1145">
        <f ca="1">VLOOKUP($R1145,'TA database'!$I$112:$J$139,2,FALSE)</f>
        <v>7</v>
      </c>
      <c r="W1145">
        <f ca="1">IFERROR(VLOOKUP($S1145,'TA database'!$I$146:$J$193,2,FALSE),0)</f>
        <v>9</v>
      </c>
      <c r="X1145">
        <f>IFERROR(VLOOKUP($S1145,'TA database'!$I$200:$J$271,2,FALSE),0)</f>
        <v>0</v>
      </c>
      <c r="Y1145">
        <f t="shared" ca="1" si="3552"/>
        <v>6</v>
      </c>
      <c r="Z1145" t="str">
        <f t="shared" si="3553"/>
        <v>BIO_SR_LRG_C   →   C_UNDRGRND_STRG   →   H2_BLND_NG_P   →   H2_IND_BOIL_HEAT</v>
      </c>
      <c r="AA1145" t="str">
        <f t="shared" si="3554"/>
        <v>Industrial heat</v>
      </c>
      <c r="AB1145" t="str">
        <f t="shared" si="3555"/>
        <v>Maturity</v>
      </c>
      <c r="AC1145">
        <f t="shared" ca="1" si="3556"/>
        <v>6</v>
      </c>
      <c r="AD1145">
        <v>1086</v>
      </c>
      <c r="AE1145" t="str">
        <f>IF(AND(ISNUMBER(SEARCH(O1145,4)),ISNUMBER(SEARCH('(4) FCH pathway assessment'!$B$16,AB1145)),ISNUMBER(SEARCH('(4) FCH pathway assessment'!$B$10,AA1145))),AD1145,"")</f>
        <v/>
      </c>
      <c r="AF1145" t="str">
        <f t="shared" si="3317"/>
        <v/>
      </c>
      <c r="AG1145" t="str">
        <f>VLOOKUP(C1145,Assumptions!$B$116:$C$162,2,FALSE)</f>
        <v>BIO_SR_LRG_C</v>
      </c>
      <c r="AH1145" t="str">
        <f>VLOOKUP(D1145,Assumptions!$B$116:$C$162,2,FALSE)</f>
        <v>C_UNDRGRND_STRG</v>
      </c>
      <c r="AI1145" t="str">
        <f>VLOOKUP(E1145,Assumptions!$B$116:$C$162,2,FALSE)</f>
        <v>H2_BLND_NG_P</v>
      </c>
      <c r="AJ1145" t="str">
        <f>VLOOKUP(F1145,Assumptions!$B$116:$C$162,2,FALSE)</f>
        <v>H2_IND_BOIL_HEAT</v>
      </c>
    </row>
    <row r="1146" spans="2:36" x14ac:dyDescent="0.25">
      <c r="B1146" t="s">
        <v>117</v>
      </c>
      <c r="C1146" t="s">
        <v>56</v>
      </c>
      <c r="D1146" t="s">
        <v>62</v>
      </c>
      <c r="E1146" t="s">
        <v>122</v>
      </c>
      <c r="F1146" t="s">
        <v>570</v>
      </c>
      <c r="G1146" t="s">
        <v>120</v>
      </c>
      <c r="H1146" t="s">
        <v>432</v>
      </c>
      <c r="I1146" t="s">
        <v>32</v>
      </c>
      <c r="J1146" t="s">
        <v>78</v>
      </c>
      <c r="K1146">
        <f t="shared" si="3543"/>
        <v>0</v>
      </c>
      <c r="L1146">
        <f t="shared" si="3544"/>
        <v>0</v>
      </c>
      <c r="M1146">
        <f t="shared" si="3545"/>
        <v>1</v>
      </c>
      <c r="N1146">
        <f t="shared" si="3546"/>
        <v>1</v>
      </c>
      <c r="O1146">
        <f t="shared" si="3547"/>
        <v>2</v>
      </c>
      <c r="P1146" t="str">
        <f t="shared" si="3548"/>
        <v>Large centralized biomass steam reforming -Maturity</v>
      </c>
      <c r="Q1146" t="str">
        <f t="shared" si="3549"/>
        <v>Underground storage-Maturity</v>
      </c>
      <c r="R1146" t="str">
        <f t="shared" si="3550"/>
        <v>Hydrogen transmission &amp; distribution pipeline-Maturity</v>
      </c>
      <c r="S1146" t="str">
        <f t="shared" si="3551"/>
        <v>Industrial H2 boiler-Maturity</v>
      </c>
      <c r="T1146">
        <f ca="1">VLOOKUP($P1146,'TA database'!$I$8:$J$79,2,FALSE)</f>
        <v>6</v>
      </c>
      <c r="U1146">
        <f ca="1">VLOOKUP($Q1146,'TA database'!$I$86:$J$105,2,FALSE)</f>
        <v>6</v>
      </c>
      <c r="V1146">
        <f ca="1">VLOOKUP($R1146,'TA database'!$I$112:$J$139,2,FALSE)</f>
        <v>9</v>
      </c>
      <c r="W1146">
        <f ca="1">IFERROR(VLOOKUP($S1146,'TA database'!$I$146:$J$193,2,FALSE),0)</f>
        <v>9</v>
      </c>
      <c r="X1146">
        <f>IFERROR(VLOOKUP($S1146,'TA database'!$I$200:$J$271,2,FALSE),0)</f>
        <v>0</v>
      </c>
      <c r="Y1146">
        <f t="shared" ca="1" si="3552"/>
        <v>6</v>
      </c>
      <c r="Z1146" t="str">
        <f t="shared" si="3553"/>
        <v>BIO_SR_LRG_C   →   C_UNDRGRND_STRG   →   H2_T&amp;D_P   →   H2_IND_BOIL_HEAT</v>
      </c>
      <c r="AA1146" t="str">
        <f t="shared" si="3554"/>
        <v>Industrial heat</v>
      </c>
      <c r="AB1146" t="str">
        <f t="shared" si="3555"/>
        <v>Maturity</v>
      </c>
      <c r="AC1146">
        <f t="shared" ca="1" si="3556"/>
        <v>6</v>
      </c>
      <c r="AD1146">
        <v>1087</v>
      </c>
      <c r="AE1146" t="str">
        <f>IF(AND(ISNUMBER(SEARCH(O1146,4)),ISNUMBER(SEARCH('(4) FCH pathway assessment'!$B$16,AB1146)),ISNUMBER(SEARCH('(4) FCH pathway assessment'!$B$10,AA1146))),AD1146,"")</f>
        <v/>
      </c>
      <c r="AF1146" t="str">
        <f t="shared" si="3317"/>
        <v/>
      </c>
      <c r="AG1146" t="str">
        <f>VLOOKUP(C1146,Assumptions!$B$116:$C$162,2,FALSE)</f>
        <v>BIO_SR_LRG_C</v>
      </c>
      <c r="AH1146" t="str">
        <f>VLOOKUP(D1146,Assumptions!$B$116:$C$162,2,FALSE)</f>
        <v>C_UNDRGRND_STRG</v>
      </c>
      <c r="AI1146" t="str">
        <f>VLOOKUP(E1146,Assumptions!$B$116:$C$162,2,FALSE)</f>
        <v>H2_T&amp;D_P</v>
      </c>
      <c r="AJ1146" t="str">
        <f>VLOOKUP(F1146,Assumptions!$B$116:$C$162,2,FALSE)</f>
        <v>H2_IND_BOIL_HEAT</v>
      </c>
    </row>
    <row r="1147" spans="2:36" x14ac:dyDescent="0.25">
      <c r="B1147" t="s">
        <v>117</v>
      </c>
      <c r="C1147" t="s">
        <v>56</v>
      </c>
      <c r="D1147" t="s">
        <v>62</v>
      </c>
      <c r="E1147" t="s">
        <v>116</v>
      </c>
      <c r="F1147" t="s">
        <v>570</v>
      </c>
      <c r="G1147" t="s">
        <v>120</v>
      </c>
      <c r="H1147" t="s">
        <v>432</v>
      </c>
      <c r="I1147" t="s">
        <v>32</v>
      </c>
      <c r="J1147" t="s">
        <v>78</v>
      </c>
      <c r="K1147">
        <f t="shared" si="3543"/>
        <v>0</v>
      </c>
      <c r="L1147">
        <f t="shared" si="3544"/>
        <v>0</v>
      </c>
      <c r="M1147">
        <f t="shared" si="3545"/>
        <v>1</v>
      </c>
      <c r="N1147">
        <f t="shared" si="3546"/>
        <v>1</v>
      </c>
      <c r="O1147">
        <f t="shared" si="3547"/>
        <v>2</v>
      </c>
      <c r="P1147" t="str">
        <f t="shared" si="3548"/>
        <v>Large centralized biomass steam reforming -Maturity</v>
      </c>
      <c r="Q1147" t="str">
        <f t="shared" si="3549"/>
        <v>Underground storage-Maturity</v>
      </c>
      <c r="R1147" t="str">
        <f t="shared" si="3550"/>
        <v>Liquid hydrogen truck-Maturity</v>
      </c>
      <c r="S1147" t="str">
        <f t="shared" si="3551"/>
        <v>Industrial H2 boiler-Maturity</v>
      </c>
      <c r="T1147">
        <f ca="1">VLOOKUP($P1147,'TA database'!$I$8:$J$79,2,FALSE)</f>
        <v>6</v>
      </c>
      <c r="U1147">
        <f ca="1">VLOOKUP($Q1147,'TA database'!$I$86:$J$105,2,FALSE)</f>
        <v>6</v>
      </c>
      <c r="V1147">
        <f ca="1">VLOOKUP($R1147,'TA database'!$I$112:$J$139,2,FALSE)</f>
        <v>9</v>
      </c>
      <c r="W1147">
        <f ca="1">IFERROR(VLOOKUP($S1147,'TA database'!$I$146:$J$193,2,FALSE),0)</f>
        <v>9</v>
      </c>
      <c r="X1147">
        <f>IFERROR(VLOOKUP($S1147,'TA database'!$I$200:$J$271,2,FALSE),0)</f>
        <v>0</v>
      </c>
      <c r="Y1147">
        <f t="shared" ca="1" si="3552"/>
        <v>6</v>
      </c>
      <c r="Z1147" t="str">
        <f t="shared" si="3553"/>
        <v>BIO_SR_LRG_C   →   C_UNDRGRND_STRG   →   LQ_TRUCK   →   H2_IND_BOIL_HEAT</v>
      </c>
      <c r="AA1147" t="str">
        <f t="shared" si="3554"/>
        <v>Industrial heat</v>
      </c>
      <c r="AB1147" t="str">
        <f t="shared" si="3555"/>
        <v>Maturity</v>
      </c>
      <c r="AC1147">
        <f t="shared" ca="1" si="3556"/>
        <v>6</v>
      </c>
      <c r="AD1147">
        <v>1088</v>
      </c>
      <c r="AE1147" t="str">
        <f>IF(AND(ISNUMBER(SEARCH(O1147,4)),ISNUMBER(SEARCH('(4) FCH pathway assessment'!$B$16,AB1147)),ISNUMBER(SEARCH('(4) FCH pathway assessment'!$B$10,AA1147))),AD1147,"")</f>
        <v/>
      </c>
      <c r="AF1147" t="str">
        <f t="shared" si="3317"/>
        <v/>
      </c>
      <c r="AG1147" t="str">
        <f>VLOOKUP(C1147,Assumptions!$B$116:$C$162,2,FALSE)</f>
        <v>BIO_SR_LRG_C</v>
      </c>
      <c r="AH1147" t="str">
        <f>VLOOKUP(D1147,Assumptions!$B$116:$C$162,2,FALSE)</f>
        <v>C_UNDRGRND_STRG</v>
      </c>
      <c r="AI1147" t="str">
        <f>VLOOKUP(E1147,Assumptions!$B$116:$C$162,2,FALSE)</f>
        <v>LQ_TRUCK</v>
      </c>
      <c r="AJ1147" t="str">
        <f>VLOOKUP(F1147,Assumptions!$B$116:$C$162,2,FALSE)</f>
        <v>H2_IND_BOIL_HEAT</v>
      </c>
    </row>
    <row r="1148" spans="2:36" x14ac:dyDescent="0.25">
      <c r="B1148" t="s">
        <v>117</v>
      </c>
      <c r="C1148" t="s">
        <v>56</v>
      </c>
      <c r="D1148" t="s">
        <v>62</v>
      </c>
      <c r="E1148" t="s">
        <v>66</v>
      </c>
      <c r="F1148" t="s">
        <v>570</v>
      </c>
      <c r="G1148" t="s">
        <v>120</v>
      </c>
      <c r="H1148" t="s">
        <v>432</v>
      </c>
      <c r="I1148" t="s">
        <v>32</v>
      </c>
      <c r="J1148" t="s">
        <v>78</v>
      </c>
      <c r="K1148">
        <f t="shared" si="3543"/>
        <v>0</v>
      </c>
      <c r="L1148">
        <f t="shared" si="3544"/>
        <v>0</v>
      </c>
      <c r="M1148">
        <f t="shared" si="3545"/>
        <v>1</v>
      </c>
      <c r="N1148">
        <f t="shared" si="3546"/>
        <v>1</v>
      </c>
      <c r="O1148">
        <f t="shared" si="3547"/>
        <v>2</v>
      </c>
      <c r="P1148" t="str">
        <f t="shared" si="3548"/>
        <v>Large centralized biomass steam reforming -Maturity</v>
      </c>
      <c r="Q1148" t="str">
        <f t="shared" si="3549"/>
        <v>Underground storage-Maturity</v>
      </c>
      <c r="R1148" t="str">
        <f t="shared" si="3550"/>
        <v>Onsite-Maturity</v>
      </c>
      <c r="S1148" t="str">
        <f t="shared" si="3551"/>
        <v>Industrial H2 boiler-Maturity</v>
      </c>
      <c r="T1148">
        <f ca="1">VLOOKUP($P1148,'TA database'!$I$8:$J$79,2,FALSE)</f>
        <v>6</v>
      </c>
      <c r="U1148">
        <f ca="1">VLOOKUP($Q1148,'TA database'!$I$86:$J$105,2,FALSE)</f>
        <v>6</v>
      </c>
      <c r="V1148">
        <f ca="1">VLOOKUP($R1148,'TA database'!$I$112:$J$139,2,FALSE)</f>
        <v>9</v>
      </c>
      <c r="W1148">
        <f ca="1">IFERROR(VLOOKUP($S1148,'TA database'!$I$146:$J$193,2,FALSE),0)</f>
        <v>9</v>
      </c>
      <c r="X1148">
        <f>IFERROR(VLOOKUP($S1148,'TA database'!$I$200:$J$271,2,FALSE),0)</f>
        <v>0</v>
      </c>
      <c r="Y1148">
        <f t="shared" ca="1" si="3552"/>
        <v>6</v>
      </c>
      <c r="Z1148" t="str">
        <f t="shared" si="3553"/>
        <v>BIO_SR_LRG_C   →   C_UNDRGRND_STRG   →   ONSITE_USE   →   H2_IND_BOIL_HEAT</v>
      </c>
      <c r="AA1148" t="str">
        <f t="shared" si="3554"/>
        <v>Industrial heat</v>
      </c>
      <c r="AB1148" t="str">
        <f t="shared" si="3555"/>
        <v>Maturity</v>
      </c>
      <c r="AC1148">
        <f t="shared" ca="1" si="3556"/>
        <v>6</v>
      </c>
      <c r="AD1148">
        <v>1089</v>
      </c>
      <c r="AE1148" t="str">
        <f>IF(AND(ISNUMBER(SEARCH(O1148,4)),ISNUMBER(SEARCH('(4) FCH pathway assessment'!$B$16,AB1148)),ISNUMBER(SEARCH('(4) FCH pathway assessment'!$B$10,AA1148))),AD1148,"")</f>
        <v/>
      </c>
      <c r="AF1148" t="str">
        <f t="shared" ref="AF1148:AF1211" si="3557">IFERROR(SMALL($AE$60:$AE$1991,AD1148),"")</f>
        <v/>
      </c>
      <c r="AG1148" t="str">
        <f>VLOOKUP(C1148,Assumptions!$B$116:$C$162,2,FALSE)</f>
        <v>BIO_SR_LRG_C</v>
      </c>
      <c r="AH1148" t="str">
        <f>VLOOKUP(D1148,Assumptions!$B$116:$C$162,2,FALSE)</f>
        <v>C_UNDRGRND_STRG</v>
      </c>
      <c r="AI1148" t="str">
        <f>VLOOKUP(E1148,Assumptions!$B$116:$C$162,2,FALSE)</f>
        <v>ONSITE_USE</v>
      </c>
      <c r="AJ1148" t="str">
        <f>VLOOKUP(F1148,Assumptions!$B$116:$C$162,2,FALSE)</f>
        <v>H2_IND_BOIL_HEAT</v>
      </c>
    </row>
    <row r="1149" spans="2:36" x14ac:dyDescent="0.25">
      <c r="B1149" t="s">
        <v>117</v>
      </c>
      <c r="C1149" t="s">
        <v>56</v>
      </c>
      <c r="D1149" s="61" t="s">
        <v>63</v>
      </c>
      <c r="E1149" t="s">
        <v>122</v>
      </c>
      <c r="F1149" t="s">
        <v>570</v>
      </c>
      <c r="G1149" t="s">
        <v>120</v>
      </c>
      <c r="H1149" t="s">
        <v>432</v>
      </c>
      <c r="I1149" t="s">
        <v>32</v>
      </c>
      <c r="J1149" t="s">
        <v>78</v>
      </c>
      <c r="K1149">
        <f t="shared" ref="K1149:K1157" si="3558">SUMPRODUCT(($C$7:$C$18=$C1149)*($D$6:$H$6=$D1149)*($D$7:$H$18))</f>
        <v>0</v>
      </c>
      <c r="L1149">
        <f t="shared" ref="L1149:L1157" si="3559">SUMPRODUCT(($C$19:$C$23=$D1149)*($I$6:$O$6=$E1149)*($I$19:$O$23))</f>
        <v>1</v>
      </c>
      <c r="M1149">
        <f t="shared" ref="M1149:M1157" si="3560">SUMPRODUCT(($C$24:$C$30=$E1149)*($P$6:$AI$6=$F1149)*($P$24:$AI$30))</f>
        <v>1</v>
      </c>
      <c r="N1149">
        <f t="shared" ref="N1149:N1157" si="3561">SUMPRODUCT(($C$31:$C$50=$F1149)*($AJ$6:$AM$6=$G1149)*($AJ$31:$AM$50))</f>
        <v>1</v>
      </c>
      <c r="O1149">
        <f t="shared" ref="O1149:O1157" si="3562">K1149+L1149+M1149+N1149</f>
        <v>3</v>
      </c>
      <c r="P1149" t="str">
        <f t="shared" ref="P1149:P1157" si="3563">CONCATENATE(C1149,"-",J1149)</f>
        <v>Large centralized biomass steam reforming -Maturity</v>
      </c>
      <c r="Q1149" t="str">
        <f t="shared" ref="Q1149:Q1157" si="3564">CONCATENATE(D1149,"-",J1149)</f>
        <v>No storage-Maturity</v>
      </c>
      <c r="R1149" t="str">
        <f t="shared" ref="R1149:R1157" si="3565">CONCATENATE(E1149,"-",J1149)</f>
        <v>Hydrogen transmission &amp; distribution pipeline-Maturity</v>
      </c>
      <c r="S1149" t="str">
        <f t="shared" ref="S1149:S1157" si="3566">CONCATENATE(F1149,"-",J1149)</f>
        <v>Industrial H2 boiler-Maturity</v>
      </c>
      <c r="T1149">
        <f ca="1">VLOOKUP($P1149,'TA database'!$I$8:$J$79,2,FALSE)</f>
        <v>6</v>
      </c>
      <c r="U1149">
        <f ca="1">VLOOKUP($Q1149,'TA database'!$I$86:$J$105,2,FALSE)</f>
        <v>9</v>
      </c>
      <c r="V1149">
        <f ca="1">VLOOKUP($R1149,'TA database'!$I$112:$J$139,2,FALSE)</f>
        <v>9</v>
      </c>
      <c r="W1149">
        <f ca="1">IFERROR(VLOOKUP($S1149,'TA database'!$I$146:$J$193,2,FALSE),0)</f>
        <v>9</v>
      </c>
      <c r="X1149">
        <f>IFERROR(VLOOKUP($S1149,'TA database'!$I$200:$J$271,2,FALSE),0)</f>
        <v>0</v>
      </c>
      <c r="Y1149">
        <f t="shared" ref="Y1149:Y1161" ca="1" si="3567">IF($W1149=0,MIN($T1149:$V1149,$X1149),MIN($T1149:$W1149))</f>
        <v>6</v>
      </c>
      <c r="Z1149" t="str">
        <f t="shared" ref="Z1149:Z1157" si="3568">CONCATENATE(AG1149,"   →   ",AH1149,"   →   ",AI1149,"   →   ",AJ1149)</f>
        <v>BIO_SR_LRG_C   →   NO_STRG   →   H2_T&amp;D_P   →   H2_IND_BOIL_HEAT</v>
      </c>
      <c r="AA1149" t="str">
        <f t="shared" ref="AA1149:AA1157" si="3569">G1149</f>
        <v>Industrial heat</v>
      </c>
      <c r="AB1149" t="str">
        <f t="shared" ref="AB1149:AB1157" si="3570">J1149</f>
        <v>Maturity</v>
      </c>
      <c r="AC1149">
        <f t="shared" ref="AC1149:AC1157" ca="1" si="3571">Y1149</f>
        <v>6</v>
      </c>
      <c r="AD1149">
        <v>1090</v>
      </c>
      <c r="AE1149" t="str">
        <f>IF(AND(ISNUMBER(SEARCH(O1149,4)),ISNUMBER(SEARCH('(4) FCH pathway assessment'!$B$16,AB1149)),ISNUMBER(SEARCH('(4) FCH pathway assessment'!$B$10,AA1149))),AD1149,"")</f>
        <v/>
      </c>
      <c r="AF1149" t="str">
        <f t="shared" si="3557"/>
        <v/>
      </c>
      <c r="AG1149" t="str">
        <f>VLOOKUP(C1149,Assumptions!$B$116:$C$162,2,FALSE)</f>
        <v>BIO_SR_LRG_C</v>
      </c>
      <c r="AH1149" t="str">
        <f>VLOOKUP(D1149,Assumptions!$B$116:$C$162,2,FALSE)</f>
        <v>NO_STRG</v>
      </c>
      <c r="AI1149" t="str">
        <f>VLOOKUP(E1149,Assumptions!$B$116:$C$162,2,FALSE)</f>
        <v>H2_T&amp;D_P</v>
      </c>
      <c r="AJ1149" t="str">
        <f>VLOOKUP(F1149,Assumptions!$B$116:$C$162,2,FALSE)</f>
        <v>H2_IND_BOIL_HEAT</v>
      </c>
    </row>
    <row r="1150" spans="2:36" x14ac:dyDescent="0.25">
      <c r="B1150" t="s">
        <v>112</v>
      </c>
      <c r="C1150" t="s">
        <v>49</v>
      </c>
      <c r="D1150" t="s">
        <v>62</v>
      </c>
      <c r="E1150" t="s">
        <v>157</v>
      </c>
      <c r="F1150" t="s">
        <v>570</v>
      </c>
      <c r="G1150" t="s">
        <v>120</v>
      </c>
      <c r="H1150" t="s">
        <v>432</v>
      </c>
      <c r="I1150" t="s">
        <v>32</v>
      </c>
      <c r="J1150" t="s">
        <v>78</v>
      </c>
      <c r="K1150">
        <f t="shared" si="3558"/>
        <v>1</v>
      </c>
      <c r="L1150">
        <f t="shared" si="3559"/>
        <v>0</v>
      </c>
      <c r="M1150">
        <f t="shared" si="3560"/>
        <v>0</v>
      </c>
      <c r="N1150">
        <f t="shared" si="3561"/>
        <v>1</v>
      </c>
      <c r="O1150">
        <f t="shared" si="3562"/>
        <v>2</v>
      </c>
      <c r="P1150" t="str">
        <f t="shared" si="3563"/>
        <v>Large centralized electrolysis-Maturity</v>
      </c>
      <c r="Q1150" t="str">
        <f t="shared" si="3564"/>
        <v>Underground storage-Maturity</v>
      </c>
      <c r="R1150" t="str">
        <f t="shared" si="3565"/>
        <v>Blending in natural gas pipeline-Maturity</v>
      </c>
      <c r="S1150" t="str">
        <f t="shared" si="3566"/>
        <v>Industrial H2 boiler-Maturity</v>
      </c>
      <c r="T1150">
        <f ca="1">VLOOKUP($P1150,'TA database'!$I$8:$J$79,2,FALSE)</f>
        <v>9</v>
      </c>
      <c r="U1150">
        <f ca="1">VLOOKUP($Q1150,'TA database'!$I$86:$J$105,2,FALSE)</f>
        <v>6</v>
      </c>
      <c r="V1150">
        <f ca="1">VLOOKUP($R1150,'TA database'!$I$112:$J$139,2,FALSE)</f>
        <v>7</v>
      </c>
      <c r="W1150">
        <f ca="1">IFERROR(VLOOKUP($S1150,'TA database'!$I$146:$J$193,2,FALSE),0)</f>
        <v>9</v>
      </c>
      <c r="X1150">
        <f>IFERROR(VLOOKUP($S1150,'TA database'!$I$200:$J$271,2,FALSE),0)</f>
        <v>0</v>
      </c>
      <c r="Y1150">
        <f t="shared" ca="1" si="3567"/>
        <v>6</v>
      </c>
      <c r="Z1150" t="str">
        <f t="shared" si="3568"/>
        <v>ELCTRLYZ_LRG_C   →   C_UNDRGRND_STRG   →   H2_BLND_NG_P   →   H2_IND_BOIL_HEAT</v>
      </c>
      <c r="AA1150" t="str">
        <f t="shared" si="3569"/>
        <v>Industrial heat</v>
      </c>
      <c r="AB1150" t="str">
        <f t="shared" si="3570"/>
        <v>Maturity</v>
      </c>
      <c r="AC1150">
        <f t="shared" ca="1" si="3571"/>
        <v>6</v>
      </c>
      <c r="AD1150">
        <v>1091</v>
      </c>
      <c r="AE1150" t="str">
        <f>IF(AND(ISNUMBER(SEARCH(O1150,4)),ISNUMBER(SEARCH('(4) FCH pathway assessment'!$B$16,AB1150)),ISNUMBER(SEARCH('(4) FCH pathway assessment'!$B$10,AA1150))),AD1150,"")</f>
        <v/>
      </c>
      <c r="AF1150" t="str">
        <f t="shared" si="3557"/>
        <v/>
      </c>
      <c r="AG1150" t="str">
        <f>VLOOKUP(C1150,Assumptions!$B$116:$C$162,2,FALSE)</f>
        <v>ELCTRLYZ_LRG_C</v>
      </c>
      <c r="AH1150" t="str">
        <f>VLOOKUP(D1150,Assumptions!$B$116:$C$162,2,FALSE)</f>
        <v>C_UNDRGRND_STRG</v>
      </c>
      <c r="AI1150" t="str">
        <f>VLOOKUP(E1150,Assumptions!$B$116:$C$162,2,FALSE)</f>
        <v>H2_BLND_NG_P</v>
      </c>
      <c r="AJ1150" t="str">
        <f>VLOOKUP(F1150,Assumptions!$B$116:$C$162,2,FALSE)</f>
        <v>H2_IND_BOIL_HEAT</v>
      </c>
    </row>
    <row r="1151" spans="2:36" x14ac:dyDescent="0.25">
      <c r="B1151" t="s">
        <v>112</v>
      </c>
      <c r="C1151" t="s">
        <v>49</v>
      </c>
      <c r="D1151" t="s">
        <v>62</v>
      </c>
      <c r="E1151" t="s">
        <v>122</v>
      </c>
      <c r="F1151" t="s">
        <v>570</v>
      </c>
      <c r="G1151" t="s">
        <v>120</v>
      </c>
      <c r="H1151" t="s">
        <v>432</v>
      </c>
      <c r="I1151" t="s">
        <v>32</v>
      </c>
      <c r="J1151" t="s">
        <v>78</v>
      </c>
      <c r="K1151">
        <f t="shared" si="3558"/>
        <v>1</v>
      </c>
      <c r="L1151">
        <f t="shared" si="3559"/>
        <v>0</v>
      </c>
      <c r="M1151">
        <f t="shared" si="3560"/>
        <v>1</v>
      </c>
      <c r="N1151">
        <f t="shared" si="3561"/>
        <v>1</v>
      </c>
      <c r="O1151">
        <f t="shared" si="3562"/>
        <v>3</v>
      </c>
      <c r="P1151" t="str">
        <f t="shared" si="3563"/>
        <v>Large centralized electrolysis-Maturity</v>
      </c>
      <c r="Q1151" t="str">
        <f t="shared" si="3564"/>
        <v>Underground storage-Maturity</v>
      </c>
      <c r="R1151" t="str">
        <f t="shared" si="3565"/>
        <v>Hydrogen transmission &amp; distribution pipeline-Maturity</v>
      </c>
      <c r="S1151" t="str">
        <f t="shared" si="3566"/>
        <v>Industrial H2 boiler-Maturity</v>
      </c>
      <c r="T1151">
        <f ca="1">VLOOKUP($P1151,'TA database'!$I$8:$J$79,2,FALSE)</f>
        <v>9</v>
      </c>
      <c r="U1151">
        <f ca="1">VLOOKUP($Q1151,'TA database'!$I$86:$J$105,2,FALSE)</f>
        <v>6</v>
      </c>
      <c r="V1151">
        <f ca="1">VLOOKUP($R1151,'TA database'!$I$112:$J$139,2,FALSE)</f>
        <v>9</v>
      </c>
      <c r="W1151">
        <f ca="1">IFERROR(VLOOKUP($S1151,'TA database'!$I$146:$J$193,2,FALSE),0)</f>
        <v>9</v>
      </c>
      <c r="X1151">
        <f>IFERROR(VLOOKUP($S1151,'TA database'!$I$200:$J$271,2,FALSE),0)</f>
        <v>0</v>
      </c>
      <c r="Y1151">
        <f t="shared" ca="1" si="3567"/>
        <v>6</v>
      </c>
      <c r="Z1151" t="str">
        <f t="shared" si="3568"/>
        <v>ELCTRLYZ_LRG_C   →   C_UNDRGRND_STRG   →   H2_T&amp;D_P   →   H2_IND_BOIL_HEAT</v>
      </c>
      <c r="AA1151" t="str">
        <f t="shared" si="3569"/>
        <v>Industrial heat</v>
      </c>
      <c r="AB1151" t="str">
        <f t="shared" si="3570"/>
        <v>Maturity</v>
      </c>
      <c r="AC1151">
        <f t="shared" ca="1" si="3571"/>
        <v>6</v>
      </c>
      <c r="AD1151">
        <v>1092</v>
      </c>
      <c r="AE1151" t="str">
        <f>IF(AND(ISNUMBER(SEARCH(O1151,4)),ISNUMBER(SEARCH('(4) FCH pathway assessment'!$B$16,AB1151)),ISNUMBER(SEARCH('(4) FCH pathway assessment'!$B$10,AA1151))),AD1151,"")</f>
        <v/>
      </c>
      <c r="AF1151" t="str">
        <f t="shared" si="3557"/>
        <v/>
      </c>
      <c r="AG1151" t="str">
        <f>VLOOKUP(C1151,Assumptions!$B$116:$C$162,2,FALSE)</f>
        <v>ELCTRLYZ_LRG_C</v>
      </c>
      <c r="AH1151" t="str">
        <f>VLOOKUP(D1151,Assumptions!$B$116:$C$162,2,FALSE)</f>
        <v>C_UNDRGRND_STRG</v>
      </c>
      <c r="AI1151" t="str">
        <f>VLOOKUP(E1151,Assumptions!$B$116:$C$162,2,FALSE)</f>
        <v>H2_T&amp;D_P</v>
      </c>
      <c r="AJ1151" t="str">
        <f>VLOOKUP(F1151,Assumptions!$B$116:$C$162,2,FALSE)</f>
        <v>H2_IND_BOIL_HEAT</v>
      </c>
    </row>
    <row r="1152" spans="2:36" x14ac:dyDescent="0.25">
      <c r="B1152" t="s">
        <v>112</v>
      </c>
      <c r="C1152" t="s">
        <v>49</v>
      </c>
      <c r="D1152" t="s">
        <v>62</v>
      </c>
      <c r="E1152" t="s">
        <v>116</v>
      </c>
      <c r="F1152" t="s">
        <v>570</v>
      </c>
      <c r="G1152" t="s">
        <v>120</v>
      </c>
      <c r="H1152" t="s">
        <v>432</v>
      </c>
      <c r="I1152" t="s">
        <v>32</v>
      </c>
      <c r="J1152" t="s">
        <v>78</v>
      </c>
      <c r="K1152">
        <f t="shared" si="3558"/>
        <v>1</v>
      </c>
      <c r="L1152">
        <f t="shared" si="3559"/>
        <v>0</v>
      </c>
      <c r="M1152">
        <f t="shared" si="3560"/>
        <v>1</v>
      </c>
      <c r="N1152">
        <f t="shared" si="3561"/>
        <v>1</v>
      </c>
      <c r="O1152">
        <f t="shared" si="3562"/>
        <v>3</v>
      </c>
      <c r="P1152" t="str">
        <f t="shared" si="3563"/>
        <v>Large centralized electrolysis-Maturity</v>
      </c>
      <c r="Q1152" t="str">
        <f t="shared" si="3564"/>
        <v>Underground storage-Maturity</v>
      </c>
      <c r="R1152" t="str">
        <f t="shared" si="3565"/>
        <v>Liquid hydrogen truck-Maturity</v>
      </c>
      <c r="S1152" t="str">
        <f t="shared" si="3566"/>
        <v>Industrial H2 boiler-Maturity</v>
      </c>
      <c r="T1152">
        <f ca="1">VLOOKUP($P1152,'TA database'!$I$8:$J$79,2,FALSE)</f>
        <v>9</v>
      </c>
      <c r="U1152">
        <f ca="1">VLOOKUP($Q1152,'TA database'!$I$86:$J$105,2,FALSE)</f>
        <v>6</v>
      </c>
      <c r="V1152">
        <f ca="1">VLOOKUP($R1152,'TA database'!$I$112:$J$139,2,FALSE)</f>
        <v>9</v>
      </c>
      <c r="W1152">
        <f ca="1">IFERROR(VLOOKUP($S1152,'TA database'!$I$146:$J$193,2,FALSE),0)</f>
        <v>9</v>
      </c>
      <c r="X1152">
        <f>IFERROR(VLOOKUP($S1152,'TA database'!$I$200:$J$271,2,FALSE),0)</f>
        <v>0</v>
      </c>
      <c r="Y1152">
        <f t="shared" ca="1" si="3567"/>
        <v>6</v>
      </c>
      <c r="Z1152" t="str">
        <f t="shared" si="3568"/>
        <v>ELCTRLYZ_LRG_C   →   C_UNDRGRND_STRG   →   LQ_TRUCK   →   H2_IND_BOIL_HEAT</v>
      </c>
      <c r="AA1152" t="str">
        <f t="shared" si="3569"/>
        <v>Industrial heat</v>
      </c>
      <c r="AB1152" t="str">
        <f t="shared" si="3570"/>
        <v>Maturity</v>
      </c>
      <c r="AC1152">
        <f t="shared" ca="1" si="3571"/>
        <v>6</v>
      </c>
      <c r="AD1152">
        <v>1093</v>
      </c>
      <c r="AE1152" t="str">
        <f>IF(AND(ISNUMBER(SEARCH(O1152,4)),ISNUMBER(SEARCH('(4) FCH pathway assessment'!$B$16,AB1152)),ISNUMBER(SEARCH('(4) FCH pathway assessment'!$B$10,AA1152))),AD1152,"")</f>
        <v/>
      </c>
      <c r="AF1152" t="str">
        <f t="shared" si="3557"/>
        <v/>
      </c>
      <c r="AG1152" t="str">
        <f>VLOOKUP(C1152,Assumptions!$B$116:$C$162,2,FALSE)</f>
        <v>ELCTRLYZ_LRG_C</v>
      </c>
      <c r="AH1152" t="str">
        <f>VLOOKUP(D1152,Assumptions!$B$116:$C$162,2,FALSE)</f>
        <v>C_UNDRGRND_STRG</v>
      </c>
      <c r="AI1152" t="str">
        <f>VLOOKUP(E1152,Assumptions!$B$116:$C$162,2,FALSE)</f>
        <v>LQ_TRUCK</v>
      </c>
      <c r="AJ1152" t="str">
        <f>VLOOKUP(F1152,Assumptions!$B$116:$C$162,2,FALSE)</f>
        <v>H2_IND_BOIL_HEAT</v>
      </c>
    </row>
    <row r="1153" spans="2:36" x14ac:dyDescent="0.25">
      <c r="B1153" t="s">
        <v>112</v>
      </c>
      <c r="C1153" t="s">
        <v>49</v>
      </c>
      <c r="D1153" t="s">
        <v>62</v>
      </c>
      <c r="E1153" t="s">
        <v>66</v>
      </c>
      <c r="F1153" t="s">
        <v>570</v>
      </c>
      <c r="G1153" t="s">
        <v>120</v>
      </c>
      <c r="H1153" t="s">
        <v>432</v>
      </c>
      <c r="I1153" t="s">
        <v>32</v>
      </c>
      <c r="J1153" t="s">
        <v>78</v>
      </c>
      <c r="K1153">
        <f t="shared" si="3558"/>
        <v>1</v>
      </c>
      <c r="L1153">
        <f t="shared" si="3559"/>
        <v>0</v>
      </c>
      <c r="M1153">
        <f t="shared" si="3560"/>
        <v>1</v>
      </c>
      <c r="N1153">
        <f t="shared" si="3561"/>
        <v>1</v>
      </c>
      <c r="O1153">
        <f t="shared" si="3562"/>
        <v>3</v>
      </c>
      <c r="P1153" t="str">
        <f t="shared" si="3563"/>
        <v>Large centralized electrolysis-Maturity</v>
      </c>
      <c r="Q1153" t="str">
        <f t="shared" si="3564"/>
        <v>Underground storage-Maturity</v>
      </c>
      <c r="R1153" t="str">
        <f t="shared" si="3565"/>
        <v>Onsite-Maturity</v>
      </c>
      <c r="S1153" t="str">
        <f t="shared" si="3566"/>
        <v>Industrial H2 boiler-Maturity</v>
      </c>
      <c r="T1153">
        <f ca="1">VLOOKUP($P1153,'TA database'!$I$8:$J$79,2,FALSE)</f>
        <v>9</v>
      </c>
      <c r="U1153">
        <f ca="1">VLOOKUP($Q1153,'TA database'!$I$86:$J$105,2,FALSE)</f>
        <v>6</v>
      </c>
      <c r="V1153">
        <f ca="1">VLOOKUP($R1153,'TA database'!$I$112:$J$139,2,FALSE)</f>
        <v>9</v>
      </c>
      <c r="W1153">
        <f ca="1">IFERROR(VLOOKUP($S1153,'TA database'!$I$146:$J$193,2,FALSE),0)</f>
        <v>9</v>
      </c>
      <c r="X1153">
        <f>IFERROR(VLOOKUP($S1153,'TA database'!$I$200:$J$271,2,FALSE),0)</f>
        <v>0</v>
      </c>
      <c r="Y1153">
        <f t="shared" ca="1" si="3567"/>
        <v>6</v>
      </c>
      <c r="Z1153" t="str">
        <f t="shared" si="3568"/>
        <v>ELCTRLYZ_LRG_C   →   C_UNDRGRND_STRG   →   ONSITE_USE   →   H2_IND_BOIL_HEAT</v>
      </c>
      <c r="AA1153" t="str">
        <f t="shared" si="3569"/>
        <v>Industrial heat</v>
      </c>
      <c r="AB1153" t="str">
        <f t="shared" si="3570"/>
        <v>Maturity</v>
      </c>
      <c r="AC1153">
        <f t="shared" ca="1" si="3571"/>
        <v>6</v>
      </c>
      <c r="AD1153">
        <v>1094</v>
      </c>
      <c r="AE1153" t="str">
        <f>IF(AND(ISNUMBER(SEARCH(O1153,4)),ISNUMBER(SEARCH('(4) FCH pathway assessment'!$B$16,AB1153)),ISNUMBER(SEARCH('(4) FCH pathway assessment'!$B$10,AA1153))),AD1153,"")</f>
        <v/>
      </c>
      <c r="AF1153" t="str">
        <f t="shared" si="3557"/>
        <v/>
      </c>
      <c r="AG1153" t="str">
        <f>VLOOKUP(C1153,Assumptions!$B$116:$C$162,2,FALSE)</f>
        <v>ELCTRLYZ_LRG_C</v>
      </c>
      <c r="AH1153" t="str">
        <f>VLOOKUP(D1153,Assumptions!$B$116:$C$162,2,FALSE)</f>
        <v>C_UNDRGRND_STRG</v>
      </c>
      <c r="AI1153" t="str">
        <f>VLOOKUP(E1153,Assumptions!$B$116:$C$162,2,FALSE)</f>
        <v>ONSITE_USE</v>
      </c>
      <c r="AJ1153" t="str">
        <f>VLOOKUP(F1153,Assumptions!$B$116:$C$162,2,FALSE)</f>
        <v>H2_IND_BOIL_HEAT</v>
      </c>
    </row>
    <row r="1154" spans="2:36" x14ac:dyDescent="0.25">
      <c r="B1154" t="s">
        <v>112</v>
      </c>
      <c r="C1154" t="s">
        <v>49</v>
      </c>
      <c r="D1154" t="s">
        <v>155</v>
      </c>
      <c r="E1154" t="s">
        <v>157</v>
      </c>
      <c r="F1154" t="s">
        <v>570</v>
      </c>
      <c r="G1154" t="s">
        <v>120</v>
      </c>
      <c r="H1154" t="s">
        <v>432</v>
      </c>
      <c r="I1154" t="s">
        <v>32</v>
      </c>
      <c r="J1154" t="s">
        <v>78</v>
      </c>
      <c r="K1154">
        <f t="shared" si="3558"/>
        <v>1</v>
      </c>
      <c r="L1154">
        <f t="shared" si="3559"/>
        <v>1</v>
      </c>
      <c r="M1154">
        <f t="shared" si="3560"/>
        <v>0</v>
      </c>
      <c r="N1154">
        <f t="shared" si="3561"/>
        <v>1</v>
      </c>
      <c r="O1154">
        <f t="shared" si="3562"/>
        <v>3</v>
      </c>
      <c r="P1154" t="str">
        <f t="shared" si="3563"/>
        <v>Large centralized electrolysis-Maturity</v>
      </c>
      <c r="Q1154" t="str">
        <f t="shared" si="3564"/>
        <v>Central gas storage-Maturity</v>
      </c>
      <c r="R1154" t="str">
        <f t="shared" si="3565"/>
        <v>Blending in natural gas pipeline-Maturity</v>
      </c>
      <c r="S1154" t="str">
        <f t="shared" si="3566"/>
        <v>Industrial H2 boiler-Maturity</v>
      </c>
      <c r="T1154">
        <f ca="1">VLOOKUP($P1154,'TA database'!$I$8:$J$79,2,FALSE)</f>
        <v>9</v>
      </c>
      <c r="U1154">
        <f ca="1">VLOOKUP($Q1154,'TA database'!$I$86:$J$105,2,FALSE)</f>
        <v>9</v>
      </c>
      <c r="V1154">
        <f ca="1">VLOOKUP($R1154,'TA database'!$I$112:$J$139,2,FALSE)</f>
        <v>7</v>
      </c>
      <c r="W1154">
        <f ca="1">IFERROR(VLOOKUP($S1154,'TA database'!$I$146:$J$193,2,FALSE),0)</f>
        <v>9</v>
      </c>
      <c r="X1154">
        <f>IFERROR(VLOOKUP($S1154,'TA database'!$I$200:$J$271,2,FALSE),0)</f>
        <v>0</v>
      </c>
      <c r="Y1154">
        <f t="shared" ca="1" si="3567"/>
        <v>7</v>
      </c>
      <c r="Z1154" t="str">
        <f t="shared" si="3568"/>
        <v>ELCTRLYZ_LRG_C   →   C_GAS_STRG   →   H2_BLND_NG_P   →   H2_IND_BOIL_HEAT</v>
      </c>
      <c r="AA1154" t="str">
        <f t="shared" si="3569"/>
        <v>Industrial heat</v>
      </c>
      <c r="AB1154" t="str">
        <f t="shared" si="3570"/>
        <v>Maturity</v>
      </c>
      <c r="AC1154">
        <f t="shared" ca="1" si="3571"/>
        <v>7</v>
      </c>
      <c r="AD1154">
        <v>1095</v>
      </c>
      <c r="AE1154" t="str">
        <f>IF(AND(ISNUMBER(SEARCH(O1154,4)),ISNUMBER(SEARCH('(4) FCH pathway assessment'!$B$16,AB1154)),ISNUMBER(SEARCH('(4) FCH pathway assessment'!$B$10,AA1154))),AD1154,"")</f>
        <v/>
      </c>
      <c r="AF1154" t="str">
        <f t="shared" si="3557"/>
        <v/>
      </c>
      <c r="AG1154" t="str">
        <f>VLOOKUP(C1154,Assumptions!$B$116:$C$162,2,FALSE)</f>
        <v>ELCTRLYZ_LRG_C</v>
      </c>
      <c r="AH1154" t="str">
        <f>VLOOKUP(D1154,Assumptions!$B$116:$C$162,2,FALSE)</f>
        <v>C_GAS_STRG</v>
      </c>
      <c r="AI1154" t="str">
        <f>VLOOKUP(E1154,Assumptions!$B$116:$C$162,2,FALSE)</f>
        <v>H2_BLND_NG_P</v>
      </c>
      <c r="AJ1154" t="str">
        <f>VLOOKUP(F1154,Assumptions!$B$116:$C$162,2,FALSE)</f>
        <v>H2_IND_BOIL_HEAT</v>
      </c>
    </row>
    <row r="1155" spans="2:36" x14ac:dyDescent="0.25">
      <c r="B1155" t="s">
        <v>112</v>
      </c>
      <c r="C1155" t="s">
        <v>49</v>
      </c>
      <c r="D1155" t="s">
        <v>155</v>
      </c>
      <c r="E1155" t="s">
        <v>122</v>
      </c>
      <c r="F1155" t="s">
        <v>570</v>
      </c>
      <c r="G1155" t="s">
        <v>120</v>
      </c>
      <c r="H1155" t="s">
        <v>432</v>
      </c>
      <c r="I1155" t="s">
        <v>32</v>
      </c>
      <c r="J1155" t="s">
        <v>78</v>
      </c>
      <c r="K1155">
        <f t="shared" si="3558"/>
        <v>1</v>
      </c>
      <c r="L1155">
        <f t="shared" si="3559"/>
        <v>1</v>
      </c>
      <c r="M1155">
        <f t="shared" si="3560"/>
        <v>1</v>
      </c>
      <c r="N1155">
        <f t="shared" si="3561"/>
        <v>1</v>
      </c>
      <c r="O1155">
        <f t="shared" si="3562"/>
        <v>4</v>
      </c>
      <c r="P1155" t="str">
        <f t="shared" si="3563"/>
        <v>Large centralized electrolysis-Maturity</v>
      </c>
      <c r="Q1155" t="str">
        <f t="shared" si="3564"/>
        <v>Central gas storage-Maturity</v>
      </c>
      <c r="R1155" t="str">
        <f t="shared" si="3565"/>
        <v>Hydrogen transmission &amp; distribution pipeline-Maturity</v>
      </c>
      <c r="S1155" t="str">
        <f t="shared" si="3566"/>
        <v>Industrial H2 boiler-Maturity</v>
      </c>
      <c r="T1155">
        <f ca="1">VLOOKUP($P1155,'TA database'!$I$8:$J$79,2,FALSE)</f>
        <v>9</v>
      </c>
      <c r="U1155">
        <f ca="1">VLOOKUP($Q1155,'TA database'!$I$86:$J$105,2,FALSE)</f>
        <v>9</v>
      </c>
      <c r="V1155">
        <f ca="1">VLOOKUP($R1155,'TA database'!$I$112:$J$139,2,FALSE)</f>
        <v>9</v>
      </c>
      <c r="W1155">
        <f ca="1">IFERROR(VLOOKUP($S1155,'TA database'!$I$146:$J$193,2,FALSE),0)</f>
        <v>9</v>
      </c>
      <c r="X1155">
        <f>IFERROR(VLOOKUP($S1155,'TA database'!$I$200:$J$271,2,FALSE),0)</f>
        <v>0</v>
      </c>
      <c r="Y1155">
        <f t="shared" ca="1" si="3567"/>
        <v>9</v>
      </c>
      <c r="Z1155" t="str">
        <f t="shared" si="3568"/>
        <v>ELCTRLYZ_LRG_C   →   C_GAS_STRG   →   H2_T&amp;D_P   →   H2_IND_BOIL_HEAT</v>
      </c>
      <c r="AA1155" t="str">
        <f t="shared" si="3569"/>
        <v>Industrial heat</v>
      </c>
      <c r="AB1155" t="str">
        <f t="shared" si="3570"/>
        <v>Maturity</v>
      </c>
      <c r="AC1155">
        <f t="shared" ca="1" si="3571"/>
        <v>9</v>
      </c>
      <c r="AD1155">
        <v>1096</v>
      </c>
      <c r="AE1155" t="str">
        <f>IF(AND(ISNUMBER(SEARCH(O1155,4)),ISNUMBER(SEARCH('(4) FCH pathway assessment'!$B$16,AB1155)),ISNUMBER(SEARCH('(4) FCH pathway assessment'!$B$10,AA1155))),AD1155,"")</f>
        <v/>
      </c>
      <c r="AF1155" t="str">
        <f t="shared" si="3557"/>
        <v/>
      </c>
      <c r="AG1155" t="str">
        <f>VLOOKUP(C1155,Assumptions!$B$116:$C$162,2,FALSE)</f>
        <v>ELCTRLYZ_LRG_C</v>
      </c>
      <c r="AH1155" t="str">
        <f>VLOOKUP(D1155,Assumptions!$B$116:$C$162,2,FALSE)</f>
        <v>C_GAS_STRG</v>
      </c>
      <c r="AI1155" t="str">
        <f>VLOOKUP(E1155,Assumptions!$B$116:$C$162,2,FALSE)</f>
        <v>H2_T&amp;D_P</v>
      </c>
      <c r="AJ1155" t="str">
        <f>VLOOKUP(F1155,Assumptions!$B$116:$C$162,2,FALSE)</f>
        <v>H2_IND_BOIL_HEAT</v>
      </c>
    </row>
    <row r="1156" spans="2:36" x14ac:dyDescent="0.25">
      <c r="B1156" t="s">
        <v>112</v>
      </c>
      <c r="C1156" t="s">
        <v>49</v>
      </c>
      <c r="D1156" t="s">
        <v>155</v>
      </c>
      <c r="E1156" t="s">
        <v>116</v>
      </c>
      <c r="F1156" t="s">
        <v>570</v>
      </c>
      <c r="G1156" t="s">
        <v>120</v>
      </c>
      <c r="H1156" t="s">
        <v>432</v>
      </c>
      <c r="I1156" t="s">
        <v>32</v>
      </c>
      <c r="J1156" t="s">
        <v>78</v>
      </c>
      <c r="K1156">
        <f t="shared" si="3558"/>
        <v>1</v>
      </c>
      <c r="L1156">
        <f t="shared" si="3559"/>
        <v>1</v>
      </c>
      <c r="M1156">
        <f t="shared" si="3560"/>
        <v>1</v>
      </c>
      <c r="N1156">
        <f t="shared" si="3561"/>
        <v>1</v>
      </c>
      <c r="O1156">
        <f t="shared" si="3562"/>
        <v>4</v>
      </c>
      <c r="P1156" t="str">
        <f t="shared" si="3563"/>
        <v>Large centralized electrolysis-Maturity</v>
      </c>
      <c r="Q1156" t="str">
        <f t="shared" si="3564"/>
        <v>Central gas storage-Maturity</v>
      </c>
      <c r="R1156" t="str">
        <f t="shared" si="3565"/>
        <v>Liquid hydrogen truck-Maturity</v>
      </c>
      <c r="S1156" t="str">
        <f t="shared" si="3566"/>
        <v>Industrial H2 boiler-Maturity</v>
      </c>
      <c r="T1156">
        <f ca="1">VLOOKUP($P1156,'TA database'!$I$8:$J$79,2,FALSE)</f>
        <v>9</v>
      </c>
      <c r="U1156">
        <f ca="1">VLOOKUP($Q1156,'TA database'!$I$86:$J$105,2,FALSE)</f>
        <v>9</v>
      </c>
      <c r="V1156">
        <f ca="1">VLOOKUP($R1156,'TA database'!$I$112:$J$139,2,FALSE)</f>
        <v>9</v>
      </c>
      <c r="W1156">
        <f ca="1">IFERROR(VLOOKUP($S1156,'TA database'!$I$146:$J$193,2,FALSE),0)</f>
        <v>9</v>
      </c>
      <c r="X1156">
        <f>IFERROR(VLOOKUP($S1156,'TA database'!$I$200:$J$271,2,FALSE),0)</f>
        <v>0</v>
      </c>
      <c r="Y1156">
        <f t="shared" ca="1" si="3567"/>
        <v>9</v>
      </c>
      <c r="Z1156" t="str">
        <f t="shared" si="3568"/>
        <v>ELCTRLYZ_LRG_C   →   C_GAS_STRG   →   LQ_TRUCK   →   H2_IND_BOIL_HEAT</v>
      </c>
      <c r="AA1156" t="str">
        <f t="shared" si="3569"/>
        <v>Industrial heat</v>
      </c>
      <c r="AB1156" t="str">
        <f t="shared" si="3570"/>
        <v>Maturity</v>
      </c>
      <c r="AC1156">
        <f t="shared" ca="1" si="3571"/>
        <v>9</v>
      </c>
      <c r="AD1156">
        <v>1097</v>
      </c>
      <c r="AE1156" t="str">
        <f>IF(AND(ISNUMBER(SEARCH(O1156,4)),ISNUMBER(SEARCH('(4) FCH pathway assessment'!$B$16,AB1156)),ISNUMBER(SEARCH('(4) FCH pathway assessment'!$B$10,AA1156))),AD1156,"")</f>
        <v/>
      </c>
      <c r="AF1156" t="str">
        <f t="shared" si="3557"/>
        <v/>
      </c>
      <c r="AG1156" t="str">
        <f>VLOOKUP(C1156,Assumptions!$B$116:$C$162,2,FALSE)</f>
        <v>ELCTRLYZ_LRG_C</v>
      </c>
      <c r="AH1156" t="str">
        <f>VLOOKUP(D1156,Assumptions!$B$116:$C$162,2,FALSE)</f>
        <v>C_GAS_STRG</v>
      </c>
      <c r="AI1156" t="str">
        <f>VLOOKUP(E1156,Assumptions!$B$116:$C$162,2,FALSE)</f>
        <v>LQ_TRUCK</v>
      </c>
      <c r="AJ1156" t="str">
        <f>VLOOKUP(F1156,Assumptions!$B$116:$C$162,2,FALSE)</f>
        <v>H2_IND_BOIL_HEAT</v>
      </c>
    </row>
    <row r="1157" spans="2:36" x14ac:dyDescent="0.25">
      <c r="B1157" t="s">
        <v>112</v>
      </c>
      <c r="C1157" t="s">
        <v>49</v>
      </c>
      <c r="D1157" t="s">
        <v>155</v>
      </c>
      <c r="E1157" t="s">
        <v>66</v>
      </c>
      <c r="F1157" t="s">
        <v>570</v>
      </c>
      <c r="G1157" t="s">
        <v>120</v>
      </c>
      <c r="H1157" t="s">
        <v>432</v>
      </c>
      <c r="I1157" t="s">
        <v>32</v>
      </c>
      <c r="J1157" t="s">
        <v>78</v>
      </c>
      <c r="K1157">
        <f t="shared" si="3558"/>
        <v>1</v>
      </c>
      <c r="L1157">
        <f t="shared" si="3559"/>
        <v>1</v>
      </c>
      <c r="M1157">
        <f t="shared" si="3560"/>
        <v>1</v>
      </c>
      <c r="N1157">
        <f t="shared" si="3561"/>
        <v>1</v>
      </c>
      <c r="O1157">
        <f t="shared" si="3562"/>
        <v>4</v>
      </c>
      <c r="P1157" t="str">
        <f t="shared" si="3563"/>
        <v>Large centralized electrolysis-Maturity</v>
      </c>
      <c r="Q1157" t="str">
        <f t="shared" si="3564"/>
        <v>Central gas storage-Maturity</v>
      </c>
      <c r="R1157" t="str">
        <f t="shared" si="3565"/>
        <v>Onsite-Maturity</v>
      </c>
      <c r="S1157" t="str">
        <f t="shared" si="3566"/>
        <v>Industrial H2 boiler-Maturity</v>
      </c>
      <c r="T1157">
        <f ca="1">VLOOKUP($P1157,'TA database'!$I$8:$J$79,2,FALSE)</f>
        <v>9</v>
      </c>
      <c r="U1157">
        <f ca="1">VLOOKUP($Q1157,'TA database'!$I$86:$J$105,2,FALSE)</f>
        <v>9</v>
      </c>
      <c r="V1157">
        <f ca="1">VLOOKUP($R1157,'TA database'!$I$112:$J$139,2,FALSE)</f>
        <v>9</v>
      </c>
      <c r="W1157">
        <f ca="1">IFERROR(VLOOKUP($S1157,'TA database'!$I$146:$J$193,2,FALSE),0)</f>
        <v>9</v>
      </c>
      <c r="X1157">
        <f>IFERROR(VLOOKUP($S1157,'TA database'!$I$200:$J$271,2,FALSE),0)</f>
        <v>0</v>
      </c>
      <c r="Y1157">
        <f t="shared" ca="1" si="3567"/>
        <v>9</v>
      </c>
      <c r="Z1157" t="str">
        <f t="shared" si="3568"/>
        <v>ELCTRLYZ_LRG_C   →   C_GAS_STRG   →   ONSITE_USE   →   H2_IND_BOIL_HEAT</v>
      </c>
      <c r="AA1157" t="str">
        <f t="shared" si="3569"/>
        <v>Industrial heat</v>
      </c>
      <c r="AB1157" t="str">
        <f t="shared" si="3570"/>
        <v>Maturity</v>
      </c>
      <c r="AC1157">
        <f t="shared" ca="1" si="3571"/>
        <v>9</v>
      </c>
      <c r="AD1157">
        <v>1098</v>
      </c>
      <c r="AE1157" t="str">
        <f>IF(AND(ISNUMBER(SEARCH(O1157,4)),ISNUMBER(SEARCH('(4) FCH pathway assessment'!$B$16,AB1157)),ISNUMBER(SEARCH('(4) FCH pathway assessment'!$B$10,AA1157))),AD1157,"")</f>
        <v/>
      </c>
      <c r="AF1157" t="str">
        <f t="shared" si="3557"/>
        <v/>
      </c>
      <c r="AG1157" t="str">
        <f>VLOOKUP(C1157,Assumptions!$B$116:$C$162,2,FALSE)</f>
        <v>ELCTRLYZ_LRG_C</v>
      </c>
      <c r="AH1157" t="str">
        <f>VLOOKUP(D1157,Assumptions!$B$116:$C$162,2,FALSE)</f>
        <v>C_GAS_STRG</v>
      </c>
      <c r="AI1157" t="str">
        <f>VLOOKUP(E1157,Assumptions!$B$116:$C$162,2,FALSE)</f>
        <v>ONSITE_USE</v>
      </c>
      <c r="AJ1157" t="str">
        <f>VLOOKUP(F1157,Assumptions!$B$116:$C$162,2,FALSE)</f>
        <v>H2_IND_BOIL_HEAT</v>
      </c>
    </row>
    <row r="1158" spans="2:36" x14ac:dyDescent="0.25">
      <c r="B1158" t="s">
        <v>112</v>
      </c>
      <c r="C1158" t="s">
        <v>51</v>
      </c>
      <c r="D1158" t="s">
        <v>155</v>
      </c>
      <c r="E1158" t="s">
        <v>157</v>
      </c>
      <c r="F1158" t="s">
        <v>570</v>
      </c>
      <c r="G1158" t="s">
        <v>120</v>
      </c>
      <c r="H1158" t="s">
        <v>432</v>
      </c>
      <c r="I1158" t="s">
        <v>32</v>
      </c>
      <c r="J1158" t="s">
        <v>78</v>
      </c>
      <c r="K1158">
        <f t="shared" ref="K1158:K1162" si="3572">SUMPRODUCT(($C$7:$C$18=$C1158)*($D$6:$H$6=$D1158)*($D$7:$H$18))</f>
        <v>1</v>
      </c>
      <c r="L1158">
        <f t="shared" ref="L1158:L1162" si="3573">SUMPRODUCT(($C$19:$C$23=$D1158)*($I$6:$O$6=$E1158)*($I$19:$O$23))</f>
        <v>1</v>
      </c>
      <c r="M1158">
        <f t="shared" ref="M1158:M1162" si="3574">SUMPRODUCT(($C$24:$C$30=$E1158)*($P$6:$AI$6=$F1158)*($P$24:$AI$30))</f>
        <v>0</v>
      </c>
      <c r="N1158">
        <f t="shared" ref="N1158:N1162" si="3575">SUMPRODUCT(($C$31:$C$50=$F1158)*($AJ$6:$AM$6=$G1158)*($AJ$31:$AM$50))</f>
        <v>1</v>
      </c>
      <c r="O1158">
        <f t="shared" ref="O1158:O1162" si="3576">K1158+L1158+M1158+N1158</f>
        <v>3</v>
      </c>
      <c r="P1158" t="str">
        <f t="shared" ref="P1158:P1162" si="3577">CONCATENATE(C1158,"-",J1158)</f>
        <v>Medium centralized electrolysis-Maturity</v>
      </c>
      <c r="Q1158" t="str">
        <f t="shared" ref="Q1158:Q1162" si="3578">CONCATENATE(D1158,"-",J1158)</f>
        <v>Central gas storage-Maturity</v>
      </c>
      <c r="R1158" t="str">
        <f t="shared" ref="R1158:R1162" si="3579">CONCATENATE(E1158,"-",J1158)</f>
        <v>Blending in natural gas pipeline-Maturity</v>
      </c>
      <c r="S1158" t="str">
        <f t="shared" ref="S1158:S1162" si="3580">CONCATENATE(F1158,"-",J1158)</f>
        <v>Industrial H2 boiler-Maturity</v>
      </c>
      <c r="T1158">
        <f ca="1">VLOOKUP($P1158,'TA database'!$I$8:$J$79,2,FALSE)</f>
        <v>9</v>
      </c>
      <c r="U1158">
        <f ca="1">VLOOKUP($Q1158,'TA database'!$I$86:$J$105,2,FALSE)</f>
        <v>9</v>
      </c>
      <c r="V1158">
        <f ca="1">VLOOKUP($R1158,'TA database'!$I$112:$J$139,2,FALSE)</f>
        <v>7</v>
      </c>
      <c r="W1158">
        <f ca="1">IFERROR(VLOOKUP($S1158,'TA database'!$I$146:$J$193,2,FALSE),0)</f>
        <v>9</v>
      </c>
      <c r="X1158">
        <f>IFERROR(VLOOKUP($S1158,'TA database'!$I$200:$J$271,2,FALSE),0)</f>
        <v>0</v>
      </c>
      <c r="Y1158">
        <f t="shared" ca="1" si="3567"/>
        <v>7</v>
      </c>
      <c r="Z1158" t="str">
        <f t="shared" ref="Z1158:Z1162" si="3581">CONCATENATE(AG1158,"   →   ",AH1158,"   →   ",AI1158,"   →   ",AJ1158)</f>
        <v>ELCTRLYZ_MED_C   →   C_GAS_STRG   →   H2_BLND_NG_P   →   H2_IND_BOIL_HEAT</v>
      </c>
      <c r="AA1158" t="str">
        <f t="shared" ref="AA1158:AA1162" si="3582">G1158</f>
        <v>Industrial heat</v>
      </c>
      <c r="AB1158" t="str">
        <f t="shared" ref="AB1158:AB1162" si="3583">J1158</f>
        <v>Maturity</v>
      </c>
      <c r="AC1158">
        <f t="shared" ref="AC1158:AC1162" ca="1" si="3584">Y1158</f>
        <v>7</v>
      </c>
      <c r="AD1158">
        <v>1099</v>
      </c>
      <c r="AE1158" t="str">
        <f>IF(AND(ISNUMBER(SEARCH(O1158,4)),ISNUMBER(SEARCH('(4) FCH pathway assessment'!$B$16,AB1158)),ISNUMBER(SEARCH('(4) FCH pathway assessment'!$B$10,AA1158))),AD1158,"")</f>
        <v/>
      </c>
      <c r="AF1158" t="str">
        <f t="shared" si="3557"/>
        <v/>
      </c>
      <c r="AG1158" t="str">
        <f>VLOOKUP(C1158,Assumptions!$B$116:$C$162,2,FALSE)</f>
        <v>ELCTRLYZ_MED_C</v>
      </c>
      <c r="AH1158" t="str">
        <f>VLOOKUP(D1158,Assumptions!$B$116:$C$162,2,FALSE)</f>
        <v>C_GAS_STRG</v>
      </c>
      <c r="AI1158" t="str">
        <f>VLOOKUP(E1158,Assumptions!$B$116:$C$162,2,FALSE)</f>
        <v>H2_BLND_NG_P</v>
      </c>
      <c r="AJ1158" t="str">
        <f>VLOOKUP(F1158,Assumptions!$B$116:$C$162,2,FALSE)</f>
        <v>H2_IND_BOIL_HEAT</v>
      </c>
    </row>
    <row r="1159" spans="2:36" x14ac:dyDescent="0.25">
      <c r="B1159" t="s">
        <v>112</v>
      </c>
      <c r="C1159" t="s">
        <v>51</v>
      </c>
      <c r="D1159" t="s">
        <v>155</v>
      </c>
      <c r="E1159" t="s">
        <v>122</v>
      </c>
      <c r="F1159" t="s">
        <v>570</v>
      </c>
      <c r="G1159" t="s">
        <v>120</v>
      </c>
      <c r="H1159" t="s">
        <v>432</v>
      </c>
      <c r="I1159" t="s">
        <v>32</v>
      </c>
      <c r="J1159" t="s">
        <v>78</v>
      </c>
      <c r="K1159">
        <f t="shared" si="3572"/>
        <v>1</v>
      </c>
      <c r="L1159">
        <f t="shared" si="3573"/>
        <v>1</v>
      </c>
      <c r="M1159">
        <f t="shared" si="3574"/>
        <v>1</v>
      </c>
      <c r="N1159">
        <f t="shared" si="3575"/>
        <v>1</v>
      </c>
      <c r="O1159">
        <f t="shared" si="3576"/>
        <v>4</v>
      </c>
      <c r="P1159" t="str">
        <f t="shared" si="3577"/>
        <v>Medium centralized electrolysis-Maturity</v>
      </c>
      <c r="Q1159" t="str">
        <f t="shared" si="3578"/>
        <v>Central gas storage-Maturity</v>
      </c>
      <c r="R1159" t="str">
        <f t="shared" si="3579"/>
        <v>Hydrogen transmission &amp; distribution pipeline-Maturity</v>
      </c>
      <c r="S1159" t="str">
        <f t="shared" si="3580"/>
        <v>Industrial H2 boiler-Maturity</v>
      </c>
      <c r="T1159">
        <f ca="1">VLOOKUP($P1159,'TA database'!$I$8:$J$79,2,FALSE)</f>
        <v>9</v>
      </c>
      <c r="U1159">
        <f ca="1">VLOOKUP($Q1159,'TA database'!$I$86:$J$105,2,FALSE)</f>
        <v>9</v>
      </c>
      <c r="V1159">
        <f ca="1">VLOOKUP($R1159,'TA database'!$I$112:$J$139,2,FALSE)</f>
        <v>9</v>
      </c>
      <c r="W1159">
        <f ca="1">IFERROR(VLOOKUP($S1159,'TA database'!$I$146:$J$193,2,FALSE),0)</f>
        <v>9</v>
      </c>
      <c r="X1159">
        <f>IFERROR(VLOOKUP($S1159,'TA database'!$I$200:$J$271,2,FALSE),0)</f>
        <v>0</v>
      </c>
      <c r="Y1159">
        <f t="shared" ca="1" si="3567"/>
        <v>9</v>
      </c>
      <c r="Z1159" t="str">
        <f t="shared" si="3581"/>
        <v>ELCTRLYZ_MED_C   →   C_GAS_STRG   →   H2_T&amp;D_P   →   H2_IND_BOIL_HEAT</v>
      </c>
      <c r="AA1159" t="str">
        <f t="shared" si="3582"/>
        <v>Industrial heat</v>
      </c>
      <c r="AB1159" t="str">
        <f t="shared" si="3583"/>
        <v>Maturity</v>
      </c>
      <c r="AC1159">
        <f t="shared" ca="1" si="3584"/>
        <v>9</v>
      </c>
      <c r="AD1159">
        <v>1100</v>
      </c>
      <c r="AE1159" t="str">
        <f>IF(AND(ISNUMBER(SEARCH(O1159,4)),ISNUMBER(SEARCH('(4) FCH pathway assessment'!$B$16,AB1159)),ISNUMBER(SEARCH('(4) FCH pathway assessment'!$B$10,AA1159))),AD1159,"")</f>
        <v/>
      </c>
      <c r="AF1159" t="str">
        <f t="shared" si="3557"/>
        <v/>
      </c>
      <c r="AG1159" t="str">
        <f>VLOOKUP(C1159,Assumptions!$B$116:$C$162,2,FALSE)</f>
        <v>ELCTRLYZ_MED_C</v>
      </c>
      <c r="AH1159" t="str">
        <f>VLOOKUP(D1159,Assumptions!$B$116:$C$162,2,FALSE)</f>
        <v>C_GAS_STRG</v>
      </c>
      <c r="AI1159" t="str">
        <f>VLOOKUP(E1159,Assumptions!$B$116:$C$162,2,FALSE)</f>
        <v>H2_T&amp;D_P</v>
      </c>
      <c r="AJ1159" t="str">
        <f>VLOOKUP(F1159,Assumptions!$B$116:$C$162,2,FALSE)</f>
        <v>H2_IND_BOIL_HEAT</v>
      </c>
    </row>
    <row r="1160" spans="2:36" x14ac:dyDescent="0.25">
      <c r="B1160" t="s">
        <v>112</v>
      </c>
      <c r="C1160" t="s">
        <v>51</v>
      </c>
      <c r="D1160" t="s">
        <v>155</v>
      </c>
      <c r="E1160" t="s">
        <v>116</v>
      </c>
      <c r="F1160" t="s">
        <v>570</v>
      </c>
      <c r="G1160" t="s">
        <v>120</v>
      </c>
      <c r="H1160" t="s">
        <v>432</v>
      </c>
      <c r="I1160" t="s">
        <v>32</v>
      </c>
      <c r="J1160" t="s">
        <v>78</v>
      </c>
      <c r="K1160">
        <f t="shared" si="3572"/>
        <v>1</v>
      </c>
      <c r="L1160">
        <f t="shared" si="3573"/>
        <v>1</v>
      </c>
      <c r="M1160">
        <f t="shared" si="3574"/>
        <v>1</v>
      </c>
      <c r="N1160">
        <f t="shared" si="3575"/>
        <v>1</v>
      </c>
      <c r="O1160">
        <f t="shared" si="3576"/>
        <v>4</v>
      </c>
      <c r="P1160" t="str">
        <f t="shared" si="3577"/>
        <v>Medium centralized electrolysis-Maturity</v>
      </c>
      <c r="Q1160" t="str">
        <f t="shared" si="3578"/>
        <v>Central gas storage-Maturity</v>
      </c>
      <c r="R1160" t="str">
        <f t="shared" si="3579"/>
        <v>Liquid hydrogen truck-Maturity</v>
      </c>
      <c r="S1160" t="str">
        <f t="shared" si="3580"/>
        <v>Industrial H2 boiler-Maturity</v>
      </c>
      <c r="T1160">
        <f ca="1">VLOOKUP($P1160,'TA database'!$I$8:$J$79,2,FALSE)</f>
        <v>9</v>
      </c>
      <c r="U1160">
        <f ca="1">VLOOKUP($Q1160,'TA database'!$I$86:$J$105,2,FALSE)</f>
        <v>9</v>
      </c>
      <c r="V1160">
        <f ca="1">VLOOKUP($R1160,'TA database'!$I$112:$J$139,2,FALSE)</f>
        <v>9</v>
      </c>
      <c r="W1160">
        <f ca="1">IFERROR(VLOOKUP($S1160,'TA database'!$I$146:$J$193,2,FALSE),0)</f>
        <v>9</v>
      </c>
      <c r="X1160">
        <f>IFERROR(VLOOKUP($S1160,'TA database'!$I$200:$J$271,2,FALSE),0)</f>
        <v>0</v>
      </c>
      <c r="Y1160">
        <f t="shared" ca="1" si="3567"/>
        <v>9</v>
      </c>
      <c r="Z1160" t="str">
        <f t="shared" si="3581"/>
        <v>ELCTRLYZ_MED_C   →   C_GAS_STRG   →   LQ_TRUCK   →   H2_IND_BOIL_HEAT</v>
      </c>
      <c r="AA1160" t="str">
        <f t="shared" si="3582"/>
        <v>Industrial heat</v>
      </c>
      <c r="AB1160" t="str">
        <f t="shared" si="3583"/>
        <v>Maturity</v>
      </c>
      <c r="AC1160">
        <f t="shared" ca="1" si="3584"/>
        <v>9</v>
      </c>
      <c r="AD1160">
        <v>1101</v>
      </c>
      <c r="AE1160" t="str">
        <f>IF(AND(ISNUMBER(SEARCH(O1160,4)),ISNUMBER(SEARCH('(4) FCH pathway assessment'!$B$16,AB1160)),ISNUMBER(SEARCH('(4) FCH pathway assessment'!$B$10,AA1160))),AD1160,"")</f>
        <v/>
      </c>
      <c r="AF1160" t="str">
        <f t="shared" si="3557"/>
        <v/>
      </c>
      <c r="AG1160" t="str">
        <f>VLOOKUP(C1160,Assumptions!$B$116:$C$162,2,FALSE)</f>
        <v>ELCTRLYZ_MED_C</v>
      </c>
      <c r="AH1160" t="str">
        <f>VLOOKUP(D1160,Assumptions!$B$116:$C$162,2,FALSE)</f>
        <v>C_GAS_STRG</v>
      </c>
      <c r="AI1160" t="str">
        <f>VLOOKUP(E1160,Assumptions!$B$116:$C$162,2,FALSE)</f>
        <v>LQ_TRUCK</v>
      </c>
      <c r="AJ1160" t="str">
        <f>VLOOKUP(F1160,Assumptions!$B$116:$C$162,2,FALSE)</f>
        <v>H2_IND_BOIL_HEAT</v>
      </c>
    </row>
    <row r="1161" spans="2:36" x14ac:dyDescent="0.25">
      <c r="B1161" t="s">
        <v>112</v>
      </c>
      <c r="C1161" t="s">
        <v>51</v>
      </c>
      <c r="D1161" t="s">
        <v>155</v>
      </c>
      <c r="E1161" t="s">
        <v>66</v>
      </c>
      <c r="F1161" t="s">
        <v>570</v>
      </c>
      <c r="G1161" t="s">
        <v>120</v>
      </c>
      <c r="H1161" t="s">
        <v>432</v>
      </c>
      <c r="I1161" t="s">
        <v>32</v>
      </c>
      <c r="J1161" t="s">
        <v>78</v>
      </c>
      <c r="K1161">
        <f t="shared" si="3572"/>
        <v>1</v>
      </c>
      <c r="L1161">
        <f t="shared" si="3573"/>
        <v>1</v>
      </c>
      <c r="M1161">
        <f t="shared" si="3574"/>
        <v>1</v>
      </c>
      <c r="N1161">
        <f t="shared" si="3575"/>
        <v>1</v>
      </c>
      <c r="O1161">
        <f t="shared" si="3576"/>
        <v>4</v>
      </c>
      <c r="P1161" t="str">
        <f t="shared" si="3577"/>
        <v>Medium centralized electrolysis-Maturity</v>
      </c>
      <c r="Q1161" t="str">
        <f t="shared" si="3578"/>
        <v>Central gas storage-Maturity</v>
      </c>
      <c r="R1161" t="str">
        <f t="shared" si="3579"/>
        <v>Onsite-Maturity</v>
      </c>
      <c r="S1161" t="str">
        <f t="shared" si="3580"/>
        <v>Industrial H2 boiler-Maturity</v>
      </c>
      <c r="T1161">
        <f ca="1">VLOOKUP($P1161,'TA database'!$I$8:$J$79,2,FALSE)</f>
        <v>9</v>
      </c>
      <c r="U1161">
        <f ca="1">VLOOKUP($Q1161,'TA database'!$I$86:$J$105,2,FALSE)</f>
        <v>9</v>
      </c>
      <c r="V1161">
        <f ca="1">VLOOKUP($R1161,'TA database'!$I$112:$J$139,2,FALSE)</f>
        <v>9</v>
      </c>
      <c r="W1161">
        <f ca="1">IFERROR(VLOOKUP($S1161,'TA database'!$I$146:$J$193,2,FALSE),0)</f>
        <v>9</v>
      </c>
      <c r="X1161">
        <f>IFERROR(VLOOKUP($S1161,'TA database'!$I$200:$J$271,2,FALSE),0)</f>
        <v>0</v>
      </c>
      <c r="Y1161">
        <f t="shared" ca="1" si="3567"/>
        <v>9</v>
      </c>
      <c r="Z1161" t="str">
        <f t="shared" si="3581"/>
        <v>ELCTRLYZ_MED_C   →   C_GAS_STRG   →   ONSITE_USE   →   H2_IND_BOIL_HEAT</v>
      </c>
      <c r="AA1161" t="str">
        <f t="shared" si="3582"/>
        <v>Industrial heat</v>
      </c>
      <c r="AB1161" t="str">
        <f t="shared" si="3583"/>
        <v>Maturity</v>
      </c>
      <c r="AC1161">
        <f t="shared" ca="1" si="3584"/>
        <v>9</v>
      </c>
      <c r="AD1161">
        <v>1102</v>
      </c>
      <c r="AE1161" t="str">
        <f>IF(AND(ISNUMBER(SEARCH(O1161,4)),ISNUMBER(SEARCH('(4) FCH pathway assessment'!$B$16,AB1161)),ISNUMBER(SEARCH('(4) FCH pathway assessment'!$B$10,AA1161))),AD1161,"")</f>
        <v/>
      </c>
      <c r="AF1161" t="str">
        <f t="shared" si="3557"/>
        <v/>
      </c>
      <c r="AG1161" t="str">
        <f>VLOOKUP(C1161,Assumptions!$B$116:$C$162,2,FALSE)</f>
        <v>ELCTRLYZ_MED_C</v>
      </c>
      <c r="AH1161" t="str">
        <f>VLOOKUP(D1161,Assumptions!$B$116:$C$162,2,FALSE)</f>
        <v>C_GAS_STRG</v>
      </c>
      <c r="AI1161" t="str">
        <f>VLOOKUP(E1161,Assumptions!$B$116:$C$162,2,FALSE)</f>
        <v>ONSITE_USE</v>
      </c>
      <c r="AJ1161" t="str">
        <f>VLOOKUP(F1161,Assumptions!$B$116:$C$162,2,FALSE)</f>
        <v>H2_IND_BOIL_HEAT</v>
      </c>
    </row>
    <row r="1162" spans="2:36" x14ac:dyDescent="0.25">
      <c r="B1162" t="s">
        <v>112</v>
      </c>
      <c r="C1162" t="s">
        <v>52</v>
      </c>
      <c r="D1162" s="60" t="s">
        <v>130</v>
      </c>
      <c r="E1162" t="s">
        <v>66</v>
      </c>
      <c r="F1162" t="s">
        <v>570</v>
      </c>
      <c r="G1162" t="s">
        <v>120</v>
      </c>
      <c r="H1162" t="s">
        <v>432</v>
      </c>
      <c r="I1162" t="s">
        <v>32</v>
      </c>
      <c r="J1162" t="s">
        <v>78</v>
      </c>
      <c r="K1162">
        <f t="shared" si="3572"/>
        <v>1</v>
      </c>
      <c r="L1162">
        <f t="shared" si="3573"/>
        <v>1</v>
      </c>
      <c r="M1162">
        <f t="shared" si="3574"/>
        <v>1</v>
      </c>
      <c r="N1162">
        <f t="shared" si="3575"/>
        <v>1</v>
      </c>
      <c r="O1162">
        <f t="shared" si="3576"/>
        <v>4</v>
      </c>
      <c r="P1162" t="str">
        <f t="shared" si="3577"/>
        <v>Small decentralized electrolysis-Maturity</v>
      </c>
      <c r="Q1162" t="str">
        <f t="shared" si="3578"/>
        <v>Distributed gas storage-Maturity</v>
      </c>
      <c r="R1162" t="str">
        <f t="shared" si="3579"/>
        <v>Onsite-Maturity</v>
      </c>
      <c r="S1162" t="str">
        <f t="shared" si="3580"/>
        <v>Industrial H2 boiler-Maturity</v>
      </c>
      <c r="T1162">
        <f ca="1">VLOOKUP($P1162,'TA database'!$I$8:$J$79,2,FALSE)</f>
        <v>9</v>
      </c>
      <c r="U1162">
        <f ca="1">VLOOKUP($Q1162,'TA database'!$I$86:$J$105,2,FALSE)</f>
        <v>9</v>
      </c>
      <c r="V1162">
        <f ca="1">VLOOKUP($R1162,'TA database'!$I$112:$J$139,2,FALSE)</f>
        <v>9</v>
      </c>
      <c r="W1162">
        <f ca="1">IFERROR(VLOOKUP($S1162,'TA database'!$I$146:$J$193,2,FALSE),0)</f>
        <v>9</v>
      </c>
      <c r="X1162">
        <f>IFERROR(VLOOKUP($S1162,'TA database'!$I$200:$J$271,2,FALSE),0)</f>
        <v>0</v>
      </c>
      <c r="Y1162">
        <f t="shared" ref="Y1162:Y1166" ca="1" si="3585">IF($W1162=0,MIN($T1162:$V1162,$X1162),MIN($T1162:$W1162))</f>
        <v>9</v>
      </c>
      <c r="Z1162" t="str">
        <f t="shared" si="3581"/>
        <v>ELCTRLYZ_SML_D   →   D_GAS_STRG   →   ONSITE_USE   →   H2_IND_BOIL_HEAT</v>
      </c>
      <c r="AA1162" t="str">
        <f t="shared" si="3582"/>
        <v>Industrial heat</v>
      </c>
      <c r="AB1162" t="str">
        <f t="shared" si="3583"/>
        <v>Maturity</v>
      </c>
      <c r="AC1162">
        <f t="shared" ca="1" si="3584"/>
        <v>9</v>
      </c>
      <c r="AD1162">
        <v>1103</v>
      </c>
      <c r="AE1162" t="str">
        <f>IF(AND(ISNUMBER(SEARCH(O1162,4)),ISNUMBER(SEARCH('(4) FCH pathway assessment'!$B$16,AB1162)),ISNUMBER(SEARCH('(4) FCH pathway assessment'!$B$10,AA1162))),AD1162,"")</f>
        <v/>
      </c>
      <c r="AF1162" t="str">
        <f t="shared" si="3557"/>
        <v/>
      </c>
      <c r="AG1162" t="str">
        <f>VLOOKUP(C1162,Assumptions!$B$116:$C$162,2,FALSE)</f>
        <v>ELCTRLYZ_SML_D</v>
      </c>
      <c r="AH1162" t="str">
        <f>VLOOKUP(D1162,Assumptions!$B$116:$C$162,2,FALSE)</f>
        <v>D_GAS_STRG</v>
      </c>
      <c r="AI1162" t="str">
        <f>VLOOKUP(E1162,Assumptions!$B$116:$C$162,2,FALSE)</f>
        <v>ONSITE_USE</v>
      </c>
      <c r="AJ1162" t="str">
        <f>VLOOKUP(F1162,Assumptions!$B$116:$C$162,2,FALSE)</f>
        <v>H2_IND_BOIL_HEAT</v>
      </c>
    </row>
    <row r="1163" spans="2:36" x14ac:dyDescent="0.25">
      <c r="B1163" t="s">
        <v>127</v>
      </c>
      <c r="C1163" t="s">
        <v>57</v>
      </c>
      <c r="D1163" t="s">
        <v>62</v>
      </c>
      <c r="E1163" t="s">
        <v>157</v>
      </c>
      <c r="F1163" t="s">
        <v>570</v>
      </c>
      <c r="G1163" t="s">
        <v>120</v>
      </c>
      <c r="H1163" t="s">
        <v>432</v>
      </c>
      <c r="I1163" t="s">
        <v>32</v>
      </c>
      <c r="J1163" t="s">
        <v>78</v>
      </c>
      <c r="K1163">
        <f t="shared" ref="K1163:K1171" si="3586">SUMPRODUCT(($C$7:$C$18=$C1163)*($D$6:$H$6=$D1163)*($D$7:$H$18))</f>
        <v>1</v>
      </c>
      <c r="L1163">
        <f t="shared" ref="L1163:L1171" si="3587">SUMPRODUCT(($C$19:$C$23=$D1163)*($I$6:$O$6=$E1163)*($I$19:$O$23))</f>
        <v>0</v>
      </c>
      <c r="M1163">
        <f t="shared" ref="M1163:M1171" si="3588">SUMPRODUCT(($C$24:$C$30=$E1163)*($P$6:$AI$6=$F1163)*($P$24:$AI$30))</f>
        <v>0</v>
      </c>
      <c r="N1163">
        <f t="shared" ref="N1163:N1171" si="3589">SUMPRODUCT(($C$31:$C$50=$F1163)*($AJ$6:$AM$6=$G1163)*($AJ$31:$AM$50))</f>
        <v>1</v>
      </c>
      <c r="O1163">
        <f t="shared" ref="O1163:O1171" si="3590">K1163+L1163+M1163+N1163</f>
        <v>2</v>
      </c>
      <c r="P1163" t="str">
        <f t="shared" ref="P1163:P1171" si="3591">CONCATENATE(C1163,"-",J1163)</f>
        <v>Large centralized natural gas steam reforming-Maturity</v>
      </c>
      <c r="Q1163" t="str">
        <f t="shared" ref="Q1163:Q1171" si="3592">CONCATENATE(D1163,"-",J1163)</f>
        <v>Underground storage-Maturity</v>
      </c>
      <c r="R1163" t="str">
        <f t="shared" ref="R1163:R1171" si="3593">CONCATENATE(E1163,"-",J1163)</f>
        <v>Blending in natural gas pipeline-Maturity</v>
      </c>
      <c r="S1163" t="str">
        <f t="shared" ref="S1163:S1171" si="3594">CONCATENATE(F1163,"-",J1163)</f>
        <v>Industrial H2 boiler-Maturity</v>
      </c>
      <c r="T1163">
        <f ca="1">VLOOKUP($P1163,'TA database'!$I$8:$J$79,2,FALSE)</f>
        <v>9</v>
      </c>
      <c r="U1163">
        <f ca="1">VLOOKUP($Q1163,'TA database'!$I$86:$J$105,2,FALSE)</f>
        <v>6</v>
      </c>
      <c r="V1163">
        <f ca="1">VLOOKUP($R1163,'TA database'!$I$112:$J$139,2,FALSE)</f>
        <v>7</v>
      </c>
      <c r="W1163">
        <f ca="1">IFERROR(VLOOKUP($S1163,'TA database'!$I$146:$J$193,2,FALSE),0)</f>
        <v>9</v>
      </c>
      <c r="X1163">
        <f>IFERROR(VLOOKUP($S1163,'TA database'!$I$200:$J$271,2,FALSE),0)</f>
        <v>0</v>
      </c>
      <c r="Y1163">
        <f t="shared" ca="1" si="3585"/>
        <v>6</v>
      </c>
      <c r="Z1163" t="str">
        <f t="shared" ref="Z1163:Z1171" si="3595">CONCATENATE(AG1163,"   →   ",AH1163,"   →   ",AI1163,"   →   ",AJ1163)</f>
        <v>NG_SR_LRG_C   →   C_UNDRGRND_STRG   →   H2_BLND_NG_P   →   H2_IND_BOIL_HEAT</v>
      </c>
      <c r="AA1163" t="str">
        <f t="shared" ref="AA1163:AA1171" si="3596">G1163</f>
        <v>Industrial heat</v>
      </c>
      <c r="AB1163" t="str">
        <f t="shared" ref="AB1163:AB1171" si="3597">J1163</f>
        <v>Maturity</v>
      </c>
      <c r="AC1163">
        <f t="shared" ref="AC1163:AC1171" ca="1" si="3598">Y1163</f>
        <v>6</v>
      </c>
      <c r="AD1163">
        <v>1104</v>
      </c>
      <c r="AE1163" t="str">
        <f>IF(AND(ISNUMBER(SEARCH(O1163,4)),ISNUMBER(SEARCH('(4) FCH pathway assessment'!$B$16,AB1163)),ISNUMBER(SEARCH('(4) FCH pathway assessment'!$B$10,AA1163))),AD1163,"")</f>
        <v/>
      </c>
      <c r="AF1163" t="str">
        <f t="shared" si="3557"/>
        <v/>
      </c>
      <c r="AG1163" t="str">
        <f>VLOOKUP(C1163,Assumptions!$B$116:$C$162,2,FALSE)</f>
        <v>NG_SR_LRG_C</v>
      </c>
      <c r="AH1163" t="str">
        <f>VLOOKUP(D1163,Assumptions!$B$116:$C$162,2,FALSE)</f>
        <v>C_UNDRGRND_STRG</v>
      </c>
      <c r="AI1163" t="str">
        <f>VLOOKUP(E1163,Assumptions!$B$116:$C$162,2,FALSE)</f>
        <v>H2_BLND_NG_P</v>
      </c>
      <c r="AJ1163" t="str">
        <f>VLOOKUP(F1163,Assumptions!$B$116:$C$162,2,FALSE)</f>
        <v>H2_IND_BOIL_HEAT</v>
      </c>
    </row>
    <row r="1164" spans="2:36" x14ac:dyDescent="0.25">
      <c r="B1164" t="s">
        <v>127</v>
      </c>
      <c r="C1164" t="s">
        <v>57</v>
      </c>
      <c r="D1164" t="s">
        <v>62</v>
      </c>
      <c r="E1164" t="s">
        <v>122</v>
      </c>
      <c r="F1164" t="s">
        <v>570</v>
      </c>
      <c r="G1164" t="s">
        <v>120</v>
      </c>
      <c r="H1164" t="s">
        <v>432</v>
      </c>
      <c r="I1164" t="s">
        <v>32</v>
      </c>
      <c r="J1164" t="s">
        <v>78</v>
      </c>
      <c r="K1164">
        <f t="shared" si="3586"/>
        <v>1</v>
      </c>
      <c r="L1164">
        <f t="shared" si="3587"/>
        <v>0</v>
      </c>
      <c r="M1164">
        <f t="shared" si="3588"/>
        <v>1</v>
      </c>
      <c r="N1164">
        <f t="shared" si="3589"/>
        <v>1</v>
      </c>
      <c r="O1164">
        <f t="shared" si="3590"/>
        <v>3</v>
      </c>
      <c r="P1164" t="str">
        <f t="shared" si="3591"/>
        <v>Large centralized natural gas steam reforming-Maturity</v>
      </c>
      <c r="Q1164" t="str">
        <f t="shared" si="3592"/>
        <v>Underground storage-Maturity</v>
      </c>
      <c r="R1164" t="str">
        <f t="shared" si="3593"/>
        <v>Hydrogen transmission &amp; distribution pipeline-Maturity</v>
      </c>
      <c r="S1164" t="str">
        <f t="shared" si="3594"/>
        <v>Industrial H2 boiler-Maturity</v>
      </c>
      <c r="T1164">
        <f ca="1">VLOOKUP($P1164,'TA database'!$I$8:$J$79,2,FALSE)</f>
        <v>9</v>
      </c>
      <c r="U1164">
        <f ca="1">VLOOKUP($Q1164,'TA database'!$I$86:$J$105,2,FALSE)</f>
        <v>6</v>
      </c>
      <c r="V1164">
        <f ca="1">VLOOKUP($R1164,'TA database'!$I$112:$J$139,2,FALSE)</f>
        <v>9</v>
      </c>
      <c r="W1164">
        <f ca="1">IFERROR(VLOOKUP($S1164,'TA database'!$I$146:$J$193,2,FALSE),0)</f>
        <v>9</v>
      </c>
      <c r="X1164">
        <f>IFERROR(VLOOKUP($S1164,'TA database'!$I$200:$J$271,2,FALSE),0)</f>
        <v>0</v>
      </c>
      <c r="Y1164">
        <f t="shared" ca="1" si="3585"/>
        <v>6</v>
      </c>
      <c r="Z1164" t="str">
        <f t="shared" si="3595"/>
        <v>NG_SR_LRG_C   →   C_UNDRGRND_STRG   →   H2_T&amp;D_P   →   H2_IND_BOIL_HEAT</v>
      </c>
      <c r="AA1164" t="str">
        <f t="shared" si="3596"/>
        <v>Industrial heat</v>
      </c>
      <c r="AB1164" t="str">
        <f t="shared" si="3597"/>
        <v>Maturity</v>
      </c>
      <c r="AC1164">
        <f t="shared" ca="1" si="3598"/>
        <v>6</v>
      </c>
      <c r="AD1164">
        <v>1105</v>
      </c>
      <c r="AE1164" t="str">
        <f>IF(AND(ISNUMBER(SEARCH(O1164,4)),ISNUMBER(SEARCH('(4) FCH pathway assessment'!$B$16,AB1164)),ISNUMBER(SEARCH('(4) FCH pathway assessment'!$B$10,AA1164))),AD1164,"")</f>
        <v/>
      </c>
      <c r="AF1164" t="str">
        <f t="shared" si="3557"/>
        <v/>
      </c>
      <c r="AG1164" t="str">
        <f>VLOOKUP(C1164,Assumptions!$B$116:$C$162,2,FALSE)</f>
        <v>NG_SR_LRG_C</v>
      </c>
      <c r="AH1164" t="str">
        <f>VLOOKUP(D1164,Assumptions!$B$116:$C$162,2,FALSE)</f>
        <v>C_UNDRGRND_STRG</v>
      </c>
      <c r="AI1164" t="str">
        <f>VLOOKUP(E1164,Assumptions!$B$116:$C$162,2,FALSE)</f>
        <v>H2_T&amp;D_P</v>
      </c>
      <c r="AJ1164" t="str">
        <f>VLOOKUP(F1164,Assumptions!$B$116:$C$162,2,FALSE)</f>
        <v>H2_IND_BOIL_HEAT</v>
      </c>
    </row>
    <row r="1165" spans="2:36" x14ac:dyDescent="0.25">
      <c r="B1165" t="s">
        <v>127</v>
      </c>
      <c r="C1165" t="s">
        <v>57</v>
      </c>
      <c r="D1165" t="s">
        <v>62</v>
      </c>
      <c r="E1165" t="s">
        <v>116</v>
      </c>
      <c r="F1165" t="s">
        <v>570</v>
      </c>
      <c r="G1165" t="s">
        <v>120</v>
      </c>
      <c r="H1165" t="s">
        <v>432</v>
      </c>
      <c r="I1165" t="s">
        <v>32</v>
      </c>
      <c r="J1165" t="s">
        <v>78</v>
      </c>
      <c r="K1165">
        <f t="shared" si="3586"/>
        <v>1</v>
      </c>
      <c r="L1165">
        <f t="shared" si="3587"/>
        <v>0</v>
      </c>
      <c r="M1165">
        <f t="shared" si="3588"/>
        <v>1</v>
      </c>
      <c r="N1165">
        <f t="shared" si="3589"/>
        <v>1</v>
      </c>
      <c r="O1165">
        <f t="shared" si="3590"/>
        <v>3</v>
      </c>
      <c r="P1165" t="str">
        <f t="shared" si="3591"/>
        <v>Large centralized natural gas steam reforming-Maturity</v>
      </c>
      <c r="Q1165" t="str">
        <f t="shared" si="3592"/>
        <v>Underground storage-Maturity</v>
      </c>
      <c r="R1165" t="str">
        <f t="shared" si="3593"/>
        <v>Liquid hydrogen truck-Maturity</v>
      </c>
      <c r="S1165" t="str">
        <f t="shared" si="3594"/>
        <v>Industrial H2 boiler-Maturity</v>
      </c>
      <c r="T1165">
        <f ca="1">VLOOKUP($P1165,'TA database'!$I$8:$J$79,2,FALSE)</f>
        <v>9</v>
      </c>
      <c r="U1165">
        <f ca="1">VLOOKUP($Q1165,'TA database'!$I$86:$J$105,2,FALSE)</f>
        <v>6</v>
      </c>
      <c r="V1165">
        <f ca="1">VLOOKUP($R1165,'TA database'!$I$112:$J$139,2,FALSE)</f>
        <v>9</v>
      </c>
      <c r="W1165">
        <f ca="1">IFERROR(VLOOKUP($S1165,'TA database'!$I$146:$J$193,2,FALSE),0)</f>
        <v>9</v>
      </c>
      <c r="X1165">
        <f>IFERROR(VLOOKUP($S1165,'TA database'!$I$200:$J$271,2,FALSE),0)</f>
        <v>0</v>
      </c>
      <c r="Y1165">
        <f t="shared" ca="1" si="3585"/>
        <v>6</v>
      </c>
      <c r="Z1165" t="str">
        <f t="shared" si="3595"/>
        <v>NG_SR_LRG_C   →   C_UNDRGRND_STRG   →   LQ_TRUCK   →   H2_IND_BOIL_HEAT</v>
      </c>
      <c r="AA1165" t="str">
        <f t="shared" si="3596"/>
        <v>Industrial heat</v>
      </c>
      <c r="AB1165" t="str">
        <f t="shared" si="3597"/>
        <v>Maturity</v>
      </c>
      <c r="AC1165">
        <f t="shared" ca="1" si="3598"/>
        <v>6</v>
      </c>
      <c r="AD1165">
        <v>1106</v>
      </c>
      <c r="AE1165" t="str">
        <f>IF(AND(ISNUMBER(SEARCH(O1165,4)),ISNUMBER(SEARCH('(4) FCH pathway assessment'!$B$16,AB1165)),ISNUMBER(SEARCH('(4) FCH pathway assessment'!$B$10,AA1165))),AD1165,"")</f>
        <v/>
      </c>
      <c r="AF1165" t="str">
        <f t="shared" si="3557"/>
        <v/>
      </c>
      <c r="AG1165" t="str">
        <f>VLOOKUP(C1165,Assumptions!$B$116:$C$162,2,FALSE)</f>
        <v>NG_SR_LRG_C</v>
      </c>
      <c r="AH1165" t="str">
        <f>VLOOKUP(D1165,Assumptions!$B$116:$C$162,2,FALSE)</f>
        <v>C_UNDRGRND_STRG</v>
      </c>
      <c r="AI1165" t="str">
        <f>VLOOKUP(E1165,Assumptions!$B$116:$C$162,2,FALSE)</f>
        <v>LQ_TRUCK</v>
      </c>
      <c r="AJ1165" t="str">
        <f>VLOOKUP(F1165,Assumptions!$B$116:$C$162,2,FALSE)</f>
        <v>H2_IND_BOIL_HEAT</v>
      </c>
    </row>
    <row r="1166" spans="2:36" x14ac:dyDescent="0.25">
      <c r="B1166" t="s">
        <v>127</v>
      </c>
      <c r="C1166" t="s">
        <v>57</v>
      </c>
      <c r="D1166" t="s">
        <v>62</v>
      </c>
      <c r="E1166" t="s">
        <v>66</v>
      </c>
      <c r="F1166" t="s">
        <v>570</v>
      </c>
      <c r="G1166" t="s">
        <v>120</v>
      </c>
      <c r="H1166" t="s">
        <v>432</v>
      </c>
      <c r="I1166" t="s">
        <v>32</v>
      </c>
      <c r="J1166" t="s">
        <v>78</v>
      </c>
      <c r="K1166">
        <f t="shared" si="3586"/>
        <v>1</v>
      </c>
      <c r="L1166">
        <f t="shared" si="3587"/>
        <v>0</v>
      </c>
      <c r="M1166">
        <f t="shared" si="3588"/>
        <v>1</v>
      </c>
      <c r="N1166">
        <f t="shared" si="3589"/>
        <v>1</v>
      </c>
      <c r="O1166">
        <f t="shared" si="3590"/>
        <v>3</v>
      </c>
      <c r="P1166" t="str">
        <f t="shared" si="3591"/>
        <v>Large centralized natural gas steam reforming-Maturity</v>
      </c>
      <c r="Q1166" t="str">
        <f t="shared" si="3592"/>
        <v>Underground storage-Maturity</v>
      </c>
      <c r="R1166" t="str">
        <f t="shared" si="3593"/>
        <v>Onsite-Maturity</v>
      </c>
      <c r="S1166" t="str">
        <f t="shared" si="3594"/>
        <v>Industrial H2 boiler-Maturity</v>
      </c>
      <c r="T1166">
        <f ca="1">VLOOKUP($P1166,'TA database'!$I$8:$J$79,2,FALSE)</f>
        <v>9</v>
      </c>
      <c r="U1166">
        <f ca="1">VLOOKUP($Q1166,'TA database'!$I$86:$J$105,2,FALSE)</f>
        <v>6</v>
      </c>
      <c r="V1166">
        <f ca="1">VLOOKUP($R1166,'TA database'!$I$112:$J$139,2,FALSE)</f>
        <v>9</v>
      </c>
      <c r="W1166">
        <f ca="1">IFERROR(VLOOKUP($S1166,'TA database'!$I$146:$J$193,2,FALSE),0)</f>
        <v>9</v>
      </c>
      <c r="X1166">
        <f>IFERROR(VLOOKUP($S1166,'TA database'!$I$200:$J$271,2,FALSE),0)</f>
        <v>0</v>
      </c>
      <c r="Y1166">
        <f t="shared" ca="1" si="3585"/>
        <v>6</v>
      </c>
      <c r="Z1166" t="str">
        <f t="shared" si="3595"/>
        <v>NG_SR_LRG_C   →   C_UNDRGRND_STRG   →   ONSITE_USE   →   H2_IND_BOIL_HEAT</v>
      </c>
      <c r="AA1166" t="str">
        <f t="shared" si="3596"/>
        <v>Industrial heat</v>
      </c>
      <c r="AB1166" t="str">
        <f t="shared" si="3597"/>
        <v>Maturity</v>
      </c>
      <c r="AC1166">
        <f t="shared" ca="1" si="3598"/>
        <v>6</v>
      </c>
      <c r="AD1166">
        <v>1107</v>
      </c>
      <c r="AE1166" t="str">
        <f>IF(AND(ISNUMBER(SEARCH(O1166,4)),ISNUMBER(SEARCH('(4) FCH pathway assessment'!$B$16,AB1166)),ISNUMBER(SEARCH('(4) FCH pathway assessment'!$B$10,AA1166))),AD1166,"")</f>
        <v/>
      </c>
      <c r="AF1166" t="str">
        <f t="shared" si="3557"/>
        <v/>
      </c>
      <c r="AG1166" t="str">
        <f>VLOOKUP(C1166,Assumptions!$B$116:$C$162,2,FALSE)</f>
        <v>NG_SR_LRG_C</v>
      </c>
      <c r="AH1166" t="str">
        <f>VLOOKUP(D1166,Assumptions!$B$116:$C$162,2,FALSE)</f>
        <v>C_UNDRGRND_STRG</v>
      </c>
      <c r="AI1166" t="str">
        <f>VLOOKUP(E1166,Assumptions!$B$116:$C$162,2,FALSE)</f>
        <v>ONSITE_USE</v>
      </c>
      <c r="AJ1166" t="str">
        <f>VLOOKUP(F1166,Assumptions!$B$116:$C$162,2,FALSE)</f>
        <v>H2_IND_BOIL_HEAT</v>
      </c>
    </row>
    <row r="1167" spans="2:36" x14ac:dyDescent="0.25">
      <c r="B1167" t="s">
        <v>127</v>
      </c>
      <c r="C1167" t="s">
        <v>57</v>
      </c>
      <c r="D1167" s="61" t="s">
        <v>63</v>
      </c>
      <c r="E1167" t="s">
        <v>122</v>
      </c>
      <c r="F1167" t="s">
        <v>570</v>
      </c>
      <c r="G1167" t="s">
        <v>120</v>
      </c>
      <c r="H1167" t="s">
        <v>432</v>
      </c>
      <c r="I1167" t="s">
        <v>32</v>
      </c>
      <c r="J1167" t="s">
        <v>78</v>
      </c>
      <c r="K1167">
        <f t="shared" si="3586"/>
        <v>1</v>
      </c>
      <c r="L1167">
        <f t="shared" si="3587"/>
        <v>1</v>
      </c>
      <c r="M1167">
        <f t="shared" si="3588"/>
        <v>1</v>
      </c>
      <c r="N1167">
        <f t="shared" si="3589"/>
        <v>1</v>
      </c>
      <c r="O1167">
        <f t="shared" si="3590"/>
        <v>4</v>
      </c>
      <c r="P1167" t="str">
        <f t="shared" si="3591"/>
        <v>Large centralized natural gas steam reforming-Maturity</v>
      </c>
      <c r="Q1167" t="str">
        <f t="shared" si="3592"/>
        <v>No storage-Maturity</v>
      </c>
      <c r="R1167" t="str">
        <f t="shared" si="3593"/>
        <v>Hydrogen transmission &amp; distribution pipeline-Maturity</v>
      </c>
      <c r="S1167" t="str">
        <f t="shared" si="3594"/>
        <v>Industrial H2 boiler-Maturity</v>
      </c>
      <c r="T1167">
        <f ca="1">VLOOKUP($P1167,'TA database'!$I$8:$J$79,2,FALSE)</f>
        <v>9</v>
      </c>
      <c r="U1167">
        <f ca="1">VLOOKUP($Q1167,'TA database'!$I$86:$J$105,2,FALSE)</f>
        <v>9</v>
      </c>
      <c r="V1167">
        <f ca="1">VLOOKUP($R1167,'TA database'!$I$112:$J$139,2,FALSE)</f>
        <v>9</v>
      </c>
      <c r="W1167">
        <f ca="1">IFERROR(VLOOKUP($S1167,'TA database'!$I$146:$J$193,2,FALSE),0)</f>
        <v>9</v>
      </c>
      <c r="X1167">
        <f>IFERROR(VLOOKUP($S1167,'TA database'!$I$200:$J$271,2,FALSE),0)</f>
        <v>0</v>
      </c>
      <c r="Y1167">
        <f t="shared" ref="Y1167:Y1171" ca="1" si="3599">IF($W1167=0,MIN($T1167:$V1167,$X1167),MIN($T1167:$W1167))</f>
        <v>9</v>
      </c>
      <c r="Z1167" t="str">
        <f t="shared" si="3595"/>
        <v>NG_SR_LRG_C   →   NO_STRG   →   H2_T&amp;D_P   →   H2_IND_BOIL_HEAT</v>
      </c>
      <c r="AA1167" t="str">
        <f t="shared" si="3596"/>
        <v>Industrial heat</v>
      </c>
      <c r="AB1167" t="str">
        <f t="shared" si="3597"/>
        <v>Maturity</v>
      </c>
      <c r="AC1167">
        <f t="shared" ca="1" si="3598"/>
        <v>9</v>
      </c>
      <c r="AD1167">
        <v>1108</v>
      </c>
      <c r="AE1167" t="str">
        <f>IF(AND(ISNUMBER(SEARCH(O1167,4)),ISNUMBER(SEARCH('(4) FCH pathway assessment'!$B$16,AB1167)),ISNUMBER(SEARCH('(4) FCH pathway assessment'!$B$10,AA1167))),AD1167,"")</f>
        <v/>
      </c>
      <c r="AF1167" t="str">
        <f t="shared" si="3557"/>
        <v/>
      </c>
      <c r="AG1167" t="str">
        <f>VLOOKUP(C1167,Assumptions!$B$116:$C$162,2,FALSE)</f>
        <v>NG_SR_LRG_C</v>
      </c>
      <c r="AH1167" t="str">
        <f>VLOOKUP(D1167,Assumptions!$B$116:$C$162,2,FALSE)</f>
        <v>NO_STRG</v>
      </c>
      <c r="AI1167" t="str">
        <f>VLOOKUP(E1167,Assumptions!$B$116:$C$162,2,FALSE)</f>
        <v>H2_T&amp;D_P</v>
      </c>
      <c r="AJ1167" t="str">
        <f>VLOOKUP(F1167,Assumptions!$B$116:$C$162,2,FALSE)</f>
        <v>H2_IND_BOIL_HEAT</v>
      </c>
    </row>
    <row r="1168" spans="2:36" x14ac:dyDescent="0.25">
      <c r="B1168" t="s">
        <v>127</v>
      </c>
      <c r="C1168" t="s">
        <v>58</v>
      </c>
      <c r="D1168" t="s">
        <v>155</v>
      </c>
      <c r="E1168" t="s">
        <v>157</v>
      </c>
      <c r="F1168" t="s">
        <v>570</v>
      </c>
      <c r="G1168" t="s">
        <v>120</v>
      </c>
      <c r="H1168" t="s">
        <v>432</v>
      </c>
      <c r="I1168" t="s">
        <v>32</v>
      </c>
      <c r="J1168" t="s">
        <v>78</v>
      </c>
      <c r="K1168">
        <f t="shared" si="3586"/>
        <v>1</v>
      </c>
      <c r="L1168">
        <f t="shared" si="3587"/>
        <v>1</v>
      </c>
      <c r="M1168">
        <f t="shared" si="3588"/>
        <v>0</v>
      </c>
      <c r="N1168">
        <f t="shared" si="3589"/>
        <v>1</v>
      </c>
      <c r="O1168">
        <f t="shared" si="3590"/>
        <v>3</v>
      </c>
      <c r="P1168" t="str">
        <f t="shared" si="3591"/>
        <v>Small centralized natural gas steam reforming-Maturity</v>
      </c>
      <c r="Q1168" t="str">
        <f t="shared" si="3592"/>
        <v>Central gas storage-Maturity</v>
      </c>
      <c r="R1168" t="str">
        <f t="shared" si="3593"/>
        <v>Blending in natural gas pipeline-Maturity</v>
      </c>
      <c r="S1168" t="str">
        <f t="shared" si="3594"/>
        <v>Industrial H2 boiler-Maturity</v>
      </c>
      <c r="T1168">
        <f ca="1">VLOOKUP($P1168,'TA database'!$I$8:$J$79,2,FALSE)</f>
        <v>9</v>
      </c>
      <c r="U1168">
        <f ca="1">VLOOKUP($Q1168,'TA database'!$I$86:$J$105,2,FALSE)</f>
        <v>9</v>
      </c>
      <c r="V1168">
        <f ca="1">VLOOKUP($R1168,'TA database'!$I$112:$J$139,2,FALSE)</f>
        <v>7</v>
      </c>
      <c r="W1168">
        <f ca="1">IFERROR(VLOOKUP($S1168,'TA database'!$I$146:$J$193,2,FALSE),0)</f>
        <v>9</v>
      </c>
      <c r="X1168">
        <f>IFERROR(VLOOKUP($S1168,'TA database'!$I$200:$J$271,2,FALSE),0)</f>
        <v>0</v>
      </c>
      <c r="Y1168">
        <f t="shared" ca="1" si="3599"/>
        <v>7</v>
      </c>
      <c r="Z1168" t="str">
        <f t="shared" si="3595"/>
        <v>NG_SR_SML_C   →   C_GAS_STRG   →   H2_BLND_NG_P   →   H2_IND_BOIL_HEAT</v>
      </c>
      <c r="AA1168" t="str">
        <f t="shared" si="3596"/>
        <v>Industrial heat</v>
      </c>
      <c r="AB1168" t="str">
        <f t="shared" si="3597"/>
        <v>Maturity</v>
      </c>
      <c r="AC1168">
        <f t="shared" ca="1" si="3598"/>
        <v>7</v>
      </c>
      <c r="AD1168">
        <v>1109</v>
      </c>
      <c r="AE1168" t="str">
        <f>IF(AND(ISNUMBER(SEARCH(O1168,4)),ISNUMBER(SEARCH('(4) FCH pathway assessment'!$B$16,AB1168)),ISNUMBER(SEARCH('(4) FCH pathway assessment'!$B$10,AA1168))),AD1168,"")</f>
        <v/>
      </c>
      <c r="AF1168" t="str">
        <f t="shared" si="3557"/>
        <v/>
      </c>
      <c r="AG1168" t="str">
        <f>VLOOKUP(C1168,Assumptions!$B$116:$C$162,2,FALSE)</f>
        <v>NG_SR_SML_C</v>
      </c>
      <c r="AH1168" t="str">
        <f>VLOOKUP(D1168,Assumptions!$B$116:$C$162,2,FALSE)</f>
        <v>C_GAS_STRG</v>
      </c>
      <c r="AI1168" t="str">
        <f>VLOOKUP(E1168,Assumptions!$B$116:$C$162,2,FALSE)</f>
        <v>H2_BLND_NG_P</v>
      </c>
      <c r="AJ1168" t="str">
        <f>VLOOKUP(F1168,Assumptions!$B$116:$C$162,2,FALSE)</f>
        <v>H2_IND_BOIL_HEAT</v>
      </c>
    </row>
    <row r="1169" spans="2:36" x14ac:dyDescent="0.25">
      <c r="B1169" t="s">
        <v>127</v>
      </c>
      <c r="C1169" t="s">
        <v>58</v>
      </c>
      <c r="D1169" t="s">
        <v>155</v>
      </c>
      <c r="E1169" t="s">
        <v>122</v>
      </c>
      <c r="F1169" t="s">
        <v>570</v>
      </c>
      <c r="G1169" t="s">
        <v>120</v>
      </c>
      <c r="H1169" t="s">
        <v>432</v>
      </c>
      <c r="I1169" t="s">
        <v>32</v>
      </c>
      <c r="J1169" t="s">
        <v>78</v>
      </c>
      <c r="K1169">
        <f t="shared" si="3586"/>
        <v>1</v>
      </c>
      <c r="L1169">
        <f t="shared" si="3587"/>
        <v>1</v>
      </c>
      <c r="M1169">
        <f t="shared" si="3588"/>
        <v>1</v>
      </c>
      <c r="N1169">
        <f t="shared" si="3589"/>
        <v>1</v>
      </c>
      <c r="O1169">
        <f t="shared" si="3590"/>
        <v>4</v>
      </c>
      <c r="P1169" t="str">
        <f t="shared" si="3591"/>
        <v>Small centralized natural gas steam reforming-Maturity</v>
      </c>
      <c r="Q1169" t="str">
        <f t="shared" si="3592"/>
        <v>Central gas storage-Maturity</v>
      </c>
      <c r="R1169" t="str">
        <f t="shared" si="3593"/>
        <v>Hydrogen transmission &amp; distribution pipeline-Maturity</v>
      </c>
      <c r="S1169" t="str">
        <f t="shared" si="3594"/>
        <v>Industrial H2 boiler-Maturity</v>
      </c>
      <c r="T1169">
        <f ca="1">VLOOKUP($P1169,'TA database'!$I$8:$J$79,2,FALSE)</f>
        <v>9</v>
      </c>
      <c r="U1169">
        <f ca="1">VLOOKUP($Q1169,'TA database'!$I$86:$J$105,2,FALSE)</f>
        <v>9</v>
      </c>
      <c r="V1169">
        <f ca="1">VLOOKUP($R1169,'TA database'!$I$112:$J$139,2,FALSE)</f>
        <v>9</v>
      </c>
      <c r="W1169">
        <f ca="1">IFERROR(VLOOKUP($S1169,'TA database'!$I$146:$J$193,2,FALSE),0)</f>
        <v>9</v>
      </c>
      <c r="X1169">
        <f>IFERROR(VLOOKUP($S1169,'TA database'!$I$200:$J$271,2,FALSE),0)</f>
        <v>0</v>
      </c>
      <c r="Y1169">
        <f t="shared" ca="1" si="3599"/>
        <v>9</v>
      </c>
      <c r="Z1169" t="str">
        <f t="shared" si="3595"/>
        <v>NG_SR_SML_C   →   C_GAS_STRG   →   H2_T&amp;D_P   →   H2_IND_BOIL_HEAT</v>
      </c>
      <c r="AA1169" t="str">
        <f t="shared" si="3596"/>
        <v>Industrial heat</v>
      </c>
      <c r="AB1169" t="str">
        <f t="shared" si="3597"/>
        <v>Maturity</v>
      </c>
      <c r="AC1169">
        <f t="shared" ca="1" si="3598"/>
        <v>9</v>
      </c>
      <c r="AD1169">
        <v>1110</v>
      </c>
      <c r="AE1169" t="str">
        <f>IF(AND(ISNUMBER(SEARCH(O1169,4)),ISNUMBER(SEARCH('(4) FCH pathway assessment'!$B$16,AB1169)),ISNUMBER(SEARCH('(4) FCH pathway assessment'!$B$10,AA1169))),AD1169,"")</f>
        <v/>
      </c>
      <c r="AF1169" t="str">
        <f t="shared" si="3557"/>
        <v/>
      </c>
      <c r="AG1169" t="str">
        <f>VLOOKUP(C1169,Assumptions!$B$116:$C$162,2,FALSE)</f>
        <v>NG_SR_SML_C</v>
      </c>
      <c r="AH1169" t="str">
        <f>VLOOKUP(D1169,Assumptions!$B$116:$C$162,2,FALSE)</f>
        <v>C_GAS_STRG</v>
      </c>
      <c r="AI1169" t="str">
        <f>VLOOKUP(E1169,Assumptions!$B$116:$C$162,2,FALSE)</f>
        <v>H2_T&amp;D_P</v>
      </c>
      <c r="AJ1169" t="str">
        <f>VLOOKUP(F1169,Assumptions!$B$116:$C$162,2,FALSE)</f>
        <v>H2_IND_BOIL_HEAT</v>
      </c>
    </row>
    <row r="1170" spans="2:36" x14ac:dyDescent="0.25">
      <c r="B1170" t="s">
        <v>127</v>
      </c>
      <c r="C1170" t="s">
        <v>58</v>
      </c>
      <c r="D1170" t="s">
        <v>155</v>
      </c>
      <c r="E1170" t="s">
        <v>116</v>
      </c>
      <c r="F1170" t="s">
        <v>570</v>
      </c>
      <c r="G1170" t="s">
        <v>120</v>
      </c>
      <c r="H1170" t="s">
        <v>432</v>
      </c>
      <c r="I1170" t="s">
        <v>32</v>
      </c>
      <c r="J1170" t="s">
        <v>78</v>
      </c>
      <c r="K1170">
        <f t="shared" si="3586"/>
        <v>1</v>
      </c>
      <c r="L1170">
        <f t="shared" si="3587"/>
        <v>1</v>
      </c>
      <c r="M1170">
        <f t="shared" si="3588"/>
        <v>1</v>
      </c>
      <c r="N1170">
        <f t="shared" si="3589"/>
        <v>1</v>
      </c>
      <c r="O1170">
        <f t="shared" si="3590"/>
        <v>4</v>
      </c>
      <c r="P1170" t="str">
        <f t="shared" si="3591"/>
        <v>Small centralized natural gas steam reforming-Maturity</v>
      </c>
      <c r="Q1170" t="str">
        <f t="shared" si="3592"/>
        <v>Central gas storage-Maturity</v>
      </c>
      <c r="R1170" t="str">
        <f t="shared" si="3593"/>
        <v>Liquid hydrogen truck-Maturity</v>
      </c>
      <c r="S1170" t="str">
        <f t="shared" si="3594"/>
        <v>Industrial H2 boiler-Maturity</v>
      </c>
      <c r="T1170">
        <f ca="1">VLOOKUP($P1170,'TA database'!$I$8:$J$79,2,FALSE)</f>
        <v>9</v>
      </c>
      <c r="U1170">
        <f ca="1">VLOOKUP($Q1170,'TA database'!$I$86:$J$105,2,FALSE)</f>
        <v>9</v>
      </c>
      <c r="V1170">
        <f ca="1">VLOOKUP($R1170,'TA database'!$I$112:$J$139,2,FALSE)</f>
        <v>9</v>
      </c>
      <c r="W1170">
        <f ca="1">IFERROR(VLOOKUP($S1170,'TA database'!$I$146:$J$193,2,FALSE),0)</f>
        <v>9</v>
      </c>
      <c r="X1170">
        <f>IFERROR(VLOOKUP($S1170,'TA database'!$I$200:$J$271,2,FALSE),0)</f>
        <v>0</v>
      </c>
      <c r="Y1170">
        <f t="shared" ca="1" si="3599"/>
        <v>9</v>
      </c>
      <c r="Z1170" t="str">
        <f t="shared" si="3595"/>
        <v>NG_SR_SML_C   →   C_GAS_STRG   →   LQ_TRUCK   →   H2_IND_BOIL_HEAT</v>
      </c>
      <c r="AA1170" t="str">
        <f t="shared" si="3596"/>
        <v>Industrial heat</v>
      </c>
      <c r="AB1170" t="str">
        <f t="shared" si="3597"/>
        <v>Maturity</v>
      </c>
      <c r="AC1170">
        <f t="shared" ca="1" si="3598"/>
        <v>9</v>
      </c>
      <c r="AD1170">
        <v>1111</v>
      </c>
      <c r="AE1170" t="str">
        <f>IF(AND(ISNUMBER(SEARCH(O1170,4)),ISNUMBER(SEARCH('(4) FCH pathway assessment'!$B$16,AB1170)),ISNUMBER(SEARCH('(4) FCH pathway assessment'!$B$10,AA1170))),AD1170,"")</f>
        <v/>
      </c>
      <c r="AF1170" t="str">
        <f t="shared" si="3557"/>
        <v/>
      </c>
      <c r="AG1170" t="str">
        <f>VLOOKUP(C1170,Assumptions!$B$116:$C$162,2,FALSE)</f>
        <v>NG_SR_SML_C</v>
      </c>
      <c r="AH1170" t="str">
        <f>VLOOKUP(D1170,Assumptions!$B$116:$C$162,2,FALSE)</f>
        <v>C_GAS_STRG</v>
      </c>
      <c r="AI1170" t="str">
        <f>VLOOKUP(E1170,Assumptions!$B$116:$C$162,2,FALSE)</f>
        <v>LQ_TRUCK</v>
      </c>
      <c r="AJ1170" t="str">
        <f>VLOOKUP(F1170,Assumptions!$B$116:$C$162,2,FALSE)</f>
        <v>H2_IND_BOIL_HEAT</v>
      </c>
    </row>
    <row r="1171" spans="2:36" x14ac:dyDescent="0.25">
      <c r="B1171" t="s">
        <v>127</v>
      </c>
      <c r="C1171" t="s">
        <v>58</v>
      </c>
      <c r="D1171" t="s">
        <v>155</v>
      </c>
      <c r="E1171" t="s">
        <v>66</v>
      </c>
      <c r="F1171" t="s">
        <v>570</v>
      </c>
      <c r="G1171" t="s">
        <v>120</v>
      </c>
      <c r="H1171" t="s">
        <v>432</v>
      </c>
      <c r="I1171" t="s">
        <v>32</v>
      </c>
      <c r="J1171" t="s">
        <v>78</v>
      </c>
      <c r="K1171">
        <f t="shared" si="3586"/>
        <v>1</v>
      </c>
      <c r="L1171">
        <f t="shared" si="3587"/>
        <v>1</v>
      </c>
      <c r="M1171">
        <f t="shared" si="3588"/>
        <v>1</v>
      </c>
      <c r="N1171">
        <f t="shared" si="3589"/>
        <v>1</v>
      </c>
      <c r="O1171">
        <f t="shared" si="3590"/>
        <v>4</v>
      </c>
      <c r="P1171" t="str">
        <f t="shared" si="3591"/>
        <v>Small centralized natural gas steam reforming-Maturity</v>
      </c>
      <c r="Q1171" t="str">
        <f t="shared" si="3592"/>
        <v>Central gas storage-Maturity</v>
      </c>
      <c r="R1171" t="str">
        <f t="shared" si="3593"/>
        <v>Onsite-Maturity</v>
      </c>
      <c r="S1171" t="str">
        <f t="shared" si="3594"/>
        <v>Industrial H2 boiler-Maturity</v>
      </c>
      <c r="T1171">
        <f ca="1">VLOOKUP($P1171,'TA database'!$I$8:$J$79,2,FALSE)</f>
        <v>9</v>
      </c>
      <c r="U1171">
        <f ca="1">VLOOKUP($Q1171,'TA database'!$I$86:$J$105,2,FALSE)</f>
        <v>9</v>
      </c>
      <c r="V1171">
        <f ca="1">VLOOKUP($R1171,'TA database'!$I$112:$J$139,2,FALSE)</f>
        <v>9</v>
      </c>
      <c r="W1171">
        <f ca="1">IFERROR(VLOOKUP($S1171,'TA database'!$I$146:$J$193,2,FALSE),0)</f>
        <v>9</v>
      </c>
      <c r="X1171">
        <f>IFERROR(VLOOKUP($S1171,'TA database'!$I$200:$J$271,2,FALSE),0)</f>
        <v>0</v>
      </c>
      <c r="Y1171">
        <f t="shared" ca="1" si="3599"/>
        <v>9</v>
      </c>
      <c r="Z1171" t="str">
        <f t="shared" si="3595"/>
        <v>NG_SR_SML_C   →   C_GAS_STRG   →   ONSITE_USE   →   H2_IND_BOIL_HEAT</v>
      </c>
      <c r="AA1171" t="str">
        <f t="shared" si="3596"/>
        <v>Industrial heat</v>
      </c>
      <c r="AB1171" t="str">
        <f t="shared" si="3597"/>
        <v>Maturity</v>
      </c>
      <c r="AC1171">
        <f t="shared" ca="1" si="3598"/>
        <v>9</v>
      </c>
      <c r="AD1171">
        <v>1112</v>
      </c>
      <c r="AE1171" t="str">
        <f>IF(AND(ISNUMBER(SEARCH(O1171,4)),ISNUMBER(SEARCH('(4) FCH pathway assessment'!$B$16,AB1171)),ISNUMBER(SEARCH('(4) FCH pathway assessment'!$B$10,AA1171))),AD1171,"")</f>
        <v/>
      </c>
      <c r="AF1171" t="str">
        <f t="shared" si="3557"/>
        <v/>
      </c>
      <c r="AG1171" t="str">
        <f>VLOOKUP(C1171,Assumptions!$B$116:$C$162,2,FALSE)</f>
        <v>NG_SR_SML_C</v>
      </c>
      <c r="AH1171" t="str">
        <f>VLOOKUP(D1171,Assumptions!$B$116:$C$162,2,FALSE)</f>
        <v>C_GAS_STRG</v>
      </c>
      <c r="AI1171" t="str">
        <f>VLOOKUP(E1171,Assumptions!$B$116:$C$162,2,FALSE)</f>
        <v>ONSITE_USE</v>
      </c>
      <c r="AJ1171" t="str">
        <f>VLOOKUP(F1171,Assumptions!$B$116:$C$162,2,FALSE)</f>
        <v>H2_IND_BOIL_HEAT</v>
      </c>
    </row>
    <row r="1172" spans="2:36" x14ac:dyDescent="0.25">
      <c r="B1172" t="s">
        <v>127</v>
      </c>
      <c r="C1172" t="s">
        <v>59</v>
      </c>
      <c r="D1172" s="60" t="s">
        <v>130</v>
      </c>
      <c r="E1172" t="s">
        <v>66</v>
      </c>
      <c r="F1172" t="s">
        <v>570</v>
      </c>
      <c r="G1172" t="s">
        <v>120</v>
      </c>
      <c r="H1172" t="s">
        <v>432</v>
      </c>
      <c r="I1172" t="s">
        <v>32</v>
      </c>
      <c r="J1172" t="s">
        <v>78</v>
      </c>
      <c r="K1172">
        <f t="shared" ref="K1172" si="3600">SUMPRODUCT(($C$7:$C$18=$C1172)*($D$6:$H$6=$D1172)*($D$7:$H$18))</f>
        <v>1</v>
      </c>
      <c r="L1172">
        <f t="shared" ref="L1172" si="3601">SUMPRODUCT(($C$19:$C$23=$D1172)*($I$6:$O$6=$E1172)*($I$19:$O$23))</f>
        <v>1</v>
      </c>
      <c r="M1172">
        <f t="shared" ref="M1172" si="3602">SUMPRODUCT(($C$24:$C$30=$E1172)*($P$6:$AI$6=$F1172)*($P$24:$AI$30))</f>
        <v>1</v>
      </c>
      <c r="N1172">
        <f t="shared" ref="N1172" si="3603">SUMPRODUCT(($C$31:$C$50=$F1172)*($AJ$6:$AM$6=$G1172)*($AJ$31:$AM$50))</f>
        <v>1</v>
      </c>
      <c r="O1172">
        <f t="shared" ref="O1172" si="3604">K1172+L1172+M1172+N1172</f>
        <v>4</v>
      </c>
      <c r="P1172" t="str">
        <f t="shared" ref="P1172" si="3605">CONCATENATE(C1172,"-",J1172)</f>
        <v>Medium decentralized natural gas steam reforming-Maturity</v>
      </c>
      <c r="Q1172" t="str">
        <f t="shared" ref="Q1172" si="3606">CONCATENATE(D1172,"-",J1172)</f>
        <v>Distributed gas storage-Maturity</v>
      </c>
      <c r="R1172" t="str">
        <f t="shared" ref="R1172" si="3607">CONCATENATE(E1172,"-",J1172)</f>
        <v>Onsite-Maturity</v>
      </c>
      <c r="S1172" t="str">
        <f t="shared" ref="S1172" si="3608">CONCATENATE(F1172,"-",J1172)</f>
        <v>Industrial H2 boiler-Maturity</v>
      </c>
      <c r="T1172">
        <f ca="1">VLOOKUP($P1172,'TA database'!$I$8:$J$79,2,FALSE)</f>
        <v>9</v>
      </c>
      <c r="U1172">
        <f ca="1">VLOOKUP($Q1172,'TA database'!$I$86:$J$105,2,FALSE)</f>
        <v>9</v>
      </c>
      <c r="V1172">
        <f ca="1">VLOOKUP($R1172,'TA database'!$I$112:$J$139,2,FALSE)</f>
        <v>9</v>
      </c>
      <c r="W1172">
        <f ca="1">IFERROR(VLOOKUP($S1172,'TA database'!$I$146:$J$193,2,FALSE),0)</f>
        <v>9</v>
      </c>
      <c r="X1172">
        <f>IFERROR(VLOOKUP($S1172,'TA database'!$I$200:$J$271,2,FALSE),0)</f>
        <v>0</v>
      </c>
      <c r="Y1172">
        <f t="shared" ref="Y1172:Y1173" ca="1" si="3609">IF($W1172=0,MIN($T1172:$V1172,$X1172),MIN($T1172:$W1172))</f>
        <v>9</v>
      </c>
      <c r="Z1172" t="str">
        <f t="shared" ref="Z1172" si="3610">CONCATENATE(AG1172,"   →   ",AH1172,"   →   ",AI1172,"   →   ",AJ1172)</f>
        <v>NG_SR_MED_D   →   D_GAS_STRG   →   ONSITE_USE   →   H2_IND_BOIL_HEAT</v>
      </c>
      <c r="AA1172" t="str">
        <f t="shared" ref="AA1172" si="3611">G1172</f>
        <v>Industrial heat</v>
      </c>
      <c r="AB1172" t="str">
        <f t="shared" ref="AB1172" si="3612">J1172</f>
        <v>Maturity</v>
      </c>
      <c r="AC1172">
        <f t="shared" ref="AC1172" ca="1" si="3613">Y1172</f>
        <v>9</v>
      </c>
      <c r="AD1172">
        <v>1113</v>
      </c>
      <c r="AE1172" t="str">
        <f>IF(AND(ISNUMBER(SEARCH(O1172,4)),ISNUMBER(SEARCH('(4) FCH pathway assessment'!$B$16,AB1172)),ISNUMBER(SEARCH('(4) FCH pathway assessment'!$B$10,AA1172))),AD1172,"")</f>
        <v/>
      </c>
      <c r="AF1172" t="str">
        <f t="shared" si="3557"/>
        <v/>
      </c>
      <c r="AG1172" t="str">
        <f>VLOOKUP(C1172,Assumptions!$B$116:$C$162,2,FALSE)</f>
        <v>NG_SR_MED_D</v>
      </c>
      <c r="AH1172" t="str">
        <f>VLOOKUP(D1172,Assumptions!$B$116:$C$162,2,FALSE)</f>
        <v>D_GAS_STRG</v>
      </c>
      <c r="AI1172" t="str">
        <f>VLOOKUP(E1172,Assumptions!$B$116:$C$162,2,FALSE)</f>
        <v>ONSITE_USE</v>
      </c>
      <c r="AJ1172" t="str">
        <f>VLOOKUP(F1172,Assumptions!$B$116:$C$162,2,FALSE)</f>
        <v>H2_IND_BOIL_HEAT</v>
      </c>
    </row>
    <row r="1173" spans="2:36" x14ac:dyDescent="0.25">
      <c r="B1173" t="s">
        <v>127</v>
      </c>
      <c r="C1173" t="s">
        <v>60</v>
      </c>
      <c r="D1173" s="60" t="s">
        <v>130</v>
      </c>
      <c r="E1173" t="s">
        <v>66</v>
      </c>
      <c r="F1173" t="s">
        <v>570</v>
      </c>
      <c r="G1173" t="s">
        <v>120</v>
      </c>
      <c r="H1173" t="s">
        <v>432</v>
      </c>
      <c r="I1173" t="s">
        <v>32</v>
      </c>
      <c r="J1173" t="s">
        <v>78</v>
      </c>
      <c r="K1173">
        <f t="shared" ref="K1173:K1177" si="3614">SUMPRODUCT(($C$7:$C$18=$C1173)*($D$6:$H$6=$D1173)*($D$7:$H$18))</f>
        <v>1</v>
      </c>
      <c r="L1173">
        <f t="shared" ref="L1173:L1177" si="3615">SUMPRODUCT(($C$19:$C$23=$D1173)*($I$6:$O$6=$E1173)*($I$19:$O$23))</f>
        <v>1</v>
      </c>
      <c r="M1173">
        <f t="shared" ref="M1173:M1177" si="3616">SUMPRODUCT(($C$24:$C$30=$E1173)*($P$6:$AI$6=$F1173)*($P$24:$AI$30))</f>
        <v>1</v>
      </c>
      <c r="N1173">
        <f t="shared" ref="N1173:N1177" si="3617">SUMPRODUCT(($C$31:$C$50=$F1173)*($AJ$6:$AM$6=$G1173)*($AJ$31:$AM$50))</f>
        <v>1</v>
      </c>
      <c r="O1173">
        <f t="shared" ref="O1173:O1176" si="3618">K1173+L1173+M1173+N1173</f>
        <v>4</v>
      </c>
      <c r="P1173" t="str">
        <f t="shared" ref="P1173:P1177" si="3619">CONCATENATE(C1173,"-",J1173)</f>
        <v>Small decentralized natural gas steam reforming-Maturity</v>
      </c>
      <c r="Q1173" t="str">
        <f t="shared" ref="Q1173:Q1177" si="3620">CONCATENATE(D1173,"-",J1173)</f>
        <v>Distributed gas storage-Maturity</v>
      </c>
      <c r="R1173" t="str">
        <f t="shared" ref="R1173:R1177" si="3621">CONCATENATE(E1173,"-",J1173)</f>
        <v>Onsite-Maturity</v>
      </c>
      <c r="S1173" t="str">
        <f t="shared" ref="S1173:S1177" si="3622">CONCATENATE(F1173,"-",J1173)</f>
        <v>Industrial H2 boiler-Maturity</v>
      </c>
      <c r="T1173">
        <f ca="1">VLOOKUP($P1173,'TA database'!$I$8:$J$79,2,FALSE)</f>
        <v>9</v>
      </c>
      <c r="U1173">
        <f ca="1">VLOOKUP($Q1173,'TA database'!$I$86:$J$105,2,FALSE)</f>
        <v>9</v>
      </c>
      <c r="V1173">
        <f ca="1">VLOOKUP($R1173,'TA database'!$I$112:$J$139,2,FALSE)</f>
        <v>9</v>
      </c>
      <c r="W1173">
        <f ca="1">IFERROR(VLOOKUP($S1173,'TA database'!$I$146:$J$193,2,FALSE),0)</f>
        <v>9</v>
      </c>
      <c r="X1173">
        <f>IFERROR(VLOOKUP($S1173,'TA database'!$I$200:$J$271,2,FALSE),0)</f>
        <v>0</v>
      </c>
      <c r="Y1173">
        <f t="shared" ca="1" si="3609"/>
        <v>9</v>
      </c>
      <c r="Z1173" t="str">
        <f t="shared" ref="Z1173:Z1176" si="3623">CONCATENATE(AG1173,"   →   ",AH1173,"   →   ",AI1173,"   →   ",AJ1173)</f>
        <v>NG_SR_SML_D   →   D_GAS_STRG   →   ONSITE_USE   →   H2_IND_BOIL_HEAT</v>
      </c>
      <c r="AA1173" t="str">
        <f t="shared" ref="AA1173:AA1176" si="3624">G1173</f>
        <v>Industrial heat</v>
      </c>
      <c r="AB1173" t="str">
        <f t="shared" ref="AB1173:AB1176" si="3625">J1173</f>
        <v>Maturity</v>
      </c>
      <c r="AC1173">
        <f t="shared" ref="AC1173:AC1176" ca="1" si="3626">Y1173</f>
        <v>9</v>
      </c>
      <c r="AD1173">
        <v>1114</v>
      </c>
      <c r="AE1173" t="str">
        <f>IF(AND(ISNUMBER(SEARCH(O1173,4)),ISNUMBER(SEARCH('(4) FCH pathway assessment'!$B$16,AB1173)),ISNUMBER(SEARCH('(4) FCH pathway assessment'!$B$10,AA1173))),AD1173,"")</f>
        <v/>
      </c>
      <c r="AF1173" t="str">
        <f t="shared" si="3557"/>
        <v/>
      </c>
      <c r="AG1173" t="str">
        <f>VLOOKUP(C1173,Assumptions!$B$116:$C$162,2,FALSE)</f>
        <v>NG_SR_SML_D</v>
      </c>
      <c r="AH1173" t="str">
        <f>VLOOKUP(D1173,Assumptions!$B$116:$C$162,2,FALSE)</f>
        <v>D_GAS_STRG</v>
      </c>
      <c r="AI1173" t="str">
        <f>VLOOKUP(E1173,Assumptions!$B$116:$C$162,2,FALSE)</f>
        <v>ONSITE_USE</v>
      </c>
      <c r="AJ1173" t="str">
        <f>VLOOKUP(F1173,Assumptions!$B$116:$C$162,2,FALSE)</f>
        <v>H2_IND_BOIL_HEAT</v>
      </c>
    </row>
    <row r="1174" spans="2:36" x14ac:dyDescent="0.25">
      <c r="B1174" t="s">
        <v>117</v>
      </c>
      <c r="C1174" t="s">
        <v>53</v>
      </c>
      <c r="D1174" t="s">
        <v>155</v>
      </c>
      <c r="E1174" t="s">
        <v>157</v>
      </c>
      <c r="F1174" t="s">
        <v>549</v>
      </c>
      <c r="G1174" t="s">
        <v>114</v>
      </c>
      <c r="H1174" t="s">
        <v>433</v>
      </c>
      <c r="I1174" t="s">
        <v>32</v>
      </c>
      <c r="J1174" t="s">
        <v>78</v>
      </c>
      <c r="K1174">
        <f t="shared" si="3614"/>
        <v>0</v>
      </c>
      <c r="L1174">
        <f t="shared" si="3615"/>
        <v>1</v>
      </c>
      <c r="M1174">
        <f t="shared" si="3616"/>
        <v>0</v>
      </c>
      <c r="N1174">
        <f t="shared" si="3617"/>
        <v>0</v>
      </c>
      <c r="O1174">
        <f t="shared" si="3618"/>
        <v>1</v>
      </c>
      <c r="P1174" t="str">
        <f t="shared" si="3619"/>
        <v>Medium centralized biomass gasification-Maturity</v>
      </c>
      <c r="Q1174" t="str">
        <f t="shared" si="3620"/>
        <v>Central gas storage-Maturity</v>
      </c>
      <c r="R1174" t="str">
        <f t="shared" si="3621"/>
        <v>Blending in natural gas pipeline-Maturity</v>
      </c>
      <c r="S1174" t="str">
        <f t="shared" si="3622"/>
        <v>District-CHP with H2 fuel cell (power)-Maturity</v>
      </c>
      <c r="T1174">
        <f ca="1">VLOOKUP($P1174,'TA database'!$I$8:$J$79,2,FALSE)</f>
        <v>6</v>
      </c>
      <c r="U1174">
        <f ca="1">VLOOKUP($Q1174,'TA database'!$I$86:$J$105,2,FALSE)</f>
        <v>9</v>
      </c>
      <c r="V1174">
        <f ca="1">VLOOKUP($R1174,'TA database'!$I$112:$J$139,2,FALSE)</f>
        <v>7</v>
      </c>
      <c r="W1174">
        <f>IFERROR(VLOOKUP($S1174,'TA database'!$I$146:$J$193,2,FALSE),0)</f>
        <v>0</v>
      </c>
      <c r="X1174">
        <f ca="1">IFERROR(VLOOKUP($S1174,'TA database'!$I$200:$J$271,2,FALSE),0)</f>
        <v>7</v>
      </c>
      <c r="Y1174">
        <f t="shared" ref="Y1174:Y1177" ca="1" si="3627">IF($W1174=0,MIN($T1174:$V1174,$X1174),MIN($T1174:$W1174))</f>
        <v>6</v>
      </c>
      <c r="Z1174" t="str">
        <f t="shared" si="3623"/>
        <v>BIO_GSF_MED_C   →   C_GAS_STRG   →   H2_BLND_NG_P   →   H2_FC_DCHP_PWR</v>
      </c>
      <c r="AA1174" t="str">
        <f t="shared" si="3624"/>
        <v>Grid electricity</v>
      </c>
      <c r="AB1174" t="str">
        <f t="shared" si="3625"/>
        <v>Maturity</v>
      </c>
      <c r="AC1174">
        <f t="shared" ca="1" si="3626"/>
        <v>6</v>
      </c>
      <c r="AD1174">
        <v>1115</v>
      </c>
      <c r="AE1174" t="str">
        <f>IF(AND(ISNUMBER(SEARCH(O1174,4)),ISNUMBER(SEARCH('(4) FCH pathway assessment'!$B$16,AB1174)),ISNUMBER(SEARCH('(4) FCH pathway assessment'!$B$10,AA1174))),AD1174,"")</f>
        <v/>
      </c>
      <c r="AF1174" t="str">
        <f t="shared" si="3557"/>
        <v/>
      </c>
      <c r="AG1174" t="str">
        <f>VLOOKUP(C1174,Assumptions!$B$116:$C$162,2,FALSE)</f>
        <v>BIO_GSF_MED_C</v>
      </c>
      <c r="AH1174" t="str">
        <f>VLOOKUP(D1174,Assumptions!$B$116:$C$162,2,FALSE)</f>
        <v>C_GAS_STRG</v>
      </c>
      <c r="AI1174" t="str">
        <f>VLOOKUP(E1174,Assumptions!$B$116:$C$162,2,FALSE)</f>
        <v>H2_BLND_NG_P</v>
      </c>
      <c r="AJ1174" t="str">
        <f>VLOOKUP(F1174,Assumptions!$B$116:$C$162,2,FALSE)</f>
        <v>H2_FC_DCHP_PWR</v>
      </c>
    </row>
    <row r="1175" spans="2:36" x14ac:dyDescent="0.25">
      <c r="B1175" t="s">
        <v>117</v>
      </c>
      <c r="C1175" t="s">
        <v>53</v>
      </c>
      <c r="D1175" t="s">
        <v>155</v>
      </c>
      <c r="E1175" t="s">
        <v>122</v>
      </c>
      <c r="F1175" t="s">
        <v>549</v>
      </c>
      <c r="G1175" t="s">
        <v>114</v>
      </c>
      <c r="H1175" t="s">
        <v>433</v>
      </c>
      <c r="I1175" t="s">
        <v>32</v>
      </c>
      <c r="J1175" t="s">
        <v>78</v>
      </c>
      <c r="K1175">
        <f t="shared" si="3614"/>
        <v>0</v>
      </c>
      <c r="L1175">
        <f t="shared" si="3615"/>
        <v>1</v>
      </c>
      <c r="M1175">
        <f t="shared" si="3616"/>
        <v>1</v>
      </c>
      <c r="N1175">
        <f t="shared" si="3617"/>
        <v>0</v>
      </c>
      <c r="O1175">
        <f t="shared" si="3618"/>
        <v>2</v>
      </c>
      <c r="P1175" t="str">
        <f t="shared" si="3619"/>
        <v>Medium centralized biomass gasification-Maturity</v>
      </c>
      <c r="Q1175" t="str">
        <f t="shared" si="3620"/>
        <v>Central gas storage-Maturity</v>
      </c>
      <c r="R1175" t="str">
        <f t="shared" si="3621"/>
        <v>Hydrogen transmission &amp; distribution pipeline-Maturity</v>
      </c>
      <c r="S1175" t="str">
        <f t="shared" si="3622"/>
        <v>District-CHP with H2 fuel cell (power)-Maturity</v>
      </c>
      <c r="T1175">
        <f ca="1">VLOOKUP($P1175,'TA database'!$I$8:$J$79,2,FALSE)</f>
        <v>6</v>
      </c>
      <c r="U1175">
        <f ca="1">VLOOKUP($Q1175,'TA database'!$I$86:$J$105,2,FALSE)</f>
        <v>9</v>
      </c>
      <c r="V1175">
        <f ca="1">VLOOKUP($R1175,'TA database'!$I$112:$J$139,2,FALSE)</f>
        <v>9</v>
      </c>
      <c r="W1175">
        <f>IFERROR(VLOOKUP($S1175,'TA database'!$I$146:$J$193,2,FALSE),0)</f>
        <v>0</v>
      </c>
      <c r="X1175">
        <f ca="1">IFERROR(VLOOKUP($S1175,'TA database'!$I$200:$J$271,2,FALSE),0)</f>
        <v>7</v>
      </c>
      <c r="Y1175">
        <f t="shared" ca="1" si="3627"/>
        <v>6</v>
      </c>
      <c r="Z1175" t="str">
        <f t="shared" si="3623"/>
        <v>BIO_GSF_MED_C   →   C_GAS_STRG   →   H2_T&amp;D_P   →   H2_FC_DCHP_PWR</v>
      </c>
      <c r="AA1175" t="str">
        <f t="shared" si="3624"/>
        <v>Grid electricity</v>
      </c>
      <c r="AB1175" t="str">
        <f t="shared" si="3625"/>
        <v>Maturity</v>
      </c>
      <c r="AC1175">
        <f t="shared" ca="1" si="3626"/>
        <v>6</v>
      </c>
      <c r="AD1175">
        <v>1116</v>
      </c>
      <c r="AE1175" t="str">
        <f>IF(AND(ISNUMBER(SEARCH(O1175,4)),ISNUMBER(SEARCH('(4) FCH pathway assessment'!$B$16,AB1175)),ISNUMBER(SEARCH('(4) FCH pathway assessment'!$B$10,AA1175))),AD1175,"")</f>
        <v/>
      </c>
      <c r="AF1175" t="str">
        <f t="shared" si="3557"/>
        <v/>
      </c>
      <c r="AG1175" t="str">
        <f>VLOOKUP(C1175,Assumptions!$B$116:$C$162,2,FALSE)</f>
        <v>BIO_GSF_MED_C</v>
      </c>
      <c r="AH1175" t="str">
        <f>VLOOKUP(D1175,Assumptions!$B$116:$C$162,2,FALSE)</f>
        <v>C_GAS_STRG</v>
      </c>
      <c r="AI1175" t="str">
        <f>VLOOKUP(E1175,Assumptions!$B$116:$C$162,2,FALSE)</f>
        <v>H2_T&amp;D_P</v>
      </c>
      <c r="AJ1175" t="str">
        <f>VLOOKUP(F1175,Assumptions!$B$116:$C$162,2,FALSE)</f>
        <v>H2_FC_DCHP_PWR</v>
      </c>
    </row>
    <row r="1176" spans="2:36" x14ac:dyDescent="0.25">
      <c r="B1176" t="s">
        <v>117</v>
      </c>
      <c r="C1176" t="s">
        <v>53</v>
      </c>
      <c r="D1176" t="s">
        <v>155</v>
      </c>
      <c r="E1176" t="s">
        <v>116</v>
      </c>
      <c r="F1176" t="s">
        <v>549</v>
      </c>
      <c r="G1176" t="s">
        <v>114</v>
      </c>
      <c r="H1176" t="s">
        <v>433</v>
      </c>
      <c r="I1176" t="s">
        <v>32</v>
      </c>
      <c r="J1176" t="s">
        <v>78</v>
      </c>
      <c r="K1176">
        <f t="shared" si="3614"/>
        <v>0</v>
      </c>
      <c r="L1176">
        <f t="shared" si="3615"/>
        <v>1</v>
      </c>
      <c r="M1176">
        <f t="shared" si="3616"/>
        <v>1</v>
      </c>
      <c r="N1176">
        <f t="shared" si="3617"/>
        <v>0</v>
      </c>
      <c r="O1176">
        <f t="shared" si="3618"/>
        <v>2</v>
      </c>
      <c r="P1176" t="str">
        <f t="shared" si="3619"/>
        <v>Medium centralized biomass gasification-Maturity</v>
      </c>
      <c r="Q1176" t="str">
        <f t="shared" si="3620"/>
        <v>Central gas storage-Maturity</v>
      </c>
      <c r="R1176" t="str">
        <f t="shared" si="3621"/>
        <v>Liquid hydrogen truck-Maturity</v>
      </c>
      <c r="S1176" t="str">
        <f t="shared" si="3622"/>
        <v>District-CHP with H2 fuel cell (power)-Maturity</v>
      </c>
      <c r="T1176">
        <f ca="1">VLOOKUP($P1176,'TA database'!$I$8:$J$79,2,FALSE)</f>
        <v>6</v>
      </c>
      <c r="U1176">
        <f ca="1">VLOOKUP($Q1176,'TA database'!$I$86:$J$105,2,FALSE)</f>
        <v>9</v>
      </c>
      <c r="V1176">
        <f ca="1">VLOOKUP($R1176,'TA database'!$I$112:$J$139,2,FALSE)</f>
        <v>9</v>
      </c>
      <c r="W1176">
        <f>IFERROR(VLOOKUP($S1176,'TA database'!$I$146:$J$193,2,FALSE),0)</f>
        <v>0</v>
      </c>
      <c r="X1176">
        <f ca="1">IFERROR(VLOOKUP($S1176,'TA database'!$I$200:$J$271,2,FALSE),0)</f>
        <v>7</v>
      </c>
      <c r="Y1176">
        <f t="shared" ca="1" si="3627"/>
        <v>6</v>
      </c>
      <c r="Z1176" t="str">
        <f t="shared" si="3623"/>
        <v>BIO_GSF_MED_C   →   C_GAS_STRG   →   LQ_TRUCK   →   H2_FC_DCHP_PWR</v>
      </c>
      <c r="AA1176" t="str">
        <f t="shared" si="3624"/>
        <v>Grid electricity</v>
      </c>
      <c r="AB1176" t="str">
        <f t="shared" si="3625"/>
        <v>Maturity</v>
      </c>
      <c r="AC1176">
        <f t="shared" ca="1" si="3626"/>
        <v>6</v>
      </c>
      <c r="AD1176">
        <v>1117</v>
      </c>
      <c r="AE1176" t="str">
        <f>IF(AND(ISNUMBER(SEARCH(O1176,4)),ISNUMBER(SEARCH('(4) FCH pathway assessment'!$B$16,AB1176)),ISNUMBER(SEARCH('(4) FCH pathway assessment'!$B$10,AA1176))),AD1176,"")</f>
        <v/>
      </c>
      <c r="AF1176" t="str">
        <f t="shared" si="3557"/>
        <v/>
      </c>
      <c r="AG1176" t="str">
        <f>VLOOKUP(C1176,Assumptions!$B$116:$C$162,2,FALSE)</f>
        <v>BIO_GSF_MED_C</v>
      </c>
      <c r="AH1176" t="str">
        <f>VLOOKUP(D1176,Assumptions!$B$116:$C$162,2,FALSE)</f>
        <v>C_GAS_STRG</v>
      </c>
      <c r="AI1176" t="str">
        <f>VLOOKUP(E1176,Assumptions!$B$116:$C$162,2,FALSE)</f>
        <v>LQ_TRUCK</v>
      </c>
      <c r="AJ1176" t="str">
        <f>VLOOKUP(F1176,Assumptions!$B$116:$C$162,2,FALSE)</f>
        <v>H2_FC_DCHP_PWR</v>
      </c>
    </row>
    <row r="1177" spans="2:36" x14ac:dyDescent="0.25">
      <c r="B1177" t="s">
        <v>117</v>
      </c>
      <c r="C1177" t="s">
        <v>53</v>
      </c>
      <c r="D1177" t="s">
        <v>155</v>
      </c>
      <c r="E1177" t="s">
        <v>66</v>
      </c>
      <c r="F1177" t="s">
        <v>549</v>
      </c>
      <c r="G1177" t="s">
        <v>114</v>
      </c>
      <c r="H1177" t="s">
        <v>433</v>
      </c>
      <c r="I1177" t="s">
        <v>32</v>
      </c>
      <c r="J1177" t="s">
        <v>78</v>
      </c>
      <c r="K1177">
        <f t="shared" si="3614"/>
        <v>0</v>
      </c>
      <c r="L1177">
        <f t="shared" si="3615"/>
        <v>1</v>
      </c>
      <c r="M1177">
        <f t="shared" si="3616"/>
        <v>1</v>
      </c>
      <c r="N1177">
        <f t="shared" si="3617"/>
        <v>0</v>
      </c>
      <c r="O1177">
        <f t="shared" ref="O1177:O1181" si="3628">K1177+L1177+M1177+N1177</f>
        <v>2</v>
      </c>
      <c r="P1177" t="str">
        <f t="shared" si="3619"/>
        <v>Medium centralized biomass gasification-Maturity</v>
      </c>
      <c r="Q1177" t="str">
        <f t="shared" si="3620"/>
        <v>Central gas storage-Maturity</v>
      </c>
      <c r="R1177" t="str">
        <f t="shared" si="3621"/>
        <v>Onsite-Maturity</v>
      </c>
      <c r="S1177" t="str">
        <f t="shared" si="3622"/>
        <v>District-CHP with H2 fuel cell (power)-Maturity</v>
      </c>
      <c r="T1177">
        <f ca="1">VLOOKUP($P1177,'TA database'!$I$8:$J$79,2,FALSE)</f>
        <v>6</v>
      </c>
      <c r="U1177">
        <f ca="1">VLOOKUP($Q1177,'TA database'!$I$86:$J$105,2,FALSE)</f>
        <v>9</v>
      </c>
      <c r="V1177">
        <f ca="1">VLOOKUP($R1177,'TA database'!$I$112:$J$139,2,FALSE)</f>
        <v>9</v>
      </c>
      <c r="W1177">
        <f>IFERROR(VLOOKUP($S1177,'TA database'!$I$146:$J$193,2,FALSE),0)</f>
        <v>0</v>
      </c>
      <c r="X1177">
        <f ca="1">IFERROR(VLOOKUP($S1177,'TA database'!$I$200:$J$271,2,FALSE),0)</f>
        <v>7</v>
      </c>
      <c r="Y1177">
        <f t="shared" ca="1" si="3627"/>
        <v>6</v>
      </c>
      <c r="Z1177" t="str">
        <f t="shared" ref="Z1177:Z1181" si="3629">CONCATENATE(AG1177,"   →   ",AH1177,"   →   ",AI1177,"   →   ",AJ1177)</f>
        <v>BIO_GSF_MED_C   →   C_GAS_STRG   →   ONSITE_USE   →   H2_FC_DCHP_PWR</v>
      </c>
      <c r="AA1177" t="str">
        <f t="shared" ref="AA1177:AA1181" si="3630">G1177</f>
        <v>Grid electricity</v>
      </c>
      <c r="AB1177" t="str">
        <f t="shared" ref="AB1177:AB1181" si="3631">J1177</f>
        <v>Maturity</v>
      </c>
      <c r="AC1177">
        <f t="shared" ref="AC1177:AC1181" ca="1" si="3632">Y1177</f>
        <v>6</v>
      </c>
      <c r="AD1177">
        <v>1118</v>
      </c>
      <c r="AE1177" t="str">
        <f>IF(AND(ISNUMBER(SEARCH(O1177,4)),ISNUMBER(SEARCH('(4) FCH pathway assessment'!$B$16,AB1177)),ISNUMBER(SEARCH('(4) FCH pathway assessment'!$B$10,AA1177))),AD1177,"")</f>
        <v/>
      </c>
      <c r="AF1177" t="str">
        <f t="shared" si="3557"/>
        <v/>
      </c>
      <c r="AG1177" t="str">
        <f>VLOOKUP(C1177,Assumptions!$B$116:$C$162,2,FALSE)</f>
        <v>BIO_GSF_MED_C</v>
      </c>
      <c r="AH1177" t="str">
        <f>VLOOKUP(D1177,Assumptions!$B$116:$C$162,2,FALSE)</f>
        <v>C_GAS_STRG</v>
      </c>
      <c r="AI1177" t="str">
        <f>VLOOKUP(E1177,Assumptions!$B$116:$C$162,2,FALSE)</f>
        <v>ONSITE_USE</v>
      </c>
      <c r="AJ1177" t="str">
        <f>VLOOKUP(F1177,Assumptions!$B$116:$C$162,2,FALSE)</f>
        <v>H2_FC_DCHP_PWR</v>
      </c>
    </row>
    <row r="1178" spans="2:36" x14ac:dyDescent="0.25">
      <c r="B1178" t="s">
        <v>117</v>
      </c>
      <c r="C1178" t="s">
        <v>54</v>
      </c>
      <c r="D1178" t="s">
        <v>155</v>
      </c>
      <c r="E1178" t="s">
        <v>157</v>
      </c>
      <c r="F1178" t="s">
        <v>549</v>
      </c>
      <c r="G1178" t="s">
        <v>114</v>
      </c>
      <c r="H1178" t="s">
        <v>433</v>
      </c>
      <c r="I1178" t="s">
        <v>32</v>
      </c>
      <c r="J1178" t="s">
        <v>78</v>
      </c>
      <c r="K1178">
        <f t="shared" ref="K1178:K1181" si="3633">SUMPRODUCT(($C$7:$C$18=$C1178)*($D$6:$H$6=$D1178)*($D$7:$H$18))</f>
        <v>0</v>
      </c>
      <c r="L1178">
        <f t="shared" ref="L1178:L1181" si="3634">SUMPRODUCT(($C$19:$C$23=$D1178)*($I$6:$O$6=$E1178)*($I$19:$O$23))</f>
        <v>1</v>
      </c>
      <c r="M1178">
        <f t="shared" ref="M1178:M1181" si="3635">SUMPRODUCT(($C$24:$C$30=$E1178)*($P$6:$AI$6=$F1178)*($P$24:$AI$30))</f>
        <v>0</v>
      </c>
      <c r="N1178">
        <f t="shared" ref="N1178:N1181" si="3636">SUMPRODUCT(($C$31:$C$50=$F1178)*($AJ$6:$AM$6=$G1178)*($AJ$31:$AM$50))</f>
        <v>0</v>
      </c>
      <c r="O1178">
        <f t="shared" si="3628"/>
        <v>1</v>
      </c>
      <c r="P1178" t="str">
        <f t="shared" ref="P1178:P1181" si="3637">CONCATENATE(C1178,"-",J1178)</f>
        <v>Medium centralized biomass gasification w/ CCS-Maturity</v>
      </c>
      <c r="Q1178" t="str">
        <f t="shared" ref="Q1178:Q1181" si="3638">CONCATENATE(D1178,"-",J1178)</f>
        <v>Central gas storage-Maturity</v>
      </c>
      <c r="R1178" t="str">
        <f t="shared" ref="R1178:R1181" si="3639">CONCATENATE(E1178,"-",J1178)</f>
        <v>Blending in natural gas pipeline-Maturity</v>
      </c>
      <c r="S1178" t="str">
        <f t="shared" ref="S1178:S1181" si="3640">CONCATENATE(F1178,"-",J1178)</f>
        <v>District-CHP with H2 fuel cell (power)-Maturity</v>
      </c>
      <c r="T1178">
        <f ca="1">VLOOKUP($P1178,'TA database'!$I$8:$J$79,2,FALSE)</f>
        <v>6</v>
      </c>
      <c r="U1178">
        <f ca="1">VLOOKUP($Q1178,'TA database'!$I$86:$J$105,2,FALSE)</f>
        <v>9</v>
      </c>
      <c r="V1178">
        <f ca="1">VLOOKUP($R1178,'TA database'!$I$112:$J$139,2,FALSE)</f>
        <v>7</v>
      </c>
      <c r="W1178">
        <f>IFERROR(VLOOKUP($S1178,'TA database'!$I$146:$J$193,2,FALSE),0)</f>
        <v>0</v>
      </c>
      <c r="X1178">
        <f ca="1">IFERROR(VLOOKUP($S1178,'TA database'!$I$200:$J$271,2,FALSE),0)</f>
        <v>7</v>
      </c>
      <c r="Y1178">
        <f t="shared" ref="Y1178:Y1182" ca="1" si="3641">IF($W1178=0,MIN($T1178:$V1178,$X1178),MIN($T1178:$W1178))</f>
        <v>6</v>
      </c>
      <c r="Z1178" t="str">
        <f t="shared" si="3629"/>
        <v>BIO_GSF_CCS_MED_C   →   C_GAS_STRG   →   H2_BLND_NG_P   →   H2_FC_DCHP_PWR</v>
      </c>
      <c r="AA1178" t="str">
        <f t="shared" si="3630"/>
        <v>Grid electricity</v>
      </c>
      <c r="AB1178" t="str">
        <f t="shared" si="3631"/>
        <v>Maturity</v>
      </c>
      <c r="AC1178">
        <f t="shared" ca="1" si="3632"/>
        <v>6</v>
      </c>
      <c r="AD1178">
        <v>1119</v>
      </c>
      <c r="AE1178" t="str">
        <f>IF(AND(ISNUMBER(SEARCH(O1178,4)),ISNUMBER(SEARCH('(4) FCH pathway assessment'!$B$16,AB1178)),ISNUMBER(SEARCH('(4) FCH pathway assessment'!$B$10,AA1178))),AD1178,"")</f>
        <v/>
      </c>
      <c r="AF1178" t="str">
        <f t="shared" si="3557"/>
        <v/>
      </c>
      <c r="AG1178" t="str">
        <f>VLOOKUP(C1178,Assumptions!$B$116:$C$162,2,FALSE)</f>
        <v>BIO_GSF_CCS_MED_C</v>
      </c>
      <c r="AH1178" t="str">
        <f>VLOOKUP(D1178,Assumptions!$B$116:$C$162,2,FALSE)</f>
        <v>C_GAS_STRG</v>
      </c>
      <c r="AI1178" t="str">
        <f>VLOOKUP(E1178,Assumptions!$B$116:$C$162,2,FALSE)</f>
        <v>H2_BLND_NG_P</v>
      </c>
      <c r="AJ1178" t="str">
        <f>VLOOKUP(F1178,Assumptions!$B$116:$C$162,2,FALSE)</f>
        <v>H2_FC_DCHP_PWR</v>
      </c>
    </row>
    <row r="1179" spans="2:36" x14ac:dyDescent="0.25">
      <c r="B1179" t="s">
        <v>117</v>
      </c>
      <c r="C1179" t="s">
        <v>54</v>
      </c>
      <c r="D1179" t="s">
        <v>155</v>
      </c>
      <c r="E1179" t="s">
        <v>122</v>
      </c>
      <c r="F1179" t="s">
        <v>549</v>
      </c>
      <c r="G1179" t="s">
        <v>114</v>
      </c>
      <c r="H1179" t="s">
        <v>433</v>
      </c>
      <c r="I1179" t="s">
        <v>32</v>
      </c>
      <c r="J1179" t="s">
        <v>78</v>
      </c>
      <c r="K1179">
        <f t="shared" si="3633"/>
        <v>0</v>
      </c>
      <c r="L1179">
        <f t="shared" si="3634"/>
        <v>1</v>
      </c>
      <c r="M1179">
        <f t="shared" si="3635"/>
        <v>1</v>
      </c>
      <c r="N1179">
        <f t="shared" si="3636"/>
        <v>0</v>
      </c>
      <c r="O1179">
        <f t="shared" si="3628"/>
        <v>2</v>
      </c>
      <c r="P1179" t="str">
        <f t="shared" si="3637"/>
        <v>Medium centralized biomass gasification w/ CCS-Maturity</v>
      </c>
      <c r="Q1179" t="str">
        <f t="shared" si="3638"/>
        <v>Central gas storage-Maturity</v>
      </c>
      <c r="R1179" t="str">
        <f t="shared" si="3639"/>
        <v>Hydrogen transmission &amp; distribution pipeline-Maturity</v>
      </c>
      <c r="S1179" t="str">
        <f t="shared" si="3640"/>
        <v>District-CHP with H2 fuel cell (power)-Maturity</v>
      </c>
      <c r="T1179">
        <f ca="1">VLOOKUP($P1179,'TA database'!$I$8:$J$79,2,FALSE)</f>
        <v>6</v>
      </c>
      <c r="U1179">
        <f ca="1">VLOOKUP($Q1179,'TA database'!$I$86:$J$105,2,FALSE)</f>
        <v>9</v>
      </c>
      <c r="V1179">
        <f ca="1">VLOOKUP($R1179,'TA database'!$I$112:$J$139,2,FALSE)</f>
        <v>9</v>
      </c>
      <c r="W1179">
        <f>IFERROR(VLOOKUP($S1179,'TA database'!$I$146:$J$193,2,FALSE),0)</f>
        <v>0</v>
      </c>
      <c r="X1179">
        <f ca="1">IFERROR(VLOOKUP($S1179,'TA database'!$I$200:$J$271,2,FALSE),0)</f>
        <v>7</v>
      </c>
      <c r="Y1179">
        <f t="shared" ca="1" si="3641"/>
        <v>6</v>
      </c>
      <c r="Z1179" t="str">
        <f t="shared" si="3629"/>
        <v>BIO_GSF_CCS_MED_C   →   C_GAS_STRG   →   H2_T&amp;D_P   →   H2_FC_DCHP_PWR</v>
      </c>
      <c r="AA1179" t="str">
        <f t="shared" si="3630"/>
        <v>Grid electricity</v>
      </c>
      <c r="AB1179" t="str">
        <f t="shared" si="3631"/>
        <v>Maturity</v>
      </c>
      <c r="AC1179">
        <f t="shared" ca="1" si="3632"/>
        <v>6</v>
      </c>
      <c r="AD1179">
        <v>1120</v>
      </c>
      <c r="AE1179" t="str">
        <f>IF(AND(ISNUMBER(SEARCH(O1179,4)),ISNUMBER(SEARCH('(4) FCH pathway assessment'!$B$16,AB1179)),ISNUMBER(SEARCH('(4) FCH pathway assessment'!$B$10,AA1179))),AD1179,"")</f>
        <v/>
      </c>
      <c r="AF1179" t="str">
        <f t="shared" si="3557"/>
        <v/>
      </c>
      <c r="AG1179" t="str">
        <f>VLOOKUP(C1179,Assumptions!$B$116:$C$162,2,FALSE)</f>
        <v>BIO_GSF_CCS_MED_C</v>
      </c>
      <c r="AH1179" t="str">
        <f>VLOOKUP(D1179,Assumptions!$B$116:$C$162,2,FALSE)</f>
        <v>C_GAS_STRG</v>
      </c>
      <c r="AI1179" t="str">
        <f>VLOOKUP(E1179,Assumptions!$B$116:$C$162,2,FALSE)</f>
        <v>H2_T&amp;D_P</v>
      </c>
      <c r="AJ1179" t="str">
        <f>VLOOKUP(F1179,Assumptions!$B$116:$C$162,2,FALSE)</f>
        <v>H2_FC_DCHP_PWR</v>
      </c>
    </row>
    <row r="1180" spans="2:36" x14ac:dyDescent="0.25">
      <c r="B1180" t="s">
        <v>117</v>
      </c>
      <c r="C1180" t="s">
        <v>54</v>
      </c>
      <c r="D1180" t="s">
        <v>155</v>
      </c>
      <c r="E1180" t="s">
        <v>116</v>
      </c>
      <c r="F1180" t="s">
        <v>549</v>
      </c>
      <c r="G1180" t="s">
        <v>114</v>
      </c>
      <c r="H1180" t="s">
        <v>433</v>
      </c>
      <c r="I1180" t="s">
        <v>32</v>
      </c>
      <c r="J1180" t="s">
        <v>78</v>
      </c>
      <c r="K1180">
        <f t="shared" si="3633"/>
        <v>0</v>
      </c>
      <c r="L1180">
        <f t="shared" si="3634"/>
        <v>1</v>
      </c>
      <c r="M1180">
        <f t="shared" si="3635"/>
        <v>1</v>
      </c>
      <c r="N1180">
        <f t="shared" si="3636"/>
        <v>0</v>
      </c>
      <c r="O1180">
        <f t="shared" si="3628"/>
        <v>2</v>
      </c>
      <c r="P1180" t="str">
        <f t="shared" si="3637"/>
        <v>Medium centralized biomass gasification w/ CCS-Maturity</v>
      </c>
      <c r="Q1180" t="str">
        <f t="shared" si="3638"/>
        <v>Central gas storage-Maturity</v>
      </c>
      <c r="R1180" t="str">
        <f t="shared" si="3639"/>
        <v>Liquid hydrogen truck-Maturity</v>
      </c>
      <c r="S1180" t="str">
        <f t="shared" si="3640"/>
        <v>District-CHP with H2 fuel cell (power)-Maturity</v>
      </c>
      <c r="T1180">
        <f ca="1">VLOOKUP($P1180,'TA database'!$I$8:$J$79,2,FALSE)</f>
        <v>6</v>
      </c>
      <c r="U1180">
        <f ca="1">VLOOKUP($Q1180,'TA database'!$I$86:$J$105,2,FALSE)</f>
        <v>9</v>
      </c>
      <c r="V1180">
        <f ca="1">VLOOKUP($R1180,'TA database'!$I$112:$J$139,2,FALSE)</f>
        <v>9</v>
      </c>
      <c r="W1180">
        <f>IFERROR(VLOOKUP($S1180,'TA database'!$I$146:$J$193,2,FALSE),0)</f>
        <v>0</v>
      </c>
      <c r="X1180">
        <f ca="1">IFERROR(VLOOKUP($S1180,'TA database'!$I$200:$J$271,2,FALSE),0)</f>
        <v>7</v>
      </c>
      <c r="Y1180">
        <f t="shared" ca="1" si="3641"/>
        <v>6</v>
      </c>
      <c r="Z1180" t="str">
        <f t="shared" si="3629"/>
        <v>BIO_GSF_CCS_MED_C   →   C_GAS_STRG   →   LQ_TRUCK   →   H2_FC_DCHP_PWR</v>
      </c>
      <c r="AA1180" t="str">
        <f t="shared" si="3630"/>
        <v>Grid electricity</v>
      </c>
      <c r="AB1180" t="str">
        <f t="shared" si="3631"/>
        <v>Maturity</v>
      </c>
      <c r="AC1180">
        <f t="shared" ca="1" si="3632"/>
        <v>6</v>
      </c>
      <c r="AD1180">
        <v>1121</v>
      </c>
      <c r="AE1180" t="str">
        <f>IF(AND(ISNUMBER(SEARCH(O1180,4)),ISNUMBER(SEARCH('(4) FCH pathway assessment'!$B$16,AB1180)),ISNUMBER(SEARCH('(4) FCH pathway assessment'!$B$10,AA1180))),AD1180,"")</f>
        <v/>
      </c>
      <c r="AF1180" t="str">
        <f t="shared" si="3557"/>
        <v/>
      </c>
      <c r="AG1180" t="str">
        <f>VLOOKUP(C1180,Assumptions!$B$116:$C$162,2,FALSE)</f>
        <v>BIO_GSF_CCS_MED_C</v>
      </c>
      <c r="AH1180" t="str">
        <f>VLOOKUP(D1180,Assumptions!$B$116:$C$162,2,FALSE)</f>
        <v>C_GAS_STRG</v>
      </c>
      <c r="AI1180" t="str">
        <f>VLOOKUP(E1180,Assumptions!$B$116:$C$162,2,FALSE)</f>
        <v>LQ_TRUCK</v>
      </c>
      <c r="AJ1180" t="str">
        <f>VLOOKUP(F1180,Assumptions!$B$116:$C$162,2,FALSE)</f>
        <v>H2_FC_DCHP_PWR</v>
      </c>
    </row>
    <row r="1181" spans="2:36" x14ac:dyDescent="0.25">
      <c r="B1181" t="s">
        <v>117</v>
      </c>
      <c r="C1181" t="s">
        <v>54</v>
      </c>
      <c r="D1181" t="s">
        <v>155</v>
      </c>
      <c r="E1181" t="s">
        <v>66</v>
      </c>
      <c r="F1181" t="s">
        <v>549</v>
      </c>
      <c r="G1181" t="s">
        <v>114</v>
      </c>
      <c r="H1181" t="s">
        <v>433</v>
      </c>
      <c r="I1181" t="s">
        <v>32</v>
      </c>
      <c r="J1181" t="s">
        <v>78</v>
      </c>
      <c r="K1181">
        <f t="shared" si="3633"/>
        <v>0</v>
      </c>
      <c r="L1181">
        <f t="shared" si="3634"/>
        <v>1</v>
      </c>
      <c r="M1181">
        <f t="shared" si="3635"/>
        <v>1</v>
      </c>
      <c r="N1181">
        <f t="shared" si="3636"/>
        <v>0</v>
      </c>
      <c r="O1181">
        <f t="shared" si="3628"/>
        <v>2</v>
      </c>
      <c r="P1181" t="str">
        <f t="shared" si="3637"/>
        <v>Medium centralized biomass gasification w/ CCS-Maturity</v>
      </c>
      <c r="Q1181" t="str">
        <f t="shared" si="3638"/>
        <v>Central gas storage-Maturity</v>
      </c>
      <c r="R1181" t="str">
        <f t="shared" si="3639"/>
        <v>Onsite-Maturity</v>
      </c>
      <c r="S1181" t="str">
        <f t="shared" si="3640"/>
        <v>District-CHP with H2 fuel cell (power)-Maturity</v>
      </c>
      <c r="T1181">
        <f ca="1">VLOOKUP($P1181,'TA database'!$I$8:$J$79,2,FALSE)</f>
        <v>6</v>
      </c>
      <c r="U1181">
        <f ca="1">VLOOKUP($Q1181,'TA database'!$I$86:$J$105,2,FALSE)</f>
        <v>9</v>
      </c>
      <c r="V1181">
        <f ca="1">VLOOKUP($R1181,'TA database'!$I$112:$J$139,2,FALSE)</f>
        <v>9</v>
      </c>
      <c r="W1181">
        <f>IFERROR(VLOOKUP($S1181,'TA database'!$I$146:$J$193,2,FALSE),0)</f>
        <v>0</v>
      </c>
      <c r="X1181">
        <f ca="1">IFERROR(VLOOKUP($S1181,'TA database'!$I$200:$J$271,2,FALSE),0)</f>
        <v>7</v>
      </c>
      <c r="Y1181">
        <f t="shared" ca="1" si="3641"/>
        <v>6</v>
      </c>
      <c r="Z1181" t="str">
        <f t="shared" si="3629"/>
        <v>BIO_GSF_CCS_MED_C   →   C_GAS_STRG   →   ONSITE_USE   →   H2_FC_DCHP_PWR</v>
      </c>
      <c r="AA1181" t="str">
        <f t="shared" si="3630"/>
        <v>Grid electricity</v>
      </c>
      <c r="AB1181" t="str">
        <f t="shared" si="3631"/>
        <v>Maturity</v>
      </c>
      <c r="AC1181">
        <f t="shared" ca="1" si="3632"/>
        <v>6</v>
      </c>
      <c r="AD1181">
        <v>1122</v>
      </c>
      <c r="AE1181" t="str">
        <f>IF(AND(ISNUMBER(SEARCH(O1181,4)),ISNUMBER(SEARCH('(4) FCH pathway assessment'!$B$16,AB1181)),ISNUMBER(SEARCH('(4) FCH pathway assessment'!$B$10,AA1181))),AD1181,"")</f>
        <v/>
      </c>
      <c r="AF1181" t="str">
        <f t="shared" si="3557"/>
        <v/>
      </c>
      <c r="AG1181" t="str">
        <f>VLOOKUP(C1181,Assumptions!$B$116:$C$162,2,FALSE)</f>
        <v>BIO_GSF_CCS_MED_C</v>
      </c>
      <c r="AH1181" t="str">
        <f>VLOOKUP(D1181,Assumptions!$B$116:$C$162,2,FALSE)</f>
        <v>C_GAS_STRG</v>
      </c>
      <c r="AI1181" t="str">
        <f>VLOOKUP(E1181,Assumptions!$B$116:$C$162,2,FALSE)</f>
        <v>ONSITE_USE</v>
      </c>
      <c r="AJ1181" t="str">
        <f>VLOOKUP(F1181,Assumptions!$B$116:$C$162,2,FALSE)</f>
        <v>H2_FC_DCHP_PWR</v>
      </c>
    </row>
    <row r="1182" spans="2:36" x14ac:dyDescent="0.25">
      <c r="B1182" t="s">
        <v>117</v>
      </c>
      <c r="C1182" t="s">
        <v>55</v>
      </c>
      <c r="D1182" s="60" t="s">
        <v>130</v>
      </c>
      <c r="E1182" t="s">
        <v>66</v>
      </c>
      <c r="F1182" t="s">
        <v>549</v>
      </c>
      <c r="G1182" t="s">
        <v>114</v>
      </c>
      <c r="H1182" t="s">
        <v>433</v>
      </c>
      <c r="I1182" t="s">
        <v>32</v>
      </c>
      <c r="J1182" t="s">
        <v>78</v>
      </c>
      <c r="K1182">
        <f t="shared" ref="K1182:K1187" si="3642">SUMPRODUCT(($C$7:$C$18=$C1182)*($D$6:$H$6=$D1182)*($D$7:$H$18))</f>
        <v>0</v>
      </c>
      <c r="L1182">
        <f t="shared" ref="L1182:L1187" si="3643">SUMPRODUCT(($C$19:$C$23=$D1182)*($I$6:$O$6=$E1182)*($I$19:$O$23))</f>
        <v>1</v>
      </c>
      <c r="M1182">
        <f t="shared" ref="M1182:M1187" si="3644">SUMPRODUCT(($C$24:$C$30=$E1182)*($P$6:$AI$6=$F1182)*($P$24:$AI$30))</f>
        <v>1</v>
      </c>
      <c r="N1182">
        <f t="shared" ref="N1182:N1187" si="3645">SUMPRODUCT(($C$31:$C$50=$F1182)*($AJ$6:$AM$6=$G1182)*($AJ$31:$AM$50))</f>
        <v>0</v>
      </c>
      <c r="O1182">
        <f t="shared" ref="O1182:O1187" si="3646">K1182+L1182+M1182+N1182</f>
        <v>2</v>
      </c>
      <c r="P1182" t="str">
        <f t="shared" ref="P1182:P1187" si="3647">CONCATENATE(C1182,"-",J1182)</f>
        <v>Small decentralized biomass gasification-Maturity</v>
      </c>
      <c r="Q1182" t="str">
        <f t="shared" ref="Q1182:Q1187" si="3648">CONCATENATE(D1182,"-",J1182)</f>
        <v>Distributed gas storage-Maturity</v>
      </c>
      <c r="R1182" t="str">
        <f t="shared" ref="R1182:R1187" si="3649">CONCATENATE(E1182,"-",J1182)</f>
        <v>Onsite-Maturity</v>
      </c>
      <c r="S1182" t="str">
        <f t="shared" ref="S1182:S1187" si="3650">CONCATENATE(F1182,"-",J1182)</f>
        <v>District-CHP with H2 fuel cell (power)-Maturity</v>
      </c>
      <c r="T1182">
        <f ca="1">VLOOKUP($P1182,'TA database'!$I$8:$J$79,2,FALSE)</f>
        <v>6</v>
      </c>
      <c r="U1182">
        <f ca="1">VLOOKUP($Q1182,'TA database'!$I$86:$J$105,2,FALSE)</f>
        <v>9</v>
      </c>
      <c r="V1182">
        <f ca="1">VLOOKUP($R1182,'TA database'!$I$112:$J$139,2,FALSE)</f>
        <v>9</v>
      </c>
      <c r="W1182">
        <f>IFERROR(VLOOKUP($S1182,'TA database'!$I$146:$J$193,2,FALSE),0)</f>
        <v>0</v>
      </c>
      <c r="X1182">
        <f ca="1">IFERROR(VLOOKUP($S1182,'TA database'!$I$200:$J$271,2,FALSE),0)</f>
        <v>7</v>
      </c>
      <c r="Y1182">
        <f t="shared" ca="1" si="3641"/>
        <v>6</v>
      </c>
      <c r="Z1182" t="str">
        <f t="shared" ref="Z1182:Z1187" si="3651">CONCATENATE(AG1182,"   →   ",AH1182,"   →   ",AI1182,"   →   ",AJ1182)</f>
        <v>BIO_GSF_SML_D   →   D_GAS_STRG   →   ONSITE_USE   →   H2_FC_DCHP_PWR</v>
      </c>
      <c r="AA1182" t="str">
        <f t="shared" ref="AA1182:AA1187" si="3652">G1182</f>
        <v>Grid electricity</v>
      </c>
      <c r="AB1182" t="str">
        <f t="shared" ref="AB1182:AB1187" si="3653">J1182</f>
        <v>Maturity</v>
      </c>
      <c r="AC1182">
        <f t="shared" ref="AC1182:AC1187" ca="1" si="3654">Y1182</f>
        <v>6</v>
      </c>
      <c r="AD1182">
        <v>1123</v>
      </c>
      <c r="AE1182" t="str">
        <f>IF(AND(ISNUMBER(SEARCH(O1182,4)),ISNUMBER(SEARCH('(4) FCH pathway assessment'!$B$16,AB1182)),ISNUMBER(SEARCH('(4) FCH pathway assessment'!$B$10,AA1182))),AD1182,"")</f>
        <v/>
      </c>
      <c r="AF1182" t="str">
        <f t="shared" si="3557"/>
        <v/>
      </c>
      <c r="AG1182" t="str">
        <f>VLOOKUP(C1182,Assumptions!$B$116:$C$162,2,FALSE)</f>
        <v>BIO_GSF_SML_D</v>
      </c>
      <c r="AH1182" t="str">
        <f>VLOOKUP(D1182,Assumptions!$B$116:$C$162,2,FALSE)</f>
        <v>D_GAS_STRG</v>
      </c>
      <c r="AI1182" t="str">
        <f>VLOOKUP(E1182,Assumptions!$B$116:$C$162,2,FALSE)</f>
        <v>ONSITE_USE</v>
      </c>
      <c r="AJ1182" t="str">
        <f>VLOOKUP(F1182,Assumptions!$B$116:$C$162,2,FALSE)</f>
        <v>H2_FC_DCHP_PWR</v>
      </c>
    </row>
    <row r="1183" spans="2:36" x14ac:dyDescent="0.25">
      <c r="B1183" t="s">
        <v>117</v>
      </c>
      <c r="C1183" t="s">
        <v>56</v>
      </c>
      <c r="D1183" t="s">
        <v>62</v>
      </c>
      <c r="E1183" t="s">
        <v>157</v>
      </c>
      <c r="F1183" t="s">
        <v>549</v>
      </c>
      <c r="G1183" t="s">
        <v>114</v>
      </c>
      <c r="H1183" t="s">
        <v>433</v>
      </c>
      <c r="I1183" t="s">
        <v>32</v>
      </c>
      <c r="J1183" t="s">
        <v>78</v>
      </c>
      <c r="K1183">
        <f t="shared" si="3642"/>
        <v>0</v>
      </c>
      <c r="L1183">
        <f t="shared" si="3643"/>
        <v>0</v>
      </c>
      <c r="M1183">
        <f t="shared" si="3644"/>
        <v>0</v>
      </c>
      <c r="N1183">
        <f t="shared" si="3645"/>
        <v>0</v>
      </c>
      <c r="O1183">
        <f t="shared" si="3646"/>
        <v>0</v>
      </c>
      <c r="P1183" t="str">
        <f t="shared" si="3647"/>
        <v>Large centralized biomass steam reforming -Maturity</v>
      </c>
      <c r="Q1183" t="str">
        <f t="shared" si="3648"/>
        <v>Underground storage-Maturity</v>
      </c>
      <c r="R1183" t="str">
        <f t="shared" si="3649"/>
        <v>Blending in natural gas pipeline-Maturity</v>
      </c>
      <c r="S1183" t="str">
        <f t="shared" si="3650"/>
        <v>District-CHP with H2 fuel cell (power)-Maturity</v>
      </c>
      <c r="T1183">
        <f ca="1">VLOOKUP($P1183,'TA database'!$I$8:$J$79,2,FALSE)</f>
        <v>6</v>
      </c>
      <c r="U1183">
        <f ca="1">VLOOKUP($Q1183,'TA database'!$I$86:$J$105,2,FALSE)</f>
        <v>6</v>
      </c>
      <c r="V1183">
        <f ca="1">VLOOKUP($R1183,'TA database'!$I$112:$J$139,2,FALSE)</f>
        <v>7</v>
      </c>
      <c r="W1183">
        <f>IFERROR(VLOOKUP($S1183,'TA database'!$I$146:$J$193,2,FALSE),0)</f>
        <v>0</v>
      </c>
      <c r="X1183">
        <f ca="1">IFERROR(VLOOKUP($S1183,'TA database'!$I$200:$J$271,2,FALSE),0)</f>
        <v>7</v>
      </c>
      <c r="Y1183">
        <f t="shared" ref="Y1183:Y1195" ca="1" si="3655">IF($W1183=0,MIN($T1183:$V1183,$X1183),MIN($T1183:$W1183))</f>
        <v>6</v>
      </c>
      <c r="Z1183" t="str">
        <f t="shared" si="3651"/>
        <v>BIO_SR_LRG_C   →   C_UNDRGRND_STRG   →   H2_BLND_NG_P   →   H2_FC_DCHP_PWR</v>
      </c>
      <c r="AA1183" t="str">
        <f t="shared" si="3652"/>
        <v>Grid electricity</v>
      </c>
      <c r="AB1183" t="str">
        <f t="shared" si="3653"/>
        <v>Maturity</v>
      </c>
      <c r="AC1183">
        <f t="shared" ca="1" si="3654"/>
        <v>6</v>
      </c>
      <c r="AD1183">
        <v>1124</v>
      </c>
      <c r="AE1183" t="str">
        <f>IF(AND(ISNUMBER(SEARCH(O1183,4)),ISNUMBER(SEARCH('(4) FCH pathway assessment'!$B$16,AB1183)),ISNUMBER(SEARCH('(4) FCH pathway assessment'!$B$10,AA1183))),AD1183,"")</f>
        <v/>
      </c>
      <c r="AF1183" t="str">
        <f t="shared" si="3557"/>
        <v/>
      </c>
      <c r="AG1183" t="str">
        <f>VLOOKUP(C1183,Assumptions!$B$116:$C$162,2,FALSE)</f>
        <v>BIO_SR_LRG_C</v>
      </c>
      <c r="AH1183" t="str">
        <f>VLOOKUP(D1183,Assumptions!$B$116:$C$162,2,FALSE)</f>
        <v>C_UNDRGRND_STRG</v>
      </c>
      <c r="AI1183" t="str">
        <f>VLOOKUP(E1183,Assumptions!$B$116:$C$162,2,FALSE)</f>
        <v>H2_BLND_NG_P</v>
      </c>
      <c r="AJ1183" t="str">
        <f>VLOOKUP(F1183,Assumptions!$B$116:$C$162,2,FALSE)</f>
        <v>H2_FC_DCHP_PWR</v>
      </c>
    </row>
    <row r="1184" spans="2:36" x14ac:dyDescent="0.25">
      <c r="B1184" t="s">
        <v>117</v>
      </c>
      <c r="C1184" t="s">
        <v>56</v>
      </c>
      <c r="D1184" t="s">
        <v>62</v>
      </c>
      <c r="E1184" t="s">
        <v>122</v>
      </c>
      <c r="F1184" t="s">
        <v>549</v>
      </c>
      <c r="G1184" t="s">
        <v>114</v>
      </c>
      <c r="H1184" t="s">
        <v>433</v>
      </c>
      <c r="I1184" t="s">
        <v>32</v>
      </c>
      <c r="J1184" t="s">
        <v>78</v>
      </c>
      <c r="K1184">
        <f t="shared" si="3642"/>
        <v>0</v>
      </c>
      <c r="L1184">
        <f t="shared" si="3643"/>
        <v>0</v>
      </c>
      <c r="M1184">
        <f t="shared" si="3644"/>
        <v>1</v>
      </c>
      <c r="N1184">
        <f t="shared" si="3645"/>
        <v>0</v>
      </c>
      <c r="O1184">
        <f t="shared" si="3646"/>
        <v>1</v>
      </c>
      <c r="P1184" t="str">
        <f t="shared" si="3647"/>
        <v>Large centralized biomass steam reforming -Maturity</v>
      </c>
      <c r="Q1184" t="str">
        <f t="shared" si="3648"/>
        <v>Underground storage-Maturity</v>
      </c>
      <c r="R1184" t="str">
        <f t="shared" si="3649"/>
        <v>Hydrogen transmission &amp; distribution pipeline-Maturity</v>
      </c>
      <c r="S1184" t="str">
        <f t="shared" si="3650"/>
        <v>District-CHP with H2 fuel cell (power)-Maturity</v>
      </c>
      <c r="T1184">
        <f ca="1">VLOOKUP($P1184,'TA database'!$I$8:$J$79,2,FALSE)</f>
        <v>6</v>
      </c>
      <c r="U1184">
        <f ca="1">VLOOKUP($Q1184,'TA database'!$I$86:$J$105,2,FALSE)</f>
        <v>6</v>
      </c>
      <c r="V1184">
        <f ca="1">VLOOKUP($R1184,'TA database'!$I$112:$J$139,2,FALSE)</f>
        <v>9</v>
      </c>
      <c r="W1184">
        <f>IFERROR(VLOOKUP($S1184,'TA database'!$I$146:$J$193,2,FALSE),0)</f>
        <v>0</v>
      </c>
      <c r="X1184">
        <f ca="1">IFERROR(VLOOKUP($S1184,'TA database'!$I$200:$J$271,2,FALSE),0)</f>
        <v>7</v>
      </c>
      <c r="Y1184">
        <f t="shared" ca="1" si="3655"/>
        <v>6</v>
      </c>
      <c r="Z1184" t="str">
        <f t="shared" si="3651"/>
        <v>BIO_SR_LRG_C   →   C_UNDRGRND_STRG   →   H2_T&amp;D_P   →   H2_FC_DCHP_PWR</v>
      </c>
      <c r="AA1184" t="str">
        <f t="shared" si="3652"/>
        <v>Grid electricity</v>
      </c>
      <c r="AB1184" t="str">
        <f t="shared" si="3653"/>
        <v>Maturity</v>
      </c>
      <c r="AC1184">
        <f t="shared" ca="1" si="3654"/>
        <v>6</v>
      </c>
      <c r="AD1184">
        <v>1125</v>
      </c>
      <c r="AE1184" t="str">
        <f>IF(AND(ISNUMBER(SEARCH(O1184,4)),ISNUMBER(SEARCH('(4) FCH pathway assessment'!$B$16,AB1184)),ISNUMBER(SEARCH('(4) FCH pathway assessment'!$B$10,AA1184))),AD1184,"")</f>
        <v/>
      </c>
      <c r="AF1184" t="str">
        <f t="shared" si="3557"/>
        <v/>
      </c>
      <c r="AG1184" t="str">
        <f>VLOOKUP(C1184,Assumptions!$B$116:$C$162,2,FALSE)</f>
        <v>BIO_SR_LRG_C</v>
      </c>
      <c r="AH1184" t="str">
        <f>VLOOKUP(D1184,Assumptions!$B$116:$C$162,2,FALSE)</f>
        <v>C_UNDRGRND_STRG</v>
      </c>
      <c r="AI1184" t="str">
        <f>VLOOKUP(E1184,Assumptions!$B$116:$C$162,2,FALSE)</f>
        <v>H2_T&amp;D_P</v>
      </c>
      <c r="AJ1184" t="str">
        <f>VLOOKUP(F1184,Assumptions!$B$116:$C$162,2,FALSE)</f>
        <v>H2_FC_DCHP_PWR</v>
      </c>
    </row>
    <row r="1185" spans="2:36" x14ac:dyDescent="0.25">
      <c r="B1185" t="s">
        <v>117</v>
      </c>
      <c r="C1185" t="s">
        <v>56</v>
      </c>
      <c r="D1185" t="s">
        <v>62</v>
      </c>
      <c r="E1185" t="s">
        <v>116</v>
      </c>
      <c r="F1185" t="s">
        <v>549</v>
      </c>
      <c r="G1185" t="s">
        <v>114</v>
      </c>
      <c r="H1185" t="s">
        <v>433</v>
      </c>
      <c r="I1185" t="s">
        <v>32</v>
      </c>
      <c r="J1185" t="s">
        <v>78</v>
      </c>
      <c r="K1185">
        <f t="shared" si="3642"/>
        <v>0</v>
      </c>
      <c r="L1185">
        <f t="shared" si="3643"/>
        <v>0</v>
      </c>
      <c r="M1185">
        <f t="shared" si="3644"/>
        <v>1</v>
      </c>
      <c r="N1185">
        <f t="shared" si="3645"/>
        <v>0</v>
      </c>
      <c r="O1185">
        <f t="shared" si="3646"/>
        <v>1</v>
      </c>
      <c r="P1185" t="str">
        <f t="shared" si="3647"/>
        <v>Large centralized biomass steam reforming -Maturity</v>
      </c>
      <c r="Q1185" t="str">
        <f t="shared" si="3648"/>
        <v>Underground storage-Maturity</v>
      </c>
      <c r="R1185" t="str">
        <f t="shared" si="3649"/>
        <v>Liquid hydrogen truck-Maturity</v>
      </c>
      <c r="S1185" t="str">
        <f t="shared" si="3650"/>
        <v>District-CHP with H2 fuel cell (power)-Maturity</v>
      </c>
      <c r="T1185">
        <f ca="1">VLOOKUP($P1185,'TA database'!$I$8:$J$79,2,FALSE)</f>
        <v>6</v>
      </c>
      <c r="U1185">
        <f ca="1">VLOOKUP($Q1185,'TA database'!$I$86:$J$105,2,FALSE)</f>
        <v>6</v>
      </c>
      <c r="V1185">
        <f ca="1">VLOOKUP($R1185,'TA database'!$I$112:$J$139,2,FALSE)</f>
        <v>9</v>
      </c>
      <c r="W1185">
        <f>IFERROR(VLOOKUP($S1185,'TA database'!$I$146:$J$193,2,FALSE),0)</f>
        <v>0</v>
      </c>
      <c r="X1185">
        <f ca="1">IFERROR(VLOOKUP($S1185,'TA database'!$I$200:$J$271,2,FALSE),0)</f>
        <v>7</v>
      </c>
      <c r="Y1185">
        <f t="shared" ca="1" si="3655"/>
        <v>6</v>
      </c>
      <c r="Z1185" t="str">
        <f t="shared" si="3651"/>
        <v>BIO_SR_LRG_C   →   C_UNDRGRND_STRG   →   LQ_TRUCK   →   H2_FC_DCHP_PWR</v>
      </c>
      <c r="AA1185" t="str">
        <f t="shared" si="3652"/>
        <v>Grid electricity</v>
      </c>
      <c r="AB1185" t="str">
        <f t="shared" si="3653"/>
        <v>Maturity</v>
      </c>
      <c r="AC1185">
        <f t="shared" ca="1" si="3654"/>
        <v>6</v>
      </c>
      <c r="AD1185">
        <v>1126</v>
      </c>
      <c r="AE1185" t="str">
        <f>IF(AND(ISNUMBER(SEARCH(O1185,4)),ISNUMBER(SEARCH('(4) FCH pathway assessment'!$B$16,AB1185)),ISNUMBER(SEARCH('(4) FCH pathway assessment'!$B$10,AA1185))),AD1185,"")</f>
        <v/>
      </c>
      <c r="AF1185" t="str">
        <f t="shared" si="3557"/>
        <v/>
      </c>
      <c r="AG1185" t="str">
        <f>VLOOKUP(C1185,Assumptions!$B$116:$C$162,2,FALSE)</f>
        <v>BIO_SR_LRG_C</v>
      </c>
      <c r="AH1185" t="str">
        <f>VLOOKUP(D1185,Assumptions!$B$116:$C$162,2,FALSE)</f>
        <v>C_UNDRGRND_STRG</v>
      </c>
      <c r="AI1185" t="str">
        <f>VLOOKUP(E1185,Assumptions!$B$116:$C$162,2,FALSE)</f>
        <v>LQ_TRUCK</v>
      </c>
      <c r="AJ1185" t="str">
        <f>VLOOKUP(F1185,Assumptions!$B$116:$C$162,2,FALSE)</f>
        <v>H2_FC_DCHP_PWR</v>
      </c>
    </row>
    <row r="1186" spans="2:36" x14ac:dyDescent="0.25">
      <c r="B1186" t="s">
        <v>117</v>
      </c>
      <c r="C1186" t="s">
        <v>56</v>
      </c>
      <c r="D1186" t="s">
        <v>62</v>
      </c>
      <c r="E1186" t="s">
        <v>66</v>
      </c>
      <c r="F1186" t="s">
        <v>549</v>
      </c>
      <c r="G1186" t="s">
        <v>114</v>
      </c>
      <c r="H1186" t="s">
        <v>433</v>
      </c>
      <c r="I1186" t="s">
        <v>32</v>
      </c>
      <c r="J1186" t="s">
        <v>78</v>
      </c>
      <c r="K1186">
        <f t="shared" si="3642"/>
        <v>0</v>
      </c>
      <c r="L1186">
        <f t="shared" si="3643"/>
        <v>0</v>
      </c>
      <c r="M1186">
        <f t="shared" si="3644"/>
        <v>1</v>
      </c>
      <c r="N1186">
        <f t="shared" si="3645"/>
        <v>0</v>
      </c>
      <c r="O1186">
        <f t="shared" si="3646"/>
        <v>1</v>
      </c>
      <c r="P1186" t="str">
        <f t="shared" si="3647"/>
        <v>Large centralized biomass steam reforming -Maturity</v>
      </c>
      <c r="Q1186" t="str">
        <f t="shared" si="3648"/>
        <v>Underground storage-Maturity</v>
      </c>
      <c r="R1186" t="str">
        <f t="shared" si="3649"/>
        <v>Onsite-Maturity</v>
      </c>
      <c r="S1186" t="str">
        <f t="shared" si="3650"/>
        <v>District-CHP with H2 fuel cell (power)-Maturity</v>
      </c>
      <c r="T1186">
        <f ca="1">VLOOKUP($P1186,'TA database'!$I$8:$J$79,2,FALSE)</f>
        <v>6</v>
      </c>
      <c r="U1186">
        <f ca="1">VLOOKUP($Q1186,'TA database'!$I$86:$J$105,2,FALSE)</f>
        <v>6</v>
      </c>
      <c r="V1186">
        <f ca="1">VLOOKUP($R1186,'TA database'!$I$112:$J$139,2,FALSE)</f>
        <v>9</v>
      </c>
      <c r="W1186">
        <f>IFERROR(VLOOKUP($S1186,'TA database'!$I$146:$J$193,2,FALSE),0)</f>
        <v>0</v>
      </c>
      <c r="X1186">
        <f ca="1">IFERROR(VLOOKUP($S1186,'TA database'!$I$200:$J$271,2,FALSE),0)</f>
        <v>7</v>
      </c>
      <c r="Y1186">
        <f t="shared" ca="1" si="3655"/>
        <v>6</v>
      </c>
      <c r="Z1186" t="str">
        <f t="shared" si="3651"/>
        <v>BIO_SR_LRG_C   →   C_UNDRGRND_STRG   →   ONSITE_USE   →   H2_FC_DCHP_PWR</v>
      </c>
      <c r="AA1186" t="str">
        <f t="shared" si="3652"/>
        <v>Grid electricity</v>
      </c>
      <c r="AB1186" t="str">
        <f t="shared" si="3653"/>
        <v>Maturity</v>
      </c>
      <c r="AC1186">
        <f t="shared" ca="1" si="3654"/>
        <v>6</v>
      </c>
      <c r="AD1186">
        <v>1127</v>
      </c>
      <c r="AE1186" t="str">
        <f>IF(AND(ISNUMBER(SEARCH(O1186,4)),ISNUMBER(SEARCH('(4) FCH pathway assessment'!$B$16,AB1186)),ISNUMBER(SEARCH('(4) FCH pathway assessment'!$B$10,AA1186))),AD1186,"")</f>
        <v/>
      </c>
      <c r="AF1186" t="str">
        <f t="shared" si="3557"/>
        <v/>
      </c>
      <c r="AG1186" t="str">
        <f>VLOOKUP(C1186,Assumptions!$B$116:$C$162,2,FALSE)</f>
        <v>BIO_SR_LRG_C</v>
      </c>
      <c r="AH1186" t="str">
        <f>VLOOKUP(D1186,Assumptions!$B$116:$C$162,2,FALSE)</f>
        <v>C_UNDRGRND_STRG</v>
      </c>
      <c r="AI1186" t="str">
        <f>VLOOKUP(E1186,Assumptions!$B$116:$C$162,2,FALSE)</f>
        <v>ONSITE_USE</v>
      </c>
      <c r="AJ1186" t="str">
        <f>VLOOKUP(F1186,Assumptions!$B$116:$C$162,2,FALSE)</f>
        <v>H2_FC_DCHP_PWR</v>
      </c>
    </row>
    <row r="1187" spans="2:36" x14ac:dyDescent="0.25">
      <c r="B1187" t="s">
        <v>117</v>
      </c>
      <c r="C1187" t="s">
        <v>56</v>
      </c>
      <c r="D1187" s="61" t="s">
        <v>63</v>
      </c>
      <c r="E1187" t="s">
        <v>122</v>
      </c>
      <c r="F1187" t="s">
        <v>549</v>
      </c>
      <c r="G1187" t="s">
        <v>114</v>
      </c>
      <c r="H1187" t="s">
        <v>433</v>
      </c>
      <c r="I1187" t="s">
        <v>32</v>
      </c>
      <c r="J1187" t="s">
        <v>78</v>
      </c>
      <c r="K1187">
        <f t="shared" si="3642"/>
        <v>0</v>
      </c>
      <c r="L1187">
        <f t="shared" si="3643"/>
        <v>1</v>
      </c>
      <c r="M1187">
        <f t="shared" si="3644"/>
        <v>1</v>
      </c>
      <c r="N1187">
        <f t="shared" si="3645"/>
        <v>0</v>
      </c>
      <c r="O1187">
        <f t="shared" si="3646"/>
        <v>2</v>
      </c>
      <c r="P1187" t="str">
        <f t="shared" si="3647"/>
        <v>Large centralized biomass steam reforming -Maturity</v>
      </c>
      <c r="Q1187" t="str">
        <f t="shared" si="3648"/>
        <v>No storage-Maturity</v>
      </c>
      <c r="R1187" t="str">
        <f t="shared" si="3649"/>
        <v>Hydrogen transmission &amp; distribution pipeline-Maturity</v>
      </c>
      <c r="S1187" t="str">
        <f t="shared" si="3650"/>
        <v>District-CHP with H2 fuel cell (power)-Maturity</v>
      </c>
      <c r="T1187">
        <f ca="1">VLOOKUP($P1187,'TA database'!$I$8:$J$79,2,FALSE)</f>
        <v>6</v>
      </c>
      <c r="U1187">
        <f ca="1">VLOOKUP($Q1187,'TA database'!$I$86:$J$105,2,FALSE)</f>
        <v>9</v>
      </c>
      <c r="V1187">
        <f ca="1">VLOOKUP($R1187,'TA database'!$I$112:$J$139,2,FALSE)</f>
        <v>9</v>
      </c>
      <c r="W1187">
        <f>IFERROR(VLOOKUP($S1187,'TA database'!$I$146:$J$193,2,FALSE),0)</f>
        <v>0</v>
      </c>
      <c r="X1187">
        <f ca="1">IFERROR(VLOOKUP($S1187,'TA database'!$I$200:$J$271,2,FALSE),0)</f>
        <v>7</v>
      </c>
      <c r="Y1187">
        <f t="shared" ca="1" si="3655"/>
        <v>6</v>
      </c>
      <c r="Z1187" t="str">
        <f t="shared" si="3651"/>
        <v>BIO_SR_LRG_C   →   NO_STRG   →   H2_T&amp;D_P   →   H2_FC_DCHP_PWR</v>
      </c>
      <c r="AA1187" t="str">
        <f t="shared" si="3652"/>
        <v>Grid electricity</v>
      </c>
      <c r="AB1187" t="str">
        <f t="shared" si="3653"/>
        <v>Maturity</v>
      </c>
      <c r="AC1187">
        <f t="shared" ca="1" si="3654"/>
        <v>6</v>
      </c>
      <c r="AD1187">
        <v>1128</v>
      </c>
      <c r="AE1187" t="str">
        <f>IF(AND(ISNUMBER(SEARCH(O1187,4)),ISNUMBER(SEARCH('(4) FCH pathway assessment'!$B$16,AB1187)),ISNUMBER(SEARCH('(4) FCH pathway assessment'!$B$10,AA1187))),AD1187,"")</f>
        <v/>
      </c>
      <c r="AF1187" t="str">
        <f t="shared" si="3557"/>
        <v/>
      </c>
      <c r="AG1187" t="str">
        <f>VLOOKUP(C1187,Assumptions!$B$116:$C$162,2,FALSE)</f>
        <v>BIO_SR_LRG_C</v>
      </c>
      <c r="AH1187" t="str">
        <f>VLOOKUP(D1187,Assumptions!$B$116:$C$162,2,FALSE)</f>
        <v>NO_STRG</v>
      </c>
      <c r="AI1187" t="str">
        <f>VLOOKUP(E1187,Assumptions!$B$116:$C$162,2,FALSE)</f>
        <v>H2_T&amp;D_P</v>
      </c>
      <c r="AJ1187" t="str">
        <f>VLOOKUP(F1187,Assumptions!$B$116:$C$162,2,FALSE)</f>
        <v>H2_FC_DCHP_PWR</v>
      </c>
    </row>
    <row r="1188" spans="2:36" x14ac:dyDescent="0.25">
      <c r="B1188" t="s">
        <v>112</v>
      </c>
      <c r="C1188" t="s">
        <v>49</v>
      </c>
      <c r="D1188" t="s">
        <v>62</v>
      </c>
      <c r="E1188" t="s">
        <v>157</v>
      </c>
      <c r="F1188" t="s">
        <v>549</v>
      </c>
      <c r="G1188" t="s">
        <v>114</v>
      </c>
      <c r="H1188" t="s">
        <v>433</v>
      </c>
      <c r="I1188" t="s">
        <v>32</v>
      </c>
      <c r="J1188" t="s">
        <v>78</v>
      </c>
      <c r="K1188">
        <f t="shared" ref="K1188:K1199" si="3656">SUMPRODUCT(($C$7:$C$18=$C1188)*($D$6:$H$6=$D1188)*($D$7:$H$18))</f>
        <v>1</v>
      </c>
      <c r="L1188">
        <f t="shared" ref="L1188:L1199" si="3657">SUMPRODUCT(($C$19:$C$23=$D1188)*($I$6:$O$6=$E1188)*($I$19:$O$23))</f>
        <v>0</v>
      </c>
      <c r="M1188">
        <f t="shared" ref="M1188:M1199" si="3658">SUMPRODUCT(($C$24:$C$30=$E1188)*($P$6:$AI$6=$F1188)*($P$24:$AI$30))</f>
        <v>0</v>
      </c>
      <c r="N1188">
        <f t="shared" ref="N1188:N1199" si="3659">SUMPRODUCT(($C$31:$C$50=$F1188)*($AJ$6:$AM$6=$G1188)*($AJ$31:$AM$50))</f>
        <v>0</v>
      </c>
      <c r="O1188">
        <f t="shared" ref="O1188:O1199" si="3660">K1188+L1188+M1188+N1188</f>
        <v>1</v>
      </c>
      <c r="P1188" t="str">
        <f t="shared" ref="P1188:P1199" si="3661">CONCATENATE(C1188,"-",J1188)</f>
        <v>Large centralized electrolysis-Maturity</v>
      </c>
      <c r="Q1188" t="str">
        <f t="shared" ref="Q1188:Q1199" si="3662">CONCATENATE(D1188,"-",J1188)</f>
        <v>Underground storage-Maturity</v>
      </c>
      <c r="R1188" t="str">
        <f t="shared" ref="R1188:R1199" si="3663">CONCATENATE(E1188,"-",J1188)</f>
        <v>Blending in natural gas pipeline-Maturity</v>
      </c>
      <c r="S1188" t="str">
        <f t="shared" ref="S1188:S1199" si="3664">CONCATENATE(F1188,"-",J1188)</f>
        <v>District-CHP with H2 fuel cell (power)-Maturity</v>
      </c>
      <c r="T1188">
        <f ca="1">VLOOKUP($P1188,'TA database'!$I$8:$J$79,2,FALSE)</f>
        <v>9</v>
      </c>
      <c r="U1188">
        <f ca="1">VLOOKUP($Q1188,'TA database'!$I$86:$J$105,2,FALSE)</f>
        <v>6</v>
      </c>
      <c r="V1188">
        <f ca="1">VLOOKUP($R1188,'TA database'!$I$112:$J$139,2,FALSE)</f>
        <v>7</v>
      </c>
      <c r="W1188">
        <f>IFERROR(VLOOKUP($S1188,'TA database'!$I$146:$J$193,2,FALSE),0)</f>
        <v>0</v>
      </c>
      <c r="X1188">
        <f ca="1">IFERROR(VLOOKUP($S1188,'TA database'!$I$200:$J$271,2,FALSE),0)</f>
        <v>7</v>
      </c>
      <c r="Y1188">
        <f t="shared" ca="1" si="3655"/>
        <v>6</v>
      </c>
      <c r="Z1188" t="str">
        <f t="shared" ref="Z1188:Z1199" si="3665">CONCATENATE(AG1188,"   →   ",AH1188,"   →   ",AI1188,"   →   ",AJ1188)</f>
        <v>ELCTRLYZ_LRG_C   →   C_UNDRGRND_STRG   →   H2_BLND_NG_P   →   H2_FC_DCHP_PWR</v>
      </c>
      <c r="AA1188" t="str">
        <f t="shared" ref="AA1188:AA1199" si="3666">G1188</f>
        <v>Grid electricity</v>
      </c>
      <c r="AB1188" t="str">
        <f t="shared" ref="AB1188:AB1199" si="3667">J1188</f>
        <v>Maturity</v>
      </c>
      <c r="AC1188">
        <f t="shared" ref="AC1188:AC1199" ca="1" si="3668">Y1188</f>
        <v>6</v>
      </c>
      <c r="AD1188">
        <v>1129</v>
      </c>
      <c r="AE1188" t="str">
        <f>IF(AND(ISNUMBER(SEARCH(O1188,4)),ISNUMBER(SEARCH('(4) FCH pathway assessment'!$B$16,AB1188)),ISNUMBER(SEARCH('(4) FCH pathway assessment'!$B$10,AA1188))),AD1188,"")</f>
        <v/>
      </c>
      <c r="AF1188" t="str">
        <f t="shared" si="3557"/>
        <v/>
      </c>
      <c r="AG1188" t="str">
        <f>VLOOKUP(C1188,Assumptions!$B$116:$C$162,2,FALSE)</f>
        <v>ELCTRLYZ_LRG_C</v>
      </c>
      <c r="AH1188" t="str">
        <f>VLOOKUP(D1188,Assumptions!$B$116:$C$162,2,FALSE)</f>
        <v>C_UNDRGRND_STRG</v>
      </c>
      <c r="AI1188" t="str">
        <f>VLOOKUP(E1188,Assumptions!$B$116:$C$162,2,FALSE)</f>
        <v>H2_BLND_NG_P</v>
      </c>
      <c r="AJ1188" t="str">
        <f>VLOOKUP(F1188,Assumptions!$B$116:$C$162,2,FALSE)</f>
        <v>H2_FC_DCHP_PWR</v>
      </c>
    </row>
    <row r="1189" spans="2:36" x14ac:dyDescent="0.25">
      <c r="B1189" t="s">
        <v>112</v>
      </c>
      <c r="C1189" t="s">
        <v>49</v>
      </c>
      <c r="D1189" t="s">
        <v>62</v>
      </c>
      <c r="E1189" t="s">
        <v>122</v>
      </c>
      <c r="F1189" t="s">
        <v>549</v>
      </c>
      <c r="G1189" t="s">
        <v>114</v>
      </c>
      <c r="H1189" t="s">
        <v>433</v>
      </c>
      <c r="I1189" t="s">
        <v>32</v>
      </c>
      <c r="J1189" t="s">
        <v>78</v>
      </c>
      <c r="K1189">
        <f t="shared" si="3656"/>
        <v>1</v>
      </c>
      <c r="L1189">
        <f t="shared" si="3657"/>
        <v>0</v>
      </c>
      <c r="M1189">
        <f t="shared" si="3658"/>
        <v>1</v>
      </c>
      <c r="N1189">
        <f t="shared" si="3659"/>
        <v>0</v>
      </c>
      <c r="O1189">
        <f t="shared" si="3660"/>
        <v>2</v>
      </c>
      <c r="P1189" t="str">
        <f t="shared" si="3661"/>
        <v>Large centralized electrolysis-Maturity</v>
      </c>
      <c r="Q1189" t="str">
        <f t="shared" si="3662"/>
        <v>Underground storage-Maturity</v>
      </c>
      <c r="R1189" t="str">
        <f t="shared" si="3663"/>
        <v>Hydrogen transmission &amp; distribution pipeline-Maturity</v>
      </c>
      <c r="S1189" t="str">
        <f t="shared" si="3664"/>
        <v>District-CHP with H2 fuel cell (power)-Maturity</v>
      </c>
      <c r="T1189">
        <f ca="1">VLOOKUP($P1189,'TA database'!$I$8:$J$79,2,FALSE)</f>
        <v>9</v>
      </c>
      <c r="U1189">
        <f ca="1">VLOOKUP($Q1189,'TA database'!$I$86:$J$105,2,FALSE)</f>
        <v>6</v>
      </c>
      <c r="V1189">
        <f ca="1">VLOOKUP($R1189,'TA database'!$I$112:$J$139,2,FALSE)</f>
        <v>9</v>
      </c>
      <c r="W1189">
        <f>IFERROR(VLOOKUP($S1189,'TA database'!$I$146:$J$193,2,FALSE),0)</f>
        <v>0</v>
      </c>
      <c r="X1189">
        <f ca="1">IFERROR(VLOOKUP($S1189,'TA database'!$I$200:$J$271,2,FALSE),0)</f>
        <v>7</v>
      </c>
      <c r="Y1189">
        <f t="shared" ca="1" si="3655"/>
        <v>6</v>
      </c>
      <c r="Z1189" t="str">
        <f t="shared" si="3665"/>
        <v>ELCTRLYZ_LRG_C   →   C_UNDRGRND_STRG   →   H2_T&amp;D_P   →   H2_FC_DCHP_PWR</v>
      </c>
      <c r="AA1189" t="str">
        <f t="shared" si="3666"/>
        <v>Grid electricity</v>
      </c>
      <c r="AB1189" t="str">
        <f t="shared" si="3667"/>
        <v>Maturity</v>
      </c>
      <c r="AC1189">
        <f t="shared" ca="1" si="3668"/>
        <v>6</v>
      </c>
      <c r="AD1189">
        <v>1130</v>
      </c>
      <c r="AE1189" t="str">
        <f>IF(AND(ISNUMBER(SEARCH(O1189,4)),ISNUMBER(SEARCH('(4) FCH pathway assessment'!$B$16,AB1189)),ISNUMBER(SEARCH('(4) FCH pathway assessment'!$B$10,AA1189))),AD1189,"")</f>
        <v/>
      </c>
      <c r="AF1189" t="str">
        <f t="shared" si="3557"/>
        <v/>
      </c>
      <c r="AG1189" t="str">
        <f>VLOOKUP(C1189,Assumptions!$B$116:$C$162,2,FALSE)</f>
        <v>ELCTRLYZ_LRG_C</v>
      </c>
      <c r="AH1189" t="str">
        <f>VLOOKUP(D1189,Assumptions!$B$116:$C$162,2,FALSE)</f>
        <v>C_UNDRGRND_STRG</v>
      </c>
      <c r="AI1189" t="str">
        <f>VLOOKUP(E1189,Assumptions!$B$116:$C$162,2,FALSE)</f>
        <v>H2_T&amp;D_P</v>
      </c>
      <c r="AJ1189" t="str">
        <f>VLOOKUP(F1189,Assumptions!$B$116:$C$162,2,FALSE)</f>
        <v>H2_FC_DCHP_PWR</v>
      </c>
    </row>
    <row r="1190" spans="2:36" x14ac:dyDescent="0.25">
      <c r="B1190" t="s">
        <v>112</v>
      </c>
      <c r="C1190" t="s">
        <v>49</v>
      </c>
      <c r="D1190" t="s">
        <v>62</v>
      </c>
      <c r="E1190" t="s">
        <v>116</v>
      </c>
      <c r="F1190" t="s">
        <v>549</v>
      </c>
      <c r="G1190" t="s">
        <v>114</v>
      </c>
      <c r="H1190" t="s">
        <v>433</v>
      </c>
      <c r="I1190" t="s">
        <v>32</v>
      </c>
      <c r="J1190" t="s">
        <v>78</v>
      </c>
      <c r="K1190">
        <f t="shared" si="3656"/>
        <v>1</v>
      </c>
      <c r="L1190">
        <f t="shared" si="3657"/>
        <v>0</v>
      </c>
      <c r="M1190">
        <f t="shared" si="3658"/>
        <v>1</v>
      </c>
      <c r="N1190">
        <f t="shared" si="3659"/>
        <v>0</v>
      </c>
      <c r="O1190">
        <f t="shared" si="3660"/>
        <v>2</v>
      </c>
      <c r="P1190" t="str">
        <f t="shared" si="3661"/>
        <v>Large centralized electrolysis-Maturity</v>
      </c>
      <c r="Q1190" t="str">
        <f t="shared" si="3662"/>
        <v>Underground storage-Maturity</v>
      </c>
      <c r="R1190" t="str">
        <f t="shared" si="3663"/>
        <v>Liquid hydrogen truck-Maturity</v>
      </c>
      <c r="S1190" t="str">
        <f t="shared" si="3664"/>
        <v>District-CHP with H2 fuel cell (power)-Maturity</v>
      </c>
      <c r="T1190">
        <f ca="1">VLOOKUP($P1190,'TA database'!$I$8:$J$79,2,FALSE)</f>
        <v>9</v>
      </c>
      <c r="U1190">
        <f ca="1">VLOOKUP($Q1190,'TA database'!$I$86:$J$105,2,FALSE)</f>
        <v>6</v>
      </c>
      <c r="V1190">
        <f ca="1">VLOOKUP($R1190,'TA database'!$I$112:$J$139,2,FALSE)</f>
        <v>9</v>
      </c>
      <c r="W1190">
        <f>IFERROR(VLOOKUP($S1190,'TA database'!$I$146:$J$193,2,FALSE),0)</f>
        <v>0</v>
      </c>
      <c r="X1190">
        <f ca="1">IFERROR(VLOOKUP($S1190,'TA database'!$I$200:$J$271,2,FALSE),0)</f>
        <v>7</v>
      </c>
      <c r="Y1190">
        <f t="shared" ca="1" si="3655"/>
        <v>6</v>
      </c>
      <c r="Z1190" t="str">
        <f t="shared" si="3665"/>
        <v>ELCTRLYZ_LRG_C   →   C_UNDRGRND_STRG   →   LQ_TRUCK   →   H2_FC_DCHP_PWR</v>
      </c>
      <c r="AA1190" t="str">
        <f t="shared" si="3666"/>
        <v>Grid electricity</v>
      </c>
      <c r="AB1190" t="str">
        <f t="shared" si="3667"/>
        <v>Maturity</v>
      </c>
      <c r="AC1190">
        <f t="shared" ca="1" si="3668"/>
        <v>6</v>
      </c>
      <c r="AD1190">
        <v>1131</v>
      </c>
      <c r="AE1190" t="str">
        <f>IF(AND(ISNUMBER(SEARCH(O1190,4)),ISNUMBER(SEARCH('(4) FCH pathway assessment'!$B$16,AB1190)),ISNUMBER(SEARCH('(4) FCH pathway assessment'!$B$10,AA1190))),AD1190,"")</f>
        <v/>
      </c>
      <c r="AF1190" t="str">
        <f t="shared" si="3557"/>
        <v/>
      </c>
      <c r="AG1190" t="str">
        <f>VLOOKUP(C1190,Assumptions!$B$116:$C$162,2,FALSE)</f>
        <v>ELCTRLYZ_LRG_C</v>
      </c>
      <c r="AH1190" t="str">
        <f>VLOOKUP(D1190,Assumptions!$B$116:$C$162,2,FALSE)</f>
        <v>C_UNDRGRND_STRG</v>
      </c>
      <c r="AI1190" t="str">
        <f>VLOOKUP(E1190,Assumptions!$B$116:$C$162,2,FALSE)</f>
        <v>LQ_TRUCK</v>
      </c>
      <c r="AJ1190" t="str">
        <f>VLOOKUP(F1190,Assumptions!$B$116:$C$162,2,FALSE)</f>
        <v>H2_FC_DCHP_PWR</v>
      </c>
    </row>
    <row r="1191" spans="2:36" x14ac:dyDescent="0.25">
      <c r="B1191" t="s">
        <v>112</v>
      </c>
      <c r="C1191" t="s">
        <v>49</v>
      </c>
      <c r="D1191" t="s">
        <v>62</v>
      </c>
      <c r="E1191" t="s">
        <v>66</v>
      </c>
      <c r="F1191" t="s">
        <v>549</v>
      </c>
      <c r="G1191" t="s">
        <v>114</v>
      </c>
      <c r="H1191" t="s">
        <v>433</v>
      </c>
      <c r="I1191" t="s">
        <v>32</v>
      </c>
      <c r="J1191" t="s">
        <v>78</v>
      </c>
      <c r="K1191">
        <f t="shared" si="3656"/>
        <v>1</v>
      </c>
      <c r="L1191">
        <f t="shared" si="3657"/>
        <v>0</v>
      </c>
      <c r="M1191">
        <f t="shared" si="3658"/>
        <v>1</v>
      </c>
      <c r="N1191">
        <f t="shared" si="3659"/>
        <v>0</v>
      </c>
      <c r="O1191">
        <f t="shared" si="3660"/>
        <v>2</v>
      </c>
      <c r="P1191" t="str">
        <f t="shared" si="3661"/>
        <v>Large centralized electrolysis-Maturity</v>
      </c>
      <c r="Q1191" t="str">
        <f t="shared" si="3662"/>
        <v>Underground storage-Maturity</v>
      </c>
      <c r="R1191" t="str">
        <f t="shared" si="3663"/>
        <v>Onsite-Maturity</v>
      </c>
      <c r="S1191" t="str">
        <f t="shared" si="3664"/>
        <v>District-CHP with H2 fuel cell (power)-Maturity</v>
      </c>
      <c r="T1191">
        <f ca="1">VLOOKUP($P1191,'TA database'!$I$8:$J$79,2,FALSE)</f>
        <v>9</v>
      </c>
      <c r="U1191">
        <f ca="1">VLOOKUP($Q1191,'TA database'!$I$86:$J$105,2,FALSE)</f>
        <v>6</v>
      </c>
      <c r="V1191">
        <f ca="1">VLOOKUP($R1191,'TA database'!$I$112:$J$139,2,FALSE)</f>
        <v>9</v>
      </c>
      <c r="W1191">
        <f>IFERROR(VLOOKUP($S1191,'TA database'!$I$146:$J$193,2,FALSE),0)</f>
        <v>0</v>
      </c>
      <c r="X1191">
        <f ca="1">IFERROR(VLOOKUP($S1191,'TA database'!$I$200:$J$271,2,FALSE),0)</f>
        <v>7</v>
      </c>
      <c r="Y1191">
        <f t="shared" ca="1" si="3655"/>
        <v>6</v>
      </c>
      <c r="Z1191" t="str">
        <f t="shared" si="3665"/>
        <v>ELCTRLYZ_LRG_C   →   C_UNDRGRND_STRG   →   ONSITE_USE   →   H2_FC_DCHP_PWR</v>
      </c>
      <c r="AA1191" t="str">
        <f t="shared" si="3666"/>
        <v>Grid electricity</v>
      </c>
      <c r="AB1191" t="str">
        <f t="shared" si="3667"/>
        <v>Maturity</v>
      </c>
      <c r="AC1191">
        <f t="shared" ca="1" si="3668"/>
        <v>6</v>
      </c>
      <c r="AD1191">
        <v>1132</v>
      </c>
      <c r="AE1191" t="str">
        <f>IF(AND(ISNUMBER(SEARCH(O1191,4)),ISNUMBER(SEARCH('(4) FCH pathway assessment'!$B$16,AB1191)),ISNUMBER(SEARCH('(4) FCH pathway assessment'!$B$10,AA1191))),AD1191,"")</f>
        <v/>
      </c>
      <c r="AF1191" t="str">
        <f t="shared" si="3557"/>
        <v/>
      </c>
      <c r="AG1191" t="str">
        <f>VLOOKUP(C1191,Assumptions!$B$116:$C$162,2,FALSE)</f>
        <v>ELCTRLYZ_LRG_C</v>
      </c>
      <c r="AH1191" t="str">
        <f>VLOOKUP(D1191,Assumptions!$B$116:$C$162,2,FALSE)</f>
        <v>C_UNDRGRND_STRG</v>
      </c>
      <c r="AI1191" t="str">
        <f>VLOOKUP(E1191,Assumptions!$B$116:$C$162,2,FALSE)</f>
        <v>ONSITE_USE</v>
      </c>
      <c r="AJ1191" t="str">
        <f>VLOOKUP(F1191,Assumptions!$B$116:$C$162,2,FALSE)</f>
        <v>H2_FC_DCHP_PWR</v>
      </c>
    </row>
    <row r="1192" spans="2:36" x14ac:dyDescent="0.25">
      <c r="B1192" t="s">
        <v>112</v>
      </c>
      <c r="C1192" t="s">
        <v>49</v>
      </c>
      <c r="D1192" t="s">
        <v>155</v>
      </c>
      <c r="E1192" t="s">
        <v>157</v>
      </c>
      <c r="F1192" t="s">
        <v>549</v>
      </c>
      <c r="G1192" t="s">
        <v>114</v>
      </c>
      <c r="H1192" t="s">
        <v>433</v>
      </c>
      <c r="I1192" t="s">
        <v>32</v>
      </c>
      <c r="J1192" t="s">
        <v>78</v>
      </c>
      <c r="K1192">
        <f t="shared" si="3656"/>
        <v>1</v>
      </c>
      <c r="L1192">
        <f t="shared" si="3657"/>
        <v>1</v>
      </c>
      <c r="M1192">
        <f t="shared" si="3658"/>
        <v>0</v>
      </c>
      <c r="N1192">
        <f t="shared" si="3659"/>
        <v>0</v>
      </c>
      <c r="O1192">
        <f t="shared" si="3660"/>
        <v>2</v>
      </c>
      <c r="P1192" t="str">
        <f t="shared" si="3661"/>
        <v>Large centralized electrolysis-Maturity</v>
      </c>
      <c r="Q1192" t="str">
        <f t="shared" si="3662"/>
        <v>Central gas storage-Maturity</v>
      </c>
      <c r="R1192" t="str">
        <f t="shared" si="3663"/>
        <v>Blending in natural gas pipeline-Maturity</v>
      </c>
      <c r="S1192" t="str">
        <f t="shared" si="3664"/>
        <v>District-CHP with H2 fuel cell (power)-Maturity</v>
      </c>
      <c r="T1192">
        <f ca="1">VLOOKUP($P1192,'TA database'!$I$8:$J$79,2,FALSE)</f>
        <v>9</v>
      </c>
      <c r="U1192">
        <f ca="1">VLOOKUP($Q1192,'TA database'!$I$86:$J$105,2,FALSE)</f>
        <v>9</v>
      </c>
      <c r="V1192">
        <f ca="1">VLOOKUP($R1192,'TA database'!$I$112:$J$139,2,FALSE)</f>
        <v>7</v>
      </c>
      <c r="W1192">
        <f>IFERROR(VLOOKUP($S1192,'TA database'!$I$146:$J$193,2,FALSE),0)</f>
        <v>0</v>
      </c>
      <c r="X1192">
        <f ca="1">IFERROR(VLOOKUP($S1192,'TA database'!$I$200:$J$271,2,FALSE),0)</f>
        <v>7</v>
      </c>
      <c r="Y1192">
        <f t="shared" ca="1" si="3655"/>
        <v>7</v>
      </c>
      <c r="Z1192" t="str">
        <f t="shared" si="3665"/>
        <v>ELCTRLYZ_LRG_C   →   C_GAS_STRG   →   H2_BLND_NG_P   →   H2_FC_DCHP_PWR</v>
      </c>
      <c r="AA1192" t="str">
        <f t="shared" si="3666"/>
        <v>Grid electricity</v>
      </c>
      <c r="AB1192" t="str">
        <f t="shared" si="3667"/>
        <v>Maturity</v>
      </c>
      <c r="AC1192">
        <f t="shared" ca="1" si="3668"/>
        <v>7</v>
      </c>
      <c r="AD1192">
        <v>1133</v>
      </c>
      <c r="AE1192" t="str">
        <f>IF(AND(ISNUMBER(SEARCH(O1192,4)),ISNUMBER(SEARCH('(4) FCH pathway assessment'!$B$16,AB1192)),ISNUMBER(SEARCH('(4) FCH pathway assessment'!$B$10,AA1192))),AD1192,"")</f>
        <v/>
      </c>
      <c r="AF1192" t="str">
        <f t="shared" si="3557"/>
        <v/>
      </c>
      <c r="AG1192" t="str">
        <f>VLOOKUP(C1192,Assumptions!$B$116:$C$162,2,FALSE)</f>
        <v>ELCTRLYZ_LRG_C</v>
      </c>
      <c r="AH1192" t="str">
        <f>VLOOKUP(D1192,Assumptions!$B$116:$C$162,2,FALSE)</f>
        <v>C_GAS_STRG</v>
      </c>
      <c r="AI1192" t="str">
        <f>VLOOKUP(E1192,Assumptions!$B$116:$C$162,2,FALSE)</f>
        <v>H2_BLND_NG_P</v>
      </c>
      <c r="AJ1192" t="str">
        <f>VLOOKUP(F1192,Assumptions!$B$116:$C$162,2,FALSE)</f>
        <v>H2_FC_DCHP_PWR</v>
      </c>
    </row>
    <row r="1193" spans="2:36" x14ac:dyDescent="0.25">
      <c r="B1193" t="s">
        <v>112</v>
      </c>
      <c r="C1193" t="s">
        <v>49</v>
      </c>
      <c r="D1193" t="s">
        <v>155</v>
      </c>
      <c r="E1193" t="s">
        <v>122</v>
      </c>
      <c r="F1193" t="s">
        <v>549</v>
      </c>
      <c r="G1193" t="s">
        <v>114</v>
      </c>
      <c r="H1193" t="s">
        <v>433</v>
      </c>
      <c r="I1193" t="s">
        <v>32</v>
      </c>
      <c r="J1193" t="s">
        <v>78</v>
      </c>
      <c r="K1193">
        <f t="shared" si="3656"/>
        <v>1</v>
      </c>
      <c r="L1193">
        <f t="shared" si="3657"/>
        <v>1</v>
      </c>
      <c r="M1193">
        <f t="shared" si="3658"/>
        <v>1</v>
      </c>
      <c r="N1193">
        <f t="shared" si="3659"/>
        <v>0</v>
      </c>
      <c r="O1193">
        <f t="shared" si="3660"/>
        <v>3</v>
      </c>
      <c r="P1193" t="str">
        <f t="shared" si="3661"/>
        <v>Large centralized electrolysis-Maturity</v>
      </c>
      <c r="Q1193" t="str">
        <f t="shared" si="3662"/>
        <v>Central gas storage-Maturity</v>
      </c>
      <c r="R1193" t="str">
        <f t="shared" si="3663"/>
        <v>Hydrogen transmission &amp; distribution pipeline-Maturity</v>
      </c>
      <c r="S1193" t="str">
        <f t="shared" si="3664"/>
        <v>District-CHP with H2 fuel cell (power)-Maturity</v>
      </c>
      <c r="T1193">
        <f ca="1">VLOOKUP($P1193,'TA database'!$I$8:$J$79,2,FALSE)</f>
        <v>9</v>
      </c>
      <c r="U1193">
        <f ca="1">VLOOKUP($Q1193,'TA database'!$I$86:$J$105,2,FALSE)</f>
        <v>9</v>
      </c>
      <c r="V1193">
        <f ca="1">VLOOKUP($R1193,'TA database'!$I$112:$J$139,2,FALSE)</f>
        <v>9</v>
      </c>
      <c r="W1193">
        <f>IFERROR(VLOOKUP($S1193,'TA database'!$I$146:$J$193,2,FALSE),0)</f>
        <v>0</v>
      </c>
      <c r="X1193">
        <f ca="1">IFERROR(VLOOKUP($S1193,'TA database'!$I$200:$J$271,2,FALSE),0)</f>
        <v>7</v>
      </c>
      <c r="Y1193">
        <f t="shared" ca="1" si="3655"/>
        <v>7</v>
      </c>
      <c r="Z1193" t="str">
        <f t="shared" si="3665"/>
        <v>ELCTRLYZ_LRG_C   →   C_GAS_STRG   →   H2_T&amp;D_P   →   H2_FC_DCHP_PWR</v>
      </c>
      <c r="AA1193" t="str">
        <f t="shared" si="3666"/>
        <v>Grid electricity</v>
      </c>
      <c r="AB1193" t="str">
        <f t="shared" si="3667"/>
        <v>Maturity</v>
      </c>
      <c r="AC1193">
        <f t="shared" ca="1" si="3668"/>
        <v>7</v>
      </c>
      <c r="AD1193">
        <v>1134</v>
      </c>
      <c r="AE1193" t="str">
        <f>IF(AND(ISNUMBER(SEARCH(O1193,4)),ISNUMBER(SEARCH('(4) FCH pathway assessment'!$B$16,AB1193)),ISNUMBER(SEARCH('(4) FCH pathway assessment'!$B$10,AA1193))),AD1193,"")</f>
        <v/>
      </c>
      <c r="AF1193" t="str">
        <f t="shared" si="3557"/>
        <v/>
      </c>
      <c r="AG1193" t="str">
        <f>VLOOKUP(C1193,Assumptions!$B$116:$C$162,2,FALSE)</f>
        <v>ELCTRLYZ_LRG_C</v>
      </c>
      <c r="AH1193" t="str">
        <f>VLOOKUP(D1193,Assumptions!$B$116:$C$162,2,FALSE)</f>
        <v>C_GAS_STRG</v>
      </c>
      <c r="AI1193" t="str">
        <f>VLOOKUP(E1193,Assumptions!$B$116:$C$162,2,FALSE)</f>
        <v>H2_T&amp;D_P</v>
      </c>
      <c r="AJ1193" t="str">
        <f>VLOOKUP(F1193,Assumptions!$B$116:$C$162,2,FALSE)</f>
        <v>H2_FC_DCHP_PWR</v>
      </c>
    </row>
    <row r="1194" spans="2:36" x14ac:dyDescent="0.25">
      <c r="B1194" t="s">
        <v>112</v>
      </c>
      <c r="C1194" t="s">
        <v>49</v>
      </c>
      <c r="D1194" t="s">
        <v>155</v>
      </c>
      <c r="E1194" t="s">
        <v>116</v>
      </c>
      <c r="F1194" t="s">
        <v>549</v>
      </c>
      <c r="G1194" t="s">
        <v>114</v>
      </c>
      <c r="H1194" t="s">
        <v>433</v>
      </c>
      <c r="I1194" t="s">
        <v>32</v>
      </c>
      <c r="J1194" t="s">
        <v>78</v>
      </c>
      <c r="K1194">
        <f t="shared" si="3656"/>
        <v>1</v>
      </c>
      <c r="L1194">
        <f t="shared" si="3657"/>
        <v>1</v>
      </c>
      <c r="M1194">
        <f t="shared" si="3658"/>
        <v>1</v>
      </c>
      <c r="N1194">
        <f t="shared" si="3659"/>
        <v>0</v>
      </c>
      <c r="O1194">
        <f t="shared" si="3660"/>
        <v>3</v>
      </c>
      <c r="P1194" t="str">
        <f t="shared" si="3661"/>
        <v>Large centralized electrolysis-Maturity</v>
      </c>
      <c r="Q1194" t="str">
        <f t="shared" si="3662"/>
        <v>Central gas storage-Maturity</v>
      </c>
      <c r="R1194" t="str">
        <f t="shared" si="3663"/>
        <v>Liquid hydrogen truck-Maturity</v>
      </c>
      <c r="S1194" t="str">
        <f t="shared" si="3664"/>
        <v>District-CHP with H2 fuel cell (power)-Maturity</v>
      </c>
      <c r="T1194">
        <f ca="1">VLOOKUP($P1194,'TA database'!$I$8:$J$79,2,FALSE)</f>
        <v>9</v>
      </c>
      <c r="U1194">
        <f ca="1">VLOOKUP($Q1194,'TA database'!$I$86:$J$105,2,FALSE)</f>
        <v>9</v>
      </c>
      <c r="V1194">
        <f ca="1">VLOOKUP($R1194,'TA database'!$I$112:$J$139,2,FALSE)</f>
        <v>9</v>
      </c>
      <c r="W1194">
        <f>IFERROR(VLOOKUP($S1194,'TA database'!$I$146:$J$193,2,FALSE),0)</f>
        <v>0</v>
      </c>
      <c r="X1194">
        <f ca="1">IFERROR(VLOOKUP($S1194,'TA database'!$I$200:$J$271,2,FALSE),0)</f>
        <v>7</v>
      </c>
      <c r="Y1194">
        <f t="shared" ca="1" si="3655"/>
        <v>7</v>
      </c>
      <c r="Z1194" t="str">
        <f t="shared" si="3665"/>
        <v>ELCTRLYZ_LRG_C   →   C_GAS_STRG   →   LQ_TRUCK   →   H2_FC_DCHP_PWR</v>
      </c>
      <c r="AA1194" t="str">
        <f t="shared" si="3666"/>
        <v>Grid electricity</v>
      </c>
      <c r="AB1194" t="str">
        <f t="shared" si="3667"/>
        <v>Maturity</v>
      </c>
      <c r="AC1194">
        <f t="shared" ca="1" si="3668"/>
        <v>7</v>
      </c>
      <c r="AD1194">
        <v>1135</v>
      </c>
      <c r="AE1194" t="str">
        <f>IF(AND(ISNUMBER(SEARCH(O1194,4)),ISNUMBER(SEARCH('(4) FCH pathway assessment'!$B$16,AB1194)),ISNUMBER(SEARCH('(4) FCH pathway assessment'!$B$10,AA1194))),AD1194,"")</f>
        <v/>
      </c>
      <c r="AF1194" t="str">
        <f t="shared" si="3557"/>
        <v/>
      </c>
      <c r="AG1194" t="str">
        <f>VLOOKUP(C1194,Assumptions!$B$116:$C$162,2,FALSE)</f>
        <v>ELCTRLYZ_LRG_C</v>
      </c>
      <c r="AH1194" t="str">
        <f>VLOOKUP(D1194,Assumptions!$B$116:$C$162,2,FALSE)</f>
        <v>C_GAS_STRG</v>
      </c>
      <c r="AI1194" t="str">
        <f>VLOOKUP(E1194,Assumptions!$B$116:$C$162,2,FALSE)</f>
        <v>LQ_TRUCK</v>
      </c>
      <c r="AJ1194" t="str">
        <f>VLOOKUP(F1194,Assumptions!$B$116:$C$162,2,FALSE)</f>
        <v>H2_FC_DCHP_PWR</v>
      </c>
    </row>
    <row r="1195" spans="2:36" x14ac:dyDescent="0.25">
      <c r="B1195" t="s">
        <v>112</v>
      </c>
      <c r="C1195" t="s">
        <v>49</v>
      </c>
      <c r="D1195" t="s">
        <v>155</v>
      </c>
      <c r="E1195" t="s">
        <v>66</v>
      </c>
      <c r="F1195" t="s">
        <v>549</v>
      </c>
      <c r="G1195" t="s">
        <v>114</v>
      </c>
      <c r="H1195" t="s">
        <v>433</v>
      </c>
      <c r="I1195" t="s">
        <v>32</v>
      </c>
      <c r="J1195" t="s">
        <v>78</v>
      </c>
      <c r="K1195">
        <f t="shared" si="3656"/>
        <v>1</v>
      </c>
      <c r="L1195">
        <f t="shared" si="3657"/>
        <v>1</v>
      </c>
      <c r="M1195">
        <f t="shared" si="3658"/>
        <v>1</v>
      </c>
      <c r="N1195">
        <f t="shared" si="3659"/>
        <v>0</v>
      </c>
      <c r="O1195">
        <f t="shared" si="3660"/>
        <v>3</v>
      </c>
      <c r="P1195" t="str">
        <f t="shared" si="3661"/>
        <v>Large centralized electrolysis-Maturity</v>
      </c>
      <c r="Q1195" t="str">
        <f t="shared" si="3662"/>
        <v>Central gas storage-Maturity</v>
      </c>
      <c r="R1195" t="str">
        <f t="shared" si="3663"/>
        <v>Onsite-Maturity</v>
      </c>
      <c r="S1195" t="str">
        <f t="shared" si="3664"/>
        <v>District-CHP with H2 fuel cell (power)-Maturity</v>
      </c>
      <c r="T1195">
        <f ca="1">VLOOKUP($P1195,'TA database'!$I$8:$J$79,2,FALSE)</f>
        <v>9</v>
      </c>
      <c r="U1195">
        <f ca="1">VLOOKUP($Q1195,'TA database'!$I$86:$J$105,2,FALSE)</f>
        <v>9</v>
      </c>
      <c r="V1195">
        <f ca="1">VLOOKUP($R1195,'TA database'!$I$112:$J$139,2,FALSE)</f>
        <v>9</v>
      </c>
      <c r="W1195">
        <f>IFERROR(VLOOKUP($S1195,'TA database'!$I$146:$J$193,2,FALSE),0)</f>
        <v>0</v>
      </c>
      <c r="X1195">
        <f ca="1">IFERROR(VLOOKUP($S1195,'TA database'!$I$200:$J$271,2,FALSE),0)</f>
        <v>7</v>
      </c>
      <c r="Y1195">
        <f t="shared" ca="1" si="3655"/>
        <v>7</v>
      </c>
      <c r="Z1195" t="str">
        <f t="shared" si="3665"/>
        <v>ELCTRLYZ_LRG_C   →   C_GAS_STRG   →   ONSITE_USE   →   H2_FC_DCHP_PWR</v>
      </c>
      <c r="AA1195" t="str">
        <f t="shared" si="3666"/>
        <v>Grid electricity</v>
      </c>
      <c r="AB1195" t="str">
        <f t="shared" si="3667"/>
        <v>Maturity</v>
      </c>
      <c r="AC1195">
        <f t="shared" ca="1" si="3668"/>
        <v>7</v>
      </c>
      <c r="AD1195">
        <v>1136</v>
      </c>
      <c r="AE1195" t="str">
        <f>IF(AND(ISNUMBER(SEARCH(O1195,4)),ISNUMBER(SEARCH('(4) FCH pathway assessment'!$B$16,AB1195)),ISNUMBER(SEARCH('(4) FCH pathway assessment'!$B$10,AA1195))),AD1195,"")</f>
        <v/>
      </c>
      <c r="AF1195" t="str">
        <f t="shared" si="3557"/>
        <v/>
      </c>
      <c r="AG1195" t="str">
        <f>VLOOKUP(C1195,Assumptions!$B$116:$C$162,2,FALSE)</f>
        <v>ELCTRLYZ_LRG_C</v>
      </c>
      <c r="AH1195" t="str">
        <f>VLOOKUP(D1195,Assumptions!$B$116:$C$162,2,FALSE)</f>
        <v>C_GAS_STRG</v>
      </c>
      <c r="AI1195" t="str">
        <f>VLOOKUP(E1195,Assumptions!$B$116:$C$162,2,FALSE)</f>
        <v>ONSITE_USE</v>
      </c>
      <c r="AJ1195" t="str">
        <f>VLOOKUP(F1195,Assumptions!$B$116:$C$162,2,FALSE)</f>
        <v>H2_FC_DCHP_PWR</v>
      </c>
    </row>
    <row r="1196" spans="2:36" x14ac:dyDescent="0.25">
      <c r="B1196" t="s">
        <v>112</v>
      </c>
      <c r="C1196" t="s">
        <v>51</v>
      </c>
      <c r="D1196" t="s">
        <v>155</v>
      </c>
      <c r="E1196" t="s">
        <v>157</v>
      </c>
      <c r="F1196" t="s">
        <v>549</v>
      </c>
      <c r="G1196" t="s">
        <v>114</v>
      </c>
      <c r="H1196" t="s">
        <v>433</v>
      </c>
      <c r="I1196" t="s">
        <v>32</v>
      </c>
      <c r="J1196" t="s">
        <v>78</v>
      </c>
      <c r="K1196">
        <f t="shared" si="3656"/>
        <v>1</v>
      </c>
      <c r="L1196">
        <f t="shared" si="3657"/>
        <v>1</v>
      </c>
      <c r="M1196">
        <f t="shared" si="3658"/>
        <v>0</v>
      </c>
      <c r="N1196">
        <f t="shared" si="3659"/>
        <v>0</v>
      </c>
      <c r="O1196">
        <f t="shared" si="3660"/>
        <v>2</v>
      </c>
      <c r="P1196" t="str">
        <f t="shared" si="3661"/>
        <v>Medium centralized electrolysis-Maturity</v>
      </c>
      <c r="Q1196" t="str">
        <f t="shared" si="3662"/>
        <v>Central gas storage-Maturity</v>
      </c>
      <c r="R1196" t="str">
        <f t="shared" si="3663"/>
        <v>Blending in natural gas pipeline-Maturity</v>
      </c>
      <c r="S1196" t="str">
        <f t="shared" si="3664"/>
        <v>District-CHP with H2 fuel cell (power)-Maturity</v>
      </c>
      <c r="T1196">
        <f ca="1">VLOOKUP($P1196,'TA database'!$I$8:$J$79,2,FALSE)</f>
        <v>9</v>
      </c>
      <c r="U1196">
        <f ca="1">VLOOKUP($Q1196,'TA database'!$I$86:$J$105,2,FALSE)</f>
        <v>9</v>
      </c>
      <c r="V1196">
        <f ca="1">VLOOKUP($R1196,'TA database'!$I$112:$J$139,2,FALSE)</f>
        <v>7</v>
      </c>
      <c r="W1196">
        <f>IFERROR(VLOOKUP($S1196,'TA database'!$I$146:$J$193,2,FALSE),0)</f>
        <v>0</v>
      </c>
      <c r="X1196">
        <f ca="1">IFERROR(VLOOKUP($S1196,'TA database'!$I$200:$J$271,2,FALSE),0)</f>
        <v>7</v>
      </c>
      <c r="Y1196">
        <f t="shared" ref="Y1196:Y1199" ca="1" si="3669">IF($W1196=0,MIN($T1196:$V1196,$X1196),MIN($T1196:$W1196))</f>
        <v>7</v>
      </c>
      <c r="Z1196" t="str">
        <f t="shared" si="3665"/>
        <v>ELCTRLYZ_MED_C   →   C_GAS_STRG   →   H2_BLND_NG_P   →   H2_FC_DCHP_PWR</v>
      </c>
      <c r="AA1196" t="str">
        <f t="shared" si="3666"/>
        <v>Grid electricity</v>
      </c>
      <c r="AB1196" t="str">
        <f t="shared" si="3667"/>
        <v>Maturity</v>
      </c>
      <c r="AC1196">
        <f t="shared" ca="1" si="3668"/>
        <v>7</v>
      </c>
      <c r="AD1196">
        <v>1137</v>
      </c>
      <c r="AE1196" t="str">
        <f>IF(AND(ISNUMBER(SEARCH(O1196,4)),ISNUMBER(SEARCH('(4) FCH pathway assessment'!$B$16,AB1196)),ISNUMBER(SEARCH('(4) FCH pathway assessment'!$B$10,AA1196))),AD1196,"")</f>
        <v/>
      </c>
      <c r="AF1196" t="str">
        <f t="shared" si="3557"/>
        <v/>
      </c>
      <c r="AG1196" t="str">
        <f>VLOOKUP(C1196,Assumptions!$B$116:$C$162,2,FALSE)</f>
        <v>ELCTRLYZ_MED_C</v>
      </c>
      <c r="AH1196" t="str">
        <f>VLOOKUP(D1196,Assumptions!$B$116:$C$162,2,FALSE)</f>
        <v>C_GAS_STRG</v>
      </c>
      <c r="AI1196" t="str">
        <f>VLOOKUP(E1196,Assumptions!$B$116:$C$162,2,FALSE)</f>
        <v>H2_BLND_NG_P</v>
      </c>
      <c r="AJ1196" t="str">
        <f>VLOOKUP(F1196,Assumptions!$B$116:$C$162,2,FALSE)</f>
        <v>H2_FC_DCHP_PWR</v>
      </c>
    </row>
    <row r="1197" spans="2:36" x14ac:dyDescent="0.25">
      <c r="B1197" t="s">
        <v>112</v>
      </c>
      <c r="C1197" t="s">
        <v>51</v>
      </c>
      <c r="D1197" t="s">
        <v>155</v>
      </c>
      <c r="E1197" t="s">
        <v>122</v>
      </c>
      <c r="F1197" t="s">
        <v>549</v>
      </c>
      <c r="G1197" t="s">
        <v>114</v>
      </c>
      <c r="H1197" t="s">
        <v>433</v>
      </c>
      <c r="I1197" t="s">
        <v>32</v>
      </c>
      <c r="J1197" t="s">
        <v>78</v>
      </c>
      <c r="K1197">
        <f t="shared" si="3656"/>
        <v>1</v>
      </c>
      <c r="L1197">
        <f t="shared" si="3657"/>
        <v>1</v>
      </c>
      <c r="M1197">
        <f t="shared" si="3658"/>
        <v>1</v>
      </c>
      <c r="N1197">
        <f t="shared" si="3659"/>
        <v>0</v>
      </c>
      <c r="O1197">
        <f t="shared" si="3660"/>
        <v>3</v>
      </c>
      <c r="P1197" t="str">
        <f t="shared" si="3661"/>
        <v>Medium centralized electrolysis-Maturity</v>
      </c>
      <c r="Q1197" t="str">
        <f t="shared" si="3662"/>
        <v>Central gas storage-Maturity</v>
      </c>
      <c r="R1197" t="str">
        <f t="shared" si="3663"/>
        <v>Hydrogen transmission &amp; distribution pipeline-Maturity</v>
      </c>
      <c r="S1197" t="str">
        <f t="shared" si="3664"/>
        <v>District-CHP with H2 fuel cell (power)-Maturity</v>
      </c>
      <c r="T1197">
        <f ca="1">VLOOKUP($P1197,'TA database'!$I$8:$J$79,2,FALSE)</f>
        <v>9</v>
      </c>
      <c r="U1197">
        <f ca="1">VLOOKUP($Q1197,'TA database'!$I$86:$J$105,2,FALSE)</f>
        <v>9</v>
      </c>
      <c r="V1197">
        <f ca="1">VLOOKUP($R1197,'TA database'!$I$112:$J$139,2,FALSE)</f>
        <v>9</v>
      </c>
      <c r="W1197">
        <f>IFERROR(VLOOKUP($S1197,'TA database'!$I$146:$J$193,2,FALSE),0)</f>
        <v>0</v>
      </c>
      <c r="X1197">
        <f ca="1">IFERROR(VLOOKUP($S1197,'TA database'!$I$200:$J$271,2,FALSE),0)</f>
        <v>7</v>
      </c>
      <c r="Y1197">
        <f t="shared" ca="1" si="3669"/>
        <v>7</v>
      </c>
      <c r="Z1197" t="str">
        <f t="shared" si="3665"/>
        <v>ELCTRLYZ_MED_C   →   C_GAS_STRG   →   H2_T&amp;D_P   →   H2_FC_DCHP_PWR</v>
      </c>
      <c r="AA1197" t="str">
        <f t="shared" si="3666"/>
        <v>Grid electricity</v>
      </c>
      <c r="AB1197" t="str">
        <f t="shared" si="3667"/>
        <v>Maturity</v>
      </c>
      <c r="AC1197">
        <f t="shared" ca="1" si="3668"/>
        <v>7</v>
      </c>
      <c r="AD1197">
        <v>1138</v>
      </c>
      <c r="AE1197" t="str">
        <f>IF(AND(ISNUMBER(SEARCH(O1197,4)),ISNUMBER(SEARCH('(4) FCH pathway assessment'!$B$16,AB1197)),ISNUMBER(SEARCH('(4) FCH pathway assessment'!$B$10,AA1197))),AD1197,"")</f>
        <v/>
      </c>
      <c r="AF1197" t="str">
        <f t="shared" si="3557"/>
        <v/>
      </c>
      <c r="AG1197" t="str">
        <f>VLOOKUP(C1197,Assumptions!$B$116:$C$162,2,FALSE)</f>
        <v>ELCTRLYZ_MED_C</v>
      </c>
      <c r="AH1197" t="str">
        <f>VLOOKUP(D1197,Assumptions!$B$116:$C$162,2,FALSE)</f>
        <v>C_GAS_STRG</v>
      </c>
      <c r="AI1197" t="str">
        <f>VLOOKUP(E1197,Assumptions!$B$116:$C$162,2,FALSE)</f>
        <v>H2_T&amp;D_P</v>
      </c>
      <c r="AJ1197" t="str">
        <f>VLOOKUP(F1197,Assumptions!$B$116:$C$162,2,FALSE)</f>
        <v>H2_FC_DCHP_PWR</v>
      </c>
    </row>
    <row r="1198" spans="2:36" x14ac:dyDescent="0.25">
      <c r="B1198" t="s">
        <v>112</v>
      </c>
      <c r="C1198" t="s">
        <v>51</v>
      </c>
      <c r="D1198" t="s">
        <v>155</v>
      </c>
      <c r="E1198" t="s">
        <v>116</v>
      </c>
      <c r="F1198" t="s">
        <v>549</v>
      </c>
      <c r="G1198" t="s">
        <v>114</v>
      </c>
      <c r="H1198" t="s">
        <v>433</v>
      </c>
      <c r="I1198" t="s">
        <v>32</v>
      </c>
      <c r="J1198" t="s">
        <v>78</v>
      </c>
      <c r="K1198">
        <f t="shared" si="3656"/>
        <v>1</v>
      </c>
      <c r="L1198">
        <f t="shared" si="3657"/>
        <v>1</v>
      </c>
      <c r="M1198">
        <f t="shared" si="3658"/>
        <v>1</v>
      </c>
      <c r="N1198">
        <f t="shared" si="3659"/>
        <v>0</v>
      </c>
      <c r="O1198">
        <f t="shared" si="3660"/>
        <v>3</v>
      </c>
      <c r="P1198" t="str">
        <f t="shared" si="3661"/>
        <v>Medium centralized electrolysis-Maturity</v>
      </c>
      <c r="Q1198" t="str">
        <f t="shared" si="3662"/>
        <v>Central gas storage-Maturity</v>
      </c>
      <c r="R1198" t="str">
        <f t="shared" si="3663"/>
        <v>Liquid hydrogen truck-Maturity</v>
      </c>
      <c r="S1198" t="str">
        <f t="shared" si="3664"/>
        <v>District-CHP with H2 fuel cell (power)-Maturity</v>
      </c>
      <c r="T1198">
        <f ca="1">VLOOKUP($P1198,'TA database'!$I$8:$J$79,2,FALSE)</f>
        <v>9</v>
      </c>
      <c r="U1198">
        <f ca="1">VLOOKUP($Q1198,'TA database'!$I$86:$J$105,2,FALSE)</f>
        <v>9</v>
      </c>
      <c r="V1198">
        <f ca="1">VLOOKUP($R1198,'TA database'!$I$112:$J$139,2,FALSE)</f>
        <v>9</v>
      </c>
      <c r="W1198">
        <f>IFERROR(VLOOKUP($S1198,'TA database'!$I$146:$J$193,2,FALSE),0)</f>
        <v>0</v>
      </c>
      <c r="X1198">
        <f ca="1">IFERROR(VLOOKUP($S1198,'TA database'!$I$200:$J$271,2,FALSE),0)</f>
        <v>7</v>
      </c>
      <c r="Y1198">
        <f t="shared" ca="1" si="3669"/>
        <v>7</v>
      </c>
      <c r="Z1198" t="str">
        <f t="shared" si="3665"/>
        <v>ELCTRLYZ_MED_C   →   C_GAS_STRG   →   LQ_TRUCK   →   H2_FC_DCHP_PWR</v>
      </c>
      <c r="AA1198" t="str">
        <f t="shared" si="3666"/>
        <v>Grid electricity</v>
      </c>
      <c r="AB1198" t="str">
        <f t="shared" si="3667"/>
        <v>Maturity</v>
      </c>
      <c r="AC1198">
        <f t="shared" ca="1" si="3668"/>
        <v>7</v>
      </c>
      <c r="AD1198">
        <v>1139</v>
      </c>
      <c r="AE1198" t="str">
        <f>IF(AND(ISNUMBER(SEARCH(O1198,4)),ISNUMBER(SEARCH('(4) FCH pathway assessment'!$B$16,AB1198)),ISNUMBER(SEARCH('(4) FCH pathway assessment'!$B$10,AA1198))),AD1198,"")</f>
        <v/>
      </c>
      <c r="AF1198" t="str">
        <f t="shared" si="3557"/>
        <v/>
      </c>
      <c r="AG1198" t="str">
        <f>VLOOKUP(C1198,Assumptions!$B$116:$C$162,2,FALSE)</f>
        <v>ELCTRLYZ_MED_C</v>
      </c>
      <c r="AH1198" t="str">
        <f>VLOOKUP(D1198,Assumptions!$B$116:$C$162,2,FALSE)</f>
        <v>C_GAS_STRG</v>
      </c>
      <c r="AI1198" t="str">
        <f>VLOOKUP(E1198,Assumptions!$B$116:$C$162,2,FALSE)</f>
        <v>LQ_TRUCK</v>
      </c>
      <c r="AJ1198" t="str">
        <f>VLOOKUP(F1198,Assumptions!$B$116:$C$162,2,FALSE)</f>
        <v>H2_FC_DCHP_PWR</v>
      </c>
    </row>
    <row r="1199" spans="2:36" x14ac:dyDescent="0.25">
      <c r="B1199" t="s">
        <v>112</v>
      </c>
      <c r="C1199" t="s">
        <v>51</v>
      </c>
      <c r="D1199" t="s">
        <v>155</v>
      </c>
      <c r="E1199" t="s">
        <v>66</v>
      </c>
      <c r="F1199" t="s">
        <v>549</v>
      </c>
      <c r="G1199" t="s">
        <v>114</v>
      </c>
      <c r="H1199" t="s">
        <v>433</v>
      </c>
      <c r="I1199" t="s">
        <v>32</v>
      </c>
      <c r="J1199" t="s">
        <v>78</v>
      </c>
      <c r="K1199">
        <f t="shared" si="3656"/>
        <v>1</v>
      </c>
      <c r="L1199">
        <f t="shared" si="3657"/>
        <v>1</v>
      </c>
      <c r="M1199">
        <f t="shared" si="3658"/>
        <v>1</v>
      </c>
      <c r="N1199">
        <f t="shared" si="3659"/>
        <v>0</v>
      </c>
      <c r="O1199">
        <f t="shared" si="3660"/>
        <v>3</v>
      </c>
      <c r="P1199" t="str">
        <f t="shared" si="3661"/>
        <v>Medium centralized electrolysis-Maturity</v>
      </c>
      <c r="Q1199" t="str">
        <f t="shared" si="3662"/>
        <v>Central gas storage-Maturity</v>
      </c>
      <c r="R1199" t="str">
        <f t="shared" si="3663"/>
        <v>Onsite-Maturity</v>
      </c>
      <c r="S1199" t="str">
        <f t="shared" si="3664"/>
        <v>District-CHP with H2 fuel cell (power)-Maturity</v>
      </c>
      <c r="T1199">
        <f ca="1">VLOOKUP($P1199,'TA database'!$I$8:$J$79,2,FALSE)</f>
        <v>9</v>
      </c>
      <c r="U1199">
        <f ca="1">VLOOKUP($Q1199,'TA database'!$I$86:$J$105,2,FALSE)</f>
        <v>9</v>
      </c>
      <c r="V1199">
        <f ca="1">VLOOKUP($R1199,'TA database'!$I$112:$J$139,2,FALSE)</f>
        <v>9</v>
      </c>
      <c r="W1199">
        <f>IFERROR(VLOOKUP($S1199,'TA database'!$I$146:$J$193,2,FALSE),0)</f>
        <v>0</v>
      </c>
      <c r="X1199">
        <f ca="1">IFERROR(VLOOKUP($S1199,'TA database'!$I$200:$J$271,2,FALSE),0)</f>
        <v>7</v>
      </c>
      <c r="Y1199">
        <f t="shared" ca="1" si="3669"/>
        <v>7</v>
      </c>
      <c r="Z1199" t="str">
        <f t="shared" si="3665"/>
        <v>ELCTRLYZ_MED_C   →   C_GAS_STRG   →   ONSITE_USE   →   H2_FC_DCHP_PWR</v>
      </c>
      <c r="AA1199" t="str">
        <f t="shared" si="3666"/>
        <v>Grid electricity</v>
      </c>
      <c r="AB1199" t="str">
        <f t="shared" si="3667"/>
        <v>Maturity</v>
      </c>
      <c r="AC1199">
        <f t="shared" ca="1" si="3668"/>
        <v>7</v>
      </c>
      <c r="AD1199">
        <v>1140</v>
      </c>
      <c r="AE1199" t="str">
        <f>IF(AND(ISNUMBER(SEARCH(O1199,4)),ISNUMBER(SEARCH('(4) FCH pathway assessment'!$B$16,AB1199)),ISNUMBER(SEARCH('(4) FCH pathway assessment'!$B$10,AA1199))),AD1199,"")</f>
        <v/>
      </c>
      <c r="AF1199" t="str">
        <f t="shared" si="3557"/>
        <v/>
      </c>
      <c r="AG1199" t="str">
        <f>VLOOKUP(C1199,Assumptions!$B$116:$C$162,2,FALSE)</f>
        <v>ELCTRLYZ_MED_C</v>
      </c>
      <c r="AH1199" t="str">
        <f>VLOOKUP(D1199,Assumptions!$B$116:$C$162,2,FALSE)</f>
        <v>C_GAS_STRG</v>
      </c>
      <c r="AI1199" t="str">
        <f>VLOOKUP(E1199,Assumptions!$B$116:$C$162,2,FALSE)</f>
        <v>ONSITE_USE</v>
      </c>
      <c r="AJ1199" t="str">
        <f>VLOOKUP(F1199,Assumptions!$B$116:$C$162,2,FALSE)</f>
        <v>H2_FC_DCHP_PWR</v>
      </c>
    </row>
    <row r="1200" spans="2:36" x14ac:dyDescent="0.25">
      <c r="B1200" t="s">
        <v>112</v>
      </c>
      <c r="C1200" t="s">
        <v>52</v>
      </c>
      <c r="D1200" s="60" t="s">
        <v>130</v>
      </c>
      <c r="E1200" t="s">
        <v>66</v>
      </c>
      <c r="F1200" t="s">
        <v>549</v>
      </c>
      <c r="G1200" t="s">
        <v>114</v>
      </c>
      <c r="H1200" t="s">
        <v>433</v>
      </c>
      <c r="I1200" t="s">
        <v>32</v>
      </c>
      <c r="J1200" t="s">
        <v>78</v>
      </c>
      <c r="K1200">
        <f t="shared" ref="K1200:K1205" si="3670">SUMPRODUCT(($C$7:$C$18=$C1200)*($D$6:$H$6=$D1200)*($D$7:$H$18))</f>
        <v>1</v>
      </c>
      <c r="L1200">
        <f t="shared" ref="L1200:L1205" si="3671">SUMPRODUCT(($C$19:$C$23=$D1200)*($I$6:$O$6=$E1200)*($I$19:$O$23))</f>
        <v>1</v>
      </c>
      <c r="M1200">
        <f t="shared" ref="M1200:M1205" si="3672">SUMPRODUCT(($C$24:$C$30=$E1200)*($P$6:$AI$6=$F1200)*($P$24:$AI$30))</f>
        <v>1</v>
      </c>
      <c r="N1200">
        <f t="shared" ref="N1200:N1205" si="3673">SUMPRODUCT(($C$31:$C$50=$F1200)*($AJ$6:$AM$6=$G1200)*($AJ$31:$AM$50))</f>
        <v>0</v>
      </c>
      <c r="O1200">
        <f t="shared" ref="O1200:O1204" si="3674">K1200+L1200+M1200+N1200</f>
        <v>3</v>
      </c>
      <c r="P1200" t="str">
        <f t="shared" ref="P1200:P1205" si="3675">CONCATENATE(C1200,"-",J1200)</f>
        <v>Small decentralized electrolysis-Maturity</v>
      </c>
      <c r="Q1200" t="str">
        <f t="shared" ref="Q1200:Q1205" si="3676">CONCATENATE(D1200,"-",J1200)</f>
        <v>Distributed gas storage-Maturity</v>
      </c>
      <c r="R1200" t="str">
        <f t="shared" ref="R1200:R1205" si="3677">CONCATENATE(E1200,"-",J1200)</f>
        <v>Onsite-Maturity</v>
      </c>
      <c r="S1200" t="str">
        <f t="shared" ref="S1200:S1205" si="3678">CONCATENATE(F1200,"-",J1200)</f>
        <v>District-CHP with H2 fuel cell (power)-Maturity</v>
      </c>
      <c r="T1200">
        <f ca="1">VLOOKUP($P1200,'TA database'!$I$8:$J$79,2,FALSE)</f>
        <v>9</v>
      </c>
      <c r="U1200">
        <f ca="1">VLOOKUP($Q1200,'TA database'!$I$86:$J$105,2,FALSE)</f>
        <v>9</v>
      </c>
      <c r="V1200">
        <f ca="1">VLOOKUP($R1200,'TA database'!$I$112:$J$139,2,FALSE)</f>
        <v>9</v>
      </c>
      <c r="W1200">
        <f>IFERROR(VLOOKUP($S1200,'TA database'!$I$146:$J$193,2,FALSE),0)</f>
        <v>0</v>
      </c>
      <c r="X1200">
        <f ca="1">IFERROR(VLOOKUP($S1200,'TA database'!$I$200:$J$271,2,FALSE),0)</f>
        <v>7</v>
      </c>
      <c r="Y1200">
        <f t="shared" ref="Y1200:Y1205" ca="1" si="3679">IF($W1200=0,MIN($T1200:$V1200,$X1200),MIN($T1200:$W1200))</f>
        <v>7</v>
      </c>
      <c r="Z1200" t="str">
        <f t="shared" ref="Z1200:Z1204" si="3680">CONCATENATE(AG1200,"   →   ",AH1200,"   →   ",AI1200,"   →   ",AJ1200)</f>
        <v>ELCTRLYZ_SML_D   →   D_GAS_STRG   →   ONSITE_USE   →   H2_FC_DCHP_PWR</v>
      </c>
      <c r="AA1200" t="str">
        <f t="shared" ref="AA1200:AA1204" si="3681">G1200</f>
        <v>Grid electricity</v>
      </c>
      <c r="AB1200" t="str">
        <f t="shared" ref="AB1200:AB1204" si="3682">J1200</f>
        <v>Maturity</v>
      </c>
      <c r="AC1200">
        <f t="shared" ref="AC1200:AC1204" ca="1" si="3683">Y1200</f>
        <v>7</v>
      </c>
      <c r="AD1200">
        <v>1141</v>
      </c>
      <c r="AE1200" t="str">
        <f>IF(AND(ISNUMBER(SEARCH(O1200,4)),ISNUMBER(SEARCH('(4) FCH pathway assessment'!$B$16,AB1200)),ISNUMBER(SEARCH('(4) FCH pathway assessment'!$B$10,AA1200))),AD1200,"")</f>
        <v/>
      </c>
      <c r="AF1200" t="str">
        <f t="shared" si="3557"/>
        <v/>
      </c>
      <c r="AG1200" t="str">
        <f>VLOOKUP(C1200,Assumptions!$B$116:$C$162,2,FALSE)</f>
        <v>ELCTRLYZ_SML_D</v>
      </c>
      <c r="AH1200" t="str">
        <f>VLOOKUP(D1200,Assumptions!$B$116:$C$162,2,FALSE)</f>
        <v>D_GAS_STRG</v>
      </c>
      <c r="AI1200" t="str">
        <f>VLOOKUP(E1200,Assumptions!$B$116:$C$162,2,FALSE)</f>
        <v>ONSITE_USE</v>
      </c>
      <c r="AJ1200" t="str">
        <f>VLOOKUP(F1200,Assumptions!$B$116:$C$162,2,FALSE)</f>
        <v>H2_FC_DCHP_PWR</v>
      </c>
    </row>
    <row r="1201" spans="2:36" x14ac:dyDescent="0.25">
      <c r="B1201" t="s">
        <v>127</v>
      </c>
      <c r="C1201" t="s">
        <v>57</v>
      </c>
      <c r="D1201" t="s">
        <v>62</v>
      </c>
      <c r="E1201" t="s">
        <v>157</v>
      </c>
      <c r="F1201" t="s">
        <v>549</v>
      </c>
      <c r="G1201" t="s">
        <v>114</v>
      </c>
      <c r="H1201" t="s">
        <v>433</v>
      </c>
      <c r="I1201" t="s">
        <v>32</v>
      </c>
      <c r="J1201" t="s">
        <v>78</v>
      </c>
      <c r="K1201">
        <f t="shared" si="3670"/>
        <v>1</v>
      </c>
      <c r="L1201">
        <f t="shared" si="3671"/>
        <v>0</v>
      </c>
      <c r="M1201">
        <f t="shared" si="3672"/>
        <v>0</v>
      </c>
      <c r="N1201">
        <f t="shared" si="3673"/>
        <v>0</v>
      </c>
      <c r="O1201">
        <f t="shared" si="3674"/>
        <v>1</v>
      </c>
      <c r="P1201" t="str">
        <f t="shared" si="3675"/>
        <v>Large centralized natural gas steam reforming-Maturity</v>
      </c>
      <c r="Q1201" t="str">
        <f t="shared" si="3676"/>
        <v>Underground storage-Maturity</v>
      </c>
      <c r="R1201" t="str">
        <f t="shared" si="3677"/>
        <v>Blending in natural gas pipeline-Maturity</v>
      </c>
      <c r="S1201" t="str">
        <f t="shared" si="3678"/>
        <v>District-CHP with H2 fuel cell (power)-Maturity</v>
      </c>
      <c r="T1201">
        <f ca="1">VLOOKUP($P1201,'TA database'!$I$8:$J$79,2,FALSE)</f>
        <v>9</v>
      </c>
      <c r="U1201">
        <f ca="1">VLOOKUP($Q1201,'TA database'!$I$86:$J$105,2,FALSE)</f>
        <v>6</v>
      </c>
      <c r="V1201">
        <f ca="1">VLOOKUP($R1201,'TA database'!$I$112:$J$139,2,FALSE)</f>
        <v>7</v>
      </c>
      <c r="W1201">
        <f>IFERROR(VLOOKUP($S1201,'TA database'!$I$146:$J$193,2,FALSE),0)</f>
        <v>0</v>
      </c>
      <c r="X1201">
        <f ca="1">IFERROR(VLOOKUP($S1201,'TA database'!$I$200:$J$271,2,FALSE),0)</f>
        <v>7</v>
      </c>
      <c r="Y1201">
        <f t="shared" ca="1" si="3679"/>
        <v>6</v>
      </c>
      <c r="Z1201" t="str">
        <f t="shared" si="3680"/>
        <v>NG_SR_LRG_C   →   C_UNDRGRND_STRG   →   H2_BLND_NG_P   →   H2_FC_DCHP_PWR</v>
      </c>
      <c r="AA1201" t="str">
        <f t="shared" si="3681"/>
        <v>Grid electricity</v>
      </c>
      <c r="AB1201" t="str">
        <f t="shared" si="3682"/>
        <v>Maturity</v>
      </c>
      <c r="AC1201">
        <f t="shared" ca="1" si="3683"/>
        <v>6</v>
      </c>
      <c r="AD1201">
        <v>1142</v>
      </c>
      <c r="AE1201" t="str">
        <f>IF(AND(ISNUMBER(SEARCH(O1201,4)),ISNUMBER(SEARCH('(4) FCH pathway assessment'!$B$16,AB1201)),ISNUMBER(SEARCH('(4) FCH pathway assessment'!$B$10,AA1201))),AD1201,"")</f>
        <v/>
      </c>
      <c r="AF1201" t="str">
        <f t="shared" si="3557"/>
        <v/>
      </c>
      <c r="AG1201" t="str">
        <f>VLOOKUP(C1201,Assumptions!$B$116:$C$162,2,FALSE)</f>
        <v>NG_SR_LRG_C</v>
      </c>
      <c r="AH1201" t="str">
        <f>VLOOKUP(D1201,Assumptions!$B$116:$C$162,2,FALSE)</f>
        <v>C_UNDRGRND_STRG</v>
      </c>
      <c r="AI1201" t="str">
        <f>VLOOKUP(E1201,Assumptions!$B$116:$C$162,2,FALSE)</f>
        <v>H2_BLND_NG_P</v>
      </c>
      <c r="AJ1201" t="str">
        <f>VLOOKUP(F1201,Assumptions!$B$116:$C$162,2,FALSE)</f>
        <v>H2_FC_DCHP_PWR</v>
      </c>
    </row>
    <row r="1202" spans="2:36" x14ac:dyDescent="0.25">
      <c r="B1202" t="s">
        <v>127</v>
      </c>
      <c r="C1202" t="s">
        <v>57</v>
      </c>
      <c r="D1202" t="s">
        <v>62</v>
      </c>
      <c r="E1202" t="s">
        <v>122</v>
      </c>
      <c r="F1202" t="s">
        <v>549</v>
      </c>
      <c r="G1202" t="s">
        <v>114</v>
      </c>
      <c r="H1202" t="s">
        <v>433</v>
      </c>
      <c r="I1202" t="s">
        <v>32</v>
      </c>
      <c r="J1202" t="s">
        <v>78</v>
      </c>
      <c r="K1202">
        <f t="shared" si="3670"/>
        <v>1</v>
      </c>
      <c r="L1202">
        <f t="shared" si="3671"/>
        <v>0</v>
      </c>
      <c r="M1202">
        <f t="shared" si="3672"/>
        <v>1</v>
      </c>
      <c r="N1202">
        <f t="shared" si="3673"/>
        <v>0</v>
      </c>
      <c r="O1202">
        <f t="shared" si="3674"/>
        <v>2</v>
      </c>
      <c r="P1202" t="str">
        <f t="shared" si="3675"/>
        <v>Large centralized natural gas steam reforming-Maturity</v>
      </c>
      <c r="Q1202" t="str">
        <f t="shared" si="3676"/>
        <v>Underground storage-Maturity</v>
      </c>
      <c r="R1202" t="str">
        <f t="shared" si="3677"/>
        <v>Hydrogen transmission &amp; distribution pipeline-Maturity</v>
      </c>
      <c r="S1202" t="str">
        <f t="shared" si="3678"/>
        <v>District-CHP with H2 fuel cell (power)-Maturity</v>
      </c>
      <c r="T1202">
        <f ca="1">VLOOKUP($P1202,'TA database'!$I$8:$J$79,2,FALSE)</f>
        <v>9</v>
      </c>
      <c r="U1202">
        <f ca="1">VLOOKUP($Q1202,'TA database'!$I$86:$J$105,2,FALSE)</f>
        <v>6</v>
      </c>
      <c r="V1202">
        <f ca="1">VLOOKUP($R1202,'TA database'!$I$112:$J$139,2,FALSE)</f>
        <v>9</v>
      </c>
      <c r="W1202">
        <f>IFERROR(VLOOKUP($S1202,'TA database'!$I$146:$J$193,2,FALSE),0)</f>
        <v>0</v>
      </c>
      <c r="X1202">
        <f ca="1">IFERROR(VLOOKUP($S1202,'TA database'!$I$200:$J$271,2,FALSE),0)</f>
        <v>7</v>
      </c>
      <c r="Y1202">
        <f t="shared" ca="1" si="3679"/>
        <v>6</v>
      </c>
      <c r="Z1202" t="str">
        <f t="shared" si="3680"/>
        <v>NG_SR_LRG_C   →   C_UNDRGRND_STRG   →   H2_T&amp;D_P   →   H2_FC_DCHP_PWR</v>
      </c>
      <c r="AA1202" t="str">
        <f t="shared" si="3681"/>
        <v>Grid electricity</v>
      </c>
      <c r="AB1202" t="str">
        <f t="shared" si="3682"/>
        <v>Maturity</v>
      </c>
      <c r="AC1202">
        <f t="shared" ca="1" si="3683"/>
        <v>6</v>
      </c>
      <c r="AD1202">
        <v>1143</v>
      </c>
      <c r="AE1202" t="str">
        <f>IF(AND(ISNUMBER(SEARCH(O1202,4)),ISNUMBER(SEARCH('(4) FCH pathway assessment'!$B$16,AB1202)),ISNUMBER(SEARCH('(4) FCH pathway assessment'!$B$10,AA1202))),AD1202,"")</f>
        <v/>
      </c>
      <c r="AF1202" t="str">
        <f t="shared" si="3557"/>
        <v/>
      </c>
      <c r="AG1202" t="str">
        <f>VLOOKUP(C1202,Assumptions!$B$116:$C$162,2,FALSE)</f>
        <v>NG_SR_LRG_C</v>
      </c>
      <c r="AH1202" t="str">
        <f>VLOOKUP(D1202,Assumptions!$B$116:$C$162,2,FALSE)</f>
        <v>C_UNDRGRND_STRG</v>
      </c>
      <c r="AI1202" t="str">
        <f>VLOOKUP(E1202,Assumptions!$B$116:$C$162,2,FALSE)</f>
        <v>H2_T&amp;D_P</v>
      </c>
      <c r="AJ1202" t="str">
        <f>VLOOKUP(F1202,Assumptions!$B$116:$C$162,2,FALSE)</f>
        <v>H2_FC_DCHP_PWR</v>
      </c>
    </row>
    <row r="1203" spans="2:36" x14ac:dyDescent="0.25">
      <c r="B1203" t="s">
        <v>127</v>
      </c>
      <c r="C1203" t="s">
        <v>57</v>
      </c>
      <c r="D1203" t="s">
        <v>62</v>
      </c>
      <c r="E1203" t="s">
        <v>116</v>
      </c>
      <c r="F1203" t="s">
        <v>549</v>
      </c>
      <c r="G1203" t="s">
        <v>114</v>
      </c>
      <c r="H1203" t="s">
        <v>433</v>
      </c>
      <c r="I1203" t="s">
        <v>32</v>
      </c>
      <c r="J1203" t="s">
        <v>78</v>
      </c>
      <c r="K1203">
        <f t="shared" si="3670"/>
        <v>1</v>
      </c>
      <c r="L1203">
        <f t="shared" si="3671"/>
        <v>0</v>
      </c>
      <c r="M1203">
        <f t="shared" si="3672"/>
        <v>1</v>
      </c>
      <c r="N1203">
        <f t="shared" si="3673"/>
        <v>0</v>
      </c>
      <c r="O1203">
        <f t="shared" si="3674"/>
        <v>2</v>
      </c>
      <c r="P1203" t="str">
        <f t="shared" si="3675"/>
        <v>Large centralized natural gas steam reforming-Maturity</v>
      </c>
      <c r="Q1203" t="str">
        <f t="shared" si="3676"/>
        <v>Underground storage-Maturity</v>
      </c>
      <c r="R1203" t="str">
        <f t="shared" si="3677"/>
        <v>Liquid hydrogen truck-Maturity</v>
      </c>
      <c r="S1203" t="str">
        <f t="shared" si="3678"/>
        <v>District-CHP with H2 fuel cell (power)-Maturity</v>
      </c>
      <c r="T1203">
        <f ca="1">VLOOKUP($P1203,'TA database'!$I$8:$J$79,2,FALSE)</f>
        <v>9</v>
      </c>
      <c r="U1203">
        <f ca="1">VLOOKUP($Q1203,'TA database'!$I$86:$J$105,2,FALSE)</f>
        <v>6</v>
      </c>
      <c r="V1203">
        <f ca="1">VLOOKUP($R1203,'TA database'!$I$112:$J$139,2,FALSE)</f>
        <v>9</v>
      </c>
      <c r="W1203">
        <f>IFERROR(VLOOKUP($S1203,'TA database'!$I$146:$J$193,2,FALSE),0)</f>
        <v>0</v>
      </c>
      <c r="X1203">
        <f ca="1">IFERROR(VLOOKUP($S1203,'TA database'!$I$200:$J$271,2,FALSE),0)</f>
        <v>7</v>
      </c>
      <c r="Y1203">
        <f t="shared" ca="1" si="3679"/>
        <v>6</v>
      </c>
      <c r="Z1203" t="str">
        <f t="shared" si="3680"/>
        <v>NG_SR_LRG_C   →   C_UNDRGRND_STRG   →   LQ_TRUCK   →   H2_FC_DCHP_PWR</v>
      </c>
      <c r="AA1203" t="str">
        <f t="shared" si="3681"/>
        <v>Grid electricity</v>
      </c>
      <c r="AB1203" t="str">
        <f t="shared" si="3682"/>
        <v>Maturity</v>
      </c>
      <c r="AC1203">
        <f t="shared" ca="1" si="3683"/>
        <v>6</v>
      </c>
      <c r="AD1203">
        <v>1144</v>
      </c>
      <c r="AE1203" t="str">
        <f>IF(AND(ISNUMBER(SEARCH(O1203,4)),ISNUMBER(SEARCH('(4) FCH pathway assessment'!$B$16,AB1203)),ISNUMBER(SEARCH('(4) FCH pathway assessment'!$B$10,AA1203))),AD1203,"")</f>
        <v/>
      </c>
      <c r="AF1203" t="str">
        <f t="shared" si="3557"/>
        <v/>
      </c>
      <c r="AG1203" t="str">
        <f>VLOOKUP(C1203,Assumptions!$B$116:$C$162,2,FALSE)</f>
        <v>NG_SR_LRG_C</v>
      </c>
      <c r="AH1203" t="str">
        <f>VLOOKUP(D1203,Assumptions!$B$116:$C$162,2,FALSE)</f>
        <v>C_UNDRGRND_STRG</v>
      </c>
      <c r="AI1203" t="str">
        <f>VLOOKUP(E1203,Assumptions!$B$116:$C$162,2,FALSE)</f>
        <v>LQ_TRUCK</v>
      </c>
      <c r="AJ1203" t="str">
        <f>VLOOKUP(F1203,Assumptions!$B$116:$C$162,2,FALSE)</f>
        <v>H2_FC_DCHP_PWR</v>
      </c>
    </row>
    <row r="1204" spans="2:36" x14ac:dyDescent="0.25">
      <c r="B1204" t="s">
        <v>127</v>
      </c>
      <c r="C1204" t="s">
        <v>57</v>
      </c>
      <c r="D1204" t="s">
        <v>62</v>
      </c>
      <c r="E1204" t="s">
        <v>66</v>
      </c>
      <c r="F1204" t="s">
        <v>549</v>
      </c>
      <c r="G1204" t="s">
        <v>114</v>
      </c>
      <c r="H1204" t="s">
        <v>433</v>
      </c>
      <c r="I1204" t="s">
        <v>32</v>
      </c>
      <c r="J1204" t="s">
        <v>78</v>
      </c>
      <c r="K1204">
        <f t="shared" si="3670"/>
        <v>1</v>
      </c>
      <c r="L1204">
        <f t="shared" si="3671"/>
        <v>0</v>
      </c>
      <c r="M1204">
        <f t="shared" si="3672"/>
        <v>1</v>
      </c>
      <c r="N1204">
        <f t="shared" si="3673"/>
        <v>0</v>
      </c>
      <c r="O1204">
        <f t="shared" si="3674"/>
        <v>2</v>
      </c>
      <c r="P1204" t="str">
        <f t="shared" si="3675"/>
        <v>Large centralized natural gas steam reforming-Maturity</v>
      </c>
      <c r="Q1204" t="str">
        <f t="shared" si="3676"/>
        <v>Underground storage-Maturity</v>
      </c>
      <c r="R1204" t="str">
        <f t="shared" si="3677"/>
        <v>Onsite-Maturity</v>
      </c>
      <c r="S1204" t="str">
        <f t="shared" si="3678"/>
        <v>District-CHP with H2 fuel cell (power)-Maturity</v>
      </c>
      <c r="T1204">
        <f ca="1">VLOOKUP($P1204,'TA database'!$I$8:$J$79,2,FALSE)</f>
        <v>9</v>
      </c>
      <c r="U1204">
        <f ca="1">VLOOKUP($Q1204,'TA database'!$I$86:$J$105,2,FALSE)</f>
        <v>6</v>
      </c>
      <c r="V1204">
        <f ca="1">VLOOKUP($R1204,'TA database'!$I$112:$J$139,2,FALSE)</f>
        <v>9</v>
      </c>
      <c r="W1204">
        <f>IFERROR(VLOOKUP($S1204,'TA database'!$I$146:$J$193,2,FALSE),0)</f>
        <v>0</v>
      </c>
      <c r="X1204">
        <f ca="1">IFERROR(VLOOKUP($S1204,'TA database'!$I$200:$J$271,2,FALSE),0)</f>
        <v>7</v>
      </c>
      <c r="Y1204">
        <f t="shared" ca="1" si="3679"/>
        <v>6</v>
      </c>
      <c r="Z1204" t="str">
        <f t="shared" si="3680"/>
        <v>NG_SR_LRG_C   →   C_UNDRGRND_STRG   →   ONSITE_USE   →   H2_FC_DCHP_PWR</v>
      </c>
      <c r="AA1204" t="str">
        <f t="shared" si="3681"/>
        <v>Grid electricity</v>
      </c>
      <c r="AB1204" t="str">
        <f t="shared" si="3682"/>
        <v>Maturity</v>
      </c>
      <c r="AC1204">
        <f t="shared" ca="1" si="3683"/>
        <v>6</v>
      </c>
      <c r="AD1204">
        <v>1145</v>
      </c>
      <c r="AE1204" t="str">
        <f>IF(AND(ISNUMBER(SEARCH(O1204,4)),ISNUMBER(SEARCH('(4) FCH pathway assessment'!$B$16,AB1204)),ISNUMBER(SEARCH('(4) FCH pathway assessment'!$B$10,AA1204))),AD1204,"")</f>
        <v/>
      </c>
      <c r="AF1204" t="str">
        <f t="shared" si="3557"/>
        <v/>
      </c>
      <c r="AG1204" t="str">
        <f>VLOOKUP(C1204,Assumptions!$B$116:$C$162,2,FALSE)</f>
        <v>NG_SR_LRG_C</v>
      </c>
      <c r="AH1204" t="str">
        <f>VLOOKUP(D1204,Assumptions!$B$116:$C$162,2,FALSE)</f>
        <v>C_UNDRGRND_STRG</v>
      </c>
      <c r="AI1204" t="str">
        <f>VLOOKUP(E1204,Assumptions!$B$116:$C$162,2,FALSE)</f>
        <v>ONSITE_USE</v>
      </c>
      <c r="AJ1204" t="str">
        <f>VLOOKUP(F1204,Assumptions!$B$116:$C$162,2,FALSE)</f>
        <v>H2_FC_DCHP_PWR</v>
      </c>
    </row>
    <row r="1205" spans="2:36" x14ac:dyDescent="0.25">
      <c r="B1205" t="s">
        <v>127</v>
      </c>
      <c r="C1205" t="s">
        <v>57</v>
      </c>
      <c r="D1205" s="61" t="s">
        <v>63</v>
      </c>
      <c r="E1205" t="s">
        <v>122</v>
      </c>
      <c r="F1205" t="s">
        <v>549</v>
      </c>
      <c r="G1205" t="s">
        <v>114</v>
      </c>
      <c r="H1205" t="s">
        <v>433</v>
      </c>
      <c r="I1205" t="s">
        <v>32</v>
      </c>
      <c r="J1205" t="s">
        <v>78</v>
      </c>
      <c r="K1205">
        <f t="shared" si="3670"/>
        <v>1</v>
      </c>
      <c r="L1205">
        <f t="shared" si="3671"/>
        <v>1</v>
      </c>
      <c r="M1205">
        <f t="shared" si="3672"/>
        <v>1</v>
      </c>
      <c r="N1205">
        <f t="shared" si="3673"/>
        <v>0</v>
      </c>
      <c r="O1205">
        <f t="shared" ref="O1205:O1209" si="3684">K1205+L1205+M1205+N1205</f>
        <v>3</v>
      </c>
      <c r="P1205" t="str">
        <f t="shared" si="3675"/>
        <v>Large centralized natural gas steam reforming-Maturity</v>
      </c>
      <c r="Q1205" t="str">
        <f t="shared" si="3676"/>
        <v>No storage-Maturity</v>
      </c>
      <c r="R1205" t="str">
        <f t="shared" si="3677"/>
        <v>Hydrogen transmission &amp; distribution pipeline-Maturity</v>
      </c>
      <c r="S1205" t="str">
        <f t="shared" si="3678"/>
        <v>District-CHP with H2 fuel cell (power)-Maturity</v>
      </c>
      <c r="T1205">
        <f ca="1">VLOOKUP($P1205,'TA database'!$I$8:$J$79,2,FALSE)</f>
        <v>9</v>
      </c>
      <c r="U1205">
        <f ca="1">VLOOKUP($Q1205,'TA database'!$I$86:$J$105,2,FALSE)</f>
        <v>9</v>
      </c>
      <c r="V1205">
        <f ca="1">VLOOKUP($R1205,'TA database'!$I$112:$J$139,2,FALSE)</f>
        <v>9</v>
      </c>
      <c r="W1205">
        <f>IFERROR(VLOOKUP($S1205,'TA database'!$I$146:$J$193,2,FALSE),0)</f>
        <v>0</v>
      </c>
      <c r="X1205">
        <f ca="1">IFERROR(VLOOKUP($S1205,'TA database'!$I$200:$J$271,2,FALSE),0)</f>
        <v>7</v>
      </c>
      <c r="Y1205">
        <f t="shared" ca="1" si="3679"/>
        <v>7</v>
      </c>
      <c r="Z1205" t="str">
        <f t="shared" ref="Z1205:Z1209" si="3685">CONCATENATE(AG1205,"   →   ",AH1205,"   →   ",AI1205,"   →   ",AJ1205)</f>
        <v>NG_SR_LRG_C   →   NO_STRG   →   H2_T&amp;D_P   →   H2_FC_DCHP_PWR</v>
      </c>
      <c r="AA1205" t="str">
        <f t="shared" ref="AA1205:AA1209" si="3686">G1205</f>
        <v>Grid electricity</v>
      </c>
      <c r="AB1205" t="str">
        <f t="shared" ref="AB1205:AB1209" si="3687">J1205</f>
        <v>Maturity</v>
      </c>
      <c r="AC1205">
        <f t="shared" ref="AC1205:AC1209" ca="1" si="3688">Y1205</f>
        <v>7</v>
      </c>
      <c r="AD1205">
        <v>1146</v>
      </c>
      <c r="AE1205" t="str">
        <f>IF(AND(ISNUMBER(SEARCH(O1205,4)),ISNUMBER(SEARCH('(4) FCH pathway assessment'!$B$16,AB1205)),ISNUMBER(SEARCH('(4) FCH pathway assessment'!$B$10,AA1205))),AD1205,"")</f>
        <v/>
      </c>
      <c r="AF1205" t="str">
        <f t="shared" si="3557"/>
        <v/>
      </c>
      <c r="AG1205" t="str">
        <f>VLOOKUP(C1205,Assumptions!$B$116:$C$162,2,FALSE)</f>
        <v>NG_SR_LRG_C</v>
      </c>
      <c r="AH1205" t="str">
        <f>VLOOKUP(D1205,Assumptions!$B$116:$C$162,2,FALSE)</f>
        <v>NO_STRG</v>
      </c>
      <c r="AI1205" t="str">
        <f>VLOOKUP(E1205,Assumptions!$B$116:$C$162,2,FALSE)</f>
        <v>H2_T&amp;D_P</v>
      </c>
      <c r="AJ1205" t="str">
        <f>VLOOKUP(F1205,Assumptions!$B$116:$C$162,2,FALSE)</f>
        <v>H2_FC_DCHP_PWR</v>
      </c>
    </row>
    <row r="1206" spans="2:36" x14ac:dyDescent="0.25">
      <c r="B1206" t="s">
        <v>127</v>
      </c>
      <c r="C1206" t="s">
        <v>58</v>
      </c>
      <c r="D1206" t="s">
        <v>155</v>
      </c>
      <c r="E1206" t="s">
        <v>157</v>
      </c>
      <c r="F1206" t="s">
        <v>549</v>
      </c>
      <c r="G1206" t="s">
        <v>114</v>
      </c>
      <c r="H1206" t="s">
        <v>433</v>
      </c>
      <c r="I1206" t="s">
        <v>32</v>
      </c>
      <c r="J1206" t="s">
        <v>78</v>
      </c>
      <c r="K1206">
        <f t="shared" ref="K1206:K1209" si="3689">SUMPRODUCT(($C$7:$C$18=$C1206)*($D$6:$H$6=$D1206)*($D$7:$H$18))</f>
        <v>1</v>
      </c>
      <c r="L1206">
        <f t="shared" ref="L1206:L1209" si="3690">SUMPRODUCT(($C$19:$C$23=$D1206)*($I$6:$O$6=$E1206)*($I$19:$O$23))</f>
        <v>1</v>
      </c>
      <c r="M1206">
        <f t="shared" ref="M1206:M1209" si="3691">SUMPRODUCT(($C$24:$C$30=$E1206)*($P$6:$AI$6=$F1206)*($P$24:$AI$30))</f>
        <v>0</v>
      </c>
      <c r="N1206">
        <f t="shared" ref="N1206:N1209" si="3692">SUMPRODUCT(($C$31:$C$50=$F1206)*($AJ$6:$AM$6=$G1206)*($AJ$31:$AM$50))</f>
        <v>0</v>
      </c>
      <c r="O1206">
        <f t="shared" si="3684"/>
        <v>2</v>
      </c>
      <c r="P1206" t="str">
        <f t="shared" ref="P1206:P1209" si="3693">CONCATENATE(C1206,"-",J1206)</f>
        <v>Small centralized natural gas steam reforming-Maturity</v>
      </c>
      <c r="Q1206" t="str">
        <f t="shared" ref="Q1206:Q1209" si="3694">CONCATENATE(D1206,"-",J1206)</f>
        <v>Central gas storage-Maturity</v>
      </c>
      <c r="R1206" t="str">
        <f t="shared" ref="R1206:R1209" si="3695">CONCATENATE(E1206,"-",J1206)</f>
        <v>Blending in natural gas pipeline-Maturity</v>
      </c>
      <c r="S1206" t="str">
        <f t="shared" ref="S1206:S1209" si="3696">CONCATENATE(F1206,"-",J1206)</f>
        <v>District-CHP with H2 fuel cell (power)-Maturity</v>
      </c>
      <c r="T1206">
        <f ca="1">VLOOKUP($P1206,'TA database'!$I$8:$J$79,2,FALSE)</f>
        <v>9</v>
      </c>
      <c r="U1206">
        <f ca="1">VLOOKUP($Q1206,'TA database'!$I$86:$J$105,2,FALSE)</f>
        <v>9</v>
      </c>
      <c r="V1206">
        <f ca="1">VLOOKUP($R1206,'TA database'!$I$112:$J$139,2,FALSE)</f>
        <v>7</v>
      </c>
      <c r="W1206">
        <f>IFERROR(VLOOKUP($S1206,'TA database'!$I$146:$J$193,2,FALSE),0)</f>
        <v>0</v>
      </c>
      <c r="X1206">
        <f ca="1">IFERROR(VLOOKUP($S1206,'TA database'!$I$200:$J$271,2,FALSE),0)</f>
        <v>7</v>
      </c>
      <c r="Y1206">
        <f t="shared" ref="Y1206:Y1210" ca="1" si="3697">IF($W1206=0,MIN($T1206:$V1206,$X1206),MIN($T1206:$W1206))</f>
        <v>7</v>
      </c>
      <c r="Z1206" t="str">
        <f t="shared" si="3685"/>
        <v>NG_SR_SML_C   →   C_GAS_STRG   →   H2_BLND_NG_P   →   H2_FC_DCHP_PWR</v>
      </c>
      <c r="AA1206" t="str">
        <f t="shared" si="3686"/>
        <v>Grid electricity</v>
      </c>
      <c r="AB1206" t="str">
        <f t="shared" si="3687"/>
        <v>Maturity</v>
      </c>
      <c r="AC1206">
        <f t="shared" ca="1" si="3688"/>
        <v>7</v>
      </c>
      <c r="AD1206">
        <v>1147</v>
      </c>
      <c r="AE1206" t="str">
        <f>IF(AND(ISNUMBER(SEARCH(O1206,4)),ISNUMBER(SEARCH('(4) FCH pathway assessment'!$B$16,AB1206)),ISNUMBER(SEARCH('(4) FCH pathway assessment'!$B$10,AA1206))),AD1206,"")</f>
        <v/>
      </c>
      <c r="AF1206" t="str">
        <f t="shared" si="3557"/>
        <v/>
      </c>
      <c r="AG1206" t="str">
        <f>VLOOKUP(C1206,Assumptions!$B$116:$C$162,2,FALSE)</f>
        <v>NG_SR_SML_C</v>
      </c>
      <c r="AH1206" t="str">
        <f>VLOOKUP(D1206,Assumptions!$B$116:$C$162,2,FALSE)</f>
        <v>C_GAS_STRG</v>
      </c>
      <c r="AI1206" t="str">
        <f>VLOOKUP(E1206,Assumptions!$B$116:$C$162,2,FALSE)</f>
        <v>H2_BLND_NG_P</v>
      </c>
      <c r="AJ1206" t="str">
        <f>VLOOKUP(F1206,Assumptions!$B$116:$C$162,2,FALSE)</f>
        <v>H2_FC_DCHP_PWR</v>
      </c>
    </row>
    <row r="1207" spans="2:36" x14ac:dyDescent="0.25">
      <c r="B1207" t="s">
        <v>127</v>
      </c>
      <c r="C1207" t="s">
        <v>58</v>
      </c>
      <c r="D1207" t="s">
        <v>155</v>
      </c>
      <c r="E1207" t="s">
        <v>122</v>
      </c>
      <c r="F1207" t="s">
        <v>549</v>
      </c>
      <c r="G1207" t="s">
        <v>114</v>
      </c>
      <c r="H1207" t="s">
        <v>433</v>
      </c>
      <c r="I1207" t="s">
        <v>32</v>
      </c>
      <c r="J1207" t="s">
        <v>78</v>
      </c>
      <c r="K1207">
        <f t="shared" si="3689"/>
        <v>1</v>
      </c>
      <c r="L1207">
        <f t="shared" si="3690"/>
        <v>1</v>
      </c>
      <c r="M1207">
        <f t="shared" si="3691"/>
        <v>1</v>
      </c>
      <c r="N1207">
        <f t="shared" si="3692"/>
        <v>0</v>
      </c>
      <c r="O1207">
        <f t="shared" si="3684"/>
        <v>3</v>
      </c>
      <c r="P1207" t="str">
        <f t="shared" si="3693"/>
        <v>Small centralized natural gas steam reforming-Maturity</v>
      </c>
      <c r="Q1207" t="str">
        <f t="shared" si="3694"/>
        <v>Central gas storage-Maturity</v>
      </c>
      <c r="R1207" t="str">
        <f t="shared" si="3695"/>
        <v>Hydrogen transmission &amp; distribution pipeline-Maturity</v>
      </c>
      <c r="S1207" t="str">
        <f t="shared" si="3696"/>
        <v>District-CHP with H2 fuel cell (power)-Maturity</v>
      </c>
      <c r="T1207">
        <f ca="1">VLOOKUP($P1207,'TA database'!$I$8:$J$79,2,FALSE)</f>
        <v>9</v>
      </c>
      <c r="U1207">
        <f ca="1">VLOOKUP($Q1207,'TA database'!$I$86:$J$105,2,FALSE)</f>
        <v>9</v>
      </c>
      <c r="V1207">
        <f ca="1">VLOOKUP($R1207,'TA database'!$I$112:$J$139,2,FALSE)</f>
        <v>9</v>
      </c>
      <c r="W1207">
        <f>IFERROR(VLOOKUP($S1207,'TA database'!$I$146:$J$193,2,FALSE),0)</f>
        <v>0</v>
      </c>
      <c r="X1207">
        <f ca="1">IFERROR(VLOOKUP($S1207,'TA database'!$I$200:$J$271,2,FALSE),0)</f>
        <v>7</v>
      </c>
      <c r="Y1207">
        <f t="shared" ca="1" si="3697"/>
        <v>7</v>
      </c>
      <c r="Z1207" t="str">
        <f t="shared" si="3685"/>
        <v>NG_SR_SML_C   →   C_GAS_STRG   →   H2_T&amp;D_P   →   H2_FC_DCHP_PWR</v>
      </c>
      <c r="AA1207" t="str">
        <f t="shared" si="3686"/>
        <v>Grid electricity</v>
      </c>
      <c r="AB1207" t="str">
        <f t="shared" si="3687"/>
        <v>Maturity</v>
      </c>
      <c r="AC1207">
        <f t="shared" ca="1" si="3688"/>
        <v>7</v>
      </c>
      <c r="AD1207">
        <v>1148</v>
      </c>
      <c r="AE1207" t="str">
        <f>IF(AND(ISNUMBER(SEARCH(O1207,4)),ISNUMBER(SEARCH('(4) FCH pathway assessment'!$B$16,AB1207)),ISNUMBER(SEARCH('(4) FCH pathway assessment'!$B$10,AA1207))),AD1207,"")</f>
        <v/>
      </c>
      <c r="AF1207" t="str">
        <f t="shared" si="3557"/>
        <v/>
      </c>
      <c r="AG1207" t="str">
        <f>VLOOKUP(C1207,Assumptions!$B$116:$C$162,2,FALSE)</f>
        <v>NG_SR_SML_C</v>
      </c>
      <c r="AH1207" t="str">
        <f>VLOOKUP(D1207,Assumptions!$B$116:$C$162,2,FALSE)</f>
        <v>C_GAS_STRG</v>
      </c>
      <c r="AI1207" t="str">
        <f>VLOOKUP(E1207,Assumptions!$B$116:$C$162,2,FALSE)</f>
        <v>H2_T&amp;D_P</v>
      </c>
      <c r="AJ1207" t="str">
        <f>VLOOKUP(F1207,Assumptions!$B$116:$C$162,2,FALSE)</f>
        <v>H2_FC_DCHP_PWR</v>
      </c>
    </row>
    <row r="1208" spans="2:36" x14ac:dyDescent="0.25">
      <c r="B1208" t="s">
        <v>127</v>
      </c>
      <c r="C1208" t="s">
        <v>58</v>
      </c>
      <c r="D1208" t="s">
        <v>155</v>
      </c>
      <c r="E1208" t="s">
        <v>116</v>
      </c>
      <c r="F1208" t="s">
        <v>549</v>
      </c>
      <c r="G1208" t="s">
        <v>114</v>
      </c>
      <c r="H1208" t="s">
        <v>433</v>
      </c>
      <c r="I1208" t="s">
        <v>32</v>
      </c>
      <c r="J1208" t="s">
        <v>78</v>
      </c>
      <c r="K1208">
        <f t="shared" si="3689"/>
        <v>1</v>
      </c>
      <c r="L1208">
        <f t="shared" si="3690"/>
        <v>1</v>
      </c>
      <c r="M1208">
        <f t="shared" si="3691"/>
        <v>1</v>
      </c>
      <c r="N1208">
        <f t="shared" si="3692"/>
        <v>0</v>
      </c>
      <c r="O1208">
        <f t="shared" si="3684"/>
        <v>3</v>
      </c>
      <c r="P1208" t="str">
        <f t="shared" si="3693"/>
        <v>Small centralized natural gas steam reforming-Maturity</v>
      </c>
      <c r="Q1208" t="str">
        <f t="shared" si="3694"/>
        <v>Central gas storage-Maturity</v>
      </c>
      <c r="R1208" t="str">
        <f t="shared" si="3695"/>
        <v>Liquid hydrogen truck-Maturity</v>
      </c>
      <c r="S1208" t="str">
        <f t="shared" si="3696"/>
        <v>District-CHP with H2 fuel cell (power)-Maturity</v>
      </c>
      <c r="T1208">
        <f ca="1">VLOOKUP($P1208,'TA database'!$I$8:$J$79,2,FALSE)</f>
        <v>9</v>
      </c>
      <c r="U1208">
        <f ca="1">VLOOKUP($Q1208,'TA database'!$I$86:$J$105,2,FALSE)</f>
        <v>9</v>
      </c>
      <c r="V1208">
        <f ca="1">VLOOKUP($R1208,'TA database'!$I$112:$J$139,2,FALSE)</f>
        <v>9</v>
      </c>
      <c r="W1208">
        <f>IFERROR(VLOOKUP($S1208,'TA database'!$I$146:$J$193,2,FALSE),0)</f>
        <v>0</v>
      </c>
      <c r="X1208">
        <f ca="1">IFERROR(VLOOKUP($S1208,'TA database'!$I$200:$J$271,2,FALSE),0)</f>
        <v>7</v>
      </c>
      <c r="Y1208">
        <f t="shared" ca="1" si="3697"/>
        <v>7</v>
      </c>
      <c r="Z1208" t="str">
        <f t="shared" si="3685"/>
        <v>NG_SR_SML_C   →   C_GAS_STRG   →   LQ_TRUCK   →   H2_FC_DCHP_PWR</v>
      </c>
      <c r="AA1208" t="str">
        <f t="shared" si="3686"/>
        <v>Grid electricity</v>
      </c>
      <c r="AB1208" t="str">
        <f t="shared" si="3687"/>
        <v>Maturity</v>
      </c>
      <c r="AC1208">
        <f t="shared" ca="1" si="3688"/>
        <v>7</v>
      </c>
      <c r="AD1208">
        <v>1149</v>
      </c>
      <c r="AE1208" t="str">
        <f>IF(AND(ISNUMBER(SEARCH(O1208,4)),ISNUMBER(SEARCH('(4) FCH pathway assessment'!$B$16,AB1208)),ISNUMBER(SEARCH('(4) FCH pathway assessment'!$B$10,AA1208))),AD1208,"")</f>
        <v/>
      </c>
      <c r="AF1208" t="str">
        <f t="shared" si="3557"/>
        <v/>
      </c>
      <c r="AG1208" t="str">
        <f>VLOOKUP(C1208,Assumptions!$B$116:$C$162,2,FALSE)</f>
        <v>NG_SR_SML_C</v>
      </c>
      <c r="AH1208" t="str">
        <f>VLOOKUP(D1208,Assumptions!$B$116:$C$162,2,FALSE)</f>
        <v>C_GAS_STRG</v>
      </c>
      <c r="AI1208" t="str">
        <f>VLOOKUP(E1208,Assumptions!$B$116:$C$162,2,FALSE)</f>
        <v>LQ_TRUCK</v>
      </c>
      <c r="AJ1208" t="str">
        <f>VLOOKUP(F1208,Assumptions!$B$116:$C$162,2,FALSE)</f>
        <v>H2_FC_DCHP_PWR</v>
      </c>
    </row>
    <row r="1209" spans="2:36" x14ac:dyDescent="0.25">
      <c r="B1209" t="s">
        <v>127</v>
      </c>
      <c r="C1209" t="s">
        <v>58</v>
      </c>
      <c r="D1209" t="s">
        <v>155</v>
      </c>
      <c r="E1209" t="s">
        <v>66</v>
      </c>
      <c r="F1209" t="s">
        <v>549</v>
      </c>
      <c r="G1209" t="s">
        <v>114</v>
      </c>
      <c r="H1209" t="s">
        <v>433</v>
      </c>
      <c r="I1209" t="s">
        <v>32</v>
      </c>
      <c r="J1209" t="s">
        <v>78</v>
      </c>
      <c r="K1209">
        <f t="shared" si="3689"/>
        <v>1</v>
      </c>
      <c r="L1209">
        <f t="shared" si="3690"/>
        <v>1</v>
      </c>
      <c r="M1209">
        <f t="shared" si="3691"/>
        <v>1</v>
      </c>
      <c r="N1209">
        <f t="shared" si="3692"/>
        <v>0</v>
      </c>
      <c r="O1209">
        <f t="shared" si="3684"/>
        <v>3</v>
      </c>
      <c r="P1209" t="str">
        <f t="shared" si="3693"/>
        <v>Small centralized natural gas steam reforming-Maturity</v>
      </c>
      <c r="Q1209" t="str">
        <f t="shared" si="3694"/>
        <v>Central gas storage-Maturity</v>
      </c>
      <c r="R1209" t="str">
        <f t="shared" si="3695"/>
        <v>Onsite-Maturity</v>
      </c>
      <c r="S1209" t="str">
        <f t="shared" si="3696"/>
        <v>District-CHP with H2 fuel cell (power)-Maturity</v>
      </c>
      <c r="T1209">
        <f ca="1">VLOOKUP($P1209,'TA database'!$I$8:$J$79,2,FALSE)</f>
        <v>9</v>
      </c>
      <c r="U1209">
        <f ca="1">VLOOKUP($Q1209,'TA database'!$I$86:$J$105,2,FALSE)</f>
        <v>9</v>
      </c>
      <c r="V1209">
        <f ca="1">VLOOKUP($R1209,'TA database'!$I$112:$J$139,2,FALSE)</f>
        <v>9</v>
      </c>
      <c r="W1209">
        <f>IFERROR(VLOOKUP($S1209,'TA database'!$I$146:$J$193,2,FALSE),0)</f>
        <v>0</v>
      </c>
      <c r="X1209">
        <f ca="1">IFERROR(VLOOKUP($S1209,'TA database'!$I$200:$J$271,2,FALSE),0)</f>
        <v>7</v>
      </c>
      <c r="Y1209">
        <f t="shared" ca="1" si="3697"/>
        <v>7</v>
      </c>
      <c r="Z1209" t="str">
        <f t="shared" si="3685"/>
        <v>NG_SR_SML_C   →   C_GAS_STRG   →   ONSITE_USE   →   H2_FC_DCHP_PWR</v>
      </c>
      <c r="AA1209" t="str">
        <f t="shared" si="3686"/>
        <v>Grid electricity</v>
      </c>
      <c r="AB1209" t="str">
        <f t="shared" si="3687"/>
        <v>Maturity</v>
      </c>
      <c r="AC1209">
        <f t="shared" ca="1" si="3688"/>
        <v>7</v>
      </c>
      <c r="AD1209">
        <v>1150</v>
      </c>
      <c r="AE1209" t="str">
        <f>IF(AND(ISNUMBER(SEARCH(O1209,4)),ISNUMBER(SEARCH('(4) FCH pathway assessment'!$B$16,AB1209)),ISNUMBER(SEARCH('(4) FCH pathway assessment'!$B$10,AA1209))),AD1209,"")</f>
        <v/>
      </c>
      <c r="AF1209" t="str">
        <f t="shared" si="3557"/>
        <v/>
      </c>
      <c r="AG1209" t="str">
        <f>VLOOKUP(C1209,Assumptions!$B$116:$C$162,2,FALSE)</f>
        <v>NG_SR_SML_C</v>
      </c>
      <c r="AH1209" t="str">
        <f>VLOOKUP(D1209,Assumptions!$B$116:$C$162,2,FALSE)</f>
        <v>C_GAS_STRG</v>
      </c>
      <c r="AI1209" t="str">
        <f>VLOOKUP(E1209,Assumptions!$B$116:$C$162,2,FALSE)</f>
        <v>ONSITE_USE</v>
      </c>
      <c r="AJ1209" t="str">
        <f>VLOOKUP(F1209,Assumptions!$B$116:$C$162,2,FALSE)</f>
        <v>H2_FC_DCHP_PWR</v>
      </c>
    </row>
    <row r="1210" spans="2:36" x14ac:dyDescent="0.25">
      <c r="B1210" t="s">
        <v>127</v>
      </c>
      <c r="C1210" t="s">
        <v>59</v>
      </c>
      <c r="D1210" s="60" t="s">
        <v>130</v>
      </c>
      <c r="E1210" t="s">
        <v>66</v>
      </c>
      <c r="F1210" t="s">
        <v>549</v>
      </c>
      <c r="G1210" t="s">
        <v>114</v>
      </c>
      <c r="H1210" t="s">
        <v>433</v>
      </c>
      <c r="I1210" t="s">
        <v>32</v>
      </c>
      <c r="J1210" t="s">
        <v>78</v>
      </c>
      <c r="K1210">
        <f t="shared" ref="K1210:K1211" si="3698">SUMPRODUCT(($C$7:$C$18=$C1210)*($D$6:$H$6=$D1210)*($D$7:$H$18))</f>
        <v>1</v>
      </c>
      <c r="L1210">
        <f t="shared" ref="L1210:L1211" si="3699">SUMPRODUCT(($C$19:$C$23=$D1210)*($I$6:$O$6=$E1210)*($I$19:$O$23))</f>
        <v>1</v>
      </c>
      <c r="M1210">
        <f t="shared" ref="M1210:M1211" si="3700">SUMPRODUCT(($C$24:$C$30=$E1210)*($P$6:$AI$6=$F1210)*($P$24:$AI$30))</f>
        <v>1</v>
      </c>
      <c r="N1210">
        <f t="shared" ref="N1210:N1211" si="3701">SUMPRODUCT(($C$31:$C$50=$F1210)*($AJ$6:$AM$6=$G1210)*($AJ$31:$AM$50))</f>
        <v>0</v>
      </c>
      <c r="O1210">
        <f t="shared" ref="O1210:O1211" si="3702">K1210+L1210+M1210+N1210</f>
        <v>3</v>
      </c>
      <c r="P1210" t="str">
        <f t="shared" ref="P1210:P1211" si="3703">CONCATENATE(C1210,"-",J1210)</f>
        <v>Medium decentralized natural gas steam reforming-Maturity</v>
      </c>
      <c r="Q1210" t="str">
        <f t="shared" ref="Q1210:Q1211" si="3704">CONCATENATE(D1210,"-",J1210)</f>
        <v>Distributed gas storage-Maturity</v>
      </c>
      <c r="R1210" t="str">
        <f t="shared" ref="R1210:R1211" si="3705">CONCATENATE(E1210,"-",J1210)</f>
        <v>Onsite-Maturity</v>
      </c>
      <c r="S1210" t="str">
        <f t="shared" ref="S1210:S1211" si="3706">CONCATENATE(F1210,"-",J1210)</f>
        <v>District-CHP with H2 fuel cell (power)-Maturity</v>
      </c>
      <c r="T1210">
        <f ca="1">VLOOKUP($P1210,'TA database'!$I$8:$J$79,2,FALSE)</f>
        <v>9</v>
      </c>
      <c r="U1210">
        <f ca="1">VLOOKUP($Q1210,'TA database'!$I$86:$J$105,2,FALSE)</f>
        <v>9</v>
      </c>
      <c r="V1210">
        <f ca="1">VLOOKUP($R1210,'TA database'!$I$112:$J$139,2,FALSE)</f>
        <v>9</v>
      </c>
      <c r="W1210">
        <f>IFERROR(VLOOKUP($S1210,'TA database'!$I$146:$J$193,2,FALSE),0)</f>
        <v>0</v>
      </c>
      <c r="X1210">
        <f ca="1">IFERROR(VLOOKUP($S1210,'TA database'!$I$200:$J$271,2,FALSE),0)</f>
        <v>7</v>
      </c>
      <c r="Y1210">
        <f t="shared" ca="1" si="3697"/>
        <v>7</v>
      </c>
      <c r="Z1210" t="str">
        <f t="shared" ref="Z1210:Z1211" si="3707">CONCATENATE(AG1210,"   →   ",AH1210,"   →   ",AI1210,"   →   ",AJ1210)</f>
        <v>NG_SR_MED_D   →   D_GAS_STRG   →   ONSITE_USE   →   H2_FC_DCHP_PWR</v>
      </c>
      <c r="AA1210" t="str">
        <f t="shared" ref="AA1210:AA1211" si="3708">G1210</f>
        <v>Grid electricity</v>
      </c>
      <c r="AB1210" t="str">
        <f t="shared" ref="AB1210:AB1211" si="3709">J1210</f>
        <v>Maturity</v>
      </c>
      <c r="AC1210">
        <f t="shared" ref="AC1210:AC1211" ca="1" si="3710">Y1210</f>
        <v>7</v>
      </c>
      <c r="AD1210">
        <v>1151</v>
      </c>
      <c r="AE1210" t="str">
        <f>IF(AND(ISNUMBER(SEARCH(O1210,4)),ISNUMBER(SEARCH('(4) FCH pathway assessment'!$B$16,AB1210)),ISNUMBER(SEARCH('(4) FCH pathway assessment'!$B$10,AA1210))),AD1210,"")</f>
        <v/>
      </c>
      <c r="AF1210" t="str">
        <f t="shared" si="3557"/>
        <v/>
      </c>
      <c r="AG1210" t="str">
        <f>VLOOKUP(C1210,Assumptions!$B$116:$C$162,2,FALSE)</f>
        <v>NG_SR_MED_D</v>
      </c>
      <c r="AH1210" t="str">
        <f>VLOOKUP(D1210,Assumptions!$B$116:$C$162,2,FALSE)</f>
        <v>D_GAS_STRG</v>
      </c>
      <c r="AI1210" t="str">
        <f>VLOOKUP(E1210,Assumptions!$B$116:$C$162,2,FALSE)</f>
        <v>ONSITE_USE</v>
      </c>
      <c r="AJ1210" t="str">
        <f>VLOOKUP(F1210,Assumptions!$B$116:$C$162,2,FALSE)</f>
        <v>H2_FC_DCHP_PWR</v>
      </c>
    </row>
    <row r="1211" spans="2:36" x14ac:dyDescent="0.25">
      <c r="B1211" t="s">
        <v>127</v>
      </c>
      <c r="C1211" t="s">
        <v>60</v>
      </c>
      <c r="D1211" s="60" t="s">
        <v>130</v>
      </c>
      <c r="E1211" t="s">
        <v>66</v>
      </c>
      <c r="F1211" t="s">
        <v>549</v>
      </c>
      <c r="G1211" t="s">
        <v>114</v>
      </c>
      <c r="H1211" t="s">
        <v>433</v>
      </c>
      <c r="I1211" t="s">
        <v>32</v>
      </c>
      <c r="J1211" t="s">
        <v>78</v>
      </c>
      <c r="K1211">
        <f t="shared" si="3698"/>
        <v>1</v>
      </c>
      <c r="L1211">
        <f t="shared" si="3699"/>
        <v>1</v>
      </c>
      <c r="M1211">
        <f t="shared" si="3700"/>
        <v>1</v>
      </c>
      <c r="N1211">
        <f t="shared" si="3701"/>
        <v>0</v>
      </c>
      <c r="O1211">
        <f t="shared" si="3702"/>
        <v>3</v>
      </c>
      <c r="P1211" t="str">
        <f t="shared" si="3703"/>
        <v>Small decentralized natural gas steam reforming-Maturity</v>
      </c>
      <c r="Q1211" t="str">
        <f t="shared" si="3704"/>
        <v>Distributed gas storage-Maturity</v>
      </c>
      <c r="R1211" t="str">
        <f t="shared" si="3705"/>
        <v>Onsite-Maturity</v>
      </c>
      <c r="S1211" t="str">
        <f t="shared" si="3706"/>
        <v>District-CHP with H2 fuel cell (power)-Maturity</v>
      </c>
      <c r="T1211">
        <f ca="1">VLOOKUP($P1211,'TA database'!$I$8:$J$79,2,FALSE)</f>
        <v>9</v>
      </c>
      <c r="U1211">
        <f ca="1">VLOOKUP($Q1211,'TA database'!$I$86:$J$105,2,FALSE)</f>
        <v>9</v>
      </c>
      <c r="V1211">
        <f ca="1">VLOOKUP($R1211,'TA database'!$I$112:$J$139,2,FALSE)</f>
        <v>9</v>
      </c>
      <c r="W1211">
        <f>IFERROR(VLOOKUP($S1211,'TA database'!$I$146:$J$193,2,FALSE),0)</f>
        <v>0</v>
      </c>
      <c r="X1211">
        <f ca="1">IFERROR(VLOOKUP($S1211,'TA database'!$I$200:$J$271,2,FALSE),0)</f>
        <v>7</v>
      </c>
      <c r="Y1211">
        <f t="shared" ref="Y1211" ca="1" si="3711">IF($W1211=0,MIN($T1211:$V1211,$X1211),MIN($T1211:$W1211))</f>
        <v>7</v>
      </c>
      <c r="Z1211" t="str">
        <f t="shared" si="3707"/>
        <v>NG_SR_SML_D   →   D_GAS_STRG   →   ONSITE_USE   →   H2_FC_DCHP_PWR</v>
      </c>
      <c r="AA1211" t="str">
        <f t="shared" si="3708"/>
        <v>Grid electricity</v>
      </c>
      <c r="AB1211" t="str">
        <f t="shared" si="3709"/>
        <v>Maturity</v>
      </c>
      <c r="AC1211">
        <f t="shared" ca="1" si="3710"/>
        <v>7</v>
      </c>
      <c r="AD1211">
        <v>1152</v>
      </c>
      <c r="AE1211" t="str">
        <f>IF(AND(ISNUMBER(SEARCH(O1211,4)),ISNUMBER(SEARCH('(4) FCH pathway assessment'!$B$16,AB1211)),ISNUMBER(SEARCH('(4) FCH pathway assessment'!$B$10,AA1211))),AD1211,"")</f>
        <v/>
      </c>
      <c r="AF1211" t="str">
        <f t="shared" si="3557"/>
        <v/>
      </c>
      <c r="AG1211" t="str">
        <f>VLOOKUP(C1211,Assumptions!$B$116:$C$162,2,FALSE)</f>
        <v>NG_SR_SML_D</v>
      </c>
      <c r="AH1211" t="str">
        <f>VLOOKUP(D1211,Assumptions!$B$116:$C$162,2,FALSE)</f>
        <v>D_GAS_STRG</v>
      </c>
      <c r="AI1211" t="str">
        <f>VLOOKUP(E1211,Assumptions!$B$116:$C$162,2,FALSE)</f>
        <v>ONSITE_USE</v>
      </c>
      <c r="AJ1211" t="str">
        <f>VLOOKUP(F1211,Assumptions!$B$116:$C$162,2,FALSE)</f>
        <v>H2_FC_DCHP_PWR</v>
      </c>
    </row>
    <row r="1212" spans="2:36" x14ac:dyDescent="0.25">
      <c r="B1212" t="s">
        <v>117</v>
      </c>
      <c r="C1212" t="s">
        <v>53</v>
      </c>
      <c r="D1212" t="s">
        <v>155</v>
      </c>
      <c r="E1212" t="s">
        <v>65</v>
      </c>
      <c r="F1212" t="s">
        <v>550</v>
      </c>
      <c r="G1212" t="s">
        <v>114</v>
      </c>
      <c r="H1212" t="s">
        <v>433</v>
      </c>
      <c r="I1212" t="s">
        <v>32</v>
      </c>
      <c r="J1212" t="s">
        <v>78</v>
      </c>
      <c r="K1212">
        <f t="shared" ref="K1212" si="3712">SUMPRODUCT(($C$7:$C$18=$C1212)*($D$6:$H$6=$D1212)*($D$7:$H$18))</f>
        <v>0</v>
      </c>
      <c r="L1212">
        <f t="shared" ref="L1212" si="3713">SUMPRODUCT(($C$19:$C$23=$D1212)*($I$6:$O$6=$E1212)*($I$19:$O$23))</f>
        <v>1</v>
      </c>
      <c r="M1212">
        <f t="shared" ref="M1212" si="3714">SUMPRODUCT(($C$24:$C$30=$E1212)*($P$6:$AI$6=$F1212)*($P$24:$AI$30))</f>
        <v>0</v>
      </c>
      <c r="N1212">
        <f t="shared" ref="N1212" si="3715">SUMPRODUCT(($C$31:$C$50=$F1212)*($AJ$6:$AM$6=$G1212)*($AJ$31:$AM$50))</f>
        <v>1</v>
      </c>
      <c r="O1212">
        <f t="shared" ref="O1212" si="3716">K1212+L1212+M1212+N1212</f>
        <v>2</v>
      </c>
      <c r="P1212" t="str">
        <f t="shared" ref="P1212" si="3717">CONCATENATE(C1212,"-",J1212)</f>
        <v>Medium centralized biomass gasification-Maturity</v>
      </c>
      <c r="Q1212" t="str">
        <f t="shared" ref="Q1212" si="3718">CONCATENATE(D1212,"-",J1212)</f>
        <v>Central gas storage-Maturity</v>
      </c>
      <c r="R1212" t="str">
        <f t="shared" ref="R1212" si="3719">CONCATENATE(E1212,"-",J1212)</f>
        <v>Methanation-Maturity</v>
      </c>
      <c r="S1212" t="str">
        <f t="shared" ref="S1212" si="3720">CONCATENATE(F1212,"-",J1212)</f>
        <v>District-CHP with natural gas fuel cell (power)-Maturity</v>
      </c>
      <c r="T1212">
        <f ca="1">VLOOKUP($P1212,'TA database'!$I$8:$J$79,2,FALSE)</f>
        <v>6</v>
      </c>
      <c r="U1212">
        <f ca="1">VLOOKUP($Q1212,'TA database'!$I$86:$J$105,2,FALSE)</f>
        <v>9</v>
      </c>
      <c r="V1212">
        <f ca="1">VLOOKUP($R1212,'TA database'!$I$112:$J$139,2,FALSE)</f>
        <v>6</v>
      </c>
      <c r="W1212">
        <f>IFERROR(VLOOKUP($S1212,'TA database'!$I$146:$J$193,2,FALSE),0)</f>
        <v>0</v>
      </c>
      <c r="X1212">
        <f ca="1">IFERROR(VLOOKUP($S1212,'TA database'!$I$200:$J$271,2,FALSE),0)</f>
        <v>9</v>
      </c>
      <c r="Y1212">
        <f t="shared" ref="Y1212:Y1213" ca="1" si="3721">IF($W1212=0,MIN($T1212:$V1212,$X1212),MIN($T1212:$W1212))</f>
        <v>6</v>
      </c>
      <c r="Z1212" t="str">
        <f t="shared" ref="Z1212" si="3722">CONCATENATE(AG1212,"   →   ",AH1212,"   →   ",AI1212,"   →   ",AJ1212)</f>
        <v>BIO_GSF_MED_C   →   C_GAS_STRG   →   METHANATION   →   NG_FC_DCHP_PWR</v>
      </c>
      <c r="AA1212" t="str">
        <f t="shared" ref="AA1212" si="3723">G1212</f>
        <v>Grid electricity</v>
      </c>
      <c r="AB1212" t="str">
        <f t="shared" ref="AB1212" si="3724">J1212</f>
        <v>Maturity</v>
      </c>
      <c r="AC1212">
        <f t="shared" ref="AC1212" ca="1" si="3725">Y1212</f>
        <v>6</v>
      </c>
      <c r="AD1212">
        <v>1153</v>
      </c>
      <c r="AE1212" t="str">
        <f>IF(AND(ISNUMBER(SEARCH(O1212,4)),ISNUMBER(SEARCH('(4) FCH pathway assessment'!$B$16,AB1212)),ISNUMBER(SEARCH('(4) FCH pathway assessment'!$B$10,AA1212))),AD1212,"")</f>
        <v/>
      </c>
      <c r="AF1212" t="str">
        <f t="shared" ref="AF1212:AF1275" si="3726">IFERROR(SMALL($AE$60:$AE$1991,AD1212),"")</f>
        <v/>
      </c>
      <c r="AG1212" t="str">
        <f>VLOOKUP(C1212,Assumptions!$B$116:$C$162,2,FALSE)</f>
        <v>BIO_GSF_MED_C</v>
      </c>
      <c r="AH1212" t="str">
        <f>VLOOKUP(D1212,Assumptions!$B$116:$C$162,2,FALSE)</f>
        <v>C_GAS_STRG</v>
      </c>
      <c r="AI1212" t="str">
        <f>VLOOKUP(E1212,Assumptions!$B$116:$C$162,2,FALSE)</f>
        <v>METHANATION</v>
      </c>
      <c r="AJ1212" t="str">
        <f>VLOOKUP(F1212,Assumptions!$B$116:$C$162,2,FALSE)</f>
        <v>NG_FC_DCHP_PWR</v>
      </c>
    </row>
    <row r="1213" spans="2:36" x14ac:dyDescent="0.25">
      <c r="B1213" t="s">
        <v>117</v>
      </c>
      <c r="C1213" t="s">
        <v>54</v>
      </c>
      <c r="D1213" t="s">
        <v>155</v>
      </c>
      <c r="E1213" t="s">
        <v>65</v>
      </c>
      <c r="F1213" t="s">
        <v>550</v>
      </c>
      <c r="G1213" t="s">
        <v>114</v>
      </c>
      <c r="H1213" t="s">
        <v>433</v>
      </c>
      <c r="I1213" t="s">
        <v>32</v>
      </c>
      <c r="J1213" t="s">
        <v>78</v>
      </c>
      <c r="K1213">
        <f t="shared" ref="K1213" si="3727">SUMPRODUCT(($C$7:$C$18=$C1213)*($D$6:$H$6=$D1213)*($D$7:$H$18))</f>
        <v>0</v>
      </c>
      <c r="L1213">
        <f t="shared" ref="L1213" si="3728">SUMPRODUCT(($C$19:$C$23=$D1213)*($I$6:$O$6=$E1213)*($I$19:$O$23))</f>
        <v>1</v>
      </c>
      <c r="M1213">
        <f t="shared" ref="M1213" si="3729">SUMPRODUCT(($C$24:$C$30=$E1213)*($P$6:$AI$6=$F1213)*($P$24:$AI$30))</f>
        <v>0</v>
      </c>
      <c r="N1213">
        <f t="shared" ref="N1213" si="3730">SUMPRODUCT(($C$31:$C$50=$F1213)*($AJ$6:$AM$6=$G1213)*($AJ$31:$AM$50))</f>
        <v>1</v>
      </c>
      <c r="O1213">
        <f t="shared" ref="O1213" si="3731">K1213+L1213+M1213+N1213</f>
        <v>2</v>
      </c>
      <c r="P1213" t="str">
        <f t="shared" ref="P1213" si="3732">CONCATENATE(C1213,"-",J1213)</f>
        <v>Medium centralized biomass gasification w/ CCS-Maturity</v>
      </c>
      <c r="Q1213" t="str">
        <f t="shared" ref="Q1213" si="3733">CONCATENATE(D1213,"-",J1213)</f>
        <v>Central gas storage-Maturity</v>
      </c>
      <c r="R1213" t="str">
        <f t="shared" ref="R1213" si="3734">CONCATENATE(E1213,"-",J1213)</f>
        <v>Methanation-Maturity</v>
      </c>
      <c r="S1213" t="str">
        <f t="shared" ref="S1213" si="3735">CONCATENATE(F1213,"-",J1213)</f>
        <v>District-CHP with natural gas fuel cell (power)-Maturity</v>
      </c>
      <c r="T1213">
        <f ca="1">VLOOKUP($P1213,'TA database'!$I$8:$J$79,2,FALSE)</f>
        <v>6</v>
      </c>
      <c r="U1213">
        <f ca="1">VLOOKUP($Q1213,'TA database'!$I$86:$J$105,2,FALSE)</f>
        <v>9</v>
      </c>
      <c r="V1213">
        <f ca="1">VLOOKUP($R1213,'TA database'!$I$112:$J$139,2,FALSE)</f>
        <v>6</v>
      </c>
      <c r="W1213">
        <f>IFERROR(VLOOKUP($S1213,'TA database'!$I$146:$J$193,2,FALSE),0)</f>
        <v>0</v>
      </c>
      <c r="X1213">
        <f ca="1">IFERROR(VLOOKUP($S1213,'TA database'!$I$200:$J$271,2,FALSE),0)</f>
        <v>9</v>
      </c>
      <c r="Y1213">
        <f t="shared" ca="1" si="3721"/>
        <v>6</v>
      </c>
      <c r="Z1213" t="str">
        <f t="shared" ref="Z1213" si="3736">CONCATENATE(AG1213,"   →   ",AH1213,"   →   ",AI1213,"   →   ",AJ1213)</f>
        <v>BIO_GSF_CCS_MED_C   →   C_GAS_STRG   →   METHANATION   →   NG_FC_DCHP_PWR</v>
      </c>
      <c r="AA1213" t="str">
        <f t="shared" ref="AA1213" si="3737">G1213</f>
        <v>Grid electricity</v>
      </c>
      <c r="AB1213" t="str">
        <f t="shared" ref="AB1213" si="3738">J1213</f>
        <v>Maturity</v>
      </c>
      <c r="AC1213">
        <f t="shared" ref="AC1213" ca="1" si="3739">Y1213</f>
        <v>6</v>
      </c>
      <c r="AD1213">
        <v>1154</v>
      </c>
      <c r="AE1213" t="str">
        <f>IF(AND(ISNUMBER(SEARCH(O1213,4)),ISNUMBER(SEARCH('(4) FCH pathway assessment'!$B$16,AB1213)),ISNUMBER(SEARCH('(4) FCH pathway assessment'!$B$10,AA1213))),AD1213,"")</f>
        <v/>
      </c>
      <c r="AF1213" t="str">
        <f t="shared" si="3726"/>
        <v/>
      </c>
      <c r="AG1213" t="str">
        <f>VLOOKUP(C1213,Assumptions!$B$116:$C$162,2,FALSE)</f>
        <v>BIO_GSF_CCS_MED_C</v>
      </c>
      <c r="AH1213" t="str">
        <f>VLOOKUP(D1213,Assumptions!$B$116:$C$162,2,FALSE)</f>
        <v>C_GAS_STRG</v>
      </c>
      <c r="AI1213" t="str">
        <f>VLOOKUP(E1213,Assumptions!$B$116:$C$162,2,FALSE)</f>
        <v>METHANATION</v>
      </c>
      <c r="AJ1213" t="str">
        <f>VLOOKUP(F1213,Assumptions!$B$116:$C$162,2,FALSE)</f>
        <v>NG_FC_DCHP_PWR</v>
      </c>
    </row>
    <row r="1214" spans="2:36" x14ac:dyDescent="0.25">
      <c r="B1214" t="s">
        <v>117</v>
      </c>
      <c r="C1214" t="s">
        <v>56</v>
      </c>
      <c r="D1214" t="s">
        <v>62</v>
      </c>
      <c r="E1214" t="s">
        <v>65</v>
      </c>
      <c r="F1214" t="s">
        <v>550</v>
      </c>
      <c r="G1214" t="s">
        <v>114</v>
      </c>
      <c r="H1214" t="s">
        <v>433</v>
      </c>
      <c r="I1214" t="s">
        <v>32</v>
      </c>
      <c r="J1214" t="s">
        <v>78</v>
      </c>
      <c r="K1214">
        <f t="shared" ref="K1214:K1216" si="3740">SUMPRODUCT(($C$7:$C$18=$C1214)*($D$6:$H$6=$D1214)*($D$7:$H$18))</f>
        <v>0</v>
      </c>
      <c r="L1214">
        <f t="shared" ref="L1214:L1216" si="3741">SUMPRODUCT(($C$19:$C$23=$D1214)*($I$6:$O$6=$E1214)*($I$19:$O$23))</f>
        <v>0</v>
      </c>
      <c r="M1214">
        <f t="shared" ref="M1214:M1216" si="3742">SUMPRODUCT(($C$24:$C$30=$E1214)*($P$6:$AI$6=$F1214)*($P$24:$AI$30))</f>
        <v>0</v>
      </c>
      <c r="N1214">
        <f t="shared" ref="N1214:N1216" si="3743">SUMPRODUCT(($C$31:$C$50=$F1214)*($AJ$6:$AM$6=$G1214)*($AJ$31:$AM$50))</f>
        <v>1</v>
      </c>
      <c r="O1214">
        <f t="shared" ref="O1214:O1216" si="3744">K1214+L1214+M1214+N1214</f>
        <v>1</v>
      </c>
      <c r="P1214" t="str">
        <f t="shared" ref="P1214:P1216" si="3745">CONCATENATE(C1214,"-",J1214)</f>
        <v>Large centralized biomass steam reforming -Maturity</v>
      </c>
      <c r="Q1214" t="str">
        <f t="shared" ref="Q1214:Q1216" si="3746">CONCATENATE(D1214,"-",J1214)</f>
        <v>Underground storage-Maturity</v>
      </c>
      <c r="R1214" t="str">
        <f t="shared" ref="R1214:R1216" si="3747">CONCATENATE(E1214,"-",J1214)</f>
        <v>Methanation-Maturity</v>
      </c>
      <c r="S1214" t="str">
        <f t="shared" ref="S1214:S1216" si="3748">CONCATENATE(F1214,"-",J1214)</f>
        <v>District-CHP with natural gas fuel cell (power)-Maturity</v>
      </c>
      <c r="T1214">
        <f ca="1">VLOOKUP($P1214,'TA database'!$I$8:$J$79,2,FALSE)</f>
        <v>6</v>
      </c>
      <c r="U1214">
        <f ca="1">VLOOKUP($Q1214,'TA database'!$I$86:$J$105,2,FALSE)</f>
        <v>6</v>
      </c>
      <c r="V1214">
        <f ca="1">VLOOKUP($R1214,'TA database'!$I$112:$J$139,2,FALSE)</f>
        <v>6</v>
      </c>
      <c r="W1214">
        <f>IFERROR(VLOOKUP($S1214,'TA database'!$I$146:$J$193,2,FALSE),0)</f>
        <v>0</v>
      </c>
      <c r="X1214">
        <f ca="1">IFERROR(VLOOKUP($S1214,'TA database'!$I$200:$J$271,2,FALSE),0)</f>
        <v>9</v>
      </c>
      <c r="Y1214">
        <f t="shared" ref="Y1214" ca="1" si="3749">IF($W1214=0,MIN($T1214:$V1214,$X1214),MIN($T1214:$W1214))</f>
        <v>6</v>
      </c>
      <c r="Z1214" t="str">
        <f t="shared" ref="Z1214:Z1216" si="3750">CONCATENATE(AG1214,"   →   ",AH1214,"   →   ",AI1214,"   →   ",AJ1214)</f>
        <v>BIO_SR_LRG_C   →   C_UNDRGRND_STRG   →   METHANATION   →   NG_FC_DCHP_PWR</v>
      </c>
      <c r="AA1214" t="str">
        <f t="shared" ref="AA1214:AA1216" si="3751">G1214</f>
        <v>Grid electricity</v>
      </c>
      <c r="AB1214" t="str">
        <f t="shared" ref="AB1214:AB1216" si="3752">J1214</f>
        <v>Maturity</v>
      </c>
      <c r="AC1214">
        <f t="shared" ref="AC1214:AC1216" ca="1" si="3753">Y1214</f>
        <v>6</v>
      </c>
      <c r="AD1214">
        <v>1155</v>
      </c>
      <c r="AE1214" t="str">
        <f>IF(AND(ISNUMBER(SEARCH(O1214,4)),ISNUMBER(SEARCH('(4) FCH pathway assessment'!$B$16,AB1214)),ISNUMBER(SEARCH('(4) FCH pathway assessment'!$B$10,AA1214))),AD1214,"")</f>
        <v/>
      </c>
      <c r="AF1214" t="str">
        <f t="shared" si="3726"/>
        <v/>
      </c>
      <c r="AG1214" t="str">
        <f>VLOOKUP(C1214,Assumptions!$B$116:$C$162,2,FALSE)</f>
        <v>BIO_SR_LRG_C</v>
      </c>
      <c r="AH1214" t="str">
        <f>VLOOKUP(D1214,Assumptions!$B$116:$C$162,2,FALSE)</f>
        <v>C_UNDRGRND_STRG</v>
      </c>
      <c r="AI1214" t="str">
        <f>VLOOKUP(E1214,Assumptions!$B$116:$C$162,2,FALSE)</f>
        <v>METHANATION</v>
      </c>
      <c r="AJ1214" t="str">
        <f>VLOOKUP(F1214,Assumptions!$B$116:$C$162,2,FALSE)</f>
        <v>NG_FC_DCHP_PWR</v>
      </c>
    </row>
    <row r="1215" spans="2:36" x14ac:dyDescent="0.25">
      <c r="B1215" t="s">
        <v>112</v>
      </c>
      <c r="C1215" t="s">
        <v>49</v>
      </c>
      <c r="D1215" t="s">
        <v>62</v>
      </c>
      <c r="E1215" t="s">
        <v>65</v>
      </c>
      <c r="F1215" t="s">
        <v>550</v>
      </c>
      <c r="G1215" t="s">
        <v>114</v>
      </c>
      <c r="H1215" t="s">
        <v>433</v>
      </c>
      <c r="I1215" t="s">
        <v>32</v>
      </c>
      <c r="J1215" t="s">
        <v>78</v>
      </c>
      <c r="K1215">
        <f t="shared" si="3740"/>
        <v>1</v>
      </c>
      <c r="L1215">
        <f t="shared" si="3741"/>
        <v>0</v>
      </c>
      <c r="M1215">
        <f t="shared" si="3742"/>
        <v>0</v>
      </c>
      <c r="N1215">
        <f t="shared" si="3743"/>
        <v>1</v>
      </c>
      <c r="O1215">
        <f t="shared" si="3744"/>
        <v>2</v>
      </c>
      <c r="P1215" t="str">
        <f t="shared" si="3745"/>
        <v>Large centralized electrolysis-Maturity</v>
      </c>
      <c r="Q1215" t="str">
        <f t="shared" si="3746"/>
        <v>Underground storage-Maturity</v>
      </c>
      <c r="R1215" t="str">
        <f t="shared" si="3747"/>
        <v>Methanation-Maturity</v>
      </c>
      <c r="S1215" t="str">
        <f t="shared" si="3748"/>
        <v>District-CHP with natural gas fuel cell (power)-Maturity</v>
      </c>
      <c r="T1215">
        <f ca="1">VLOOKUP($P1215,'TA database'!$I$8:$J$79,2,FALSE)</f>
        <v>9</v>
      </c>
      <c r="U1215">
        <f ca="1">VLOOKUP($Q1215,'TA database'!$I$86:$J$105,2,FALSE)</f>
        <v>6</v>
      </c>
      <c r="V1215">
        <f ca="1">VLOOKUP($R1215,'TA database'!$I$112:$J$139,2,FALSE)</f>
        <v>6</v>
      </c>
      <c r="W1215">
        <f>IFERROR(VLOOKUP($S1215,'TA database'!$I$146:$J$193,2,FALSE),0)</f>
        <v>0</v>
      </c>
      <c r="X1215">
        <f ca="1">IFERROR(VLOOKUP($S1215,'TA database'!$I$200:$J$271,2,FALSE),0)</f>
        <v>9</v>
      </c>
      <c r="Y1215">
        <f t="shared" ref="Y1215:Y1216" ca="1" si="3754">IF($W1215=0,MIN($T1215:$V1215,$X1215),MIN($T1215:$W1215))</f>
        <v>6</v>
      </c>
      <c r="Z1215" t="str">
        <f t="shared" si="3750"/>
        <v>ELCTRLYZ_LRG_C   →   C_UNDRGRND_STRG   →   METHANATION   →   NG_FC_DCHP_PWR</v>
      </c>
      <c r="AA1215" t="str">
        <f t="shared" si="3751"/>
        <v>Grid electricity</v>
      </c>
      <c r="AB1215" t="str">
        <f t="shared" si="3752"/>
        <v>Maturity</v>
      </c>
      <c r="AC1215">
        <f t="shared" ca="1" si="3753"/>
        <v>6</v>
      </c>
      <c r="AD1215">
        <v>1156</v>
      </c>
      <c r="AE1215" t="str">
        <f>IF(AND(ISNUMBER(SEARCH(O1215,4)),ISNUMBER(SEARCH('(4) FCH pathway assessment'!$B$16,AB1215)),ISNUMBER(SEARCH('(4) FCH pathway assessment'!$B$10,AA1215))),AD1215,"")</f>
        <v/>
      </c>
      <c r="AF1215" t="str">
        <f t="shared" si="3726"/>
        <v/>
      </c>
      <c r="AG1215" t="str">
        <f>VLOOKUP(C1215,Assumptions!$B$116:$C$162,2,FALSE)</f>
        <v>ELCTRLYZ_LRG_C</v>
      </c>
      <c r="AH1215" t="str">
        <f>VLOOKUP(D1215,Assumptions!$B$116:$C$162,2,FALSE)</f>
        <v>C_UNDRGRND_STRG</v>
      </c>
      <c r="AI1215" t="str">
        <f>VLOOKUP(E1215,Assumptions!$B$116:$C$162,2,FALSE)</f>
        <v>METHANATION</v>
      </c>
      <c r="AJ1215" t="str">
        <f>VLOOKUP(F1215,Assumptions!$B$116:$C$162,2,FALSE)</f>
        <v>NG_FC_DCHP_PWR</v>
      </c>
    </row>
    <row r="1216" spans="2:36" x14ac:dyDescent="0.25">
      <c r="B1216" t="s">
        <v>112</v>
      </c>
      <c r="C1216" t="s">
        <v>49</v>
      </c>
      <c r="D1216" t="s">
        <v>155</v>
      </c>
      <c r="E1216" t="s">
        <v>65</v>
      </c>
      <c r="F1216" t="s">
        <v>550</v>
      </c>
      <c r="G1216" t="s">
        <v>114</v>
      </c>
      <c r="H1216" t="s">
        <v>433</v>
      </c>
      <c r="I1216" t="s">
        <v>32</v>
      </c>
      <c r="J1216" t="s">
        <v>78</v>
      </c>
      <c r="K1216">
        <f t="shared" si="3740"/>
        <v>1</v>
      </c>
      <c r="L1216">
        <f t="shared" si="3741"/>
        <v>1</v>
      </c>
      <c r="M1216">
        <f t="shared" si="3742"/>
        <v>0</v>
      </c>
      <c r="N1216">
        <f t="shared" si="3743"/>
        <v>1</v>
      </c>
      <c r="O1216">
        <f t="shared" si="3744"/>
        <v>3</v>
      </c>
      <c r="P1216" t="str">
        <f t="shared" si="3745"/>
        <v>Large centralized electrolysis-Maturity</v>
      </c>
      <c r="Q1216" t="str">
        <f t="shared" si="3746"/>
        <v>Central gas storage-Maturity</v>
      </c>
      <c r="R1216" t="str">
        <f t="shared" si="3747"/>
        <v>Methanation-Maturity</v>
      </c>
      <c r="S1216" t="str">
        <f t="shared" si="3748"/>
        <v>District-CHP with natural gas fuel cell (power)-Maturity</v>
      </c>
      <c r="T1216">
        <f ca="1">VLOOKUP($P1216,'TA database'!$I$8:$J$79,2,FALSE)</f>
        <v>9</v>
      </c>
      <c r="U1216">
        <f ca="1">VLOOKUP($Q1216,'TA database'!$I$86:$J$105,2,FALSE)</f>
        <v>9</v>
      </c>
      <c r="V1216">
        <f ca="1">VLOOKUP($R1216,'TA database'!$I$112:$J$139,2,FALSE)</f>
        <v>6</v>
      </c>
      <c r="W1216">
        <f>IFERROR(VLOOKUP($S1216,'TA database'!$I$146:$J$193,2,FALSE),0)</f>
        <v>0</v>
      </c>
      <c r="X1216">
        <f ca="1">IFERROR(VLOOKUP($S1216,'TA database'!$I$200:$J$271,2,FALSE),0)</f>
        <v>9</v>
      </c>
      <c r="Y1216">
        <f t="shared" ca="1" si="3754"/>
        <v>6</v>
      </c>
      <c r="Z1216" t="str">
        <f t="shared" si="3750"/>
        <v>ELCTRLYZ_LRG_C   →   C_GAS_STRG   →   METHANATION   →   NG_FC_DCHP_PWR</v>
      </c>
      <c r="AA1216" t="str">
        <f t="shared" si="3751"/>
        <v>Grid electricity</v>
      </c>
      <c r="AB1216" t="str">
        <f t="shared" si="3752"/>
        <v>Maturity</v>
      </c>
      <c r="AC1216">
        <f t="shared" ca="1" si="3753"/>
        <v>6</v>
      </c>
      <c r="AD1216">
        <v>1157</v>
      </c>
      <c r="AE1216" t="str">
        <f>IF(AND(ISNUMBER(SEARCH(O1216,4)),ISNUMBER(SEARCH('(4) FCH pathway assessment'!$B$16,AB1216)),ISNUMBER(SEARCH('(4) FCH pathway assessment'!$B$10,AA1216))),AD1216,"")</f>
        <v/>
      </c>
      <c r="AF1216" t="str">
        <f t="shared" si="3726"/>
        <v/>
      </c>
      <c r="AG1216" t="str">
        <f>VLOOKUP(C1216,Assumptions!$B$116:$C$162,2,FALSE)</f>
        <v>ELCTRLYZ_LRG_C</v>
      </c>
      <c r="AH1216" t="str">
        <f>VLOOKUP(D1216,Assumptions!$B$116:$C$162,2,FALSE)</f>
        <v>C_GAS_STRG</v>
      </c>
      <c r="AI1216" t="str">
        <f>VLOOKUP(E1216,Assumptions!$B$116:$C$162,2,FALSE)</f>
        <v>METHANATION</v>
      </c>
      <c r="AJ1216" t="str">
        <f>VLOOKUP(F1216,Assumptions!$B$116:$C$162,2,FALSE)</f>
        <v>NG_FC_DCHP_PWR</v>
      </c>
    </row>
    <row r="1217" spans="2:36" x14ac:dyDescent="0.25">
      <c r="B1217" t="s">
        <v>112</v>
      </c>
      <c r="C1217" t="s">
        <v>51</v>
      </c>
      <c r="D1217" t="s">
        <v>155</v>
      </c>
      <c r="E1217" t="s">
        <v>65</v>
      </c>
      <c r="F1217" t="s">
        <v>550</v>
      </c>
      <c r="G1217" t="s">
        <v>114</v>
      </c>
      <c r="H1217" t="s">
        <v>433</v>
      </c>
      <c r="I1217" t="s">
        <v>32</v>
      </c>
      <c r="J1217" t="s">
        <v>78</v>
      </c>
      <c r="K1217">
        <f t="shared" ref="K1217" si="3755">SUMPRODUCT(($C$7:$C$18=$C1217)*($D$6:$H$6=$D1217)*($D$7:$H$18))</f>
        <v>1</v>
      </c>
      <c r="L1217">
        <f t="shared" ref="L1217" si="3756">SUMPRODUCT(($C$19:$C$23=$D1217)*($I$6:$O$6=$E1217)*($I$19:$O$23))</f>
        <v>1</v>
      </c>
      <c r="M1217">
        <f t="shared" ref="M1217" si="3757">SUMPRODUCT(($C$24:$C$30=$E1217)*($P$6:$AI$6=$F1217)*($P$24:$AI$30))</f>
        <v>0</v>
      </c>
      <c r="N1217">
        <f t="shared" ref="N1217" si="3758">SUMPRODUCT(($C$31:$C$50=$F1217)*($AJ$6:$AM$6=$G1217)*($AJ$31:$AM$50))</f>
        <v>1</v>
      </c>
      <c r="O1217">
        <f t="shared" ref="O1217" si="3759">K1217+L1217+M1217+N1217</f>
        <v>3</v>
      </c>
      <c r="P1217" t="str">
        <f t="shared" ref="P1217" si="3760">CONCATENATE(C1217,"-",J1217)</f>
        <v>Medium centralized electrolysis-Maturity</v>
      </c>
      <c r="Q1217" t="str">
        <f t="shared" ref="Q1217" si="3761">CONCATENATE(D1217,"-",J1217)</f>
        <v>Central gas storage-Maturity</v>
      </c>
      <c r="R1217" t="str">
        <f t="shared" ref="R1217" si="3762">CONCATENATE(E1217,"-",J1217)</f>
        <v>Methanation-Maturity</v>
      </c>
      <c r="S1217" t="str">
        <f t="shared" ref="S1217" si="3763">CONCATENATE(F1217,"-",J1217)</f>
        <v>District-CHP with natural gas fuel cell (power)-Maturity</v>
      </c>
      <c r="T1217">
        <f ca="1">VLOOKUP($P1217,'TA database'!$I$8:$J$79,2,FALSE)</f>
        <v>9</v>
      </c>
      <c r="U1217">
        <f ca="1">VLOOKUP($Q1217,'TA database'!$I$86:$J$105,2,FALSE)</f>
        <v>9</v>
      </c>
      <c r="V1217">
        <f ca="1">VLOOKUP($R1217,'TA database'!$I$112:$J$139,2,FALSE)</f>
        <v>6</v>
      </c>
      <c r="W1217">
        <f>IFERROR(VLOOKUP($S1217,'TA database'!$I$146:$J$193,2,FALSE),0)</f>
        <v>0</v>
      </c>
      <c r="X1217">
        <f ca="1">IFERROR(VLOOKUP($S1217,'TA database'!$I$200:$J$271,2,FALSE),0)</f>
        <v>9</v>
      </c>
      <c r="Y1217">
        <f t="shared" ref="Y1217" ca="1" si="3764">IF($W1217=0,MIN($T1217:$V1217,$X1217),MIN($T1217:$W1217))</f>
        <v>6</v>
      </c>
      <c r="Z1217" t="str">
        <f t="shared" ref="Z1217" si="3765">CONCATENATE(AG1217,"   →   ",AH1217,"   →   ",AI1217,"   →   ",AJ1217)</f>
        <v>ELCTRLYZ_MED_C   →   C_GAS_STRG   →   METHANATION   →   NG_FC_DCHP_PWR</v>
      </c>
      <c r="AA1217" t="str">
        <f t="shared" ref="AA1217" si="3766">G1217</f>
        <v>Grid electricity</v>
      </c>
      <c r="AB1217" t="str">
        <f t="shared" ref="AB1217" si="3767">J1217</f>
        <v>Maturity</v>
      </c>
      <c r="AC1217">
        <f t="shared" ref="AC1217" ca="1" si="3768">Y1217</f>
        <v>6</v>
      </c>
      <c r="AD1217">
        <v>1158</v>
      </c>
      <c r="AE1217" t="str">
        <f>IF(AND(ISNUMBER(SEARCH(O1217,4)),ISNUMBER(SEARCH('(4) FCH pathway assessment'!$B$16,AB1217)),ISNUMBER(SEARCH('(4) FCH pathway assessment'!$B$10,AA1217))),AD1217,"")</f>
        <v/>
      </c>
      <c r="AF1217" t="str">
        <f t="shared" si="3726"/>
        <v/>
      </c>
      <c r="AG1217" t="str">
        <f>VLOOKUP(C1217,Assumptions!$B$116:$C$162,2,FALSE)</f>
        <v>ELCTRLYZ_MED_C</v>
      </c>
      <c r="AH1217" t="str">
        <f>VLOOKUP(D1217,Assumptions!$B$116:$C$162,2,FALSE)</f>
        <v>C_GAS_STRG</v>
      </c>
      <c r="AI1217" t="str">
        <f>VLOOKUP(E1217,Assumptions!$B$116:$C$162,2,FALSE)</f>
        <v>METHANATION</v>
      </c>
      <c r="AJ1217" t="str">
        <f>VLOOKUP(F1217,Assumptions!$B$116:$C$162,2,FALSE)</f>
        <v>NG_FC_DCHP_PWR</v>
      </c>
    </row>
    <row r="1218" spans="2:36" x14ac:dyDescent="0.25">
      <c r="B1218" t="s">
        <v>127</v>
      </c>
      <c r="C1218" t="s">
        <v>57</v>
      </c>
      <c r="D1218" t="s">
        <v>62</v>
      </c>
      <c r="E1218" t="s">
        <v>65</v>
      </c>
      <c r="F1218" t="s">
        <v>550</v>
      </c>
      <c r="G1218" t="s">
        <v>114</v>
      </c>
      <c r="H1218" t="s">
        <v>433</v>
      </c>
      <c r="I1218" t="s">
        <v>32</v>
      </c>
      <c r="J1218" t="s">
        <v>78</v>
      </c>
      <c r="K1218">
        <f t="shared" ref="K1218:K1219" si="3769">SUMPRODUCT(($C$7:$C$18=$C1218)*($D$6:$H$6=$D1218)*($D$7:$H$18))</f>
        <v>1</v>
      </c>
      <c r="L1218">
        <f t="shared" ref="L1218:L1219" si="3770">SUMPRODUCT(($C$19:$C$23=$D1218)*($I$6:$O$6=$E1218)*($I$19:$O$23))</f>
        <v>0</v>
      </c>
      <c r="M1218">
        <f t="shared" ref="M1218:M1219" si="3771">SUMPRODUCT(($C$24:$C$30=$E1218)*($P$6:$AI$6=$F1218)*($P$24:$AI$30))</f>
        <v>0</v>
      </c>
      <c r="N1218">
        <f t="shared" ref="N1218:N1219" si="3772">SUMPRODUCT(($C$31:$C$50=$F1218)*($AJ$6:$AM$6=$G1218)*($AJ$31:$AM$50))</f>
        <v>1</v>
      </c>
      <c r="O1218">
        <f t="shared" ref="O1218:O1219" si="3773">K1218+L1218+M1218+N1218</f>
        <v>2</v>
      </c>
      <c r="P1218" t="str">
        <f t="shared" ref="P1218:P1219" si="3774">CONCATENATE(C1218,"-",J1218)</f>
        <v>Large centralized natural gas steam reforming-Maturity</v>
      </c>
      <c r="Q1218" t="str">
        <f t="shared" ref="Q1218:Q1219" si="3775">CONCATENATE(D1218,"-",J1218)</f>
        <v>Underground storage-Maturity</v>
      </c>
      <c r="R1218" t="str">
        <f t="shared" ref="R1218:R1219" si="3776">CONCATENATE(E1218,"-",J1218)</f>
        <v>Methanation-Maturity</v>
      </c>
      <c r="S1218" t="str">
        <f t="shared" ref="S1218:S1219" si="3777">CONCATENATE(F1218,"-",J1218)</f>
        <v>District-CHP with natural gas fuel cell (power)-Maturity</v>
      </c>
      <c r="T1218">
        <f ca="1">VLOOKUP($P1218,'TA database'!$I$8:$J$79,2,FALSE)</f>
        <v>9</v>
      </c>
      <c r="U1218">
        <f ca="1">VLOOKUP($Q1218,'TA database'!$I$86:$J$105,2,FALSE)</f>
        <v>6</v>
      </c>
      <c r="V1218">
        <f ca="1">VLOOKUP($R1218,'TA database'!$I$112:$J$139,2,FALSE)</f>
        <v>6</v>
      </c>
      <c r="W1218">
        <f>IFERROR(VLOOKUP($S1218,'TA database'!$I$146:$J$193,2,FALSE),0)</f>
        <v>0</v>
      </c>
      <c r="X1218">
        <f ca="1">IFERROR(VLOOKUP($S1218,'TA database'!$I$200:$J$271,2,FALSE),0)</f>
        <v>9</v>
      </c>
      <c r="Y1218">
        <f t="shared" ref="Y1218:Y1219" ca="1" si="3778">IF($W1218=0,MIN($T1218:$V1218,$X1218),MIN($T1218:$W1218))</f>
        <v>6</v>
      </c>
      <c r="Z1218" t="str">
        <f t="shared" ref="Z1218:Z1219" si="3779">CONCATENATE(AG1218,"   →   ",AH1218,"   →   ",AI1218,"   →   ",AJ1218)</f>
        <v>NG_SR_LRG_C   →   C_UNDRGRND_STRG   →   METHANATION   →   NG_FC_DCHP_PWR</v>
      </c>
      <c r="AA1218" t="str">
        <f t="shared" ref="AA1218:AA1219" si="3780">G1218</f>
        <v>Grid electricity</v>
      </c>
      <c r="AB1218" t="str">
        <f t="shared" ref="AB1218:AB1219" si="3781">J1218</f>
        <v>Maturity</v>
      </c>
      <c r="AC1218">
        <f t="shared" ref="AC1218:AC1219" ca="1" si="3782">Y1218</f>
        <v>6</v>
      </c>
      <c r="AD1218">
        <v>1159</v>
      </c>
      <c r="AE1218" t="str">
        <f>IF(AND(ISNUMBER(SEARCH(O1218,4)),ISNUMBER(SEARCH('(4) FCH pathway assessment'!$B$16,AB1218)),ISNUMBER(SEARCH('(4) FCH pathway assessment'!$B$10,AA1218))),AD1218,"")</f>
        <v/>
      </c>
      <c r="AF1218" t="str">
        <f t="shared" si="3726"/>
        <v/>
      </c>
      <c r="AG1218" t="str">
        <f>VLOOKUP(C1218,Assumptions!$B$116:$C$162,2,FALSE)</f>
        <v>NG_SR_LRG_C</v>
      </c>
      <c r="AH1218" t="str">
        <f>VLOOKUP(D1218,Assumptions!$B$116:$C$162,2,FALSE)</f>
        <v>C_UNDRGRND_STRG</v>
      </c>
      <c r="AI1218" t="str">
        <f>VLOOKUP(E1218,Assumptions!$B$116:$C$162,2,FALSE)</f>
        <v>METHANATION</v>
      </c>
      <c r="AJ1218" t="str">
        <f>VLOOKUP(F1218,Assumptions!$B$116:$C$162,2,FALSE)</f>
        <v>NG_FC_DCHP_PWR</v>
      </c>
    </row>
    <row r="1219" spans="2:36" x14ac:dyDescent="0.25">
      <c r="B1219" t="s">
        <v>127</v>
      </c>
      <c r="C1219" t="s">
        <v>58</v>
      </c>
      <c r="D1219" t="s">
        <v>155</v>
      </c>
      <c r="E1219" t="s">
        <v>65</v>
      </c>
      <c r="F1219" t="s">
        <v>550</v>
      </c>
      <c r="G1219" t="s">
        <v>114</v>
      </c>
      <c r="H1219" t="s">
        <v>433</v>
      </c>
      <c r="I1219" t="s">
        <v>32</v>
      </c>
      <c r="J1219" t="s">
        <v>78</v>
      </c>
      <c r="K1219">
        <f t="shared" si="3769"/>
        <v>1</v>
      </c>
      <c r="L1219">
        <f t="shared" si="3770"/>
        <v>1</v>
      </c>
      <c r="M1219">
        <f t="shared" si="3771"/>
        <v>0</v>
      </c>
      <c r="N1219">
        <f t="shared" si="3772"/>
        <v>1</v>
      </c>
      <c r="O1219">
        <f t="shared" si="3773"/>
        <v>3</v>
      </c>
      <c r="P1219" t="str">
        <f t="shared" si="3774"/>
        <v>Small centralized natural gas steam reforming-Maturity</v>
      </c>
      <c r="Q1219" t="str">
        <f t="shared" si="3775"/>
        <v>Central gas storage-Maturity</v>
      </c>
      <c r="R1219" t="str">
        <f t="shared" si="3776"/>
        <v>Methanation-Maturity</v>
      </c>
      <c r="S1219" t="str">
        <f t="shared" si="3777"/>
        <v>District-CHP with natural gas fuel cell (power)-Maturity</v>
      </c>
      <c r="T1219">
        <f ca="1">VLOOKUP($P1219,'TA database'!$I$8:$J$79,2,FALSE)</f>
        <v>9</v>
      </c>
      <c r="U1219">
        <f ca="1">VLOOKUP($Q1219,'TA database'!$I$86:$J$105,2,FALSE)</f>
        <v>9</v>
      </c>
      <c r="V1219">
        <f ca="1">VLOOKUP($R1219,'TA database'!$I$112:$J$139,2,FALSE)</f>
        <v>6</v>
      </c>
      <c r="W1219">
        <f>IFERROR(VLOOKUP($S1219,'TA database'!$I$146:$J$193,2,FALSE),0)</f>
        <v>0</v>
      </c>
      <c r="X1219">
        <f ca="1">IFERROR(VLOOKUP($S1219,'TA database'!$I$200:$J$271,2,FALSE),0)</f>
        <v>9</v>
      </c>
      <c r="Y1219">
        <f t="shared" ca="1" si="3778"/>
        <v>6</v>
      </c>
      <c r="Z1219" t="str">
        <f t="shared" si="3779"/>
        <v>NG_SR_SML_C   →   C_GAS_STRG   →   METHANATION   →   NG_FC_DCHP_PWR</v>
      </c>
      <c r="AA1219" t="str">
        <f t="shared" si="3780"/>
        <v>Grid electricity</v>
      </c>
      <c r="AB1219" t="str">
        <f t="shared" si="3781"/>
        <v>Maturity</v>
      </c>
      <c r="AC1219">
        <f t="shared" ca="1" si="3782"/>
        <v>6</v>
      </c>
      <c r="AD1219">
        <v>1160</v>
      </c>
      <c r="AE1219" t="str">
        <f>IF(AND(ISNUMBER(SEARCH(O1219,4)),ISNUMBER(SEARCH('(4) FCH pathway assessment'!$B$16,AB1219)),ISNUMBER(SEARCH('(4) FCH pathway assessment'!$B$10,AA1219))),AD1219,"")</f>
        <v/>
      </c>
      <c r="AF1219" t="str">
        <f t="shared" si="3726"/>
        <v/>
      </c>
      <c r="AG1219" t="str">
        <f>VLOOKUP(C1219,Assumptions!$B$116:$C$162,2,FALSE)</f>
        <v>NG_SR_SML_C</v>
      </c>
      <c r="AH1219" t="str">
        <f>VLOOKUP(D1219,Assumptions!$B$116:$C$162,2,FALSE)</f>
        <v>C_GAS_STRG</v>
      </c>
      <c r="AI1219" t="str">
        <f>VLOOKUP(E1219,Assumptions!$B$116:$C$162,2,FALSE)</f>
        <v>METHANATION</v>
      </c>
      <c r="AJ1219" t="str">
        <f>VLOOKUP(F1219,Assumptions!$B$116:$C$162,2,FALSE)</f>
        <v>NG_FC_DCHP_PWR</v>
      </c>
    </row>
    <row r="1220" spans="2:36" x14ac:dyDescent="0.25">
      <c r="B1220" t="s">
        <v>127</v>
      </c>
      <c r="C1220" t="s">
        <v>174</v>
      </c>
      <c r="D1220" s="61" t="s">
        <v>177</v>
      </c>
      <c r="E1220" t="s">
        <v>180</v>
      </c>
      <c r="F1220" t="s">
        <v>550</v>
      </c>
      <c r="G1220" t="s">
        <v>114</v>
      </c>
      <c r="H1220" t="s">
        <v>433</v>
      </c>
      <c r="I1220" t="s">
        <v>32</v>
      </c>
      <c r="J1220" t="s">
        <v>78</v>
      </c>
      <c r="K1220">
        <f t="shared" ref="K1220" si="3783">SUMPRODUCT(($C$7:$C$18=$C1220)*($D$6:$H$6=$D1220)*($D$7:$H$18))</f>
        <v>1</v>
      </c>
      <c r="L1220">
        <f t="shared" ref="L1220" si="3784">SUMPRODUCT(($C$19:$C$23=$D1220)*($I$6:$O$6=$E1220)*($I$19:$O$23))</f>
        <v>1</v>
      </c>
      <c r="M1220">
        <f t="shared" ref="M1220" si="3785">SUMPRODUCT(($C$24:$C$30=$E1220)*($P$6:$AI$6=$F1220)*($P$24:$AI$30))</f>
        <v>1</v>
      </c>
      <c r="N1220">
        <f t="shared" ref="N1220" si="3786">SUMPRODUCT(($C$31:$C$50=$F1220)*($AJ$6:$AM$6=$G1220)*($AJ$31:$AM$50))</f>
        <v>1</v>
      </c>
      <c r="O1220">
        <f t="shared" ref="O1220" si="3787">K1220+L1220+M1220+N1220</f>
        <v>4</v>
      </c>
      <c r="P1220" t="str">
        <f t="shared" ref="P1220" si="3788">CONCATENATE(C1220,"-",J1220)</f>
        <v>Natural gas production-Maturity</v>
      </c>
      <c r="Q1220" t="str">
        <f t="shared" ref="Q1220" si="3789">CONCATENATE(D1220,"-",J1220)</f>
        <v>Natural gas storage-Maturity</v>
      </c>
      <c r="R1220" t="str">
        <f t="shared" ref="R1220" si="3790">CONCATENATE(E1220,"-",J1220)</f>
        <v>Natural gas transport-Maturity</v>
      </c>
      <c r="S1220" t="str">
        <f t="shared" ref="S1220" si="3791">CONCATENATE(F1220,"-",J1220)</f>
        <v>District-CHP with natural gas fuel cell (power)-Maturity</v>
      </c>
      <c r="T1220">
        <f ca="1">VLOOKUP($P1220,'TA database'!$I$8:$J$79,2,FALSE)</f>
        <v>9</v>
      </c>
      <c r="U1220">
        <f ca="1">VLOOKUP($Q1220,'TA database'!$I$86:$J$105,2,FALSE)</f>
        <v>9</v>
      </c>
      <c r="V1220">
        <f ca="1">VLOOKUP($R1220,'TA database'!$I$112:$J$139,2,FALSE)</f>
        <v>9</v>
      </c>
      <c r="W1220">
        <f>IFERROR(VLOOKUP($S1220,'TA database'!$I$146:$J$193,2,FALSE),0)</f>
        <v>0</v>
      </c>
      <c r="X1220">
        <f ca="1">IFERROR(VLOOKUP($S1220,'TA database'!$I$200:$J$271,2,FALSE),0)</f>
        <v>9</v>
      </c>
      <c r="Y1220">
        <f t="shared" ref="Y1220:Y1224" ca="1" si="3792">IF($W1220=0,MIN($T1220:$V1220,$X1220),MIN($T1220:$W1220))</f>
        <v>9</v>
      </c>
      <c r="Z1220" t="str">
        <f t="shared" ref="Z1220" si="3793">CONCATENATE(AG1220,"   →   ",AH1220,"   →   ",AI1220,"   →   ",AJ1220)</f>
        <v>[NG_PROD]   →   [NG_STRG]   →   [NG_TRNSP]   →   NG_FC_DCHP_PWR</v>
      </c>
      <c r="AA1220" t="str">
        <f t="shared" ref="AA1220" si="3794">G1220</f>
        <v>Grid electricity</v>
      </c>
      <c r="AB1220" t="str">
        <f t="shared" ref="AB1220" si="3795">J1220</f>
        <v>Maturity</v>
      </c>
      <c r="AC1220">
        <f t="shared" ref="AC1220" ca="1" si="3796">Y1220</f>
        <v>9</v>
      </c>
      <c r="AD1220">
        <v>1161</v>
      </c>
      <c r="AE1220" t="str">
        <f>IF(AND(ISNUMBER(SEARCH(O1220,4)),ISNUMBER(SEARCH('(4) FCH pathway assessment'!$B$16,AB1220)),ISNUMBER(SEARCH('(4) FCH pathway assessment'!$B$10,AA1220))),AD1220,"")</f>
        <v/>
      </c>
      <c r="AF1220" t="str">
        <f t="shared" si="3726"/>
        <v/>
      </c>
      <c r="AG1220" t="str">
        <f>VLOOKUP(C1220,Assumptions!$B$116:$C$162,2,FALSE)</f>
        <v>[NG_PROD]</v>
      </c>
      <c r="AH1220" t="str">
        <f>VLOOKUP(D1220,Assumptions!$B$116:$C$162,2,FALSE)</f>
        <v>[NG_STRG]</v>
      </c>
      <c r="AI1220" t="str">
        <f>VLOOKUP(E1220,Assumptions!$B$116:$C$162,2,FALSE)</f>
        <v>[NG_TRNSP]</v>
      </c>
      <c r="AJ1220" t="str">
        <f>VLOOKUP(F1220,Assumptions!$B$116:$C$162,2,FALSE)</f>
        <v>NG_FC_DCHP_PWR</v>
      </c>
    </row>
    <row r="1221" spans="2:36" x14ac:dyDescent="0.25">
      <c r="B1221" t="s">
        <v>117</v>
      </c>
      <c r="C1221" t="s">
        <v>53</v>
      </c>
      <c r="D1221" t="s">
        <v>155</v>
      </c>
      <c r="E1221" t="s">
        <v>157</v>
      </c>
      <c r="F1221" t="s">
        <v>163</v>
      </c>
      <c r="G1221" t="s">
        <v>114</v>
      </c>
      <c r="H1221" t="s">
        <v>433</v>
      </c>
      <c r="I1221" t="s">
        <v>32</v>
      </c>
      <c r="J1221" t="s">
        <v>78</v>
      </c>
      <c r="K1221">
        <f t="shared" ref="K1221:K1228" si="3797">SUMPRODUCT(($C$7:$C$18=$C1221)*($D$6:$H$6=$D1221)*($D$7:$H$18))</f>
        <v>0</v>
      </c>
      <c r="L1221">
        <f t="shared" ref="L1221:L1228" si="3798">SUMPRODUCT(($C$19:$C$23=$D1221)*($I$6:$O$6=$E1221)*($I$19:$O$23))</f>
        <v>1</v>
      </c>
      <c r="M1221">
        <f t="shared" ref="M1221:M1228" si="3799">SUMPRODUCT(($C$24:$C$30=$E1221)*($P$6:$AI$6=$F1221)*($P$24:$AI$30))</f>
        <v>0</v>
      </c>
      <c r="N1221">
        <f t="shared" ref="N1221:N1228" si="3800">SUMPRODUCT(($C$31:$C$50=$F1221)*($AJ$6:$AM$6=$G1221)*($AJ$31:$AM$50))</f>
        <v>0</v>
      </c>
      <c r="O1221">
        <f t="shared" ref="O1221:O1228" si="3801">K1221+L1221+M1221+N1221</f>
        <v>1</v>
      </c>
      <c r="P1221" t="str">
        <f t="shared" ref="P1221:P1228" si="3802">CONCATENATE(C1221,"-",J1221)</f>
        <v>Medium centralized biomass gasification-Maturity</v>
      </c>
      <c r="Q1221" t="str">
        <f t="shared" ref="Q1221:Q1228" si="3803">CONCATENATE(D1221,"-",J1221)</f>
        <v>Central gas storage-Maturity</v>
      </c>
      <c r="R1221" t="str">
        <f t="shared" ref="R1221:R1228" si="3804">CONCATENATE(E1221,"-",J1221)</f>
        <v>Blending in natural gas pipeline-Maturity</v>
      </c>
      <c r="S1221" t="str">
        <f t="shared" ref="S1221:S1228" si="3805">CONCATENATE(F1221,"-",J1221)</f>
        <v>Hydrogen turbine (CC)-Maturity</v>
      </c>
      <c r="T1221">
        <f ca="1">VLOOKUP($P1221,'TA database'!$I$8:$J$79,2,FALSE)</f>
        <v>6</v>
      </c>
      <c r="U1221">
        <f ca="1">VLOOKUP($Q1221,'TA database'!$I$86:$J$105,2,FALSE)</f>
        <v>9</v>
      </c>
      <c r="V1221">
        <f ca="1">VLOOKUP($R1221,'TA database'!$I$112:$J$139,2,FALSE)</f>
        <v>7</v>
      </c>
      <c r="W1221">
        <f>IFERROR(VLOOKUP($S1221,'TA database'!$I$146:$J$193,2,FALSE),0)</f>
        <v>0</v>
      </c>
      <c r="X1221">
        <f ca="1">IFERROR(VLOOKUP($S1221,'TA database'!$I$200:$J$271,2,FALSE),0)</f>
        <v>7</v>
      </c>
      <c r="Y1221">
        <f t="shared" ca="1" si="3792"/>
        <v>6</v>
      </c>
      <c r="Z1221" t="str">
        <f t="shared" ref="Z1221:Z1228" si="3806">CONCATENATE(AG1221,"   →   ",AH1221,"   →   ",AI1221,"   →   ",AJ1221)</f>
        <v>BIO_GSF_MED_C   →   C_GAS_STRG   →   H2_BLND_NG_P   →   H2_CCGT_PWR</v>
      </c>
      <c r="AA1221" t="str">
        <f t="shared" ref="AA1221:AA1228" si="3807">G1221</f>
        <v>Grid electricity</v>
      </c>
      <c r="AB1221" t="str">
        <f t="shared" ref="AB1221:AB1228" si="3808">J1221</f>
        <v>Maturity</v>
      </c>
      <c r="AC1221">
        <f t="shared" ref="AC1221:AC1228" ca="1" si="3809">Y1221</f>
        <v>6</v>
      </c>
      <c r="AD1221">
        <v>1162</v>
      </c>
      <c r="AE1221" t="str">
        <f>IF(AND(ISNUMBER(SEARCH(O1221,4)),ISNUMBER(SEARCH('(4) FCH pathway assessment'!$B$16,AB1221)),ISNUMBER(SEARCH('(4) FCH pathway assessment'!$B$10,AA1221))),AD1221,"")</f>
        <v/>
      </c>
      <c r="AF1221" t="str">
        <f t="shared" si="3726"/>
        <v/>
      </c>
      <c r="AG1221" t="str">
        <f>VLOOKUP(C1221,Assumptions!$B$116:$C$162,2,FALSE)</f>
        <v>BIO_GSF_MED_C</v>
      </c>
      <c r="AH1221" t="str">
        <f>VLOOKUP(D1221,Assumptions!$B$116:$C$162,2,FALSE)</f>
        <v>C_GAS_STRG</v>
      </c>
      <c r="AI1221" t="str">
        <f>VLOOKUP(E1221,Assumptions!$B$116:$C$162,2,FALSE)</f>
        <v>H2_BLND_NG_P</v>
      </c>
      <c r="AJ1221" t="str">
        <f>VLOOKUP(F1221,Assumptions!$B$116:$C$162,2,FALSE)</f>
        <v>H2_CCGT_PWR</v>
      </c>
    </row>
    <row r="1222" spans="2:36" x14ac:dyDescent="0.25">
      <c r="B1222" t="s">
        <v>117</v>
      </c>
      <c r="C1222" t="s">
        <v>53</v>
      </c>
      <c r="D1222" t="s">
        <v>155</v>
      </c>
      <c r="E1222" t="s">
        <v>122</v>
      </c>
      <c r="F1222" t="s">
        <v>163</v>
      </c>
      <c r="G1222" t="s">
        <v>114</v>
      </c>
      <c r="H1222" t="s">
        <v>433</v>
      </c>
      <c r="I1222" t="s">
        <v>32</v>
      </c>
      <c r="J1222" t="s">
        <v>78</v>
      </c>
      <c r="K1222">
        <f t="shared" si="3797"/>
        <v>0</v>
      </c>
      <c r="L1222">
        <f t="shared" si="3798"/>
        <v>1</v>
      </c>
      <c r="M1222">
        <f t="shared" si="3799"/>
        <v>1</v>
      </c>
      <c r="N1222">
        <f t="shared" si="3800"/>
        <v>0</v>
      </c>
      <c r="O1222">
        <f t="shared" si="3801"/>
        <v>2</v>
      </c>
      <c r="P1222" t="str">
        <f t="shared" si="3802"/>
        <v>Medium centralized biomass gasification-Maturity</v>
      </c>
      <c r="Q1222" t="str">
        <f t="shared" si="3803"/>
        <v>Central gas storage-Maturity</v>
      </c>
      <c r="R1222" t="str">
        <f t="shared" si="3804"/>
        <v>Hydrogen transmission &amp; distribution pipeline-Maturity</v>
      </c>
      <c r="S1222" t="str">
        <f t="shared" si="3805"/>
        <v>Hydrogen turbine (CC)-Maturity</v>
      </c>
      <c r="T1222">
        <f ca="1">VLOOKUP($P1222,'TA database'!$I$8:$J$79,2,FALSE)</f>
        <v>6</v>
      </c>
      <c r="U1222">
        <f ca="1">VLOOKUP($Q1222,'TA database'!$I$86:$J$105,2,FALSE)</f>
        <v>9</v>
      </c>
      <c r="V1222">
        <f ca="1">VLOOKUP($R1222,'TA database'!$I$112:$J$139,2,FALSE)</f>
        <v>9</v>
      </c>
      <c r="W1222">
        <f>IFERROR(VLOOKUP($S1222,'TA database'!$I$146:$J$193,2,FALSE),0)</f>
        <v>0</v>
      </c>
      <c r="X1222">
        <f ca="1">IFERROR(VLOOKUP($S1222,'TA database'!$I$200:$J$271,2,FALSE),0)</f>
        <v>7</v>
      </c>
      <c r="Y1222">
        <f t="shared" ca="1" si="3792"/>
        <v>6</v>
      </c>
      <c r="Z1222" t="str">
        <f t="shared" si="3806"/>
        <v>BIO_GSF_MED_C   →   C_GAS_STRG   →   H2_T&amp;D_P   →   H2_CCGT_PWR</v>
      </c>
      <c r="AA1222" t="str">
        <f t="shared" si="3807"/>
        <v>Grid electricity</v>
      </c>
      <c r="AB1222" t="str">
        <f t="shared" si="3808"/>
        <v>Maturity</v>
      </c>
      <c r="AC1222">
        <f t="shared" ca="1" si="3809"/>
        <v>6</v>
      </c>
      <c r="AD1222">
        <v>1163</v>
      </c>
      <c r="AE1222" t="str">
        <f>IF(AND(ISNUMBER(SEARCH(O1222,4)),ISNUMBER(SEARCH('(4) FCH pathway assessment'!$B$16,AB1222)),ISNUMBER(SEARCH('(4) FCH pathway assessment'!$B$10,AA1222))),AD1222,"")</f>
        <v/>
      </c>
      <c r="AF1222" t="str">
        <f t="shared" si="3726"/>
        <v/>
      </c>
      <c r="AG1222" t="str">
        <f>VLOOKUP(C1222,Assumptions!$B$116:$C$162,2,FALSE)</f>
        <v>BIO_GSF_MED_C</v>
      </c>
      <c r="AH1222" t="str">
        <f>VLOOKUP(D1222,Assumptions!$B$116:$C$162,2,FALSE)</f>
        <v>C_GAS_STRG</v>
      </c>
      <c r="AI1222" t="str">
        <f>VLOOKUP(E1222,Assumptions!$B$116:$C$162,2,FALSE)</f>
        <v>H2_T&amp;D_P</v>
      </c>
      <c r="AJ1222" t="str">
        <f>VLOOKUP(F1222,Assumptions!$B$116:$C$162,2,FALSE)</f>
        <v>H2_CCGT_PWR</v>
      </c>
    </row>
    <row r="1223" spans="2:36" x14ac:dyDescent="0.25">
      <c r="B1223" t="s">
        <v>117</v>
      </c>
      <c r="C1223" t="s">
        <v>53</v>
      </c>
      <c r="D1223" t="s">
        <v>155</v>
      </c>
      <c r="E1223" t="s">
        <v>116</v>
      </c>
      <c r="F1223" t="s">
        <v>163</v>
      </c>
      <c r="G1223" t="s">
        <v>114</v>
      </c>
      <c r="H1223" t="s">
        <v>433</v>
      </c>
      <c r="I1223" t="s">
        <v>32</v>
      </c>
      <c r="J1223" t="s">
        <v>78</v>
      </c>
      <c r="K1223">
        <f t="shared" si="3797"/>
        <v>0</v>
      </c>
      <c r="L1223">
        <f t="shared" si="3798"/>
        <v>1</v>
      </c>
      <c r="M1223">
        <f t="shared" si="3799"/>
        <v>1</v>
      </c>
      <c r="N1223">
        <f t="shared" si="3800"/>
        <v>0</v>
      </c>
      <c r="O1223">
        <f t="shared" si="3801"/>
        <v>2</v>
      </c>
      <c r="P1223" t="str">
        <f t="shared" si="3802"/>
        <v>Medium centralized biomass gasification-Maturity</v>
      </c>
      <c r="Q1223" t="str">
        <f t="shared" si="3803"/>
        <v>Central gas storage-Maturity</v>
      </c>
      <c r="R1223" t="str">
        <f t="shared" si="3804"/>
        <v>Liquid hydrogen truck-Maturity</v>
      </c>
      <c r="S1223" t="str">
        <f t="shared" si="3805"/>
        <v>Hydrogen turbine (CC)-Maturity</v>
      </c>
      <c r="T1223">
        <f ca="1">VLOOKUP($P1223,'TA database'!$I$8:$J$79,2,FALSE)</f>
        <v>6</v>
      </c>
      <c r="U1223">
        <f ca="1">VLOOKUP($Q1223,'TA database'!$I$86:$J$105,2,FALSE)</f>
        <v>9</v>
      </c>
      <c r="V1223">
        <f ca="1">VLOOKUP($R1223,'TA database'!$I$112:$J$139,2,FALSE)</f>
        <v>9</v>
      </c>
      <c r="W1223">
        <f>IFERROR(VLOOKUP($S1223,'TA database'!$I$146:$J$193,2,FALSE),0)</f>
        <v>0</v>
      </c>
      <c r="X1223">
        <f ca="1">IFERROR(VLOOKUP($S1223,'TA database'!$I$200:$J$271,2,FALSE),0)</f>
        <v>7</v>
      </c>
      <c r="Y1223">
        <f t="shared" ca="1" si="3792"/>
        <v>6</v>
      </c>
      <c r="Z1223" t="str">
        <f t="shared" si="3806"/>
        <v>BIO_GSF_MED_C   →   C_GAS_STRG   →   LQ_TRUCK   →   H2_CCGT_PWR</v>
      </c>
      <c r="AA1223" t="str">
        <f t="shared" si="3807"/>
        <v>Grid electricity</v>
      </c>
      <c r="AB1223" t="str">
        <f t="shared" si="3808"/>
        <v>Maturity</v>
      </c>
      <c r="AC1223">
        <f t="shared" ca="1" si="3809"/>
        <v>6</v>
      </c>
      <c r="AD1223">
        <v>1164</v>
      </c>
      <c r="AE1223" t="str">
        <f>IF(AND(ISNUMBER(SEARCH(O1223,4)),ISNUMBER(SEARCH('(4) FCH pathway assessment'!$B$16,AB1223)),ISNUMBER(SEARCH('(4) FCH pathway assessment'!$B$10,AA1223))),AD1223,"")</f>
        <v/>
      </c>
      <c r="AF1223" t="str">
        <f t="shared" si="3726"/>
        <v/>
      </c>
      <c r="AG1223" t="str">
        <f>VLOOKUP(C1223,Assumptions!$B$116:$C$162,2,FALSE)</f>
        <v>BIO_GSF_MED_C</v>
      </c>
      <c r="AH1223" t="str">
        <f>VLOOKUP(D1223,Assumptions!$B$116:$C$162,2,FALSE)</f>
        <v>C_GAS_STRG</v>
      </c>
      <c r="AI1223" t="str">
        <f>VLOOKUP(E1223,Assumptions!$B$116:$C$162,2,FALSE)</f>
        <v>LQ_TRUCK</v>
      </c>
      <c r="AJ1223" t="str">
        <f>VLOOKUP(F1223,Assumptions!$B$116:$C$162,2,FALSE)</f>
        <v>H2_CCGT_PWR</v>
      </c>
    </row>
    <row r="1224" spans="2:36" x14ac:dyDescent="0.25">
      <c r="B1224" t="s">
        <v>117</v>
      </c>
      <c r="C1224" t="s">
        <v>53</v>
      </c>
      <c r="D1224" t="s">
        <v>155</v>
      </c>
      <c r="E1224" t="s">
        <v>66</v>
      </c>
      <c r="F1224" t="s">
        <v>163</v>
      </c>
      <c r="G1224" t="s">
        <v>114</v>
      </c>
      <c r="H1224" t="s">
        <v>433</v>
      </c>
      <c r="I1224" t="s">
        <v>32</v>
      </c>
      <c r="J1224" t="s">
        <v>78</v>
      </c>
      <c r="K1224">
        <f t="shared" si="3797"/>
        <v>0</v>
      </c>
      <c r="L1224">
        <f t="shared" si="3798"/>
        <v>1</v>
      </c>
      <c r="M1224">
        <f t="shared" si="3799"/>
        <v>1</v>
      </c>
      <c r="N1224">
        <f t="shared" si="3800"/>
        <v>0</v>
      </c>
      <c r="O1224">
        <f t="shared" si="3801"/>
        <v>2</v>
      </c>
      <c r="P1224" t="str">
        <f t="shared" si="3802"/>
        <v>Medium centralized biomass gasification-Maturity</v>
      </c>
      <c r="Q1224" t="str">
        <f t="shared" si="3803"/>
        <v>Central gas storage-Maturity</v>
      </c>
      <c r="R1224" t="str">
        <f t="shared" si="3804"/>
        <v>Onsite-Maturity</v>
      </c>
      <c r="S1224" t="str">
        <f t="shared" si="3805"/>
        <v>Hydrogen turbine (CC)-Maturity</v>
      </c>
      <c r="T1224">
        <f ca="1">VLOOKUP($P1224,'TA database'!$I$8:$J$79,2,FALSE)</f>
        <v>6</v>
      </c>
      <c r="U1224">
        <f ca="1">VLOOKUP($Q1224,'TA database'!$I$86:$J$105,2,FALSE)</f>
        <v>9</v>
      </c>
      <c r="V1224">
        <f ca="1">VLOOKUP($R1224,'TA database'!$I$112:$J$139,2,FALSE)</f>
        <v>9</v>
      </c>
      <c r="W1224">
        <f>IFERROR(VLOOKUP($S1224,'TA database'!$I$146:$J$193,2,FALSE),0)</f>
        <v>0</v>
      </c>
      <c r="X1224">
        <f ca="1">IFERROR(VLOOKUP($S1224,'TA database'!$I$200:$J$271,2,FALSE),0)</f>
        <v>7</v>
      </c>
      <c r="Y1224">
        <f t="shared" ca="1" si="3792"/>
        <v>6</v>
      </c>
      <c r="Z1224" t="str">
        <f t="shared" si="3806"/>
        <v>BIO_GSF_MED_C   →   C_GAS_STRG   →   ONSITE_USE   →   H2_CCGT_PWR</v>
      </c>
      <c r="AA1224" t="str">
        <f t="shared" si="3807"/>
        <v>Grid electricity</v>
      </c>
      <c r="AB1224" t="str">
        <f t="shared" si="3808"/>
        <v>Maturity</v>
      </c>
      <c r="AC1224">
        <f t="shared" ca="1" si="3809"/>
        <v>6</v>
      </c>
      <c r="AD1224">
        <v>1165</v>
      </c>
      <c r="AE1224" t="str">
        <f>IF(AND(ISNUMBER(SEARCH(O1224,4)),ISNUMBER(SEARCH('(4) FCH pathway assessment'!$B$16,AB1224)),ISNUMBER(SEARCH('(4) FCH pathway assessment'!$B$10,AA1224))),AD1224,"")</f>
        <v/>
      </c>
      <c r="AF1224" t="str">
        <f t="shared" si="3726"/>
        <v/>
      </c>
      <c r="AG1224" t="str">
        <f>VLOOKUP(C1224,Assumptions!$B$116:$C$162,2,FALSE)</f>
        <v>BIO_GSF_MED_C</v>
      </c>
      <c r="AH1224" t="str">
        <f>VLOOKUP(D1224,Assumptions!$B$116:$C$162,2,FALSE)</f>
        <v>C_GAS_STRG</v>
      </c>
      <c r="AI1224" t="str">
        <f>VLOOKUP(E1224,Assumptions!$B$116:$C$162,2,FALSE)</f>
        <v>ONSITE_USE</v>
      </c>
      <c r="AJ1224" t="str">
        <f>VLOOKUP(F1224,Assumptions!$B$116:$C$162,2,FALSE)</f>
        <v>H2_CCGT_PWR</v>
      </c>
    </row>
    <row r="1225" spans="2:36" x14ac:dyDescent="0.25">
      <c r="B1225" t="s">
        <v>117</v>
      </c>
      <c r="C1225" t="s">
        <v>54</v>
      </c>
      <c r="D1225" t="s">
        <v>155</v>
      </c>
      <c r="E1225" t="s">
        <v>157</v>
      </c>
      <c r="F1225" t="s">
        <v>163</v>
      </c>
      <c r="G1225" t="s">
        <v>114</v>
      </c>
      <c r="H1225" t="s">
        <v>433</v>
      </c>
      <c r="I1225" t="s">
        <v>32</v>
      </c>
      <c r="J1225" t="s">
        <v>78</v>
      </c>
      <c r="K1225">
        <f t="shared" si="3797"/>
        <v>0</v>
      </c>
      <c r="L1225">
        <f t="shared" si="3798"/>
        <v>1</v>
      </c>
      <c r="M1225">
        <f t="shared" si="3799"/>
        <v>0</v>
      </c>
      <c r="N1225">
        <f t="shared" si="3800"/>
        <v>0</v>
      </c>
      <c r="O1225">
        <f t="shared" si="3801"/>
        <v>1</v>
      </c>
      <c r="P1225" t="str">
        <f t="shared" si="3802"/>
        <v>Medium centralized biomass gasification w/ CCS-Maturity</v>
      </c>
      <c r="Q1225" t="str">
        <f t="shared" si="3803"/>
        <v>Central gas storage-Maturity</v>
      </c>
      <c r="R1225" t="str">
        <f t="shared" si="3804"/>
        <v>Blending in natural gas pipeline-Maturity</v>
      </c>
      <c r="S1225" t="str">
        <f t="shared" si="3805"/>
        <v>Hydrogen turbine (CC)-Maturity</v>
      </c>
      <c r="T1225">
        <f ca="1">VLOOKUP($P1225,'TA database'!$I$8:$J$79,2,FALSE)</f>
        <v>6</v>
      </c>
      <c r="U1225">
        <f ca="1">VLOOKUP($Q1225,'TA database'!$I$86:$J$105,2,FALSE)</f>
        <v>9</v>
      </c>
      <c r="V1225">
        <f ca="1">VLOOKUP($R1225,'TA database'!$I$112:$J$139,2,FALSE)</f>
        <v>7</v>
      </c>
      <c r="W1225">
        <f>IFERROR(VLOOKUP($S1225,'TA database'!$I$146:$J$193,2,FALSE),0)</f>
        <v>0</v>
      </c>
      <c r="X1225">
        <f ca="1">IFERROR(VLOOKUP($S1225,'TA database'!$I$200:$J$271,2,FALSE),0)</f>
        <v>7</v>
      </c>
      <c r="Y1225">
        <f t="shared" ref="Y1225:Y1228" ca="1" si="3810">IF($W1225=0,MIN($T1225:$V1225,$X1225),MIN($T1225:$W1225))</f>
        <v>6</v>
      </c>
      <c r="Z1225" t="str">
        <f t="shared" si="3806"/>
        <v>BIO_GSF_CCS_MED_C   →   C_GAS_STRG   →   H2_BLND_NG_P   →   H2_CCGT_PWR</v>
      </c>
      <c r="AA1225" t="str">
        <f t="shared" si="3807"/>
        <v>Grid electricity</v>
      </c>
      <c r="AB1225" t="str">
        <f t="shared" si="3808"/>
        <v>Maturity</v>
      </c>
      <c r="AC1225">
        <f t="shared" ca="1" si="3809"/>
        <v>6</v>
      </c>
      <c r="AD1225">
        <v>1166</v>
      </c>
      <c r="AE1225" t="str">
        <f>IF(AND(ISNUMBER(SEARCH(O1225,4)),ISNUMBER(SEARCH('(4) FCH pathway assessment'!$B$16,AB1225)),ISNUMBER(SEARCH('(4) FCH pathway assessment'!$B$10,AA1225))),AD1225,"")</f>
        <v/>
      </c>
      <c r="AF1225" t="str">
        <f t="shared" si="3726"/>
        <v/>
      </c>
      <c r="AG1225" t="str">
        <f>VLOOKUP(C1225,Assumptions!$B$116:$C$162,2,FALSE)</f>
        <v>BIO_GSF_CCS_MED_C</v>
      </c>
      <c r="AH1225" t="str">
        <f>VLOOKUP(D1225,Assumptions!$B$116:$C$162,2,FALSE)</f>
        <v>C_GAS_STRG</v>
      </c>
      <c r="AI1225" t="str">
        <f>VLOOKUP(E1225,Assumptions!$B$116:$C$162,2,FALSE)</f>
        <v>H2_BLND_NG_P</v>
      </c>
      <c r="AJ1225" t="str">
        <f>VLOOKUP(F1225,Assumptions!$B$116:$C$162,2,FALSE)</f>
        <v>H2_CCGT_PWR</v>
      </c>
    </row>
    <row r="1226" spans="2:36" x14ac:dyDescent="0.25">
      <c r="B1226" t="s">
        <v>117</v>
      </c>
      <c r="C1226" t="s">
        <v>54</v>
      </c>
      <c r="D1226" t="s">
        <v>155</v>
      </c>
      <c r="E1226" t="s">
        <v>122</v>
      </c>
      <c r="F1226" t="s">
        <v>163</v>
      </c>
      <c r="G1226" t="s">
        <v>114</v>
      </c>
      <c r="H1226" t="s">
        <v>433</v>
      </c>
      <c r="I1226" t="s">
        <v>32</v>
      </c>
      <c r="J1226" t="s">
        <v>78</v>
      </c>
      <c r="K1226">
        <f t="shared" si="3797"/>
        <v>0</v>
      </c>
      <c r="L1226">
        <f t="shared" si="3798"/>
        <v>1</v>
      </c>
      <c r="M1226">
        <f t="shared" si="3799"/>
        <v>1</v>
      </c>
      <c r="N1226">
        <f t="shared" si="3800"/>
        <v>0</v>
      </c>
      <c r="O1226">
        <f t="shared" si="3801"/>
        <v>2</v>
      </c>
      <c r="P1226" t="str">
        <f t="shared" si="3802"/>
        <v>Medium centralized biomass gasification w/ CCS-Maturity</v>
      </c>
      <c r="Q1226" t="str">
        <f t="shared" si="3803"/>
        <v>Central gas storage-Maturity</v>
      </c>
      <c r="R1226" t="str">
        <f t="shared" si="3804"/>
        <v>Hydrogen transmission &amp; distribution pipeline-Maturity</v>
      </c>
      <c r="S1226" t="str">
        <f t="shared" si="3805"/>
        <v>Hydrogen turbine (CC)-Maturity</v>
      </c>
      <c r="T1226">
        <f ca="1">VLOOKUP($P1226,'TA database'!$I$8:$J$79,2,FALSE)</f>
        <v>6</v>
      </c>
      <c r="U1226">
        <f ca="1">VLOOKUP($Q1226,'TA database'!$I$86:$J$105,2,FALSE)</f>
        <v>9</v>
      </c>
      <c r="V1226">
        <f ca="1">VLOOKUP($R1226,'TA database'!$I$112:$J$139,2,FALSE)</f>
        <v>9</v>
      </c>
      <c r="W1226">
        <f>IFERROR(VLOOKUP($S1226,'TA database'!$I$146:$J$193,2,FALSE),0)</f>
        <v>0</v>
      </c>
      <c r="X1226">
        <f ca="1">IFERROR(VLOOKUP($S1226,'TA database'!$I$200:$J$271,2,FALSE),0)</f>
        <v>7</v>
      </c>
      <c r="Y1226">
        <f t="shared" ca="1" si="3810"/>
        <v>6</v>
      </c>
      <c r="Z1226" t="str">
        <f t="shared" si="3806"/>
        <v>BIO_GSF_CCS_MED_C   →   C_GAS_STRG   →   H2_T&amp;D_P   →   H2_CCGT_PWR</v>
      </c>
      <c r="AA1226" t="str">
        <f t="shared" si="3807"/>
        <v>Grid electricity</v>
      </c>
      <c r="AB1226" t="str">
        <f t="shared" si="3808"/>
        <v>Maturity</v>
      </c>
      <c r="AC1226">
        <f t="shared" ca="1" si="3809"/>
        <v>6</v>
      </c>
      <c r="AD1226">
        <v>1167</v>
      </c>
      <c r="AE1226" t="str">
        <f>IF(AND(ISNUMBER(SEARCH(O1226,4)),ISNUMBER(SEARCH('(4) FCH pathway assessment'!$B$16,AB1226)),ISNUMBER(SEARCH('(4) FCH pathway assessment'!$B$10,AA1226))),AD1226,"")</f>
        <v/>
      </c>
      <c r="AF1226" t="str">
        <f t="shared" si="3726"/>
        <v/>
      </c>
      <c r="AG1226" t="str">
        <f>VLOOKUP(C1226,Assumptions!$B$116:$C$162,2,FALSE)</f>
        <v>BIO_GSF_CCS_MED_C</v>
      </c>
      <c r="AH1226" t="str">
        <f>VLOOKUP(D1226,Assumptions!$B$116:$C$162,2,FALSE)</f>
        <v>C_GAS_STRG</v>
      </c>
      <c r="AI1226" t="str">
        <f>VLOOKUP(E1226,Assumptions!$B$116:$C$162,2,FALSE)</f>
        <v>H2_T&amp;D_P</v>
      </c>
      <c r="AJ1226" t="str">
        <f>VLOOKUP(F1226,Assumptions!$B$116:$C$162,2,FALSE)</f>
        <v>H2_CCGT_PWR</v>
      </c>
    </row>
    <row r="1227" spans="2:36" x14ac:dyDescent="0.25">
      <c r="B1227" t="s">
        <v>117</v>
      </c>
      <c r="C1227" t="s">
        <v>54</v>
      </c>
      <c r="D1227" t="s">
        <v>155</v>
      </c>
      <c r="E1227" t="s">
        <v>116</v>
      </c>
      <c r="F1227" t="s">
        <v>163</v>
      </c>
      <c r="G1227" t="s">
        <v>114</v>
      </c>
      <c r="H1227" t="s">
        <v>433</v>
      </c>
      <c r="I1227" t="s">
        <v>32</v>
      </c>
      <c r="J1227" t="s">
        <v>78</v>
      </c>
      <c r="K1227">
        <f t="shared" si="3797"/>
        <v>0</v>
      </c>
      <c r="L1227">
        <f t="shared" si="3798"/>
        <v>1</v>
      </c>
      <c r="M1227">
        <f t="shared" si="3799"/>
        <v>1</v>
      </c>
      <c r="N1227">
        <f t="shared" si="3800"/>
        <v>0</v>
      </c>
      <c r="O1227">
        <f t="shared" si="3801"/>
        <v>2</v>
      </c>
      <c r="P1227" t="str">
        <f t="shared" si="3802"/>
        <v>Medium centralized biomass gasification w/ CCS-Maturity</v>
      </c>
      <c r="Q1227" t="str">
        <f t="shared" si="3803"/>
        <v>Central gas storage-Maturity</v>
      </c>
      <c r="R1227" t="str">
        <f t="shared" si="3804"/>
        <v>Liquid hydrogen truck-Maturity</v>
      </c>
      <c r="S1227" t="str">
        <f t="shared" si="3805"/>
        <v>Hydrogen turbine (CC)-Maturity</v>
      </c>
      <c r="T1227">
        <f ca="1">VLOOKUP($P1227,'TA database'!$I$8:$J$79,2,FALSE)</f>
        <v>6</v>
      </c>
      <c r="U1227">
        <f ca="1">VLOOKUP($Q1227,'TA database'!$I$86:$J$105,2,FALSE)</f>
        <v>9</v>
      </c>
      <c r="V1227">
        <f ca="1">VLOOKUP($R1227,'TA database'!$I$112:$J$139,2,FALSE)</f>
        <v>9</v>
      </c>
      <c r="W1227">
        <f>IFERROR(VLOOKUP($S1227,'TA database'!$I$146:$J$193,2,FALSE),0)</f>
        <v>0</v>
      </c>
      <c r="X1227">
        <f ca="1">IFERROR(VLOOKUP($S1227,'TA database'!$I$200:$J$271,2,FALSE),0)</f>
        <v>7</v>
      </c>
      <c r="Y1227">
        <f t="shared" ca="1" si="3810"/>
        <v>6</v>
      </c>
      <c r="Z1227" t="str">
        <f t="shared" si="3806"/>
        <v>BIO_GSF_CCS_MED_C   →   C_GAS_STRG   →   LQ_TRUCK   →   H2_CCGT_PWR</v>
      </c>
      <c r="AA1227" t="str">
        <f t="shared" si="3807"/>
        <v>Grid electricity</v>
      </c>
      <c r="AB1227" t="str">
        <f t="shared" si="3808"/>
        <v>Maturity</v>
      </c>
      <c r="AC1227">
        <f t="shared" ca="1" si="3809"/>
        <v>6</v>
      </c>
      <c r="AD1227">
        <v>1168</v>
      </c>
      <c r="AE1227" t="str">
        <f>IF(AND(ISNUMBER(SEARCH(O1227,4)),ISNUMBER(SEARCH('(4) FCH pathway assessment'!$B$16,AB1227)),ISNUMBER(SEARCH('(4) FCH pathway assessment'!$B$10,AA1227))),AD1227,"")</f>
        <v/>
      </c>
      <c r="AF1227" t="str">
        <f t="shared" si="3726"/>
        <v/>
      </c>
      <c r="AG1227" t="str">
        <f>VLOOKUP(C1227,Assumptions!$B$116:$C$162,2,FALSE)</f>
        <v>BIO_GSF_CCS_MED_C</v>
      </c>
      <c r="AH1227" t="str">
        <f>VLOOKUP(D1227,Assumptions!$B$116:$C$162,2,FALSE)</f>
        <v>C_GAS_STRG</v>
      </c>
      <c r="AI1227" t="str">
        <f>VLOOKUP(E1227,Assumptions!$B$116:$C$162,2,FALSE)</f>
        <v>LQ_TRUCK</v>
      </c>
      <c r="AJ1227" t="str">
        <f>VLOOKUP(F1227,Assumptions!$B$116:$C$162,2,FALSE)</f>
        <v>H2_CCGT_PWR</v>
      </c>
    </row>
    <row r="1228" spans="2:36" x14ac:dyDescent="0.25">
      <c r="B1228" t="s">
        <v>117</v>
      </c>
      <c r="C1228" t="s">
        <v>54</v>
      </c>
      <c r="D1228" t="s">
        <v>155</v>
      </c>
      <c r="E1228" t="s">
        <v>66</v>
      </c>
      <c r="F1228" t="s">
        <v>163</v>
      </c>
      <c r="G1228" t="s">
        <v>114</v>
      </c>
      <c r="H1228" t="s">
        <v>433</v>
      </c>
      <c r="I1228" t="s">
        <v>32</v>
      </c>
      <c r="J1228" t="s">
        <v>78</v>
      </c>
      <c r="K1228">
        <f t="shared" si="3797"/>
        <v>0</v>
      </c>
      <c r="L1228">
        <f t="shared" si="3798"/>
        <v>1</v>
      </c>
      <c r="M1228">
        <f t="shared" si="3799"/>
        <v>1</v>
      </c>
      <c r="N1228">
        <f t="shared" si="3800"/>
        <v>0</v>
      </c>
      <c r="O1228">
        <f t="shared" si="3801"/>
        <v>2</v>
      </c>
      <c r="P1228" t="str">
        <f t="shared" si="3802"/>
        <v>Medium centralized biomass gasification w/ CCS-Maturity</v>
      </c>
      <c r="Q1228" t="str">
        <f t="shared" si="3803"/>
        <v>Central gas storage-Maturity</v>
      </c>
      <c r="R1228" t="str">
        <f t="shared" si="3804"/>
        <v>Onsite-Maturity</v>
      </c>
      <c r="S1228" t="str">
        <f t="shared" si="3805"/>
        <v>Hydrogen turbine (CC)-Maturity</v>
      </c>
      <c r="T1228">
        <f ca="1">VLOOKUP($P1228,'TA database'!$I$8:$J$79,2,FALSE)</f>
        <v>6</v>
      </c>
      <c r="U1228">
        <f ca="1">VLOOKUP($Q1228,'TA database'!$I$86:$J$105,2,FALSE)</f>
        <v>9</v>
      </c>
      <c r="V1228">
        <f ca="1">VLOOKUP($R1228,'TA database'!$I$112:$J$139,2,FALSE)</f>
        <v>9</v>
      </c>
      <c r="W1228">
        <f>IFERROR(VLOOKUP($S1228,'TA database'!$I$146:$J$193,2,FALSE),0)</f>
        <v>0</v>
      </c>
      <c r="X1228">
        <f ca="1">IFERROR(VLOOKUP($S1228,'TA database'!$I$200:$J$271,2,FALSE),0)</f>
        <v>7</v>
      </c>
      <c r="Y1228">
        <f t="shared" ca="1" si="3810"/>
        <v>6</v>
      </c>
      <c r="Z1228" t="str">
        <f t="shared" si="3806"/>
        <v>BIO_GSF_CCS_MED_C   →   C_GAS_STRG   →   ONSITE_USE   →   H2_CCGT_PWR</v>
      </c>
      <c r="AA1228" t="str">
        <f t="shared" si="3807"/>
        <v>Grid electricity</v>
      </c>
      <c r="AB1228" t="str">
        <f t="shared" si="3808"/>
        <v>Maturity</v>
      </c>
      <c r="AC1228">
        <f t="shared" ca="1" si="3809"/>
        <v>6</v>
      </c>
      <c r="AD1228">
        <v>1169</v>
      </c>
      <c r="AE1228" t="str">
        <f>IF(AND(ISNUMBER(SEARCH(O1228,4)),ISNUMBER(SEARCH('(4) FCH pathway assessment'!$B$16,AB1228)),ISNUMBER(SEARCH('(4) FCH pathway assessment'!$B$10,AA1228))),AD1228,"")</f>
        <v/>
      </c>
      <c r="AF1228" t="str">
        <f t="shared" si="3726"/>
        <v/>
      </c>
      <c r="AG1228" t="str">
        <f>VLOOKUP(C1228,Assumptions!$B$116:$C$162,2,FALSE)</f>
        <v>BIO_GSF_CCS_MED_C</v>
      </c>
      <c r="AH1228" t="str">
        <f>VLOOKUP(D1228,Assumptions!$B$116:$C$162,2,FALSE)</f>
        <v>C_GAS_STRG</v>
      </c>
      <c r="AI1228" t="str">
        <f>VLOOKUP(E1228,Assumptions!$B$116:$C$162,2,FALSE)</f>
        <v>ONSITE_USE</v>
      </c>
      <c r="AJ1228" t="str">
        <f>VLOOKUP(F1228,Assumptions!$B$116:$C$162,2,FALSE)</f>
        <v>H2_CCGT_PWR</v>
      </c>
    </row>
    <row r="1229" spans="2:36" x14ac:dyDescent="0.25">
      <c r="B1229" t="s">
        <v>117</v>
      </c>
      <c r="C1229" t="s">
        <v>55</v>
      </c>
      <c r="D1229" s="60" t="s">
        <v>130</v>
      </c>
      <c r="E1229" t="s">
        <v>66</v>
      </c>
      <c r="F1229" t="s">
        <v>163</v>
      </c>
      <c r="G1229" t="s">
        <v>114</v>
      </c>
      <c r="H1229" t="s">
        <v>433</v>
      </c>
      <c r="I1229" t="s">
        <v>32</v>
      </c>
      <c r="J1229" t="s">
        <v>78</v>
      </c>
      <c r="K1229">
        <f t="shared" ref="K1229:K1234" si="3811">SUMPRODUCT(($C$7:$C$18=$C1229)*($D$6:$H$6=$D1229)*($D$7:$H$18))</f>
        <v>0</v>
      </c>
      <c r="L1229">
        <f t="shared" ref="L1229:L1234" si="3812">SUMPRODUCT(($C$19:$C$23=$D1229)*($I$6:$O$6=$E1229)*($I$19:$O$23))</f>
        <v>1</v>
      </c>
      <c r="M1229">
        <f t="shared" ref="M1229:M1234" si="3813">SUMPRODUCT(($C$24:$C$30=$E1229)*($P$6:$AI$6=$F1229)*($P$24:$AI$30))</f>
        <v>1</v>
      </c>
      <c r="N1229">
        <f t="shared" ref="N1229:N1234" si="3814">SUMPRODUCT(($C$31:$C$50=$F1229)*($AJ$6:$AM$6=$G1229)*($AJ$31:$AM$50))</f>
        <v>0</v>
      </c>
      <c r="O1229">
        <f t="shared" ref="O1229:O1234" si="3815">K1229+L1229+M1229+N1229</f>
        <v>2</v>
      </c>
      <c r="P1229" t="str">
        <f t="shared" ref="P1229:P1234" si="3816">CONCATENATE(C1229,"-",J1229)</f>
        <v>Small decentralized biomass gasification-Maturity</v>
      </c>
      <c r="Q1229" t="str">
        <f t="shared" ref="Q1229:Q1234" si="3817">CONCATENATE(D1229,"-",J1229)</f>
        <v>Distributed gas storage-Maturity</v>
      </c>
      <c r="R1229" t="str">
        <f t="shared" ref="R1229:R1234" si="3818">CONCATENATE(E1229,"-",J1229)</f>
        <v>Onsite-Maturity</v>
      </c>
      <c r="S1229" t="str">
        <f t="shared" ref="S1229:S1234" si="3819">CONCATENATE(F1229,"-",J1229)</f>
        <v>Hydrogen turbine (CC)-Maturity</v>
      </c>
      <c r="T1229">
        <f ca="1">VLOOKUP($P1229,'TA database'!$I$8:$J$79,2,FALSE)</f>
        <v>6</v>
      </c>
      <c r="U1229">
        <f ca="1">VLOOKUP($Q1229,'TA database'!$I$86:$J$105,2,FALSE)</f>
        <v>9</v>
      </c>
      <c r="V1229">
        <f ca="1">VLOOKUP($R1229,'TA database'!$I$112:$J$139,2,FALSE)</f>
        <v>9</v>
      </c>
      <c r="W1229">
        <f>IFERROR(VLOOKUP($S1229,'TA database'!$I$146:$J$193,2,FALSE),0)</f>
        <v>0</v>
      </c>
      <c r="X1229">
        <f ca="1">IFERROR(VLOOKUP($S1229,'TA database'!$I$200:$J$271,2,FALSE),0)</f>
        <v>7</v>
      </c>
      <c r="Y1229">
        <f t="shared" ref="Y1229:Y1238" ca="1" si="3820">IF($W1229=0,MIN($T1229:$V1229,$X1229),MIN($T1229:$W1229))</f>
        <v>6</v>
      </c>
      <c r="Z1229" t="str">
        <f t="shared" ref="Z1229:Z1234" si="3821">CONCATENATE(AG1229,"   →   ",AH1229,"   →   ",AI1229,"   →   ",AJ1229)</f>
        <v>BIO_GSF_SML_D   →   D_GAS_STRG   →   ONSITE_USE   →   H2_CCGT_PWR</v>
      </c>
      <c r="AA1229" t="str">
        <f t="shared" ref="AA1229:AA1234" si="3822">G1229</f>
        <v>Grid electricity</v>
      </c>
      <c r="AB1229" t="str">
        <f t="shared" ref="AB1229:AB1234" si="3823">J1229</f>
        <v>Maturity</v>
      </c>
      <c r="AC1229">
        <f t="shared" ref="AC1229:AC1234" ca="1" si="3824">Y1229</f>
        <v>6</v>
      </c>
      <c r="AD1229">
        <v>1170</v>
      </c>
      <c r="AE1229" t="str">
        <f>IF(AND(ISNUMBER(SEARCH(O1229,4)),ISNUMBER(SEARCH('(4) FCH pathway assessment'!$B$16,AB1229)),ISNUMBER(SEARCH('(4) FCH pathway assessment'!$B$10,AA1229))),AD1229,"")</f>
        <v/>
      </c>
      <c r="AF1229" t="str">
        <f t="shared" si="3726"/>
        <v/>
      </c>
      <c r="AG1229" t="str">
        <f>VLOOKUP(C1229,Assumptions!$B$116:$C$162,2,FALSE)</f>
        <v>BIO_GSF_SML_D</v>
      </c>
      <c r="AH1229" t="str">
        <f>VLOOKUP(D1229,Assumptions!$B$116:$C$162,2,FALSE)</f>
        <v>D_GAS_STRG</v>
      </c>
      <c r="AI1229" t="str">
        <f>VLOOKUP(E1229,Assumptions!$B$116:$C$162,2,FALSE)</f>
        <v>ONSITE_USE</v>
      </c>
      <c r="AJ1229" t="str">
        <f>VLOOKUP(F1229,Assumptions!$B$116:$C$162,2,FALSE)</f>
        <v>H2_CCGT_PWR</v>
      </c>
    </row>
    <row r="1230" spans="2:36" x14ac:dyDescent="0.25">
      <c r="B1230" t="s">
        <v>117</v>
      </c>
      <c r="C1230" t="s">
        <v>56</v>
      </c>
      <c r="D1230" t="s">
        <v>62</v>
      </c>
      <c r="E1230" t="s">
        <v>157</v>
      </c>
      <c r="F1230" t="s">
        <v>163</v>
      </c>
      <c r="G1230" t="s">
        <v>114</v>
      </c>
      <c r="H1230" t="s">
        <v>433</v>
      </c>
      <c r="I1230" t="s">
        <v>32</v>
      </c>
      <c r="J1230" t="s">
        <v>78</v>
      </c>
      <c r="K1230">
        <f t="shared" si="3811"/>
        <v>0</v>
      </c>
      <c r="L1230">
        <f t="shared" si="3812"/>
        <v>0</v>
      </c>
      <c r="M1230">
        <f t="shared" si="3813"/>
        <v>0</v>
      </c>
      <c r="N1230">
        <f t="shared" si="3814"/>
        <v>0</v>
      </c>
      <c r="O1230">
        <f t="shared" si="3815"/>
        <v>0</v>
      </c>
      <c r="P1230" t="str">
        <f t="shared" si="3816"/>
        <v>Large centralized biomass steam reforming -Maturity</v>
      </c>
      <c r="Q1230" t="str">
        <f t="shared" si="3817"/>
        <v>Underground storage-Maturity</v>
      </c>
      <c r="R1230" t="str">
        <f t="shared" si="3818"/>
        <v>Blending in natural gas pipeline-Maturity</v>
      </c>
      <c r="S1230" t="str">
        <f t="shared" si="3819"/>
        <v>Hydrogen turbine (CC)-Maturity</v>
      </c>
      <c r="T1230">
        <f ca="1">VLOOKUP($P1230,'TA database'!$I$8:$J$79,2,FALSE)</f>
        <v>6</v>
      </c>
      <c r="U1230">
        <f ca="1">VLOOKUP($Q1230,'TA database'!$I$86:$J$105,2,FALSE)</f>
        <v>6</v>
      </c>
      <c r="V1230">
        <f ca="1">VLOOKUP($R1230,'TA database'!$I$112:$J$139,2,FALSE)</f>
        <v>7</v>
      </c>
      <c r="W1230">
        <f>IFERROR(VLOOKUP($S1230,'TA database'!$I$146:$J$193,2,FALSE),0)</f>
        <v>0</v>
      </c>
      <c r="X1230">
        <f ca="1">IFERROR(VLOOKUP($S1230,'TA database'!$I$200:$J$271,2,FALSE),0)</f>
        <v>7</v>
      </c>
      <c r="Y1230">
        <f t="shared" ca="1" si="3820"/>
        <v>6</v>
      </c>
      <c r="Z1230" t="str">
        <f t="shared" si="3821"/>
        <v>BIO_SR_LRG_C   →   C_UNDRGRND_STRG   →   H2_BLND_NG_P   →   H2_CCGT_PWR</v>
      </c>
      <c r="AA1230" t="str">
        <f t="shared" si="3822"/>
        <v>Grid electricity</v>
      </c>
      <c r="AB1230" t="str">
        <f t="shared" si="3823"/>
        <v>Maturity</v>
      </c>
      <c r="AC1230">
        <f t="shared" ca="1" si="3824"/>
        <v>6</v>
      </c>
      <c r="AD1230">
        <v>1171</v>
      </c>
      <c r="AE1230" t="str">
        <f>IF(AND(ISNUMBER(SEARCH(O1230,4)),ISNUMBER(SEARCH('(4) FCH pathway assessment'!$B$16,AB1230)),ISNUMBER(SEARCH('(4) FCH pathway assessment'!$B$10,AA1230))),AD1230,"")</f>
        <v/>
      </c>
      <c r="AF1230" t="str">
        <f t="shared" si="3726"/>
        <v/>
      </c>
      <c r="AG1230" t="str">
        <f>VLOOKUP(C1230,Assumptions!$B$116:$C$162,2,FALSE)</f>
        <v>BIO_SR_LRG_C</v>
      </c>
      <c r="AH1230" t="str">
        <f>VLOOKUP(D1230,Assumptions!$B$116:$C$162,2,FALSE)</f>
        <v>C_UNDRGRND_STRG</v>
      </c>
      <c r="AI1230" t="str">
        <f>VLOOKUP(E1230,Assumptions!$B$116:$C$162,2,FALSE)</f>
        <v>H2_BLND_NG_P</v>
      </c>
      <c r="AJ1230" t="str">
        <f>VLOOKUP(F1230,Assumptions!$B$116:$C$162,2,FALSE)</f>
        <v>H2_CCGT_PWR</v>
      </c>
    </row>
    <row r="1231" spans="2:36" x14ac:dyDescent="0.25">
      <c r="B1231" t="s">
        <v>117</v>
      </c>
      <c r="C1231" t="s">
        <v>56</v>
      </c>
      <c r="D1231" t="s">
        <v>62</v>
      </c>
      <c r="E1231" t="s">
        <v>122</v>
      </c>
      <c r="F1231" t="s">
        <v>163</v>
      </c>
      <c r="G1231" t="s">
        <v>114</v>
      </c>
      <c r="H1231" t="s">
        <v>433</v>
      </c>
      <c r="I1231" t="s">
        <v>32</v>
      </c>
      <c r="J1231" t="s">
        <v>78</v>
      </c>
      <c r="K1231">
        <f t="shared" si="3811"/>
        <v>0</v>
      </c>
      <c r="L1231">
        <f t="shared" si="3812"/>
        <v>0</v>
      </c>
      <c r="M1231">
        <f t="shared" si="3813"/>
        <v>1</v>
      </c>
      <c r="N1231">
        <f t="shared" si="3814"/>
        <v>0</v>
      </c>
      <c r="O1231">
        <f t="shared" si="3815"/>
        <v>1</v>
      </c>
      <c r="P1231" t="str">
        <f t="shared" si="3816"/>
        <v>Large centralized biomass steam reforming -Maturity</v>
      </c>
      <c r="Q1231" t="str">
        <f t="shared" si="3817"/>
        <v>Underground storage-Maturity</v>
      </c>
      <c r="R1231" t="str">
        <f t="shared" si="3818"/>
        <v>Hydrogen transmission &amp; distribution pipeline-Maturity</v>
      </c>
      <c r="S1231" t="str">
        <f t="shared" si="3819"/>
        <v>Hydrogen turbine (CC)-Maturity</v>
      </c>
      <c r="T1231">
        <f ca="1">VLOOKUP($P1231,'TA database'!$I$8:$J$79,2,FALSE)</f>
        <v>6</v>
      </c>
      <c r="U1231">
        <f ca="1">VLOOKUP($Q1231,'TA database'!$I$86:$J$105,2,FALSE)</f>
        <v>6</v>
      </c>
      <c r="V1231">
        <f ca="1">VLOOKUP($R1231,'TA database'!$I$112:$J$139,2,FALSE)</f>
        <v>9</v>
      </c>
      <c r="W1231">
        <f>IFERROR(VLOOKUP($S1231,'TA database'!$I$146:$J$193,2,FALSE),0)</f>
        <v>0</v>
      </c>
      <c r="X1231">
        <f ca="1">IFERROR(VLOOKUP($S1231,'TA database'!$I$200:$J$271,2,FALSE),0)</f>
        <v>7</v>
      </c>
      <c r="Y1231">
        <f t="shared" ca="1" si="3820"/>
        <v>6</v>
      </c>
      <c r="Z1231" t="str">
        <f t="shared" si="3821"/>
        <v>BIO_SR_LRG_C   →   C_UNDRGRND_STRG   →   H2_T&amp;D_P   →   H2_CCGT_PWR</v>
      </c>
      <c r="AA1231" t="str">
        <f t="shared" si="3822"/>
        <v>Grid electricity</v>
      </c>
      <c r="AB1231" t="str">
        <f t="shared" si="3823"/>
        <v>Maturity</v>
      </c>
      <c r="AC1231">
        <f t="shared" ca="1" si="3824"/>
        <v>6</v>
      </c>
      <c r="AD1231">
        <v>1172</v>
      </c>
      <c r="AE1231" t="str">
        <f>IF(AND(ISNUMBER(SEARCH(O1231,4)),ISNUMBER(SEARCH('(4) FCH pathway assessment'!$B$16,AB1231)),ISNUMBER(SEARCH('(4) FCH pathway assessment'!$B$10,AA1231))),AD1231,"")</f>
        <v/>
      </c>
      <c r="AF1231" t="str">
        <f t="shared" si="3726"/>
        <v/>
      </c>
      <c r="AG1231" t="str">
        <f>VLOOKUP(C1231,Assumptions!$B$116:$C$162,2,FALSE)</f>
        <v>BIO_SR_LRG_C</v>
      </c>
      <c r="AH1231" t="str">
        <f>VLOOKUP(D1231,Assumptions!$B$116:$C$162,2,FALSE)</f>
        <v>C_UNDRGRND_STRG</v>
      </c>
      <c r="AI1231" t="str">
        <f>VLOOKUP(E1231,Assumptions!$B$116:$C$162,2,FALSE)</f>
        <v>H2_T&amp;D_P</v>
      </c>
      <c r="AJ1231" t="str">
        <f>VLOOKUP(F1231,Assumptions!$B$116:$C$162,2,FALSE)</f>
        <v>H2_CCGT_PWR</v>
      </c>
    </row>
    <row r="1232" spans="2:36" x14ac:dyDescent="0.25">
      <c r="B1232" t="s">
        <v>117</v>
      </c>
      <c r="C1232" t="s">
        <v>56</v>
      </c>
      <c r="D1232" t="s">
        <v>62</v>
      </c>
      <c r="E1232" t="s">
        <v>116</v>
      </c>
      <c r="F1232" t="s">
        <v>163</v>
      </c>
      <c r="G1232" t="s">
        <v>114</v>
      </c>
      <c r="H1232" t="s">
        <v>433</v>
      </c>
      <c r="I1232" t="s">
        <v>32</v>
      </c>
      <c r="J1232" t="s">
        <v>78</v>
      </c>
      <c r="K1232">
        <f t="shared" si="3811"/>
        <v>0</v>
      </c>
      <c r="L1232">
        <f t="shared" si="3812"/>
        <v>0</v>
      </c>
      <c r="M1232">
        <f t="shared" si="3813"/>
        <v>1</v>
      </c>
      <c r="N1232">
        <f t="shared" si="3814"/>
        <v>0</v>
      </c>
      <c r="O1232">
        <f t="shared" si="3815"/>
        <v>1</v>
      </c>
      <c r="P1232" t="str">
        <f t="shared" si="3816"/>
        <v>Large centralized biomass steam reforming -Maturity</v>
      </c>
      <c r="Q1232" t="str">
        <f t="shared" si="3817"/>
        <v>Underground storage-Maturity</v>
      </c>
      <c r="R1232" t="str">
        <f t="shared" si="3818"/>
        <v>Liquid hydrogen truck-Maturity</v>
      </c>
      <c r="S1232" t="str">
        <f t="shared" si="3819"/>
        <v>Hydrogen turbine (CC)-Maturity</v>
      </c>
      <c r="T1232">
        <f ca="1">VLOOKUP($P1232,'TA database'!$I$8:$J$79,2,FALSE)</f>
        <v>6</v>
      </c>
      <c r="U1232">
        <f ca="1">VLOOKUP($Q1232,'TA database'!$I$86:$J$105,2,FALSE)</f>
        <v>6</v>
      </c>
      <c r="V1232">
        <f ca="1">VLOOKUP($R1232,'TA database'!$I$112:$J$139,2,FALSE)</f>
        <v>9</v>
      </c>
      <c r="W1232">
        <f>IFERROR(VLOOKUP($S1232,'TA database'!$I$146:$J$193,2,FALSE),0)</f>
        <v>0</v>
      </c>
      <c r="X1232">
        <f ca="1">IFERROR(VLOOKUP($S1232,'TA database'!$I$200:$J$271,2,FALSE),0)</f>
        <v>7</v>
      </c>
      <c r="Y1232">
        <f t="shared" ca="1" si="3820"/>
        <v>6</v>
      </c>
      <c r="Z1232" t="str">
        <f t="shared" si="3821"/>
        <v>BIO_SR_LRG_C   →   C_UNDRGRND_STRG   →   LQ_TRUCK   →   H2_CCGT_PWR</v>
      </c>
      <c r="AA1232" t="str">
        <f t="shared" si="3822"/>
        <v>Grid electricity</v>
      </c>
      <c r="AB1232" t="str">
        <f t="shared" si="3823"/>
        <v>Maturity</v>
      </c>
      <c r="AC1232">
        <f t="shared" ca="1" si="3824"/>
        <v>6</v>
      </c>
      <c r="AD1232">
        <v>1173</v>
      </c>
      <c r="AE1232" t="str">
        <f>IF(AND(ISNUMBER(SEARCH(O1232,4)),ISNUMBER(SEARCH('(4) FCH pathway assessment'!$B$16,AB1232)),ISNUMBER(SEARCH('(4) FCH pathway assessment'!$B$10,AA1232))),AD1232,"")</f>
        <v/>
      </c>
      <c r="AF1232" t="str">
        <f t="shared" si="3726"/>
        <v/>
      </c>
      <c r="AG1232" t="str">
        <f>VLOOKUP(C1232,Assumptions!$B$116:$C$162,2,FALSE)</f>
        <v>BIO_SR_LRG_C</v>
      </c>
      <c r="AH1232" t="str">
        <f>VLOOKUP(D1232,Assumptions!$B$116:$C$162,2,FALSE)</f>
        <v>C_UNDRGRND_STRG</v>
      </c>
      <c r="AI1232" t="str">
        <f>VLOOKUP(E1232,Assumptions!$B$116:$C$162,2,FALSE)</f>
        <v>LQ_TRUCK</v>
      </c>
      <c r="AJ1232" t="str">
        <f>VLOOKUP(F1232,Assumptions!$B$116:$C$162,2,FALSE)</f>
        <v>H2_CCGT_PWR</v>
      </c>
    </row>
    <row r="1233" spans="2:36" x14ac:dyDescent="0.25">
      <c r="B1233" t="s">
        <v>117</v>
      </c>
      <c r="C1233" t="s">
        <v>56</v>
      </c>
      <c r="D1233" t="s">
        <v>62</v>
      </c>
      <c r="E1233" t="s">
        <v>66</v>
      </c>
      <c r="F1233" t="s">
        <v>163</v>
      </c>
      <c r="G1233" t="s">
        <v>114</v>
      </c>
      <c r="H1233" t="s">
        <v>433</v>
      </c>
      <c r="I1233" t="s">
        <v>32</v>
      </c>
      <c r="J1233" t="s">
        <v>78</v>
      </c>
      <c r="K1233">
        <f t="shared" si="3811"/>
        <v>0</v>
      </c>
      <c r="L1233">
        <f t="shared" si="3812"/>
        <v>0</v>
      </c>
      <c r="M1233">
        <f t="shared" si="3813"/>
        <v>1</v>
      </c>
      <c r="N1233">
        <f t="shared" si="3814"/>
        <v>0</v>
      </c>
      <c r="O1233">
        <f t="shared" si="3815"/>
        <v>1</v>
      </c>
      <c r="P1233" t="str">
        <f t="shared" si="3816"/>
        <v>Large centralized biomass steam reforming -Maturity</v>
      </c>
      <c r="Q1233" t="str">
        <f t="shared" si="3817"/>
        <v>Underground storage-Maturity</v>
      </c>
      <c r="R1233" t="str">
        <f t="shared" si="3818"/>
        <v>Onsite-Maturity</v>
      </c>
      <c r="S1233" t="str">
        <f t="shared" si="3819"/>
        <v>Hydrogen turbine (CC)-Maturity</v>
      </c>
      <c r="T1233">
        <f ca="1">VLOOKUP($P1233,'TA database'!$I$8:$J$79,2,FALSE)</f>
        <v>6</v>
      </c>
      <c r="U1233">
        <f ca="1">VLOOKUP($Q1233,'TA database'!$I$86:$J$105,2,FALSE)</f>
        <v>6</v>
      </c>
      <c r="V1233">
        <f ca="1">VLOOKUP($R1233,'TA database'!$I$112:$J$139,2,FALSE)</f>
        <v>9</v>
      </c>
      <c r="W1233">
        <f>IFERROR(VLOOKUP($S1233,'TA database'!$I$146:$J$193,2,FALSE),0)</f>
        <v>0</v>
      </c>
      <c r="X1233">
        <f ca="1">IFERROR(VLOOKUP($S1233,'TA database'!$I$200:$J$271,2,FALSE),0)</f>
        <v>7</v>
      </c>
      <c r="Y1233">
        <f t="shared" ca="1" si="3820"/>
        <v>6</v>
      </c>
      <c r="Z1233" t="str">
        <f t="shared" si="3821"/>
        <v>BIO_SR_LRG_C   →   C_UNDRGRND_STRG   →   ONSITE_USE   →   H2_CCGT_PWR</v>
      </c>
      <c r="AA1233" t="str">
        <f t="shared" si="3822"/>
        <v>Grid electricity</v>
      </c>
      <c r="AB1233" t="str">
        <f t="shared" si="3823"/>
        <v>Maturity</v>
      </c>
      <c r="AC1233">
        <f t="shared" ca="1" si="3824"/>
        <v>6</v>
      </c>
      <c r="AD1233">
        <v>1174</v>
      </c>
      <c r="AE1233" t="str">
        <f>IF(AND(ISNUMBER(SEARCH(O1233,4)),ISNUMBER(SEARCH('(4) FCH pathway assessment'!$B$16,AB1233)),ISNUMBER(SEARCH('(4) FCH pathway assessment'!$B$10,AA1233))),AD1233,"")</f>
        <v/>
      </c>
      <c r="AF1233" t="str">
        <f t="shared" si="3726"/>
        <v/>
      </c>
      <c r="AG1233" t="str">
        <f>VLOOKUP(C1233,Assumptions!$B$116:$C$162,2,FALSE)</f>
        <v>BIO_SR_LRG_C</v>
      </c>
      <c r="AH1233" t="str">
        <f>VLOOKUP(D1233,Assumptions!$B$116:$C$162,2,FALSE)</f>
        <v>C_UNDRGRND_STRG</v>
      </c>
      <c r="AI1233" t="str">
        <f>VLOOKUP(E1233,Assumptions!$B$116:$C$162,2,FALSE)</f>
        <v>ONSITE_USE</v>
      </c>
      <c r="AJ1233" t="str">
        <f>VLOOKUP(F1233,Assumptions!$B$116:$C$162,2,FALSE)</f>
        <v>H2_CCGT_PWR</v>
      </c>
    </row>
    <row r="1234" spans="2:36" x14ac:dyDescent="0.25">
      <c r="B1234" t="s">
        <v>117</v>
      </c>
      <c r="C1234" t="s">
        <v>56</v>
      </c>
      <c r="D1234" s="61" t="s">
        <v>63</v>
      </c>
      <c r="E1234" t="s">
        <v>122</v>
      </c>
      <c r="F1234" t="s">
        <v>163</v>
      </c>
      <c r="G1234" t="s">
        <v>114</v>
      </c>
      <c r="H1234" t="s">
        <v>433</v>
      </c>
      <c r="I1234" t="s">
        <v>32</v>
      </c>
      <c r="J1234" t="s">
        <v>78</v>
      </c>
      <c r="K1234">
        <f t="shared" si="3811"/>
        <v>0</v>
      </c>
      <c r="L1234">
        <f t="shared" si="3812"/>
        <v>1</v>
      </c>
      <c r="M1234">
        <f t="shared" si="3813"/>
        <v>1</v>
      </c>
      <c r="N1234">
        <f t="shared" si="3814"/>
        <v>0</v>
      </c>
      <c r="O1234">
        <f t="shared" si="3815"/>
        <v>2</v>
      </c>
      <c r="P1234" t="str">
        <f t="shared" si="3816"/>
        <v>Large centralized biomass steam reforming -Maturity</v>
      </c>
      <c r="Q1234" t="str">
        <f t="shared" si="3817"/>
        <v>No storage-Maturity</v>
      </c>
      <c r="R1234" t="str">
        <f t="shared" si="3818"/>
        <v>Hydrogen transmission &amp; distribution pipeline-Maturity</v>
      </c>
      <c r="S1234" t="str">
        <f t="shared" si="3819"/>
        <v>Hydrogen turbine (CC)-Maturity</v>
      </c>
      <c r="T1234">
        <f ca="1">VLOOKUP($P1234,'TA database'!$I$8:$J$79,2,FALSE)</f>
        <v>6</v>
      </c>
      <c r="U1234">
        <f ca="1">VLOOKUP($Q1234,'TA database'!$I$86:$J$105,2,FALSE)</f>
        <v>9</v>
      </c>
      <c r="V1234">
        <f ca="1">VLOOKUP($R1234,'TA database'!$I$112:$J$139,2,FALSE)</f>
        <v>9</v>
      </c>
      <c r="W1234">
        <f>IFERROR(VLOOKUP($S1234,'TA database'!$I$146:$J$193,2,FALSE),0)</f>
        <v>0</v>
      </c>
      <c r="X1234">
        <f ca="1">IFERROR(VLOOKUP($S1234,'TA database'!$I$200:$J$271,2,FALSE),0)</f>
        <v>7</v>
      </c>
      <c r="Y1234">
        <f t="shared" ca="1" si="3820"/>
        <v>6</v>
      </c>
      <c r="Z1234" t="str">
        <f t="shared" si="3821"/>
        <v>BIO_SR_LRG_C   →   NO_STRG   →   H2_T&amp;D_P   →   H2_CCGT_PWR</v>
      </c>
      <c r="AA1234" t="str">
        <f t="shared" si="3822"/>
        <v>Grid electricity</v>
      </c>
      <c r="AB1234" t="str">
        <f t="shared" si="3823"/>
        <v>Maturity</v>
      </c>
      <c r="AC1234">
        <f t="shared" ca="1" si="3824"/>
        <v>6</v>
      </c>
      <c r="AD1234">
        <v>1175</v>
      </c>
      <c r="AE1234" t="str">
        <f>IF(AND(ISNUMBER(SEARCH(O1234,4)),ISNUMBER(SEARCH('(4) FCH pathway assessment'!$B$16,AB1234)),ISNUMBER(SEARCH('(4) FCH pathway assessment'!$B$10,AA1234))),AD1234,"")</f>
        <v/>
      </c>
      <c r="AF1234" t="str">
        <f t="shared" si="3726"/>
        <v/>
      </c>
      <c r="AG1234" t="str">
        <f>VLOOKUP(C1234,Assumptions!$B$116:$C$162,2,FALSE)</f>
        <v>BIO_SR_LRG_C</v>
      </c>
      <c r="AH1234" t="str">
        <f>VLOOKUP(D1234,Assumptions!$B$116:$C$162,2,FALSE)</f>
        <v>NO_STRG</v>
      </c>
      <c r="AI1234" t="str">
        <f>VLOOKUP(E1234,Assumptions!$B$116:$C$162,2,FALSE)</f>
        <v>H2_T&amp;D_P</v>
      </c>
      <c r="AJ1234" t="str">
        <f>VLOOKUP(F1234,Assumptions!$B$116:$C$162,2,FALSE)</f>
        <v>H2_CCGT_PWR</v>
      </c>
    </row>
    <row r="1235" spans="2:36" x14ac:dyDescent="0.25">
      <c r="B1235" t="s">
        <v>112</v>
      </c>
      <c r="C1235" t="s">
        <v>49</v>
      </c>
      <c r="D1235" t="s">
        <v>62</v>
      </c>
      <c r="E1235" t="s">
        <v>157</v>
      </c>
      <c r="F1235" t="s">
        <v>163</v>
      </c>
      <c r="G1235" t="s">
        <v>114</v>
      </c>
      <c r="H1235" t="s">
        <v>433</v>
      </c>
      <c r="I1235" t="s">
        <v>32</v>
      </c>
      <c r="J1235" t="s">
        <v>78</v>
      </c>
      <c r="K1235">
        <f t="shared" ref="K1235:K1246" si="3825">SUMPRODUCT(($C$7:$C$18=$C1235)*($D$6:$H$6=$D1235)*($D$7:$H$18))</f>
        <v>1</v>
      </c>
      <c r="L1235">
        <f t="shared" ref="L1235:L1246" si="3826">SUMPRODUCT(($C$19:$C$23=$D1235)*($I$6:$O$6=$E1235)*($I$19:$O$23))</f>
        <v>0</v>
      </c>
      <c r="M1235">
        <f t="shared" ref="M1235:M1246" si="3827">SUMPRODUCT(($C$24:$C$30=$E1235)*($P$6:$AI$6=$F1235)*($P$24:$AI$30))</f>
        <v>0</v>
      </c>
      <c r="N1235">
        <f t="shared" ref="N1235:N1246" si="3828">SUMPRODUCT(($C$31:$C$50=$F1235)*($AJ$6:$AM$6=$G1235)*($AJ$31:$AM$50))</f>
        <v>0</v>
      </c>
      <c r="O1235">
        <f t="shared" ref="O1235:O1246" si="3829">K1235+L1235+M1235+N1235</f>
        <v>1</v>
      </c>
      <c r="P1235" t="str">
        <f t="shared" ref="P1235:P1246" si="3830">CONCATENATE(C1235,"-",J1235)</f>
        <v>Large centralized electrolysis-Maturity</v>
      </c>
      <c r="Q1235" t="str">
        <f t="shared" ref="Q1235:Q1246" si="3831">CONCATENATE(D1235,"-",J1235)</f>
        <v>Underground storage-Maturity</v>
      </c>
      <c r="R1235" t="str">
        <f t="shared" ref="R1235:R1246" si="3832">CONCATENATE(E1235,"-",J1235)</f>
        <v>Blending in natural gas pipeline-Maturity</v>
      </c>
      <c r="S1235" t="str">
        <f t="shared" ref="S1235:S1246" si="3833">CONCATENATE(F1235,"-",J1235)</f>
        <v>Hydrogen turbine (CC)-Maturity</v>
      </c>
      <c r="T1235">
        <f ca="1">VLOOKUP($P1235,'TA database'!$I$8:$J$79,2,FALSE)</f>
        <v>9</v>
      </c>
      <c r="U1235">
        <f ca="1">VLOOKUP($Q1235,'TA database'!$I$86:$J$105,2,FALSE)</f>
        <v>6</v>
      </c>
      <c r="V1235">
        <f ca="1">VLOOKUP($R1235,'TA database'!$I$112:$J$139,2,FALSE)</f>
        <v>7</v>
      </c>
      <c r="W1235">
        <f>IFERROR(VLOOKUP($S1235,'TA database'!$I$146:$J$193,2,FALSE),0)</f>
        <v>0</v>
      </c>
      <c r="X1235">
        <f ca="1">IFERROR(VLOOKUP($S1235,'TA database'!$I$200:$J$271,2,FALSE),0)</f>
        <v>7</v>
      </c>
      <c r="Y1235">
        <f t="shared" ca="1" si="3820"/>
        <v>6</v>
      </c>
      <c r="Z1235" t="str">
        <f t="shared" ref="Z1235:Z1246" si="3834">CONCATENATE(AG1235,"   →   ",AH1235,"   →   ",AI1235,"   →   ",AJ1235)</f>
        <v>ELCTRLYZ_LRG_C   →   C_UNDRGRND_STRG   →   H2_BLND_NG_P   →   H2_CCGT_PWR</v>
      </c>
      <c r="AA1235" t="str">
        <f t="shared" ref="AA1235:AA1246" si="3835">G1235</f>
        <v>Grid electricity</v>
      </c>
      <c r="AB1235" t="str">
        <f t="shared" ref="AB1235:AB1246" si="3836">J1235</f>
        <v>Maturity</v>
      </c>
      <c r="AC1235">
        <f t="shared" ref="AC1235:AC1246" ca="1" si="3837">Y1235</f>
        <v>6</v>
      </c>
      <c r="AD1235">
        <v>1176</v>
      </c>
      <c r="AE1235" t="str">
        <f>IF(AND(ISNUMBER(SEARCH(O1235,4)),ISNUMBER(SEARCH('(4) FCH pathway assessment'!$B$16,AB1235)),ISNUMBER(SEARCH('(4) FCH pathway assessment'!$B$10,AA1235))),AD1235,"")</f>
        <v/>
      </c>
      <c r="AF1235" t="str">
        <f t="shared" si="3726"/>
        <v/>
      </c>
      <c r="AG1235" t="str">
        <f>VLOOKUP(C1235,Assumptions!$B$116:$C$162,2,FALSE)</f>
        <v>ELCTRLYZ_LRG_C</v>
      </c>
      <c r="AH1235" t="str">
        <f>VLOOKUP(D1235,Assumptions!$B$116:$C$162,2,FALSE)</f>
        <v>C_UNDRGRND_STRG</v>
      </c>
      <c r="AI1235" t="str">
        <f>VLOOKUP(E1235,Assumptions!$B$116:$C$162,2,FALSE)</f>
        <v>H2_BLND_NG_P</v>
      </c>
      <c r="AJ1235" t="str">
        <f>VLOOKUP(F1235,Assumptions!$B$116:$C$162,2,FALSE)</f>
        <v>H2_CCGT_PWR</v>
      </c>
    </row>
    <row r="1236" spans="2:36" x14ac:dyDescent="0.25">
      <c r="B1236" t="s">
        <v>112</v>
      </c>
      <c r="C1236" t="s">
        <v>49</v>
      </c>
      <c r="D1236" t="s">
        <v>62</v>
      </c>
      <c r="E1236" t="s">
        <v>122</v>
      </c>
      <c r="F1236" t="s">
        <v>163</v>
      </c>
      <c r="G1236" t="s">
        <v>114</v>
      </c>
      <c r="H1236" t="s">
        <v>433</v>
      </c>
      <c r="I1236" t="s">
        <v>32</v>
      </c>
      <c r="J1236" t="s">
        <v>78</v>
      </c>
      <c r="K1236">
        <f t="shared" si="3825"/>
        <v>1</v>
      </c>
      <c r="L1236">
        <f t="shared" si="3826"/>
        <v>0</v>
      </c>
      <c r="M1236">
        <f t="shared" si="3827"/>
        <v>1</v>
      </c>
      <c r="N1236">
        <f t="shared" si="3828"/>
        <v>0</v>
      </c>
      <c r="O1236">
        <f t="shared" si="3829"/>
        <v>2</v>
      </c>
      <c r="P1236" t="str">
        <f t="shared" si="3830"/>
        <v>Large centralized electrolysis-Maturity</v>
      </c>
      <c r="Q1236" t="str">
        <f t="shared" si="3831"/>
        <v>Underground storage-Maturity</v>
      </c>
      <c r="R1236" t="str">
        <f t="shared" si="3832"/>
        <v>Hydrogen transmission &amp; distribution pipeline-Maturity</v>
      </c>
      <c r="S1236" t="str">
        <f t="shared" si="3833"/>
        <v>Hydrogen turbine (CC)-Maturity</v>
      </c>
      <c r="T1236">
        <f ca="1">VLOOKUP($P1236,'TA database'!$I$8:$J$79,2,FALSE)</f>
        <v>9</v>
      </c>
      <c r="U1236">
        <f ca="1">VLOOKUP($Q1236,'TA database'!$I$86:$J$105,2,FALSE)</f>
        <v>6</v>
      </c>
      <c r="V1236">
        <f ca="1">VLOOKUP($R1236,'TA database'!$I$112:$J$139,2,FALSE)</f>
        <v>9</v>
      </c>
      <c r="W1236">
        <f>IFERROR(VLOOKUP($S1236,'TA database'!$I$146:$J$193,2,FALSE),0)</f>
        <v>0</v>
      </c>
      <c r="X1236">
        <f ca="1">IFERROR(VLOOKUP($S1236,'TA database'!$I$200:$J$271,2,FALSE),0)</f>
        <v>7</v>
      </c>
      <c r="Y1236">
        <f t="shared" ca="1" si="3820"/>
        <v>6</v>
      </c>
      <c r="Z1236" t="str">
        <f t="shared" si="3834"/>
        <v>ELCTRLYZ_LRG_C   →   C_UNDRGRND_STRG   →   H2_T&amp;D_P   →   H2_CCGT_PWR</v>
      </c>
      <c r="AA1236" t="str">
        <f t="shared" si="3835"/>
        <v>Grid electricity</v>
      </c>
      <c r="AB1236" t="str">
        <f t="shared" si="3836"/>
        <v>Maturity</v>
      </c>
      <c r="AC1236">
        <f t="shared" ca="1" si="3837"/>
        <v>6</v>
      </c>
      <c r="AD1236">
        <v>1177</v>
      </c>
      <c r="AE1236" t="str">
        <f>IF(AND(ISNUMBER(SEARCH(O1236,4)),ISNUMBER(SEARCH('(4) FCH pathway assessment'!$B$16,AB1236)),ISNUMBER(SEARCH('(4) FCH pathway assessment'!$B$10,AA1236))),AD1236,"")</f>
        <v/>
      </c>
      <c r="AF1236" t="str">
        <f t="shared" si="3726"/>
        <v/>
      </c>
      <c r="AG1236" t="str">
        <f>VLOOKUP(C1236,Assumptions!$B$116:$C$162,2,FALSE)</f>
        <v>ELCTRLYZ_LRG_C</v>
      </c>
      <c r="AH1236" t="str">
        <f>VLOOKUP(D1236,Assumptions!$B$116:$C$162,2,FALSE)</f>
        <v>C_UNDRGRND_STRG</v>
      </c>
      <c r="AI1236" t="str">
        <f>VLOOKUP(E1236,Assumptions!$B$116:$C$162,2,FALSE)</f>
        <v>H2_T&amp;D_P</v>
      </c>
      <c r="AJ1236" t="str">
        <f>VLOOKUP(F1236,Assumptions!$B$116:$C$162,2,FALSE)</f>
        <v>H2_CCGT_PWR</v>
      </c>
    </row>
    <row r="1237" spans="2:36" x14ac:dyDescent="0.25">
      <c r="B1237" t="s">
        <v>112</v>
      </c>
      <c r="C1237" t="s">
        <v>49</v>
      </c>
      <c r="D1237" t="s">
        <v>62</v>
      </c>
      <c r="E1237" t="s">
        <v>116</v>
      </c>
      <c r="F1237" t="s">
        <v>163</v>
      </c>
      <c r="G1237" t="s">
        <v>114</v>
      </c>
      <c r="H1237" t="s">
        <v>433</v>
      </c>
      <c r="I1237" t="s">
        <v>32</v>
      </c>
      <c r="J1237" t="s">
        <v>78</v>
      </c>
      <c r="K1237">
        <f t="shared" si="3825"/>
        <v>1</v>
      </c>
      <c r="L1237">
        <f t="shared" si="3826"/>
        <v>0</v>
      </c>
      <c r="M1237">
        <f t="shared" si="3827"/>
        <v>1</v>
      </c>
      <c r="N1237">
        <f t="shared" si="3828"/>
        <v>0</v>
      </c>
      <c r="O1237">
        <f t="shared" si="3829"/>
        <v>2</v>
      </c>
      <c r="P1237" t="str">
        <f t="shared" si="3830"/>
        <v>Large centralized electrolysis-Maturity</v>
      </c>
      <c r="Q1237" t="str">
        <f t="shared" si="3831"/>
        <v>Underground storage-Maturity</v>
      </c>
      <c r="R1237" t="str">
        <f t="shared" si="3832"/>
        <v>Liquid hydrogen truck-Maturity</v>
      </c>
      <c r="S1237" t="str">
        <f t="shared" si="3833"/>
        <v>Hydrogen turbine (CC)-Maturity</v>
      </c>
      <c r="T1237">
        <f ca="1">VLOOKUP($P1237,'TA database'!$I$8:$J$79,2,FALSE)</f>
        <v>9</v>
      </c>
      <c r="U1237">
        <f ca="1">VLOOKUP($Q1237,'TA database'!$I$86:$J$105,2,FALSE)</f>
        <v>6</v>
      </c>
      <c r="V1237">
        <f ca="1">VLOOKUP($R1237,'TA database'!$I$112:$J$139,2,FALSE)</f>
        <v>9</v>
      </c>
      <c r="W1237">
        <f>IFERROR(VLOOKUP($S1237,'TA database'!$I$146:$J$193,2,FALSE),0)</f>
        <v>0</v>
      </c>
      <c r="X1237">
        <f ca="1">IFERROR(VLOOKUP($S1237,'TA database'!$I$200:$J$271,2,FALSE),0)</f>
        <v>7</v>
      </c>
      <c r="Y1237">
        <f t="shared" ca="1" si="3820"/>
        <v>6</v>
      </c>
      <c r="Z1237" t="str">
        <f t="shared" si="3834"/>
        <v>ELCTRLYZ_LRG_C   →   C_UNDRGRND_STRG   →   LQ_TRUCK   →   H2_CCGT_PWR</v>
      </c>
      <c r="AA1237" t="str">
        <f t="shared" si="3835"/>
        <v>Grid electricity</v>
      </c>
      <c r="AB1237" t="str">
        <f t="shared" si="3836"/>
        <v>Maturity</v>
      </c>
      <c r="AC1237">
        <f t="shared" ca="1" si="3837"/>
        <v>6</v>
      </c>
      <c r="AD1237">
        <v>1178</v>
      </c>
      <c r="AE1237" t="str">
        <f>IF(AND(ISNUMBER(SEARCH(O1237,4)),ISNUMBER(SEARCH('(4) FCH pathway assessment'!$B$16,AB1237)),ISNUMBER(SEARCH('(4) FCH pathway assessment'!$B$10,AA1237))),AD1237,"")</f>
        <v/>
      </c>
      <c r="AF1237" t="str">
        <f t="shared" si="3726"/>
        <v/>
      </c>
      <c r="AG1237" t="str">
        <f>VLOOKUP(C1237,Assumptions!$B$116:$C$162,2,FALSE)</f>
        <v>ELCTRLYZ_LRG_C</v>
      </c>
      <c r="AH1237" t="str">
        <f>VLOOKUP(D1237,Assumptions!$B$116:$C$162,2,FALSE)</f>
        <v>C_UNDRGRND_STRG</v>
      </c>
      <c r="AI1237" t="str">
        <f>VLOOKUP(E1237,Assumptions!$B$116:$C$162,2,FALSE)</f>
        <v>LQ_TRUCK</v>
      </c>
      <c r="AJ1237" t="str">
        <f>VLOOKUP(F1237,Assumptions!$B$116:$C$162,2,FALSE)</f>
        <v>H2_CCGT_PWR</v>
      </c>
    </row>
    <row r="1238" spans="2:36" x14ac:dyDescent="0.25">
      <c r="B1238" t="s">
        <v>112</v>
      </c>
      <c r="C1238" t="s">
        <v>49</v>
      </c>
      <c r="D1238" t="s">
        <v>62</v>
      </c>
      <c r="E1238" t="s">
        <v>66</v>
      </c>
      <c r="F1238" t="s">
        <v>163</v>
      </c>
      <c r="G1238" t="s">
        <v>114</v>
      </c>
      <c r="H1238" t="s">
        <v>433</v>
      </c>
      <c r="I1238" t="s">
        <v>32</v>
      </c>
      <c r="J1238" t="s">
        <v>78</v>
      </c>
      <c r="K1238">
        <f t="shared" si="3825"/>
        <v>1</v>
      </c>
      <c r="L1238">
        <f t="shared" si="3826"/>
        <v>0</v>
      </c>
      <c r="M1238">
        <f t="shared" si="3827"/>
        <v>1</v>
      </c>
      <c r="N1238">
        <f t="shared" si="3828"/>
        <v>0</v>
      </c>
      <c r="O1238">
        <f t="shared" si="3829"/>
        <v>2</v>
      </c>
      <c r="P1238" t="str">
        <f t="shared" si="3830"/>
        <v>Large centralized electrolysis-Maturity</v>
      </c>
      <c r="Q1238" t="str">
        <f t="shared" si="3831"/>
        <v>Underground storage-Maturity</v>
      </c>
      <c r="R1238" t="str">
        <f t="shared" si="3832"/>
        <v>Onsite-Maturity</v>
      </c>
      <c r="S1238" t="str">
        <f t="shared" si="3833"/>
        <v>Hydrogen turbine (CC)-Maturity</v>
      </c>
      <c r="T1238">
        <f ca="1">VLOOKUP($P1238,'TA database'!$I$8:$J$79,2,FALSE)</f>
        <v>9</v>
      </c>
      <c r="U1238">
        <f ca="1">VLOOKUP($Q1238,'TA database'!$I$86:$J$105,2,FALSE)</f>
        <v>6</v>
      </c>
      <c r="V1238">
        <f ca="1">VLOOKUP($R1238,'TA database'!$I$112:$J$139,2,FALSE)</f>
        <v>9</v>
      </c>
      <c r="W1238">
        <f>IFERROR(VLOOKUP($S1238,'TA database'!$I$146:$J$193,2,FALSE),0)</f>
        <v>0</v>
      </c>
      <c r="X1238">
        <f ca="1">IFERROR(VLOOKUP($S1238,'TA database'!$I$200:$J$271,2,FALSE),0)</f>
        <v>7</v>
      </c>
      <c r="Y1238">
        <f t="shared" ca="1" si="3820"/>
        <v>6</v>
      </c>
      <c r="Z1238" t="str">
        <f t="shared" si="3834"/>
        <v>ELCTRLYZ_LRG_C   →   C_UNDRGRND_STRG   →   ONSITE_USE   →   H2_CCGT_PWR</v>
      </c>
      <c r="AA1238" t="str">
        <f t="shared" si="3835"/>
        <v>Grid electricity</v>
      </c>
      <c r="AB1238" t="str">
        <f t="shared" si="3836"/>
        <v>Maturity</v>
      </c>
      <c r="AC1238">
        <f t="shared" ca="1" si="3837"/>
        <v>6</v>
      </c>
      <c r="AD1238">
        <v>1179</v>
      </c>
      <c r="AE1238" t="str">
        <f>IF(AND(ISNUMBER(SEARCH(O1238,4)),ISNUMBER(SEARCH('(4) FCH pathway assessment'!$B$16,AB1238)),ISNUMBER(SEARCH('(4) FCH pathway assessment'!$B$10,AA1238))),AD1238,"")</f>
        <v/>
      </c>
      <c r="AF1238" t="str">
        <f t="shared" si="3726"/>
        <v/>
      </c>
      <c r="AG1238" t="str">
        <f>VLOOKUP(C1238,Assumptions!$B$116:$C$162,2,FALSE)</f>
        <v>ELCTRLYZ_LRG_C</v>
      </c>
      <c r="AH1238" t="str">
        <f>VLOOKUP(D1238,Assumptions!$B$116:$C$162,2,FALSE)</f>
        <v>C_UNDRGRND_STRG</v>
      </c>
      <c r="AI1238" t="str">
        <f>VLOOKUP(E1238,Assumptions!$B$116:$C$162,2,FALSE)</f>
        <v>ONSITE_USE</v>
      </c>
      <c r="AJ1238" t="str">
        <f>VLOOKUP(F1238,Assumptions!$B$116:$C$162,2,FALSE)</f>
        <v>H2_CCGT_PWR</v>
      </c>
    </row>
    <row r="1239" spans="2:36" x14ac:dyDescent="0.25">
      <c r="B1239" t="s">
        <v>112</v>
      </c>
      <c r="C1239" t="s">
        <v>49</v>
      </c>
      <c r="D1239" t="s">
        <v>155</v>
      </c>
      <c r="E1239" t="s">
        <v>157</v>
      </c>
      <c r="F1239" t="s">
        <v>163</v>
      </c>
      <c r="G1239" t="s">
        <v>114</v>
      </c>
      <c r="H1239" t="s">
        <v>433</v>
      </c>
      <c r="I1239" t="s">
        <v>32</v>
      </c>
      <c r="J1239" t="s">
        <v>78</v>
      </c>
      <c r="K1239">
        <f t="shared" si="3825"/>
        <v>1</v>
      </c>
      <c r="L1239">
        <f t="shared" si="3826"/>
        <v>1</v>
      </c>
      <c r="M1239">
        <f t="shared" si="3827"/>
        <v>0</v>
      </c>
      <c r="N1239">
        <f t="shared" si="3828"/>
        <v>0</v>
      </c>
      <c r="O1239">
        <f t="shared" si="3829"/>
        <v>2</v>
      </c>
      <c r="P1239" t="str">
        <f t="shared" si="3830"/>
        <v>Large centralized electrolysis-Maturity</v>
      </c>
      <c r="Q1239" t="str">
        <f t="shared" si="3831"/>
        <v>Central gas storage-Maturity</v>
      </c>
      <c r="R1239" t="str">
        <f t="shared" si="3832"/>
        <v>Blending in natural gas pipeline-Maturity</v>
      </c>
      <c r="S1239" t="str">
        <f t="shared" si="3833"/>
        <v>Hydrogen turbine (CC)-Maturity</v>
      </c>
      <c r="T1239">
        <f ca="1">VLOOKUP($P1239,'TA database'!$I$8:$J$79,2,FALSE)</f>
        <v>9</v>
      </c>
      <c r="U1239">
        <f ca="1">VLOOKUP($Q1239,'TA database'!$I$86:$J$105,2,FALSE)</f>
        <v>9</v>
      </c>
      <c r="V1239">
        <f ca="1">VLOOKUP($R1239,'TA database'!$I$112:$J$139,2,FALSE)</f>
        <v>7</v>
      </c>
      <c r="W1239">
        <f>IFERROR(VLOOKUP($S1239,'TA database'!$I$146:$J$193,2,FALSE),0)</f>
        <v>0</v>
      </c>
      <c r="X1239">
        <f ca="1">IFERROR(VLOOKUP($S1239,'TA database'!$I$200:$J$271,2,FALSE),0)</f>
        <v>7</v>
      </c>
      <c r="Y1239">
        <f t="shared" ref="Y1239:Y1246" ca="1" si="3838">IF($W1239=0,MIN($T1239:$V1239,$X1239),MIN($T1239:$W1239))</f>
        <v>7</v>
      </c>
      <c r="Z1239" t="str">
        <f t="shared" si="3834"/>
        <v>ELCTRLYZ_LRG_C   →   C_GAS_STRG   →   H2_BLND_NG_P   →   H2_CCGT_PWR</v>
      </c>
      <c r="AA1239" t="str">
        <f t="shared" si="3835"/>
        <v>Grid electricity</v>
      </c>
      <c r="AB1239" t="str">
        <f t="shared" si="3836"/>
        <v>Maturity</v>
      </c>
      <c r="AC1239">
        <f t="shared" ca="1" si="3837"/>
        <v>7</v>
      </c>
      <c r="AD1239">
        <v>1180</v>
      </c>
      <c r="AE1239" t="str">
        <f>IF(AND(ISNUMBER(SEARCH(O1239,4)),ISNUMBER(SEARCH('(4) FCH pathway assessment'!$B$16,AB1239)),ISNUMBER(SEARCH('(4) FCH pathway assessment'!$B$10,AA1239))),AD1239,"")</f>
        <v/>
      </c>
      <c r="AF1239" t="str">
        <f t="shared" si="3726"/>
        <v/>
      </c>
      <c r="AG1239" t="str">
        <f>VLOOKUP(C1239,Assumptions!$B$116:$C$162,2,FALSE)</f>
        <v>ELCTRLYZ_LRG_C</v>
      </c>
      <c r="AH1239" t="str">
        <f>VLOOKUP(D1239,Assumptions!$B$116:$C$162,2,FALSE)</f>
        <v>C_GAS_STRG</v>
      </c>
      <c r="AI1239" t="str">
        <f>VLOOKUP(E1239,Assumptions!$B$116:$C$162,2,FALSE)</f>
        <v>H2_BLND_NG_P</v>
      </c>
      <c r="AJ1239" t="str">
        <f>VLOOKUP(F1239,Assumptions!$B$116:$C$162,2,FALSE)</f>
        <v>H2_CCGT_PWR</v>
      </c>
    </row>
    <row r="1240" spans="2:36" x14ac:dyDescent="0.25">
      <c r="B1240" t="s">
        <v>112</v>
      </c>
      <c r="C1240" t="s">
        <v>49</v>
      </c>
      <c r="D1240" t="s">
        <v>155</v>
      </c>
      <c r="E1240" t="s">
        <v>122</v>
      </c>
      <c r="F1240" t="s">
        <v>163</v>
      </c>
      <c r="G1240" t="s">
        <v>114</v>
      </c>
      <c r="H1240" t="s">
        <v>433</v>
      </c>
      <c r="I1240" t="s">
        <v>32</v>
      </c>
      <c r="J1240" t="s">
        <v>78</v>
      </c>
      <c r="K1240">
        <f t="shared" si="3825"/>
        <v>1</v>
      </c>
      <c r="L1240">
        <f t="shared" si="3826"/>
        <v>1</v>
      </c>
      <c r="M1240">
        <f t="shared" si="3827"/>
        <v>1</v>
      </c>
      <c r="N1240">
        <f t="shared" si="3828"/>
        <v>0</v>
      </c>
      <c r="O1240">
        <f t="shared" si="3829"/>
        <v>3</v>
      </c>
      <c r="P1240" t="str">
        <f t="shared" si="3830"/>
        <v>Large centralized electrolysis-Maturity</v>
      </c>
      <c r="Q1240" t="str">
        <f t="shared" si="3831"/>
        <v>Central gas storage-Maturity</v>
      </c>
      <c r="R1240" t="str">
        <f t="shared" si="3832"/>
        <v>Hydrogen transmission &amp; distribution pipeline-Maturity</v>
      </c>
      <c r="S1240" t="str">
        <f t="shared" si="3833"/>
        <v>Hydrogen turbine (CC)-Maturity</v>
      </c>
      <c r="T1240">
        <f ca="1">VLOOKUP($P1240,'TA database'!$I$8:$J$79,2,FALSE)</f>
        <v>9</v>
      </c>
      <c r="U1240">
        <f ca="1">VLOOKUP($Q1240,'TA database'!$I$86:$J$105,2,FALSE)</f>
        <v>9</v>
      </c>
      <c r="V1240">
        <f ca="1">VLOOKUP($R1240,'TA database'!$I$112:$J$139,2,FALSE)</f>
        <v>9</v>
      </c>
      <c r="W1240">
        <f>IFERROR(VLOOKUP($S1240,'TA database'!$I$146:$J$193,2,FALSE),0)</f>
        <v>0</v>
      </c>
      <c r="X1240">
        <f ca="1">IFERROR(VLOOKUP($S1240,'TA database'!$I$200:$J$271,2,FALSE),0)</f>
        <v>7</v>
      </c>
      <c r="Y1240">
        <f t="shared" ca="1" si="3838"/>
        <v>7</v>
      </c>
      <c r="Z1240" t="str">
        <f t="shared" si="3834"/>
        <v>ELCTRLYZ_LRG_C   →   C_GAS_STRG   →   H2_T&amp;D_P   →   H2_CCGT_PWR</v>
      </c>
      <c r="AA1240" t="str">
        <f t="shared" si="3835"/>
        <v>Grid electricity</v>
      </c>
      <c r="AB1240" t="str">
        <f t="shared" si="3836"/>
        <v>Maturity</v>
      </c>
      <c r="AC1240">
        <f t="shared" ca="1" si="3837"/>
        <v>7</v>
      </c>
      <c r="AD1240">
        <v>1181</v>
      </c>
      <c r="AE1240" t="str">
        <f>IF(AND(ISNUMBER(SEARCH(O1240,4)),ISNUMBER(SEARCH('(4) FCH pathway assessment'!$B$16,AB1240)),ISNUMBER(SEARCH('(4) FCH pathway assessment'!$B$10,AA1240))),AD1240,"")</f>
        <v/>
      </c>
      <c r="AF1240" t="str">
        <f t="shared" si="3726"/>
        <v/>
      </c>
      <c r="AG1240" t="str">
        <f>VLOOKUP(C1240,Assumptions!$B$116:$C$162,2,FALSE)</f>
        <v>ELCTRLYZ_LRG_C</v>
      </c>
      <c r="AH1240" t="str">
        <f>VLOOKUP(D1240,Assumptions!$B$116:$C$162,2,FALSE)</f>
        <v>C_GAS_STRG</v>
      </c>
      <c r="AI1240" t="str">
        <f>VLOOKUP(E1240,Assumptions!$B$116:$C$162,2,FALSE)</f>
        <v>H2_T&amp;D_P</v>
      </c>
      <c r="AJ1240" t="str">
        <f>VLOOKUP(F1240,Assumptions!$B$116:$C$162,2,FALSE)</f>
        <v>H2_CCGT_PWR</v>
      </c>
    </row>
    <row r="1241" spans="2:36" x14ac:dyDescent="0.25">
      <c r="B1241" t="s">
        <v>112</v>
      </c>
      <c r="C1241" t="s">
        <v>49</v>
      </c>
      <c r="D1241" t="s">
        <v>155</v>
      </c>
      <c r="E1241" t="s">
        <v>116</v>
      </c>
      <c r="F1241" t="s">
        <v>163</v>
      </c>
      <c r="G1241" t="s">
        <v>114</v>
      </c>
      <c r="H1241" t="s">
        <v>433</v>
      </c>
      <c r="I1241" t="s">
        <v>32</v>
      </c>
      <c r="J1241" t="s">
        <v>78</v>
      </c>
      <c r="K1241">
        <f t="shared" si="3825"/>
        <v>1</v>
      </c>
      <c r="L1241">
        <f t="shared" si="3826"/>
        <v>1</v>
      </c>
      <c r="M1241">
        <f t="shared" si="3827"/>
        <v>1</v>
      </c>
      <c r="N1241">
        <f t="shared" si="3828"/>
        <v>0</v>
      </c>
      <c r="O1241">
        <f t="shared" si="3829"/>
        <v>3</v>
      </c>
      <c r="P1241" t="str">
        <f t="shared" si="3830"/>
        <v>Large centralized electrolysis-Maturity</v>
      </c>
      <c r="Q1241" t="str">
        <f t="shared" si="3831"/>
        <v>Central gas storage-Maturity</v>
      </c>
      <c r="R1241" t="str">
        <f t="shared" si="3832"/>
        <v>Liquid hydrogen truck-Maturity</v>
      </c>
      <c r="S1241" t="str">
        <f t="shared" si="3833"/>
        <v>Hydrogen turbine (CC)-Maturity</v>
      </c>
      <c r="T1241">
        <f ca="1">VLOOKUP($P1241,'TA database'!$I$8:$J$79,2,FALSE)</f>
        <v>9</v>
      </c>
      <c r="U1241">
        <f ca="1">VLOOKUP($Q1241,'TA database'!$I$86:$J$105,2,FALSE)</f>
        <v>9</v>
      </c>
      <c r="V1241">
        <f ca="1">VLOOKUP($R1241,'TA database'!$I$112:$J$139,2,FALSE)</f>
        <v>9</v>
      </c>
      <c r="W1241">
        <f>IFERROR(VLOOKUP($S1241,'TA database'!$I$146:$J$193,2,FALSE),0)</f>
        <v>0</v>
      </c>
      <c r="X1241">
        <f ca="1">IFERROR(VLOOKUP($S1241,'TA database'!$I$200:$J$271,2,FALSE),0)</f>
        <v>7</v>
      </c>
      <c r="Y1241">
        <f t="shared" ca="1" si="3838"/>
        <v>7</v>
      </c>
      <c r="Z1241" t="str">
        <f t="shared" si="3834"/>
        <v>ELCTRLYZ_LRG_C   →   C_GAS_STRG   →   LQ_TRUCK   →   H2_CCGT_PWR</v>
      </c>
      <c r="AA1241" t="str">
        <f t="shared" si="3835"/>
        <v>Grid electricity</v>
      </c>
      <c r="AB1241" t="str">
        <f t="shared" si="3836"/>
        <v>Maturity</v>
      </c>
      <c r="AC1241">
        <f t="shared" ca="1" si="3837"/>
        <v>7</v>
      </c>
      <c r="AD1241">
        <v>1182</v>
      </c>
      <c r="AE1241" t="str">
        <f>IF(AND(ISNUMBER(SEARCH(O1241,4)),ISNUMBER(SEARCH('(4) FCH pathway assessment'!$B$16,AB1241)),ISNUMBER(SEARCH('(4) FCH pathway assessment'!$B$10,AA1241))),AD1241,"")</f>
        <v/>
      </c>
      <c r="AF1241" t="str">
        <f t="shared" si="3726"/>
        <v/>
      </c>
      <c r="AG1241" t="str">
        <f>VLOOKUP(C1241,Assumptions!$B$116:$C$162,2,FALSE)</f>
        <v>ELCTRLYZ_LRG_C</v>
      </c>
      <c r="AH1241" t="str">
        <f>VLOOKUP(D1241,Assumptions!$B$116:$C$162,2,FALSE)</f>
        <v>C_GAS_STRG</v>
      </c>
      <c r="AI1241" t="str">
        <f>VLOOKUP(E1241,Assumptions!$B$116:$C$162,2,FALSE)</f>
        <v>LQ_TRUCK</v>
      </c>
      <c r="AJ1241" t="str">
        <f>VLOOKUP(F1241,Assumptions!$B$116:$C$162,2,FALSE)</f>
        <v>H2_CCGT_PWR</v>
      </c>
    </row>
    <row r="1242" spans="2:36" x14ac:dyDescent="0.25">
      <c r="B1242" t="s">
        <v>112</v>
      </c>
      <c r="C1242" t="s">
        <v>49</v>
      </c>
      <c r="D1242" t="s">
        <v>155</v>
      </c>
      <c r="E1242" t="s">
        <v>66</v>
      </c>
      <c r="F1242" t="s">
        <v>163</v>
      </c>
      <c r="G1242" t="s">
        <v>114</v>
      </c>
      <c r="H1242" t="s">
        <v>433</v>
      </c>
      <c r="I1242" t="s">
        <v>32</v>
      </c>
      <c r="J1242" t="s">
        <v>78</v>
      </c>
      <c r="K1242">
        <f t="shared" si="3825"/>
        <v>1</v>
      </c>
      <c r="L1242">
        <f t="shared" si="3826"/>
        <v>1</v>
      </c>
      <c r="M1242">
        <f t="shared" si="3827"/>
        <v>1</v>
      </c>
      <c r="N1242">
        <f t="shared" si="3828"/>
        <v>0</v>
      </c>
      <c r="O1242">
        <f t="shared" si="3829"/>
        <v>3</v>
      </c>
      <c r="P1242" t="str">
        <f t="shared" si="3830"/>
        <v>Large centralized electrolysis-Maturity</v>
      </c>
      <c r="Q1242" t="str">
        <f t="shared" si="3831"/>
        <v>Central gas storage-Maturity</v>
      </c>
      <c r="R1242" t="str">
        <f t="shared" si="3832"/>
        <v>Onsite-Maturity</v>
      </c>
      <c r="S1242" t="str">
        <f t="shared" si="3833"/>
        <v>Hydrogen turbine (CC)-Maturity</v>
      </c>
      <c r="T1242">
        <f ca="1">VLOOKUP($P1242,'TA database'!$I$8:$J$79,2,FALSE)</f>
        <v>9</v>
      </c>
      <c r="U1242">
        <f ca="1">VLOOKUP($Q1242,'TA database'!$I$86:$J$105,2,FALSE)</f>
        <v>9</v>
      </c>
      <c r="V1242">
        <f ca="1">VLOOKUP($R1242,'TA database'!$I$112:$J$139,2,FALSE)</f>
        <v>9</v>
      </c>
      <c r="W1242">
        <f>IFERROR(VLOOKUP($S1242,'TA database'!$I$146:$J$193,2,FALSE),0)</f>
        <v>0</v>
      </c>
      <c r="X1242">
        <f ca="1">IFERROR(VLOOKUP($S1242,'TA database'!$I$200:$J$271,2,FALSE),0)</f>
        <v>7</v>
      </c>
      <c r="Y1242">
        <f t="shared" ca="1" si="3838"/>
        <v>7</v>
      </c>
      <c r="Z1242" t="str">
        <f t="shared" si="3834"/>
        <v>ELCTRLYZ_LRG_C   →   C_GAS_STRG   →   ONSITE_USE   →   H2_CCGT_PWR</v>
      </c>
      <c r="AA1242" t="str">
        <f t="shared" si="3835"/>
        <v>Grid electricity</v>
      </c>
      <c r="AB1242" t="str">
        <f t="shared" si="3836"/>
        <v>Maturity</v>
      </c>
      <c r="AC1242">
        <f t="shared" ca="1" si="3837"/>
        <v>7</v>
      </c>
      <c r="AD1242">
        <v>1183</v>
      </c>
      <c r="AE1242" t="str">
        <f>IF(AND(ISNUMBER(SEARCH(O1242,4)),ISNUMBER(SEARCH('(4) FCH pathway assessment'!$B$16,AB1242)),ISNUMBER(SEARCH('(4) FCH pathway assessment'!$B$10,AA1242))),AD1242,"")</f>
        <v/>
      </c>
      <c r="AF1242" t="str">
        <f t="shared" si="3726"/>
        <v/>
      </c>
      <c r="AG1242" t="str">
        <f>VLOOKUP(C1242,Assumptions!$B$116:$C$162,2,FALSE)</f>
        <v>ELCTRLYZ_LRG_C</v>
      </c>
      <c r="AH1242" t="str">
        <f>VLOOKUP(D1242,Assumptions!$B$116:$C$162,2,FALSE)</f>
        <v>C_GAS_STRG</v>
      </c>
      <c r="AI1242" t="str">
        <f>VLOOKUP(E1242,Assumptions!$B$116:$C$162,2,FALSE)</f>
        <v>ONSITE_USE</v>
      </c>
      <c r="AJ1242" t="str">
        <f>VLOOKUP(F1242,Assumptions!$B$116:$C$162,2,FALSE)</f>
        <v>H2_CCGT_PWR</v>
      </c>
    </row>
    <row r="1243" spans="2:36" x14ac:dyDescent="0.25">
      <c r="B1243" t="s">
        <v>112</v>
      </c>
      <c r="C1243" t="s">
        <v>51</v>
      </c>
      <c r="D1243" t="s">
        <v>155</v>
      </c>
      <c r="E1243" t="s">
        <v>157</v>
      </c>
      <c r="F1243" t="s">
        <v>163</v>
      </c>
      <c r="G1243" t="s">
        <v>114</v>
      </c>
      <c r="H1243" t="s">
        <v>433</v>
      </c>
      <c r="I1243" t="s">
        <v>32</v>
      </c>
      <c r="J1243" t="s">
        <v>78</v>
      </c>
      <c r="K1243">
        <f t="shared" si="3825"/>
        <v>1</v>
      </c>
      <c r="L1243">
        <f t="shared" si="3826"/>
        <v>1</v>
      </c>
      <c r="M1243">
        <f t="shared" si="3827"/>
        <v>0</v>
      </c>
      <c r="N1243">
        <f t="shared" si="3828"/>
        <v>0</v>
      </c>
      <c r="O1243">
        <f t="shared" si="3829"/>
        <v>2</v>
      </c>
      <c r="P1243" t="str">
        <f t="shared" si="3830"/>
        <v>Medium centralized electrolysis-Maturity</v>
      </c>
      <c r="Q1243" t="str">
        <f t="shared" si="3831"/>
        <v>Central gas storage-Maturity</v>
      </c>
      <c r="R1243" t="str">
        <f t="shared" si="3832"/>
        <v>Blending in natural gas pipeline-Maturity</v>
      </c>
      <c r="S1243" t="str">
        <f t="shared" si="3833"/>
        <v>Hydrogen turbine (CC)-Maturity</v>
      </c>
      <c r="T1243">
        <f ca="1">VLOOKUP($P1243,'TA database'!$I$8:$J$79,2,FALSE)</f>
        <v>9</v>
      </c>
      <c r="U1243">
        <f ca="1">VLOOKUP($Q1243,'TA database'!$I$86:$J$105,2,FALSE)</f>
        <v>9</v>
      </c>
      <c r="V1243">
        <f ca="1">VLOOKUP($R1243,'TA database'!$I$112:$J$139,2,FALSE)</f>
        <v>7</v>
      </c>
      <c r="W1243">
        <f>IFERROR(VLOOKUP($S1243,'TA database'!$I$146:$J$193,2,FALSE),0)</f>
        <v>0</v>
      </c>
      <c r="X1243">
        <f ca="1">IFERROR(VLOOKUP($S1243,'TA database'!$I$200:$J$271,2,FALSE),0)</f>
        <v>7</v>
      </c>
      <c r="Y1243">
        <f t="shared" ca="1" si="3838"/>
        <v>7</v>
      </c>
      <c r="Z1243" t="str">
        <f t="shared" si="3834"/>
        <v>ELCTRLYZ_MED_C   →   C_GAS_STRG   →   H2_BLND_NG_P   →   H2_CCGT_PWR</v>
      </c>
      <c r="AA1243" t="str">
        <f t="shared" si="3835"/>
        <v>Grid electricity</v>
      </c>
      <c r="AB1243" t="str">
        <f t="shared" si="3836"/>
        <v>Maturity</v>
      </c>
      <c r="AC1243">
        <f t="shared" ca="1" si="3837"/>
        <v>7</v>
      </c>
      <c r="AD1243">
        <v>1184</v>
      </c>
      <c r="AE1243" t="str">
        <f>IF(AND(ISNUMBER(SEARCH(O1243,4)),ISNUMBER(SEARCH('(4) FCH pathway assessment'!$B$16,AB1243)),ISNUMBER(SEARCH('(4) FCH pathway assessment'!$B$10,AA1243))),AD1243,"")</f>
        <v/>
      </c>
      <c r="AF1243" t="str">
        <f t="shared" si="3726"/>
        <v/>
      </c>
      <c r="AG1243" t="str">
        <f>VLOOKUP(C1243,Assumptions!$B$116:$C$162,2,FALSE)</f>
        <v>ELCTRLYZ_MED_C</v>
      </c>
      <c r="AH1243" t="str">
        <f>VLOOKUP(D1243,Assumptions!$B$116:$C$162,2,FALSE)</f>
        <v>C_GAS_STRG</v>
      </c>
      <c r="AI1243" t="str">
        <f>VLOOKUP(E1243,Assumptions!$B$116:$C$162,2,FALSE)</f>
        <v>H2_BLND_NG_P</v>
      </c>
      <c r="AJ1243" t="str">
        <f>VLOOKUP(F1243,Assumptions!$B$116:$C$162,2,FALSE)</f>
        <v>H2_CCGT_PWR</v>
      </c>
    </row>
    <row r="1244" spans="2:36" x14ac:dyDescent="0.25">
      <c r="B1244" t="s">
        <v>112</v>
      </c>
      <c r="C1244" t="s">
        <v>51</v>
      </c>
      <c r="D1244" t="s">
        <v>155</v>
      </c>
      <c r="E1244" t="s">
        <v>122</v>
      </c>
      <c r="F1244" t="s">
        <v>163</v>
      </c>
      <c r="G1244" t="s">
        <v>114</v>
      </c>
      <c r="H1244" t="s">
        <v>433</v>
      </c>
      <c r="I1244" t="s">
        <v>32</v>
      </c>
      <c r="J1244" t="s">
        <v>78</v>
      </c>
      <c r="K1244">
        <f t="shared" si="3825"/>
        <v>1</v>
      </c>
      <c r="L1244">
        <f t="shared" si="3826"/>
        <v>1</v>
      </c>
      <c r="M1244">
        <f t="shared" si="3827"/>
        <v>1</v>
      </c>
      <c r="N1244">
        <f t="shared" si="3828"/>
        <v>0</v>
      </c>
      <c r="O1244">
        <f t="shared" si="3829"/>
        <v>3</v>
      </c>
      <c r="P1244" t="str">
        <f t="shared" si="3830"/>
        <v>Medium centralized electrolysis-Maturity</v>
      </c>
      <c r="Q1244" t="str">
        <f t="shared" si="3831"/>
        <v>Central gas storage-Maturity</v>
      </c>
      <c r="R1244" t="str">
        <f t="shared" si="3832"/>
        <v>Hydrogen transmission &amp; distribution pipeline-Maturity</v>
      </c>
      <c r="S1244" t="str">
        <f t="shared" si="3833"/>
        <v>Hydrogen turbine (CC)-Maturity</v>
      </c>
      <c r="T1244">
        <f ca="1">VLOOKUP($P1244,'TA database'!$I$8:$J$79,2,FALSE)</f>
        <v>9</v>
      </c>
      <c r="U1244">
        <f ca="1">VLOOKUP($Q1244,'TA database'!$I$86:$J$105,2,FALSE)</f>
        <v>9</v>
      </c>
      <c r="V1244">
        <f ca="1">VLOOKUP($R1244,'TA database'!$I$112:$J$139,2,FALSE)</f>
        <v>9</v>
      </c>
      <c r="W1244">
        <f>IFERROR(VLOOKUP($S1244,'TA database'!$I$146:$J$193,2,FALSE),0)</f>
        <v>0</v>
      </c>
      <c r="X1244">
        <f ca="1">IFERROR(VLOOKUP($S1244,'TA database'!$I$200:$J$271,2,FALSE),0)</f>
        <v>7</v>
      </c>
      <c r="Y1244">
        <f t="shared" ca="1" si="3838"/>
        <v>7</v>
      </c>
      <c r="Z1244" t="str">
        <f t="shared" si="3834"/>
        <v>ELCTRLYZ_MED_C   →   C_GAS_STRG   →   H2_T&amp;D_P   →   H2_CCGT_PWR</v>
      </c>
      <c r="AA1244" t="str">
        <f t="shared" si="3835"/>
        <v>Grid electricity</v>
      </c>
      <c r="AB1244" t="str">
        <f t="shared" si="3836"/>
        <v>Maturity</v>
      </c>
      <c r="AC1244">
        <f t="shared" ca="1" si="3837"/>
        <v>7</v>
      </c>
      <c r="AD1244">
        <v>1185</v>
      </c>
      <c r="AE1244" t="str">
        <f>IF(AND(ISNUMBER(SEARCH(O1244,4)),ISNUMBER(SEARCH('(4) FCH pathway assessment'!$B$16,AB1244)),ISNUMBER(SEARCH('(4) FCH pathway assessment'!$B$10,AA1244))),AD1244,"")</f>
        <v/>
      </c>
      <c r="AF1244" t="str">
        <f t="shared" si="3726"/>
        <v/>
      </c>
      <c r="AG1244" t="str">
        <f>VLOOKUP(C1244,Assumptions!$B$116:$C$162,2,FALSE)</f>
        <v>ELCTRLYZ_MED_C</v>
      </c>
      <c r="AH1244" t="str">
        <f>VLOOKUP(D1244,Assumptions!$B$116:$C$162,2,FALSE)</f>
        <v>C_GAS_STRG</v>
      </c>
      <c r="AI1244" t="str">
        <f>VLOOKUP(E1244,Assumptions!$B$116:$C$162,2,FALSE)</f>
        <v>H2_T&amp;D_P</v>
      </c>
      <c r="AJ1244" t="str">
        <f>VLOOKUP(F1244,Assumptions!$B$116:$C$162,2,FALSE)</f>
        <v>H2_CCGT_PWR</v>
      </c>
    </row>
    <row r="1245" spans="2:36" x14ac:dyDescent="0.25">
      <c r="B1245" t="s">
        <v>112</v>
      </c>
      <c r="C1245" t="s">
        <v>51</v>
      </c>
      <c r="D1245" t="s">
        <v>155</v>
      </c>
      <c r="E1245" t="s">
        <v>116</v>
      </c>
      <c r="F1245" t="s">
        <v>163</v>
      </c>
      <c r="G1245" t="s">
        <v>114</v>
      </c>
      <c r="H1245" t="s">
        <v>433</v>
      </c>
      <c r="I1245" t="s">
        <v>32</v>
      </c>
      <c r="J1245" t="s">
        <v>78</v>
      </c>
      <c r="K1245">
        <f t="shared" si="3825"/>
        <v>1</v>
      </c>
      <c r="L1245">
        <f t="shared" si="3826"/>
        <v>1</v>
      </c>
      <c r="M1245">
        <f t="shared" si="3827"/>
        <v>1</v>
      </c>
      <c r="N1245">
        <f t="shared" si="3828"/>
        <v>0</v>
      </c>
      <c r="O1245">
        <f t="shared" si="3829"/>
        <v>3</v>
      </c>
      <c r="P1245" t="str">
        <f t="shared" si="3830"/>
        <v>Medium centralized electrolysis-Maturity</v>
      </c>
      <c r="Q1245" t="str">
        <f t="shared" si="3831"/>
        <v>Central gas storage-Maturity</v>
      </c>
      <c r="R1245" t="str">
        <f t="shared" si="3832"/>
        <v>Liquid hydrogen truck-Maturity</v>
      </c>
      <c r="S1245" t="str">
        <f t="shared" si="3833"/>
        <v>Hydrogen turbine (CC)-Maturity</v>
      </c>
      <c r="T1245">
        <f ca="1">VLOOKUP($P1245,'TA database'!$I$8:$J$79,2,FALSE)</f>
        <v>9</v>
      </c>
      <c r="U1245">
        <f ca="1">VLOOKUP($Q1245,'TA database'!$I$86:$J$105,2,FALSE)</f>
        <v>9</v>
      </c>
      <c r="V1245">
        <f ca="1">VLOOKUP($R1245,'TA database'!$I$112:$J$139,2,FALSE)</f>
        <v>9</v>
      </c>
      <c r="W1245">
        <f>IFERROR(VLOOKUP($S1245,'TA database'!$I$146:$J$193,2,FALSE),0)</f>
        <v>0</v>
      </c>
      <c r="X1245">
        <f ca="1">IFERROR(VLOOKUP($S1245,'TA database'!$I$200:$J$271,2,FALSE),0)</f>
        <v>7</v>
      </c>
      <c r="Y1245">
        <f t="shared" ca="1" si="3838"/>
        <v>7</v>
      </c>
      <c r="Z1245" t="str">
        <f t="shared" si="3834"/>
        <v>ELCTRLYZ_MED_C   →   C_GAS_STRG   →   LQ_TRUCK   →   H2_CCGT_PWR</v>
      </c>
      <c r="AA1245" t="str">
        <f t="shared" si="3835"/>
        <v>Grid electricity</v>
      </c>
      <c r="AB1245" t="str">
        <f t="shared" si="3836"/>
        <v>Maturity</v>
      </c>
      <c r="AC1245">
        <f t="shared" ca="1" si="3837"/>
        <v>7</v>
      </c>
      <c r="AD1245">
        <v>1186</v>
      </c>
      <c r="AE1245" t="str">
        <f>IF(AND(ISNUMBER(SEARCH(O1245,4)),ISNUMBER(SEARCH('(4) FCH pathway assessment'!$B$16,AB1245)),ISNUMBER(SEARCH('(4) FCH pathway assessment'!$B$10,AA1245))),AD1245,"")</f>
        <v/>
      </c>
      <c r="AF1245" t="str">
        <f t="shared" si="3726"/>
        <v/>
      </c>
      <c r="AG1245" t="str">
        <f>VLOOKUP(C1245,Assumptions!$B$116:$C$162,2,FALSE)</f>
        <v>ELCTRLYZ_MED_C</v>
      </c>
      <c r="AH1245" t="str">
        <f>VLOOKUP(D1245,Assumptions!$B$116:$C$162,2,FALSE)</f>
        <v>C_GAS_STRG</v>
      </c>
      <c r="AI1245" t="str">
        <f>VLOOKUP(E1245,Assumptions!$B$116:$C$162,2,FALSE)</f>
        <v>LQ_TRUCK</v>
      </c>
      <c r="AJ1245" t="str">
        <f>VLOOKUP(F1245,Assumptions!$B$116:$C$162,2,FALSE)</f>
        <v>H2_CCGT_PWR</v>
      </c>
    </row>
    <row r="1246" spans="2:36" x14ac:dyDescent="0.25">
      <c r="B1246" t="s">
        <v>112</v>
      </c>
      <c r="C1246" t="s">
        <v>51</v>
      </c>
      <c r="D1246" t="s">
        <v>155</v>
      </c>
      <c r="E1246" t="s">
        <v>66</v>
      </c>
      <c r="F1246" t="s">
        <v>163</v>
      </c>
      <c r="G1246" t="s">
        <v>114</v>
      </c>
      <c r="H1246" t="s">
        <v>433</v>
      </c>
      <c r="I1246" t="s">
        <v>32</v>
      </c>
      <c r="J1246" t="s">
        <v>78</v>
      </c>
      <c r="K1246">
        <f t="shared" si="3825"/>
        <v>1</v>
      </c>
      <c r="L1246">
        <f t="shared" si="3826"/>
        <v>1</v>
      </c>
      <c r="M1246">
        <f t="shared" si="3827"/>
        <v>1</v>
      </c>
      <c r="N1246">
        <f t="shared" si="3828"/>
        <v>0</v>
      </c>
      <c r="O1246">
        <f t="shared" si="3829"/>
        <v>3</v>
      </c>
      <c r="P1246" t="str">
        <f t="shared" si="3830"/>
        <v>Medium centralized electrolysis-Maturity</v>
      </c>
      <c r="Q1246" t="str">
        <f t="shared" si="3831"/>
        <v>Central gas storage-Maturity</v>
      </c>
      <c r="R1246" t="str">
        <f t="shared" si="3832"/>
        <v>Onsite-Maturity</v>
      </c>
      <c r="S1246" t="str">
        <f t="shared" si="3833"/>
        <v>Hydrogen turbine (CC)-Maturity</v>
      </c>
      <c r="T1246">
        <f ca="1">VLOOKUP($P1246,'TA database'!$I$8:$J$79,2,FALSE)</f>
        <v>9</v>
      </c>
      <c r="U1246">
        <f ca="1">VLOOKUP($Q1246,'TA database'!$I$86:$J$105,2,FALSE)</f>
        <v>9</v>
      </c>
      <c r="V1246">
        <f ca="1">VLOOKUP($R1246,'TA database'!$I$112:$J$139,2,FALSE)</f>
        <v>9</v>
      </c>
      <c r="W1246">
        <f>IFERROR(VLOOKUP($S1246,'TA database'!$I$146:$J$193,2,FALSE),0)</f>
        <v>0</v>
      </c>
      <c r="X1246">
        <f ca="1">IFERROR(VLOOKUP($S1246,'TA database'!$I$200:$J$271,2,FALSE),0)</f>
        <v>7</v>
      </c>
      <c r="Y1246">
        <f t="shared" ca="1" si="3838"/>
        <v>7</v>
      </c>
      <c r="Z1246" t="str">
        <f t="shared" si="3834"/>
        <v>ELCTRLYZ_MED_C   →   C_GAS_STRG   →   ONSITE_USE   →   H2_CCGT_PWR</v>
      </c>
      <c r="AA1246" t="str">
        <f t="shared" si="3835"/>
        <v>Grid electricity</v>
      </c>
      <c r="AB1246" t="str">
        <f t="shared" si="3836"/>
        <v>Maturity</v>
      </c>
      <c r="AC1246">
        <f t="shared" ca="1" si="3837"/>
        <v>7</v>
      </c>
      <c r="AD1246">
        <v>1187</v>
      </c>
      <c r="AE1246" t="str">
        <f>IF(AND(ISNUMBER(SEARCH(O1246,4)),ISNUMBER(SEARCH('(4) FCH pathway assessment'!$B$16,AB1246)),ISNUMBER(SEARCH('(4) FCH pathway assessment'!$B$10,AA1246))),AD1246,"")</f>
        <v/>
      </c>
      <c r="AF1246" t="str">
        <f t="shared" si="3726"/>
        <v/>
      </c>
      <c r="AG1246" t="str">
        <f>VLOOKUP(C1246,Assumptions!$B$116:$C$162,2,FALSE)</f>
        <v>ELCTRLYZ_MED_C</v>
      </c>
      <c r="AH1246" t="str">
        <f>VLOOKUP(D1246,Assumptions!$B$116:$C$162,2,FALSE)</f>
        <v>C_GAS_STRG</v>
      </c>
      <c r="AI1246" t="str">
        <f>VLOOKUP(E1246,Assumptions!$B$116:$C$162,2,FALSE)</f>
        <v>ONSITE_USE</v>
      </c>
      <c r="AJ1246" t="str">
        <f>VLOOKUP(F1246,Assumptions!$B$116:$C$162,2,FALSE)</f>
        <v>H2_CCGT_PWR</v>
      </c>
    </row>
    <row r="1247" spans="2:36" x14ac:dyDescent="0.25">
      <c r="B1247" t="s">
        <v>112</v>
      </c>
      <c r="C1247" t="s">
        <v>52</v>
      </c>
      <c r="D1247" s="60" t="s">
        <v>130</v>
      </c>
      <c r="E1247" t="s">
        <v>66</v>
      </c>
      <c r="F1247" t="s">
        <v>163</v>
      </c>
      <c r="G1247" t="s">
        <v>114</v>
      </c>
      <c r="H1247" t="s">
        <v>433</v>
      </c>
      <c r="I1247" t="s">
        <v>32</v>
      </c>
      <c r="J1247" t="s">
        <v>78</v>
      </c>
      <c r="K1247">
        <f t="shared" ref="K1247:K1251" si="3839">SUMPRODUCT(($C$7:$C$18=$C1247)*($D$6:$H$6=$D1247)*($D$7:$H$18))</f>
        <v>1</v>
      </c>
      <c r="L1247">
        <f t="shared" ref="L1247:L1251" si="3840">SUMPRODUCT(($C$19:$C$23=$D1247)*($I$6:$O$6=$E1247)*($I$19:$O$23))</f>
        <v>1</v>
      </c>
      <c r="M1247">
        <f t="shared" ref="M1247:M1251" si="3841">SUMPRODUCT(($C$24:$C$30=$E1247)*($P$6:$AI$6=$F1247)*($P$24:$AI$30))</f>
        <v>1</v>
      </c>
      <c r="N1247">
        <f t="shared" ref="N1247:N1251" si="3842">SUMPRODUCT(($C$31:$C$50=$F1247)*($AJ$6:$AM$6=$G1247)*($AJ$31:$AM$50))</f>
        <v>0</v>
      </c>
      <c r="O1247">
        <f t="shared" ref="O1247:O1251" si="3843">K1247+L1247+M1247+N1247</f>
        <v>3</v>
      </c>
      <c r="P1247" t="str">
        <f t="shared" ref="P1247:P1251" si="3844">CONCATENATE(C1247,"-",J1247)</f>
        <v>Small decentralized electrolysis-Maturity</v>
      </c>
      <c r="Q1247" t="str">
        <f t="shared" ref="Q1247:Q1251" si="3845">CONCATENATE(D1247,"-",J1247)</f>
        <v>Distributed gas storage-Maturity</v>
      </c>
      <c r="R1247" t="str">
        <f t="shared" ref="R1247:R1251" si="3846">CONCATENATE(E1247,"-",J1247)</f>
        <v>Onsite-Maturity</v>
      </c>
      <c r="S1247" t="str">
        <f t="shared" ref="S1247:S1251" si="3847">CONCATENATE(F1247,"-",J1247)</f>
        <v>Hydrogen turbine (CC)-Maturity</v>
      </c>
      <c r="T1247">
        <f ca="1">VLOOKUP($P1247,'TA database'!$I$8:$J$79,2,FALSE)</f>
        <v>9</v>
      </c>
      <c r="U1247">
        <f ca="1">VLOOKUP($Q1247,'TA database'!$I$86:$J$105,2,FALSE)</f>
        <v>9</v>
      </c>
      <c r="V1247">
        <f ca="1">VLOOKUP($R1247,'TA database'!$I$112:$J$139,2,FALSE)</f>
        <v>9</v>
      </c>
      <c r="W1247">
        <f>IFERROR(VLOOKUP($S1247,'TA database'!$I$146:$J$193,2,FALSE),0)</f>
        <v>0</v>
      </c>
      <c r="X1247">
        <f ca="1">IFERROR(VLOOKUP($S1247,'TA database'!$I$200:$J$271,2,FALSE),0)</f>
        <v>7</v>
      </c>
      <c r="Y1247">
        <f t="shared" ref="Y1247:Y1252" ca="1" si="3848">IF($W1247=0,MIN($T1247:$V1247,$X1247),MIN($T1247:$W1247))</f>
        <v>7</v>
      </c>
      <c r="Z1247" t="str">
        <f t="shared" ref="Z1247:Z1251" si="3849">CONCATENATE(AG1247,"   →   ",AH1247,"   →   ",AI1247,"   →   ",AJ1247)</f>
        <v>ELCTRLYZ_SML_D   →   D_GAS_STRG   →   ONSITE_USE   →   H2_CCGT_PWR</v>
      </c>
      <c r="AA1247" t="str">
        <f t="shared" ref="AA1247:AA1251" si="3850">G1247</f>
        <v>Grid electricity</v>
      </c>
      <c r="AB1247" t="str">
        <f t="shared" ref="AB1247:AB1251" si="3851">J1247</f>
        <v>Maturity</v>
      </c>
      <c r="AC1247">
        <f t="shared" ref="AC1247:AC1251" ca="1" si="3852">Y1247</f>
        <v>7</v>
      </c>
      <c r="AD1247">
        <v>1188</v>
      </c>
      <c r="AE1247" t="str">
        <f>IF(AND(ISNUMBER(SEARCH(O1247,4)),ISNUMBER(SEARCH('(4) FCH pathway assessment'!$B$16,AB1247)),ISNUMBER(SEARCH('(4) FCH pathway assessment'!$B$10,AA1247))),AD1247,"")</f>
        <v/>
      </c>
      <c r="AF1247" t="str">
        <f t="shared" si="3726"/>
        <v/>
      </c>
      <c r="AG1247" t="str">
        <f>VLOOKUP(C1247,Assumptions!$B$116:$C$162,2,FALSE)</f>
        <v>ELCTRLYZ_SML_D</v>
      </c>
      <c r="AH1247" t="str">
        <f>VLOOKUP(D1247,Assumptions!$B$116:$C$162,2,FALSE)</f>
        <v>D_GAS_STRG</v>
      </c>
      <c r="AI1247" t="str">
        <f>VLOOKUP(E1247,Assumptions!$B$116:$C$162,2,FALSE)</f>
        <v>ONSITE_USE</v>
      </c>
      <c r="AJ1247" t="str">
        <f>VLOOKUP(F1247,Assumptions!$B$116:$C$162,2,FALSE)</f>
        <v>H2_CCGT_PWR</v>
      </c>
    </row>
    <row r="1248" spans="2:36" x14ac:dyDescent="0.25">
      <c r="B1248" t="s">
        <v>127</v>
      </c>
      <c r="C1248" t="s">
        <v>57</v>
      </c>
      <c r="D1248" t="s">
        <v>62</v>
      </c>
      <c r="E1248" t="s">
        <v>157</v>
      </c>
      <c r="F1248" t="s">
        <v>163</v>
      </c>
      <c r="G1248" t="s">
        <v>114</v>
      </c>
      <c r="H1248" t="s">
        <v>433</v>
      </c>
      <c r="I1248" t="s">
        <v>32</v>
      </c>
      <c r="J1248" t="s">
        <v>78</v>
      </c>
      <c r="K1248">
        <f t="shared" si="3839"/>
        <v>1</v>
      </c>
      <c r="L1248">
        <f t="shared" si="3840"/>
        <v>0</v>
      </c>
      <c r="M1248">
        <f t="shared" si="3841"/>
        <v>0</v>
      </c>
      <c r="N1248">
        <f t="shared" si="3842"/>
        <v>0</v>
      </c>
      <c r="O1248">
        <f t="shared" si="3843"/>
        <v>1</v>
      </c>
      <c r="P1248" t="str">
        <f t="shared" si="3844"/>
        <v>Large centralized natural gas steam reforming-Maturity</v>
      </c>
      <c r="Q1248" t="str">
        <f t="shared" si="3845"/>
        <v>Underground storage-Maturity</v>
      </c>
      <c r="R1248" t="str">
        <f t="shared" si="3846"/>
        <v>Blending in natural gas pipeline-Maturity</v>
      </c>
      <c r="S1248" t="str">
        <f t="shared" si="3847"/>
        <v>Hydrogen turbine (CC)-Maturity</v>
      </c>
      <c r="T1248">
        <f ca="1">VLOOKUP($P1248,'TA database'!$I$8:$J$79,2,FALSE)</f>
        <v>9</v>
      </c>
      <c r="U1248">
        <f ca="1">VLOOKUP($Q1248,'TA database'!$I$86:$J$105,2,FALSE)</f>
        <v>6</v>
      </c>
      <c r="V1248">
        <f ca="1">VLOOKUP($R1248,'TA database'!$I$112:$J$139,2,FALSE)</f>
        <v>7</v>
      </c>
      <c r="W1248">
        <f>IFERROR(VLOOKUP($S1248,'TA database'!$I$146:$J$193,2,FALSE),0)</f>
        <v>0</v>
      </c>
      <c r="X1248">
        <f ca="1">IFERROR(VLOOKUP($S1248,'TA database'!$I$200:$J$271,2,FALSE),0)</f>
        <v>7</v>
      </c>
      <c r="Y1248">
        <f t="shared" ca="1" si="3848"/>
        <v>6</v>
      </c>
      <c r="Z1248" t="str">
        <f t="shared" si="3849"/>
        <v>NG_SR_LRG_C   →   C_UNDRGRND_STRG   →   H2_BLND_NG_P   →   H2_CCGT_PWR</v>
      </c>
      <c r="AA1248" t="str">
        <f t="shared" si="3850"/>
        <v>Grid electricity</v>
      </c>
      <c r="AB1248" t="str">
        <f t="shared" si="3851"/>
        <v>Maturity</v>
      </c>
      <c r="AC1248">
        <f t="shared" ca="1" si="3852"/>
        <v>6</v>
      </c>
      <c r="AD1248">
        <v>1189</v>
      </c>
      <c r="AE1248" t="str">
        <f>IF(AND(ISNUMBER(SEARCH(O1248,4)),ISNUMBER(SEARCH('(4) FCH pathway assessment'!$B$16,AB1248)),ISNUMBER(SEARCH('(4) FCH pathway assessment'!$B$10,AA1248))),AD1248,"")</f>
        <v/>
      </c>
      <c r="AF1248" t="str">
        <f t="shared" si="3726"/>
        <v/>
      </c>
      <c r="AG1248" t="str">
        <f>VLOOKUP(C1248,Assumptions!$B$116:$C$162,2,FALSE)</f>
        <v>NG_SR_LRG_C</v>
      </c>
      <c r="AH1248" t="str">
        <f>VLOOKUP(D1248,Assumptions!$B$116:$C$162,2,FALSE)</f>
        <v>C_UNDRGRND_STRG</v>
      </c>
      <c r="AI1248" t="str">
        <f>VLOOKUP(E1248,Assumptions!$B$116:$C$162,2,FALSE)</f>
        <v>H2_BLND_NG_P</v>
      </c>
      <c r="AJ1248" t="str">
        <f>VLOOKUP(F1248,Assumptions!$B$116:$C$162,2,FALSE)</f>
        <v>H2_CCGT_PWR</v>
      </c>
    </row>
    <row r="1249" spans="2:36" x14ac:dyDescent="0.25">
      <c r="B1249" t="s">
        <v>127</v>
      </c>
      <c r="C1249" t="s">
        <v>57</v>
      </c>
      <c r="D1249" t="s">
        <v>62</v>
      </c>
      <c r="E1249" t="s">
        <v>122</v>
      </c>
      <c r="F1249" t="s">
        <v>163</v>
      </c>
      <c r="G1249" t="s">
        <v>114</v>
      </c>
      <c r="H1249" t="s">
        <v>433</v>
      </c>
      <c r="I1249" t="s">
        <v>32</v>
      </c>
      <c r="J1249" t="s">
        <v>78</v>
      </c>
      <c r="K1249">
        <f t="shared" si="3839"/>
        <v>1</v>
      </c>
      <c r="L1249">
        <f t="shared" si="3840"/>
        <v>0</v>
      </c>
      <c r="M1249">
        <f t="shared" si="3841"/>
        <v>1</v>
      </c>
      <c r="N1249">
        <f t="shared" si="3842"/>
        <v>0</v>
      </c>
      <c r="O1249">
        <f t="shared" si="3843"/>
        <v>2</v>
      </c>
      <c r="P1249" t="str">
        <f t="shared" si="3844"/>
        <v>Large centralized natural gas steam reforming-Maturity</v>
      </c>
      <c r="Q1249" t="str">
        <f t="shared" si="3845"/>
        <v>Underground storage-Maturity</v>
      </c>
      <c r="R1249" t="str">
        <f t="shared" si="3846"/>
        <v>Hydrogen transmission &amp; distribution pipeline-Maturity</v>
      </c>
      <c r="S1249" t="str">
        <f t="shared" si="3847"/>
        <v>Hydrogen turbine (CC)-Maturity</v>
      </c>
      <c r="T1249">
        <f ca="1">VLOOKUP($P1249,'TA database'!$I$8:$J$79,2,FALSE)</f>
        <v>9</v>
      </c>
      <c r="U1249">
        <f ca="1">VLOOKUP($Q1249,'TA database'!$I$86:$J$105,2,FALSE)</f>
        <v>6</v>
      </c>
      <c r="V1249">
        <f ca="1">VLOOKUP($R1249,'TA database'!$I$112:$J$139,2,FALSE)</f>
        <v>9</v>
      </c>
      <c r="W1249">
        <f>IFERROR(VLOOKUP($S1249,'TA database'!$I$146:$J$193,2,FALSE),0)</f>
        <v>0</v>
      </c>
      <c r="X1249">
        <f ca="1">IFERROR(VLOOKUP($S1249,'TA database'!$I$200:$J$271,2,FALSE),0)</f>
        <v>7</v>
      </c>
      <c r="Y1249">
        <f t="shared" ca="1" si="3848"/>
        <v>6</v>
      </c>
      <c r="Z1249" t="str">
        <f t="shared" si="3849"/>
        <v>NG_SR_LRG_C   →   C_UNDRGRND_STRG   →   H2_T&amp;D_P   →   H2_CCGT_PWR</v>
      </c>
      <c r="AA1249" t="str">
        <f t="shared" si="3850"/>
        <v>Grid electricity</v>
      </c>
      <c r="AB1249" t="str">
        <f t="shared" si="3851"/>
        <v>Maturity</v>
      </c>
      <c r="AC1249">
        <f t="shared" ca="1" si="3852"/>
        <v>6</v>
      </c>
      <c r="AD1249">
        <v>1190</v>
      </c>
      <c r="AE1249" t="str">
        <f>IF(AND(ISNUMBER(SEARCH(O1249,4)),ISNUMBER(SEARCH('(4) FCH pathway assessment'!$B$16,AB1249)),ISNUMBER(SEARCH('(4) FCH pathway assessment'!$B$10,AA1249))),AD1249,"")</f>
        <v/>
      </c>
      <c r="AF1249" t="str">
        <f t="shared" si="3726"/>
        <v/>
      </c>
      <c r="AG1249" t="str">
        <f>VLOOKUP(C1249,Assumptions!$B$116:$C$162,2,FALSE)</f>
        <v>NG_SR_LRG_C</v>
      </c>
      <c r="AH1249" t="str">
        <f>VLOOKUP(D1249,Assumptions!$B$116:$C$162,2,FALSE)</f>
        <v>C_UNDRGRND_STRG</v>
      </c>
      <c r="AI1249" t="str">
        <f>VLOOKUP(E1249,Assumptions!$B$116:$C$162,2,FALSE)</f>
        <v>H2_T&amp;D_P</v>
      </c>
      <c r="AJ1249" t="str">
        <f>VLOOKUP(F1249,Assumptions!$B$116:$C$162,2,FALSE)</f>
        <v>H2_CCGT_PWR</v>
      </c>
    </row>
    <row r="1250" spans="2:36" x14ac:dyDescent="0.25">
      <c r="B1250" t="s">
        <v>127</v>
      </c>
      <c r="C1250" t="s">
        <v>57</v>
      </c>
      <c r="D1250" t="s">
        <v>62</v>
      </c>
      <c r="E1250" t="s">
        <v>116</v>
      </c>
      <c r="F1250" t="s">
        <v>163</v>
      </c>
      <c r="G1250" t="s">
        <v>114</v>
      </c>
      <c r="H1250" t="s">
        <v>433</v>
      </c>
      <c r="I1250" t="s">
        <v>32</v>
      </c>
      <c r="J1250" t="s">
        <v>78</v>
      </c>
      <c r="K1250">
        <f t="shared" si="3839"/>
        <v>1</v>
      </c>
      <c r="L1250">
        <f t="shared" si="3840"/>
        <v>0</v>
      </c>
      <c r="M1250">
        <f t="shared" si="3841"/>
        <v>1</v>
      </c>
      <c r="N1250">
        <f t="shared" si="3842"/>
        <v>0</v>
      </c>
      <c r="O1250">
        <f t="shared" si="3843"/>
        <v>2</v>
      </c>
      <c r="P1250" t="str">
        <f t="shared" si="3844"/>
        <v>Large centralized natural gas steam reforming-Maturity</v>
      </c>
      <c r="Q1250" t="str">
        <f t="shared" si="3845"/>
        <v>Underground storage-Maturity</v>
      </c>
      <c r="R1250" t="str">
        <f t="shared" si="3846"/>
        <v>Liquid hydrogen truck-Maturity</v>
      </c>
      <c r="S1250" t="str">
        <f t="shared" si="3847"/>
        <v>Hydrogen turbine (CC)-Maturity</v>
      </c>
      <c r="T1250">
        <f ca="1">VLOOKUP($P1250,'TA database'!$I$8:$J$79,2,FALSE)</f>
        <v>9</v>
      </c>
      <c r="U1250">
        <f ca="1">VLOOKUP($Q1250,'TA database'!$I$86:$J$105,2,FALSE)</f>
        <v>6</v>
      </c>
      <c r="V1250">
        <f ca="1">VLOOKUP($R1250,'TA database'!$I$112:$J$139,2,FALSE)</f>
        <v>9</v>
      </c>
      <c r="W1250">
        <f>IFERROR(VLOOKUP($S1250,'TA database'!$I$146:$J$193,2,FALSE),0)</f>
        <v>0</v>
      </c>
      <c r="X1250">
        <f ca="1">IFERROR(VLOOKUP($S1250,'TA database'!$I$200:$J$271,2,FALSE),0)</f>
        <v>7</v>
      </c>
      <c r="Y1250">
        <f t="shared" ca="1" si="3848"/>
        <v>6</v>
      </c>
      <c r="Z1250" t="str">
        <f t="shared" si="3849"/>
        <v>NG_SR_LRG_C   →   C_UNDRGRND_STRG   →   LQ_TRUCK   →   H2_CCGT_PWR</v>
      </c>
      <c r="AA1250" t="str">
        <f t="shared" si="3850"/>
        <v>Grid electricity</v>
      </c>
      <c r="AB1250" t="str">
        <f t="shared" si="3851"/>
        <v>Maturity</v>
      </c>
      <c r="AC1250">
        <f t="shared" ca="1" si="3852"/>
        <v>6</v>
      </c>
      <c r="AD1250">
        <v>1191</v>
      </c>
      <c r="AE1250" t="str">
        <f>IF(AND(ISNUMBER(SEARCH(O1250,4)),ISNUMBER(SEARCH('(4) FCH pathway assessment'!$B$16,AB1250)),ISNUMBER(SEARCH('(4) FCH pathway assessment'!$B$10,AA1250))),AD1250,"")</f>
        <v/>
      </c>
      <c r="AF1250" t="str">
        <f t="shared" si="3726"/>
        <v/>
      </c>
      <c r="AG1250" t="str">
        <f>VLOOKUP(C1250,Assumptions!$B$116:$C$162,2,FALSE)</f>
        <v>NG_SR_LRG_C</v>
      </c>
      <c r="AH1250" t="str">
        <f>VLOOKUP(D1250,Assumptions!$B$116:$C$162,2,FALSE)</f>
        <v>C_UNDRGRND_STRG</v>
      </c>
      <c r="AI1250" t="str">
        <f>VLOOKUP(E1250,Assumptions!$B$116:$C$162,2,FALSE)</f>
        <v>LQ_TRUCK</v>
      </c>
      <c r="AJ1250" t="str">
        <f>VLOOKUP(F1250,Assumptions!$B$116:$C$162,2,FALSE)</f>
        <v>H2_CCGT_PWR</v>
      </c>
    </row>
    <row r="1251" spans="2:36" x14ac:dyDescent="0.25">
      <c r="B1251" t="s">
        <v>127</v>
      </c>
      <c r="C1251" t="s">
        <v>57</v>
      </c>
      <c r="D1251" t="s">
        <v>62</v>
      </c>
      <c r="E1251" t="s">
        <v>66</v>
      </c>
      <c r="F1251" t="s">
        <v>163</v>
      </c>
      <c r="G1251" t="s">
        <v>114</v>
      </c>
      <c r="H1251" t="s">
        <v>433</v>
      </c>
      <c r="I1251" t="s">
        <v>32</v>
      </c>
      <c r="J1251" t="s">
        <v>78</v>
      </c>
      <c r="K1251">
        <f t="shared" si="3839"/>
        <v>1</v>
      </c>
      <c r="L1251">
        <f t="shared" si="3840"/>
        <v>0</v>
      </c>
      <c r="M1251">
        <f t="shared" si="3841"/>
        <v>1</v>
      </c>
      <c r="N1251">
        <f t="shared" si="3842"/>
        <v>0</v>
      </c>
      <c r="O1251">
        <f t="shared" si="3843"/>
        <v>2</v>
      </c>
      <c r="P1251" t="str">
        <f t="shared" si="3844"/>
        <v>Large centralized natural gas steam reforming-Maturity</v>
      </c>
      <c r="Q1251" t="str">
        <f t="shared" si="3845"/>
        <v>Underground storage-Maturity</v>
      </c>
      <c r="R1251" t="str">
        <f t="shared" si="3846"/>
        <v>Onsite-Maturity</v>
      </c>
      <c r="S1251" t="str">
        <f t="shared" si="3847"/>
        <v>Hydrogen turbine (CC)-Maturity</v>
      </c>
      <c r="T1251">
        <f ca="1">VLOOKUP($P1251,'TA database'!$I$8:$J$79,2,FALSE)</f>
        <v>9</v>
      </c>
      <c r="U1251">
        <f ca="1">VLOOKUP($Q1251,'TA database'!$I$86:$J$105,2,FALSE)</f>
        <v>6</v>
      </c>
      <c r="V1251">
        <f ca="1">VLOOKUP($R1251,'TA database'!$I$112:$J$139,2,FALSE)</f>
        <v>9</v>
      </c>
      <c r="W1251">
        <f>IFERROR(VLOOKUP($S1251,'TA database'!$I$146:$J$193,2,FALSE),0)</f>
        <v>0</v>
      </c>
      <c r="X1251">
        <f ca="1">IFERROR(VLOOKUP($S1251,'TA database'!$I$200:$J$271,2,FALSE),0)</f>
        <v>7</v>
      </c>
      <c r="Y1251">
        <f t="shared" ca="1" si="3848"/>
        <v>6</v>
      </c>
      <c r="Z1251" t="str">
        <f t="shared" si="3849"/>
        <v>NG_SR_LRG_C   →   C_UNDRGRND_STRG   →   ONSITE_USE   →   H2_CCGT_PWR</v>
      </c>
      <c r="AA1251" t="str">
        <f t="shared" si="3850"/>
        <v>Grid electricity</v>
      </c>
      <c r="AB1251" t="str">
        <f t="shared" si="3851"/>
        <v>Maturity</v>
      </c>
      <c r="AC1251">
        <f t="shared" ca="1" si="3852"/>
        <v>6</v>
      </c>
      <c r="AD1251">
        <v>1192</v>
      </c>
      <c r="AE1251" t="str">
        <f>IF(AND(ISNUMBER(SEARCH(O1251,4)),ISNUMBER(SEARCH('(4) FCH pathway assessment'!$B$16,AB1251)),ISNUMBER(SEARCH('(4) FCH pathway assessment'!$B$10,AA1251))),AD1251,"")</f>
        <v/>
      </c>
      <c r="AF1251" t="str">
        <f t="shared" si="3726"/>
        <v/>
      </c>
      <c r="AG1251" t="str">
        <f>VLOOKUP(C1251,Assumptions!$B$116:$C$162,2,FALSE)</f>
        <v>NG_SR_LRG_C</v>
      </c>
      <c r="AH1251" t="str">
        <f>VLOOKUP(D1251,Assumptions!$B$116:$C$162,2,FALSE)</f>
        <v>C_UNDRGRND_STRG</v>
      </c>
      <c r="AI1251" t="str">
        <f>VLOOKUP(E1251,Assumptions!$B$116:$C$162,2,FALSE)</f>
        <v>ONSITE_USE</v>
      </c>
      <c r="AJ1251" t="str">
        <f>VLOOKUP(F1251,Assumptions!$B$116:$C$162,2,FALSE)</f>
        <v>H2_CCGT_PWR</v>
      </c>
    </row>
    <row r="1252" spans="2:36" x14ac:dyDescent="0.25">
      <c r="B1252" t="s">
        <v>127</v>
      </c>
      <c r="C1252" t="s">
        <v>57</v>
      </c>
      <c r="D1252" s="61" t="s">
        <v>63</v>
      </c>
      <c r="E1252" t="s">
        <v>122</v>
      </c>
      <c r="F1252" t="s">
        <v>163</v>
      </c>
      <c r="G1252" t="s">
        <v>114</v>
      </c>
      <c r="H1252" t="s">
        <v>433</v>
      </c>
      <c r="I1252" t="s">
        <v>32</v>
      </c>
      <c r="J1252" t="s">
        <v>78</v>
      </c>
      <c r="K1252">
        <f t="shared" ref="K1252:K1256" si="3853">SUMPRODUCT(($C$7:$C$18=$C1252)*($D$6:$H$6=$D1252)*($D$7:$H$18))</f>
        <v>1</v>
      </c>
      <c r="L1252">
        <f t="shared" ref="L1252:L1256" si="3854">SUMPRODUCT(($C$19:$C$23=$D1252)*($I$6:$O$6=$E1252)*($I$19:$O$23))</f>
        <v>1</v>
      </c>
      <c r="M1252">
        <f t="shared" ref="M1252:M1256" si="3855">SUMPRODUCT(($C$24:$C$30=$E1252)*($P$6:$AI$6=$F1252)*($P$24:$AI$30))</f>
        <v>1</v>
      </c>
      <c r="N1252">
        <f t="shared" ref="N1252:N1256" si="3856">SUMPRODUCT(($C$31:$C$50=$F1252)*($AJ$6:$AM$6=$G1252)*($AJ$31:$AM$50))</f>
        <v>0</v>
      </c>
      <c r="O1252">
        <f t="shared" ref="O1252:O1256" si="3857">K1252+L1252+M1252+N1252</f>
        <v>3</v>
      </c>
      <c r="P1252" t="str">
        <f t="shared" ref="P1252:P1256" si="3858">CONCATENATE(C1252,"-",J1252)</f>
        <v>Large centralized natural gas steam reforming-Maturity</v>
      </c>
      <c r="Q1252" t="str">
        <f t="shared" ref="Q1252:Q1256" si="3859">CONCATENATE(D1252,"-",J1252)</f>
        <v>No storage-Maturity</v>
      </c>
      <c r="R1252" t="str">
        <f t="shared" ref="R1252:R1256" si="3860">CONCATENATE(E1252,"-",J1252)</f>
        <v>Hydrogen transmission &amp; distribution pipeline-Maturity</v>
      </c>
      <c r="S1252" t="str">
        <f t="shared" ref="S1252:S1256" si="3861">CONCATENATE(F1252,"-",J1252)</f>
        <v>Hydrogen turbine (CC)-Maturity</v>
      </c>
      <c r="T1252">
        <f ca="1">VLOOKUP($P1252,'TA database'!$I$8:$J$79,2,FALSE)</f>
        <v>9</v>
      </c>
      <c r="U1252">
        <f ca="1">VLOOKUP($Q1252,'TA database'!$I$86:$J$105,2,FALSE)</f>
        <v>9</v>
      </c>
      <c r="V1252">
        <f ca="1">VLOOKUP($R1252,'TA database'!$I$112:$J$139,2,FALSE)</f>
        <v>9</v>
      </c>
      <c r="W1252">
        <f>IFERROR(VLOOKUP($S1252,'TA database'!$I$146:$J$193,2,FALSE),0)</f>
        <v>0</v>
      </c>
      <c r="X1252">
        <f ca="1">IFERROR(VLOOKUP($S1252,'TA database'!$I$200:$J$271,2,FALSE),0)</f>
        <v>7</v>
      </c>
      <c r="Y1252">
        <f t="shared" ca="1" si="3848"/>
        <v>7</v>
      </c>
      <c r="Z1252" t="str">
        <f t="shared" ref="Z1252:Z1256" si="3862">CONCATENATE(AG1252,"   →   ",AH1252,"   →   ",AI1252,"   →   ",AJ1252)</f>
        <v>NG_SR_LRG_C   →   NO_STRG   →   H2_T&amp;D_P   →   H2_CCGT_PWR</v>
      </c>
      <c r="AA1252" t="str">
        <f t="shared" ref="AA1252:AA1256" si="3863">G1252</f>
        <v>Grid electricity</v>
      </c>
      <c r="AB1252" t="str">
        <f t="shared" ref="AB1252:AB1256" si="3864">J1252</f>
        <v>Maturity</v>
      </c>
      <c r="AC1252">
        <f t="shared" ref="AC1252:AC1256" ca="1" si="3865">Y1252</f>
        <v>7</v>
      </c>
      <c r="AD1252">
        <v>1193</v>
      </c>
      <c r="AE1252" t="str">
        <f>IF(AND(ISNUMBER(SEARCH(O1252,4)),ISNUMBER(SEARCH('(4) FCH pathway assessment'!$B$16,AB1252)),ISNUMBER(SEARCH('(4) FCH pathway assessment'!$B$10,AA1252))),AD1252,"")</f>
        <v/>
      </c>
      <c r="AF1252" t="str">
        <f t="shared" si="3726"/>
        <v/>
      </c>
      <c r="AG1252" t="str">
        <f>VLOOKUP(C1252,Assumptions!$B$116:$C$162,2,FALSE)</f>
        <v>NG_SR_LRG_C</v>
      </c>
      <c r="AH1252" t="str">
        <f>VLOOKUP(D1252,Assumptions!$B$116:$C$162,2,FALSE)</f>
        <v>NO_STRG</v>
      </c>
      <c r="AI1252" t="str">
        <f>VLOOKUP(E1252,Assumptions!$B$116:$C$162,2,FALSE)</f>
        <v>H2_T&amp;D_P</v>
      </c>
      <c r="AJ1252" t="str">
        <f>VLOOKUP(F1252,Assumptions!$B$116:$C$162,2,FALSE)</f>
        <v>H2_CCGT_PWR</v>
      </c>
    </row>
    <row r="1253" spans="2:36" x14ac:dyDescent="0.25">
      <c r="B1253" t="s">
        <v>127</v>
      </c>
      <c r="C1253" t="s">
        <v>58</v>
      </c>
      <c r="D1253" t="s">
        <v>155</v>
      </c>
      <c r="E1253" t="s">
        <v>157</v>
      </c>
      <c r="F1253" t="s">
        <v>163</v>
      </c>
      <c r="G1253" t="s">
        <v>114</v>
      </c>
      <c r="H1253" t="s">
        <v>433</v>
      </c>
      <c r="I1253" t="s">
        <v>32</v>
      </c>
      <c r="J1253" t="s">
        <v>78</v>
      </c>
      <c r="K1253">
        <f t="shared" si="3853"/>
        <v>1</v>
      </c>
      <c r="L1253">
        <f t="shared" si="3854"/>
        <v>1</v>
      </c>
      <c r="M1253">
        <f t="shared" si="3855"/>
        <v>0</v>
      </c>
      <c r="N1253">
        <f t="shared" si="3856"/>
        <v>0</v>
      </c>
      <c r="O1253">
        <f t="shared" si="3857"/>
        <v>2</v>
      </c>
      <c r="P1253" t="str">
        <f t="shared" si="3858"/>
        <v>Small centralized natural gas steam reforming-Maturity</v>
      </c>
      <c r="Q1253" t="str">
        <f t="shared" si="3859"/>
        <v>Central gas storage-Maturity</v>
      </c>
      <c r="R1253" t="str">
        <f t="shared" si="3860"/>
        <v>Blending in natural gas pipeline-Maturity</v>
      </c>
      <c r="S1253" t="str">
        <f t="shared" si="3861"/>
        <v>Hydrogen turbine (CC)-Maturity</v>
      </c>
      <c r="T1253">
        <f ca="1">VLOOKUP($P1253,'TA database'!$I$8:$J$79,2,FALSE)</f>
        <v>9</v>
      </c>
      <c r="U1253">
        <f ca="1">VLOOKUP($Q1253,'TA database'!$I$86:$J$105,2,FALSE)</f>
        <v>9</v>
      </c>
      <c r="V1253">
        <f ca="1">VLOOKUP($R1253,'TA database'!$I$112:$J$139,2,FALSE)</f>
        <v>7</v>
      </c>
      <c r="W1253">
        <f>IFERROR(VLOOKUP($S1253,'TA database'!$I$146:$J$193,2,FALSE),0)</f>
        <v>0</v>
      </c>
      <c r="X1253">
        <f ca="1">IFERROR(VLOOKUP($S1253,'TA database'!$I$200:$J$271,2,FALSE),0)</f>
        <v>7</v>
      </c>
      <c r="Y1253">
        <f t="shared" ref="Y1253:Y1257" ca="1" si="3866">IF($W1253=0,MIN($T1253:$V1253,$X1253),MIN($T1253:$W1253))</f>
        <v>7</v>
      </c>
      <c r="Z1253" t="str">
        <f t="shared" si="3862"/>
        <v>NG_SR_SML_C   →   C_GAS_STRG   →   H2_BLND_NG_P   →   H2_CCGT_PWR</v>
      </c>
      <c r="AA1253" t="str">
        <f t="shared" si="3863"/>
        <v>Grid electricity</v>
      </c>
      <c r="AB1253" t="str">
        <f t="shared" si="3864"/>
        <v>Maturity</v>
      </c>
      <c r="AC1253">
        <f t="shared" ca="1" si="3865"/>
        <v>7</v>
      </c>
      <c r="AD1253">
        <v>1194</v>
      </c>
      <c r="AE1253" t="str">
        <f>IF(AND(ISNUMBER(SEARCH(O1253,4)),ISNUMBER(SEARCH('(4) FCH pathway assessment'!$B$16,AB1253)),ISNUMBER(SEARCH('(4) FCH pathway assessment'!$B$10,AA1253))),AD1253,"")</f>
        <v/>
      </c>
      <c r="AF1253" t="str">
        <f t="shared" si="3726"/>
        <v/>
      </c>
      <c r="AG1253" t="str">
        <f>VLOOKUP(C1253,Assumptions!$B$116:$C$162,2,FALSE)</f>
        <v>NG_SR_SML_C</v>
      </c>
      <c r="AH1253" t="str">
        <f>VLOOKUP(D1253,Assumptions!$B$116:$C$162,2,FALSE)</f>
        <v>C_GAS_STRG</v>
      </c>
      <c r="AI1253" t="str">
        <f>VLOOKUP(E1253,Assumptions!$B$116:$C$162,2,FALSE)</f>
        <v>H2_BLND_NG_P</v>
      </c>
      <c r="AJ1253" t="str">
        <f>VLOOKUP(F1253,Assumptions!$B$116:$C$162,2,FALSE)</f>
        <v>H2_CCGT_PWR</v>
      </c>
    </row>
    <row r="1254" spans="2:36" x14ac:dyDescent="0.25">
      <c r="B1254" t="s">
        <v>127</v>
      </c>
      <c r="C1254" t="s">
        <v>58</v>
      </c>
      <c r="D1254" t="s">
        <v>155</v>
      </c>
      <c r="E1254" t="s">
        <v>122</v>
      </c>
      <c r="F1254" t="s">
        <v>163</v>
      </c>
      <c r="G1254" t="s">
        <v>114</v>
      </c>
      <c r="H1254" t="s">
        <v>433</v>
      </c>
      <c r="I1254" t="s">
        <v>32</v>
      </c>
      <c r="J1254" t="s">
        <v>78</v>
      </c>
      <c r="K1254">
        <f t="shared" si="3853"/>
        <v>1</v>
      </c>
      <c r="L1254">
        <f t="shared" si="3854"/>
        <v>1</v>
      </c>
      <c r="M1254">
        <f t="shared" si="3855"/>
        <v>1</v>
      </c>
      <c r="N1254">
        <f t="shared" si="3856"/>
        <v>0</v>
      </c>
      <c r="O1254">
        <f t="shared" si="3857"/>
        <v>3</v>
      </c>
      <c r="P1254" t="str">
        <f t="shared" si="3858"/>
        <v>Small centralized natural gas steam reforming-Maturity</v>
      </c>
      <c r="Q1254" t="str">
        <f t="shared" si="3859"/>
        <v>Central gas storage-Maturity</v>
      </c>
      <c r="R1254" t="str">
        <f t="shared" si="3860"/>
        <v>Hydrogen transmission &amp; distribution pipeline-Maturity</v>
      </c>
      <c r="S1254" t="str">
        <f t="shared" si="3861"/>
        <v>Hydrogen turbine (CC)-Maturity</v>
      </c>
      <c r="T1254">
        <f ca="1">VLOOKUP($P1254,'TA database'!$I$8:$J$79,2,FALSE)</f>
        <v>9</v>
      </c>
      <c r="U1254">
        <f ca="1">VLOOKUP($Q1254,'TA database'!$I$86:$J$105,2,FALSE)</f>
        <v>9</v>
      </c>
      <c r="V1254">
        <f ca="1">VLOOKUP($R1254,'TA database'!$I$112:$J$139,2,FALSE)</f>
        <v>9</v>
      </c>
      <c r="W1254">
        <f>IFERROR(VLOOKUP($S1254,'TA database'!$I$146:$J$193,2,FALSE),0)</f>
        <v>0</v>
      </c>
      <c r="X1254">
        <f ca="1">IFERROR(VLOOKUP($S1254,'TA database'!$I$200:$J$271,2,FALSE),0)</f>
        <v>7</v>
      </c>
      <c r="Y1254">
        <f t="shared" ca="1" si="3866"/>
        <v>7</v>
      </c>
      <c r="Z1254" t="str">
        <f t="shared" si="3862"/>
        <v>NG_SR_SML_C   →   C_GAS_STRG   →   H2_T&amp;D_P   →   H2_CCGT_PWR</v>
      </c>
      <c r="AA1254" t="str">
        <f t="shared" si="3863"/>
        <v>Grid electricity</v>
      </c>
      <c r="AB1254" t="str">
        <f t="shared" si="3864"/>
        <v>Maturity</v>
      </c>
      <c r="AC1254">
        <f t="shared" ca="1" si="3865"/>
        <v>7</v>
      </c>
      <c r="AD1254">
        <v>1195</v>
      </c>
      <c r="AE1254" t="str">
        <f>IF(AND(ISNUMBER(SEARCH(O1254,4)),ISNUMBER(SEARCH('(4) FCH pathway assessment'!$B$16,AB1254)),ISNUMBER(SEARCH('(4) FCH pathway assessment'!$B$10,AA1254))),AD1254,"")</f>
        <v/>
      </c>
      <c r="AF1254" t="str">
        <f t="shared" si="3726"/>
        <v/>
      </c>
      <c r="AG1254" t="str">
        <f>VLOOKUP(C1254,Assumptions!$B$116:$C$162,2,FALSE)</f>
        <v>NG_SR_SML_C</v>
      </c>
      <c r="AH1254" t="str">
        <f>VLOOKUP(D1254,Assumptions!$B$116:$C$162,2,FALSE)</f>
        <v>C_GAS_STRG</v>
      </c>
      <c r="AI1254" t="str">
        <f>VLOOKUP(E1254,Assumptions!$B$116:$C$162,2,FALSE)</f>
        <v>H2_T&amp;D_P</v>
      </c>
      <c r="AJ1254" t="str">
        <f>VLOOKUP(F1254,Assumptions!$B$116:$C$162,2,FALSE)</f>
        <v>H2_CCGT_PWR</v>
      </c>
    </row>
    <row r="1255" spans="2:36" x14ac:dyDescent="0.25">
      <c r="B1255" t="s">
        <v>127</v>
      </c>
      <c r="C1255" t="s">
        <v>58</v>
      </c>
      <c r="D1255" t="s">
        <v>155</v>
      </c>
      <c r="E1255" t="s">
        <v>116</v>
      </c>
      <c r="F1255" t="s">
        <v>163</v>
      </c>
      <c r="G1255" t="s">
        <v>114</v>
      </c>
      <c r="H1255" t="s">
        <v>433</v>
      </c>
      <c r="I1255" t="s">
        <v>32</v>
      </c>
      <c r="J1255" t="s">
        <v>78</v>
      </c>
      <c r="K1255">
        <f t="shared" si="3853"/>
        <v>1</v>
      </c>
      <c r="L1255">
        <f t="shared" si="3854"/>
        <v>1</v>
      </c>
      <c r="M1255">
        <f t="shared" si="3855"/>
        <v>1</v>
      </c>
      <c r="N1255">
        <f t="shared" si="3856"/>
        <v>0</v>
      </c>
      <c r="O1255">
        <f t="shared" si="3857"/>
        <v>3</v>
      </c>
      <c r="P1255" t="str">
        <f t="shared" si="3858"/>
        <v>Small centralized natural gas steam reforming-Maturity</v>
      </c>
      <c r="Q1255" t="str">
        <f t="shared" si="3859"/>
        <v>Central gas storage-Maturity</v>
      </c>
      <c r="R1255" t="str">
        <f t="shared" si="3860"/>
        <v>Liquid hydrogen truck-Maturity</v>
      </c>
      <c r="S1255" t="str">
        <f t="shared" si="3861"/>
        <v>Hydrogen turbine (CC)-Maturity</v>
      </c>
      <c r="T1255">
        <f ca="1">VLOOKUP($P1255,'TA database'!$I$8:$J$79,2,FALSE)</f>
        <v>9</v>
      </c>
      <c r="U1255">
        <f ca="1">VLOOKUP($Q1255,'TA database'!$I$86:$J$105,2,FALSE)</f>
        <v>9</v>
      </c>
      <c r="V1255">
        <f ca="1">VLOOKUP($R1255,'TA database'!$I$112:$J$139,2,FALSE)</f>
        <v>9</v>
      </c>
      <c r="W1255">
        <f>IFERROR(VLOOKUP($S1255,'TA database'!$I$146:$J$193,2,FALSE),0)</f>
        <v>0</v>
      </c>
      <c r="X1255">
        <f ca="1">IFERROR(VLOOKUP($S1255,'TA database'!$I$200:$J$271,2,FALSE),0)</f>
        <v>7</v>
      </c>
      <c r="Y1255">
        <f t="shared" ca="1" si="3866"/>
        <v>7</v>
      </c>
      <c r="Z1255" t="str">
        <f t="shared" si="3862"/>
        <v>NG_SR_SML_C   →   C_GAS_STRG   →   LQ_TRUCK   →   H2_CCGT_PWR</v>
      </c>
      <c r="AA1255" t="str">
        <f t="shared" si="3863"/>
        <v>Grid electricity</v>
      </c>
      <c r="AB1255" t="str">
        <f t="shared" si="3864"/>
        <v>Maturity</v>
      </c>
      <c r="AC1255">
        <f t="shared" ca="1" si="3865"/>
        <v>7</v>
      </c>
      <c r="AD1255">
        <v>1196</v>
      </c>
      <c r="AE1255" t="str">
        <f>IF(AND(ISNUMBER(SEARCH(O1255,4)),ISNUMBER(SEARCH('(4) FCH pathway assessment'!$B$16,AB1255)),ISNUMBER(SEARCH('(4) FCH pathway assessment'!$B$10,AA1255))),AD1255,"")</f>
        <v/>
      </c>
      <c r="AF1255" t="str">
        <f t="shared" si="3726"/>
        <v/>
      </c>
      <c r="AG1255" t="str">
        <f>VLOOKUP(C1255,Assumptions!$B$116:$C$162,2,FALSE)</f>
        <v>NG_SR_SML_C</v>
      </c>
      <c r="AH1255" t="str">
        <f>VLOOKUP(D1255,Assumptions!$B$116:$C$162,2,FALSE)</f>
        <v>C_GAS_STRG</v>
      </c>
      <c r="AI1255" t="str">
        <f>VLOOKUP(E1255,Assumptions!$B$116:$C$162,2,FALSE)</f>
        <v>LQ_TRUCK</v>
      </c>
      <c r="AJ1255" t="str">
        <f>VLOOKUP(F1255,Assumptions!$B$116:$C$162,2,FALSE)</f>
        <v>H2_CCGT_PWR</v>
      </c>
    </row>
    <row r="1256" spans="2:36" x14ac:dyDescent="0.25">
      <c r="B1256" t="s">
        <v>127</v>
      </c>
      <c r="C1256" t="s">
        <v>58</v>
      </c>
      <c r="D1256" t="s">
        <v>155</v>
      </c>
      <c r="E1256" t="s">
        <v>66</v>
      </c>
      <c r="F1256" t="s">
        <v>163</v>
      </c>
      <c r="G1256" t="s">
        <v>114</v>
      </c>
      <c r="H1256" t="s">
        <v>433</v>
      </c>
      <c r="I1256" t="s">
        <v>32</v>
      </c>
      <c r="J1256" t="s">
        <v>78</v>
      </c>
      <c r="K1256">
        <f t="shared" si="3853"/>
        <v>1</v>
      </c>
      <c r="L1256">
        <f t="shared" si="3854"/>
        <v>1</v>
      </c>
      <c r="M1256">
        <f t="shared" si="3855"/>
        <v>1</v>
      </c>
      <c r="N1256">
        <f t="shared" si="3856"/>
        <v>0</v>
      </c>
      <c r="O1256">
        <f t="shared" si="3857"/>
        <v>3</v>
      </c>
      <c r="P1256" t="str">
        <f t="shared" si="3858"/>
        <v>Small centralized natural gas steam reforming-Maturity</v>
      </c>
      <c r="Q1256" t="str">
        <f t="shared" si="3859"/>
        <v>Central gas storage-Maturity</v>
      </c>
      <c r="R1256" t="str">
        <f t="shared" si="3860"/>
        <v>Onsite-Maturity</v>
      </c>
      <c r="S1256" t="str">
        <f t="shared" si="3861"/>
        <v>Hydrogen turbine (CC)-Maturity</v>
      </c>
      <c r="T1256">
        <f ca="1">VLOOKUP($P1256,'TA database'!$I$8:$J$79,2,FALSE)</f>
        <v>9</v>
      </c>
      <c r="U1256">
        <f ca="1">VLOOKUP($Q1256,'TA database'!$I$86:$J$105,2,FALSE)</f>
        <v>9</v>
      </c>
      <c r="V1256">
        <f ca="1">VLOOKUP($R1256,'TA database'!$I$112:$J$139,2,FALSE)</f>
        <v>9</v>
      </c>
      <c r="W1256">
        <f>IFERROR(VLOOKUP($S1256,'TA database'!$I$146:$J$193,2,FALSE),0)</f>
        <v>0</v>
      </c>
      <c r="X1256">
        <f ca="1">IFERROR(VLOOKUP($S1256,'TA database'!$I$200:$J$271,2,FALSE),0)</f>
        <v>7</v>
      </c>
      <c r="Y1256">
        <f t="shared" ca="1" si="3866"/>
        <v>7</v>
      </c>
      <c r="Z1256" t="str">
        <f t="shared" si="3862"/>
        <v>NG_SR_SML_C   →   C_GAS_STRG   →   ONSITE_USE   →   H2_CCGT_PWR</v>
      </c>
      <c r="AA1256" t="str">
        <f t="shared" si="3863"/>
        <v>Grid electricity</v>
      </c>
      <c r="AB1256" t="str">
        <f t="shared" si="3864"/>
        <v>Maturity</v>
      </c>
      <c r="AC1256">
        <f t="shared" ca="1" si="3865"/>
        <v>7</v>
      </c>
      <c r="AD1256">
        <v>1197</v>
      </c>
      <c r="AE1256" t="str">
        <f>IF(AND(ISNUMBER(SEARCH(O1256,4)),ISNUMBER(SEARCH('(4) FCH pathway assessment'!$B$16,AB1256)),ISNUMBER(SEARCH('(4) FCH pathway assessment'!$B$10,AA1256))),AD1256,"")</f>
        <v/>
      </c>
      <c r="AF1256" t="str">
        <f t="shared" si="3726"/>
        <v/>
      </c>
      <c r="AG1256" t="str">
        <f>VLOOKUP(C1256,Assumptions!$B$116:$C$162,2,FALSE)</f>
        <v>NG_SR_SML_C</v>
      </c>
      <c r="AH1256" t="str">
        <f>VLOOKUP(D1256,Assumptions!$B$116:$C$162,2,FALSE)</f>
        <v>C_GAS_STRG</v>
      </c>
      <c r="AI1256" t="str">
        <f>VLOOKUP(E1256,Assumptions!$B$116:$C$162,2,FALSE)</f>
        <v>ONSITE_USE</v>
      </c>
      <c r="AJ1256" t="str">
        <f>VLOOKUP(F1256,Assumptions!$B$116:$C$162,2,FALSE)</f>
        <v>H2_CCGT_PWR</v>
      </c>
    </row>
    <row r="1257" spans="2:36" x14ac:dyDescent="0.25">
      <c r="B1257" t="s">
        <v>127</v>
      </c>
      <c r="C1257" t="s">
        <v>59</v>
      </c>
      <c r="D1257" s="60" t="s">
        <v>130</v>
      </c>
      <c r="E1257" t="s">
        <v>66</v>
      </c>
      <c r="F1257" t="s">
        <v>163</v>
      </c>
      <c r="G1257" t="s">
        <v>114</v>
      </c>
      <c r="H1257" t="s">
        <v>433</v>
      </c>
      <c r="I1257" t="s">
        <v>32</v>
      </c>
      <c r="J1257" t="s">
        <v>78</v>
      </c>
      <c r="K1257">
        <f t="shared" ref="K1257:K1258" si="3867">SUMPRODUCT(($C$7:$C$18=$C1257)*($D$6:$H$6=$D1257)*($D$7:$H$18))</f>
        <v>1</v>
      </c>
      <c r="L1257">
        <f t="shared" ref="L1257:L1258" si="3868">SUMPRODUCT(($C$19:$C$23=$D1257)*($I$6:$O$6=$E1257)*($I$19:$O$23))</f>
        <v>1</v>
      </c>
      <c r="M1257">
        <f t="shared" ref="M1257:M1258" si="3869">SUMPRODUCT(($C$24:$C$30=$E1257)*($P$6:$AI$6=$F1257)*($P$24:$AI$30))</f>
        <v>1</v>
      </c>
      <c r="N1257">
        <f t="shared" ref="N1257:N1258" si="3870">SUMPRODUCT(($C$31:$C$50=$F1257)*($AJ$6:$AM$6=$G1257)*($AJ$31:$AM$50))</f>
        <v>0</v>
      </c>
      <c r="O1257">
        <f t="shared" ref="O1257:O1258" si="3871">K1257+L1257+M1257+N1257</f>
        <v>3</v>
      </c>
      <c r="P1257" t="str">
        <f t="shared" ref="P1257:P1258" si="3872">CONCATENATE(C1257,"-",J1257)</f>
        <v>Medium decentralized natural gas steam reforming-Maturity</v>
      </c>
      <c r="Q1257" t="str">
        <f t="shared" ref="Q1257:Q1258" si="3873">CONCATENATE(D1257,"-",J1257)</f>
        <v>Distributed gas storage-Maturity</v>
      </c>
      <c r="R1257" t="str">
        <f t="shared" ref="R1257:R1258" si="3874">CONCATENATE(E1257,"-",J1257)</f>
        <v>Onsite-Maturity</v>
      </c>
      <c r="S1257" t="str">
        <f t="shared" ref="S1257:S1258" si="3875">CONCATENATE(F1257,"-",J1257)</f>
        <v>Hydrogen turbine (CC)-Maturity</v>
      </c>
      <c r="T1257">
        <f ca="1">VLOOKUP($P1257,'TA database'!$I$8:$J$79,2,FALSE)</f>
        <v>9</v>
      </c>
      <c r="U1257">
        <f ca="1">VLOOKUP($Q1257,'TA database'!$I$86:$J$105,2,FALSE)</f>
        <v>9</v>
      </c>
      <c r="V1257">
        <f ca="1">VLOOKUP($R1257,'TA database'!$I$112:$J$139,2,FALSE)</f>
        <v>9</v>
      </c>
      <c r="W1257">
        <f>IFERROR(VLOOKUP($S1257,'TA database'!$I$146:$J$193,2,FALSE),0)</f>
        <v>0</v>
      </c>
      <c r="X1257">
        <f ca="1">IFERROR(VLOOKUP($S1257,'TA database'!$I$200:$J$271,2,FALSE),0)</f>
        <v>7</v>
      </c>
      <c r="Y1257">
        <f t="shared" ca="1" si="3866"/>
        <v>7</v>
      </c>
      <c r="Z1257" t="str">
        <f t="shared" ref="Z1257:Z1258" si="3876">CONCATENATE(AG1257,"   →   ",AH1257,"   →   ",AI1257,"   →   ",AJ1257)</f>
        <v>NG_SR_MED_D   →   D_GAS_STRG   →   ONSITE_USE   →   H2_CCGT_PWR</v>
      </c>
      <c r="AA1257" t="str">
        <f t="shared" ref="AA1257:AA1258" si="3877">G1257</f>
        <v>Grid electricity</v>
      </c>
      <c r="AB1257" t="str">
        <f t="shared" ref="AB1257:AB1258" si="3878">J1257</f>
        <v>Maturity</v>
      </c>
      <c r="AC1257">
        <f t="shared" ref="AC1257:AC1258" ca="1" si="3879">Y1257</f>
        <v>7</v>
      </c>
      <c r="AD1257">
        <v>1198</v>
      </c>
      <c r="AE1257" t="str">
        <f>IF(AND(ISNUMBER(SEARCH(O1257,4)),ISNUMBER(SEARCH('(4) FCH pathway assessment'!$B$16,AB1257)),ISNUMBER(SEARCH('(4) FCH pathway assessment'!$B$10,AA1257))),AD1257,"")</f>
        <v/>
      </c>
      <c r="AF1257" t="str">
        <f t="shared" si="3726"/>
        <v/>
      </c>
      <c r="AG1257" t="str">
        <f>VLOOKUP(C1257,Assumptions!$B$116:$C$162,2,FALSE)</f>
        <v>NG_SR_MED_D</v>
      </c>
      <c r="AH1257" t="str">
        <f>VLOOKUP(D1257,Assumptions!$B$116:$C$162,2,FALSE)</f>
        <v>D_GAS_STRG</v>
      </c>
      <c r="AI1257" t="str">
        <f>VLOOKUP(E1257,Assumptions!$B$116:$C$162,2,FALSE)</f>
        <v>ONSITE_USE</v>
      </c>
      <c r="AJ1257" t="str">
        <f>VLOOKUP(F1257,Assumptions!$B$116:$C$162,2,FALSE)</f>
        <v>H2_CCGT_PWR</v>
      </c>
    </row>
    <row r="1258" spans="2:36" x14ac:dyDescent="0.25">
      <c r="B1258" t="s">
        <v>127</v>
      </c>
      <c r="C1258" t="s">
        <v>60</v>
      </c>
      <c r="D1258" s="60" t="s">
        <v>130</v>
      </c>
      <c r="E1258" t="s">
        <v>66</v>
      </c>
      <c r="F1258" t="s">
        <v>163</v>
      </c>
      <c r="G1258" t="s">
        <v>114</v>
      </c>
      <c r="H1258" t="s">
        <v>433</v>
      </c>
      <c r="I1258" t="s">
        <v>32</v>
      </c>
      <c r="J1258" t="s">
        <v>78</v>
      </c>
      <c r="K1258">
        <f t="shared" si="3867"/>
        <v>1</v>
      </c>
      <c r="L1258">
        <f t="shared" si="3868"/>
        <v>1</v>
      </c>
      <c r="M1258">
        <f t="shared" si="3869"/>
        <v>1</v>
      </c>
      <c r="N1258">
        <f t="shared" si="3870"/>
        <v>0</v>
      </c>
      <c r="O1258">
        <f t="shared" si="3871"/>
        <v>3</v>
      </c>
      <c r="P1258" t="str">
        <f t="shared" si="3872"/>
        <v>Small decentralized natural gas steam reforming-Maturity</v>
      </c>
      <c r="Q1258" t="str">
        <f t="shared" si="3873"/>
        <v>Distributed gas storage-Maturity</v>
      </c>
      <c r="R1258" t="str">
        <f t="shared" si="3874"/>
        <v>Onsite-Maturity</v>
      </c>
      <c r="S1258" t="str">
        <f t="shared" si="3875"/>
        <v>Hydrogen turbine (CC)-Maturity</v>
      </c>
      <c r="T1258">
        <f ca="1">VLOOKUP($P1258,'TA database'!$I$8:$J$79,2,FALSE)</f>
        <v>9</v>
      </c>
      <c r="U1258">
        <f ca="1">VLOOKUP($Q1258,'TA database'!$I$86:$J$105,2,FALSE)</f>
        <v>9</v>
      </c>
      <c r="V1258">
        <f ca="1">VLOOKUP($R1258,'TA database'!$I$112:$J$139,2,FALSE)</f>
        <v>9</v>
      </c>
      <c r="W1258">
        <f>IFERROR(VLOOKUP($S1258,'TA database'!$I$146:$J$193,2,FALSE),0)</f>
        <v>0</v>
      </c>
      <c r="X1258">
        <f ca="1">IFERROR(VLOOKUP($S1258,'TA database'!$I$200:$J$271,2,FALSE),0)</f>
        <v>7</v>
      </c>
      <c r="Y1258">
        <f t="shared" ref="Y1258" ca="1" si="3880">IF($W1258=0,MIN($T1258:$V1258,$X1258),MIN($T1258:$W1258))</f>
        <v>7</v>
      </c>
      <c r="Z1258" t="str">
        <f t="shared" si="3876"/>
        <v>NG_SR_SML_D   →   D_GAS_STRG   →   ONSITE_USE   →   H2_CCGT_PWR</v>
      </c>
      <c r="AA1258" t="str">
        <f t="shared" si="3877"/>
        <v>Grid electricity</v>
      </c>
      <c r="AB1258" t="str">
        <f t="shared" si="3878"/>
        <v>Maturity</v>
      </c>
      <c r="AC1258">
        <f t="shared" ca="1" si="3879"/>
        <v>7</v>
      </c>
      <c r="AD1258">
        <v>1199</v>
      </c>
      <c r="AE1258" t="str">
        <f>IF(AND(ISNUMBER(SEARCH(O1258,4)),ISNUMBER(SEARCH('(4) FCH pathway assessment'!$B$16,AB1258)),ISNUMBER(SEARCH('(4) FCH pathway assessment'!$B$10,AA1258))),AD1258,"")</f>
        <v/>
      </c>
      <c r="AF1258" t="str">
        <f t="shared" si="3726"/>
        <v/>
      </c>
      <c r="AG1258" t="str">
        <f>VLOOKUP(C1258,Assumptions!$B$116:$C$162,2,FALSE)</f>
        <v>NG_SR_SML_D</v>
      </c>
      <c r="AH1258" t="str">
        <f>VLOOKUP(D1258,Assumptions!$B$116:$C$162,2,FALSE)</f>
        <v>D_GAS_STRG</v>
      </c>
      <c r="AI1258" t="str">
        <f>VLOOKUP(E1258,Assumptions!$B$116:$C$162,2,FALSE)</f>
        <v>ONSITE_USE</v>
      </c>
      <c r="AJ1258" t="str">
        <f>VLOOKUP(F1258,Assumptions!$B$116:$C$162,2,FALSE)</f>
        <v>H2_CCGT_PWR</v>
      </c>
    </row>
    <row r="1259" spans="2:36" x14ac:dyDescent="0.25">
      <c r="B1259" t="s">
        <v>117</v>
      </c>
      <c r="C1259" t="s">
        <v>53</v>
      </c>
      <c r="D1259" t="s">
        <v>155</v>
      </c>
      <c r="E1259" t="s">
        <v>157</v>
      </c>
      <c r="F1259" t="s">
        <v>162</v>
      </c>
      <c r="G1259" t="s">
        <v>114</v>
      </c>
      <c r="H1259" t="s">
        <v>433</v>
      </c>
      <c r="I1259" t="s">
        <v>32</v>
      </c>
      <c r="J1259" t="s">
        <v>78</v>
      </c>
      <c r="K1259">
        <f t="shared" ref="K1259:K1262" si="3881">SUMPRODUCT(($C$7:$C$18=$C1259)*($D$6:$H$6=$D1259)*($D$7:$H$18))</f>
        <v>0</v>
      </c>
      <c r="L1259">
        <f t="shared" ref="L1259:L1262" si="3882">SUMPRODUCT(($C$19:$C$23=$D1259)*($I$6:$O$6=$E1259)*($I$19:$O$23))</f>
        <v>1</v>
      </c>
      <c r="M1259">
        <f t="shared" ref="M1259:M1262" si="3883">SUMPRODUCT(($C$24:$C$30=$E1259)*($P$6:$AI$6=$F1259)*($P$24:$AI$30))</f>
        <v>0</v>
      </c>
      <c r="N1259">
        <f t="shared" ref="N1259:N1262" si="3884">SUMPRODUCT(($C$31:$C$50=$F1259)*($AJ$6:$AM$6=$G1259)*($AJ$31:$AM$50))</f>
        <v>0</v>
      </c>
      <c r="O1259">
        <f t="shared" ref="O1259:O1262" si="3885">K1259+L1259+M1259+N1259</f>
        <v>1</v>
      </c>
      <c r="P1259" t="str">
        <f t="shared" ref="P1259:P1262" si="3886">CONCATENATE(C1259,"-",J1259)</f>
        <v>Medium centralized biomass gasification-Maturity</v>
      </c>
      <c r="Q1259" t="str">
        <f t="shared" ref="Q1259:Q1262" si="3887">CONCATENATE(D1259,"-",J1259)</f>
        <v>Central gas storage-Maturity</v>
      </c>
      <c r="R1259" t="str">
        <f t="shared" ref="R1259:R1262" si="3888">CONCATENATE(E1259,"-",J1259)</f>
        <v>Blending in natural gas pipeline-Maturity</v>
      </c>
      <c r="S1259" t="str">
        <f t="shared" ref="S1259:S1262" si="3889">CONCATENATE(F1259,"-",J1259)</f>
        <v>Hydrogen turbine (OC)-Maturity</v>
      </c>
      <c r="T1259">
        <f ca="1">VLOOKUP($P1259,'TA database'!$I$8:$J$79,2,FALSE)</f>
        <v>6</v>
      </c>
      <c r="U1259">
        <f ca="1">VLOOKUP($Q1259,'TA database'!$I$86:$J$105,2,FALSE)</f>
        <v>9</v>
      </c>
      <c r="V1259">
        <f ca="1">VLOOKUP($R1259,'TA database'!$I$112:$J$139,2,FALSE)</f>
        <v>7</v>
      </c>
      <c r="W1259">
        <f>IFERROR(VLOOKUP($S1259,'TA database'!$I$146:$J$193,2,FALSE),0)</f>
        <v>0</v>
      </c>
      <c r="X1259">
        <f ca="1">IFERROR(VLOOKUP($S1259,'TA database'!$I$200:$J$271,2,FALSE),0)</f>
        <v>7</v>
      </c>
      <c r="Y1259">
        <f t="shared" ref="Y1259:Y1266" ca="1" si="3890">IF($W1259=0,MIN($T1259:$V1259,$X1259),MIN($T1259:$W1259))</f>
        <v>6</v>
      </c>
      <c r="Z1259" t="str">
        <f t="shared" ref="Z1259:Z1262" si="3891">CONCATENATE(AG1259,"   →   ",AH1259,"   →   ",AI1259,"   →   ",AJ1259)</f>
        <v>BIO_GSF_MED_C   →   C_GAS_STRG   →   H2_BLND_NG_P   →   H2_OCGT_PWR</v>
      </c>
      <c r="AA1259" t="str">
        <f t="shared" ref="AA1259:AA1262" si="3892">G1259</f>
        <v>Grid electricity</v>
      </c>
      <c r="AB1259" t="str">
        <f t="shared" ref="AB1259:AB1262" si="3893">J1259</f>
        <v>Maturity</v>
      </c>
      <c r="AC1259">
        <f t="shared" ref="AC1259:AC1262" ca="1" si="3894">Y1259</f>
        <v>6</v>
      </c>
      <c r="AD1259">
        <v>1200</v>
      </c>
      <c r="AE1259" t="str">
        <f>IF(AND(ISNUMBER(SEARCH(O1259,4)),ISNUMBER(SEARCH('(4) FCH pathway assessment'!$B$16,AB1259)),ISNUMBER(SEARCH('(4) FCH pathway assessment'!$B$10,AA1259))),AD1259,"")</f>
        <v/>
      </c>
      <c r="AF1259" t="str">
        <f t="shared" si="3726"/>
        <v/>
      </c>
      <c r="AG1259" t="str">
        <f>VLOOKUP(C1259,Assumptions!$B$116:$C$162,2,FALSE)</f>
        <v>BIO_GSF_MED_C</v>
      </c>
      <c r="AH1259" t="str">
        <f>VLOOKUP(D1259,Assumptions!$B$116:$C$162,2,FALSE)</f>
        <v>C_GAS_STRG</v>
      </c>
      <c r="AI1259" t="str">
        <f>VLOOKUP(E1259,Assumptions!$B$116:$C$162,2,FALSE)</f>
        <v>H2_BLND_NG_P</v>
      </c>
      <c r="AJ1259" t="str">
        <f>VLOOKUP(F1259,Assumptions!$B$116:$C$162,2,FALSE)</f>
        <v>H2_OCGT_PWR</v>
      </c>
    </row>
    <row r="1260" spans="2:36" x14ac:dyDescent="0.25">
      <c r="B1260" t="s">
        <v>117</v>
      </c>
      <c r="C1260" t="s">
        <v>53</v>
      </c>
      <c r="D1260" t="s">
        <v>155</v>
      </c>
      <c r="E1260" t="s">
        <v>122</v>
      </c>
      <c r="F1260" t="s">
        <v>162</v>
      </c>
      <c r="G1260" t="s">
        <v>114</v>
      </c>
      <c r="H1260" t="s">
        <v>433</v>
      </c>
      <c r="I1260" t="s">
        <v>32</v>
      </c>
      <c r="J1260" t="s">
        <v>78</v>
      </c>
      <c r="K1260">
        <f t="shared" si="3881"/>
        <v>0</v>
      </c>
      <c r="L1260">
        <f t="shared" si="3882"/>
        <v>1</v>
      </c>
      <c r="M1260">
        <f t="shared" si="3883"/>
        <v>1</v>
      </c>
      <c r="N1260">
        <f t="shared" si="3884"/>
        <v>0</v>
      </c>
      <c r="O1260">
        <f t="shared" si="3885"/>
        <v>2</v>
      </c>
      <c r="P1260" t="str">
        <f t="shared" si="3886"/>
        <v>Medium centralized biomass gasification-Maturity</v>
      </c>
      <c r="Q1260" t="str">
        <f t="shared" si="3887"/>
        <v>Central gas storage-Maturity</v>
      </c>
      <c r="R1260" t="str">
        <f t="shared" si="3888"/>
        <v>Hydrogen transmission &amp; distribution pipeline-Maturity</v>
      </c>
      <c r="S1260" t="str">
        <f t="shared" si="3889"/>
        <v>Hydrogen turbine (OC)-Maturity</v>
      </c>
      <c r="T1260">
        <f ca="1">VLOOKUP($P1260,'TA database'!$I$8:$J$79,2,FALSE)</f>
        <v>6</v>
      </c>
      <c r="U1260">
        <f ca="1">VLOOKUP($Q1260,'TA database'!$I$86:$J$105,2,FALSE)</f>
        <v>9</v>
      </c>
      <c r="V1260">
        <f ca="1">VLOOKUP($R1260,'TA database'!$I$112:$J$139,2,FALSE)</f>
        <v>9</v>
      </c>
      <c r="W1260">
        <f>IFERROR(VLOOKUP($S1260,'TA database'!$I$146:$J$193,2,FALSE),0)</f>
        <v>0</v>
      </c>
      <c r="X1260">
        <f ca="1">IFERROR(VLOOKUP($S1260,'TA database'!$I$200:$J$271,2,FALSE),0)</f>
        <v>7</v>
      </c>
      <c r="Y1260">
        <f t="shared" ca="1" si="3890"/>
        <v>6</v>
      </c>
      <c r="Z1260" t="str">
        <f t="shared" si="3891"/>
        <v>BIO_GSF_MED_C   →   C_GAS_STRG   →   H2_T&amp;D_P   →   H2_OCGT_PWR</v>
      </c>
      <c r="AA1260" t="str">
        <f t="shared" si="3892"/>
        <v>Grid electricity</v>
      </c>
      <c r="AB1260" t="str">
        <f t="shared" si="3893"/>
        <v>Maturity</v>
      </c>
      <c r="AC1260">
        <f t="shared" ca="1" si="3894"/>
        <v>6</v>
      </c>
      <c r="AD1260">
        <v>1201</v>
      </c>
      <c r="AE1260" t="str">
        <f>IF(AND(ISNUMBER(SEARCH(O1260,4)),ISNUMBER(SEARCH('(4) FCH pathway assessment'!$B$16,AB1260)),ISNUMBER(SEARCH('(4) FCH pathway assessment'!$B$10,AA1260))),AD1260,"")</f>
        <v/>
      </c>
      <c r="AF1260" t="str">
        <f t="shared" si="3726"/>
        <v/>
      </c>
      <c r="AG1260" t="str">
        <f>VLOOKUP(C1260,Assumptions!$B$116:$C$162,2,FALSE)</f>
        <v>BIO_GSF_MED_C</v>
      </c>
      <c r="AH1260" t="str">
        <f>VLOOKUP(D1260,Assumptions!$B$116:$C$162,2,FALSE)</f>
        <v>C_GAS_STRG</v>
      </c>
      <c r="AI1260" t="str">
        <f>VLOOKUP(E1260,Assumptions!$B$116:$C$162,2,FALSE)</f>
        <v>H2_T&amp;D_P</v>
      </c>
      <c r="AJ1260" t="str">
        <f>VLOOKUP(F1260,Assumptions!$B$116:$C$162,2,FALSE)</f>
        <v>H2_OCGT_PWR</v>
      </c>
    </row>
    <row r="1261" spans="2:36" x14ac:dyDescent="0.25">
      <c r="B1261" t="s">
        <v>117</v>
      </c>
      <c r="C1261" t="s">
        <v>53</v>
      </c>
      <c r="D1261" t="s">
        <v>155</v>
      </c>
      <c r="E1261" t="s">
        <v>116</v>
      </c>
      <c r="F1261" t="s">
        <v>162</v>
      </c>
      <c r="G1261" t="s">
        <v>114</v>
      </c>
      <c r="H1261" t="s">
        <v>433</v>
      </c>
      <c r="I1261" t="s">
        <v>32</v>
      </c>
      <c r="J1261" t="s">
        <v>78</v>
      </c>
      <c r="K1261">
        <f t="shared" si="3881"/>
        <v>0</v>
      </c>
      <c r="L1261">
        <f t="shared" si="3882"/>
        <v>1</v>
      </c>
      <c r="M1261">
        <f t="shared" si="3883"/>
        <v>1</v>
      </c>
      <c r="N1261">
        <f t="shared" si="3884"/>
        <v>0</v>
      </c>
      <c r="O1261">
        <f t="shared" si="3885"/>
        <v>2</v>
      </c>
      <c r="P1261" t="str">
        <f t="shared" si="3886"/>
        <v>Medium centralized biomass gasification-Maturity</v>
      </c>
      <c r="Q1261" t="str">
        <f t="shared" si="3887"/>
        <v>Central gas storage-Maturity</v>
      </c>
      <c r="R1261" t="str">
        <f t="shared" si="3888"/>
        <v>Liquid hydrogen truck-Maturity</v>
      </c>
      <c r="S1261" t="str">
        <f t="shared" si="3889"/>
        <v>Hydrogen turbine (OC)-Maturity</v>
      </c>
      <c r="T1261">
        <f ca="1">VLOOKUP($P1261,'TA database'!$I$8:$J$79,2,FALSE)</f>
        <v>6</v>
      </c>
      <c r="U1261">
        <f ca="1">VLOOKUP($Q1261,'TA database'!$I$86:$J$105,2,FALSE)</f>
        <v>9</v>
      </c>
      <c r="V1261">
        <f ca="1">VLOOKUP($R1261,'TA database'!$I$112:$J$139,2,FALSE)</f>
        <v>9</v>
      </c>
      <c r="W1261">
        <f>IFERROR(VLOOKUP($S1261,'TA database'!$I$146:$J$193,2,FALSE),0)</f>
        <v>0</v>
      </c>
      <c r="X1261">
        <f ca="1">IFERROR(VLOOKUP($S1261,'TA database'!$I$200:$J$271,2,FALSE),0)</f>
        <v>7</v>
      </c>
      <c r="Y1261">
        <f t="shared" ca="1" si="3890"/>
        <v>6</v>
      </c>
      <c r="Z1261" t="str">
        <f t="shared" si="3891"/>
        <v>BIO_GSF_MED_C   →   C_GAS_STRG   →   LQ_TRUCK   →   H2_OCGT_PWR</v>
      </c>
      <c r="AA1261" t="str">
        <f t="shared" si="3892"/>
        <v>Grid electricity</v>
      </c>
      <c r="AB1261" t="str">
        <f t="shared" si="3893"/>
        <v>Maturity</v>
      </c>
      <c r="AC1261">
        <f t="shared" ca="1" si="3894"/>
        <v>6</v>
      </c>
      <c r="AD1261">
        <v>1202</v>
      </c>
      <c r="AE1261" t="str">
        <f>IF(AND(ISNUMBER(SEARCH(O1261,4)),ISNUMBER(SEARCH('(4) FCH pathway assessment'!$B$16,AB1261)),ISNUMBER(SEARCH('(4) FCH pathway assessment'!$B$10,AA1261))),AD1261,"")</f>
        <v/>
      </c>
      <c r="AF1261" t="str">
        <f t="shared" si="3726"/>
        <v/>
      </c>
      <c r="AG1261" t="str">
        <f>VLOOKUP(C1261,Assumptions!$B$116:$C$162,2,FALSE)</f>
        <v>BIO_GSF_MED_C</v>
      </c>
      <c r="AH1261" t="str">
        <f>VLOOKUP(D1261,Assumptions!$B$116:$C$162,2,FALSE)</f>
        <v>C_GAS_STRG</v>
      </c>
      <c r="AI1261" t="str">
        <f>VLOOKUP(E1261,Assumptions!$B$116:$C$162,2,FALSE)</f>
        <v>LQ_TRUCK</v>
      </c>
      <c r="AJ1261" t="str">
        <f>VLOOKUP(F1261,Assumptions!$B$116:$C$162,2,FALSE)</f>
        <v>H2_OCGT_PWR</v>
      </c>
    </row>
    <row r="1262" spans="2:36" x14ac:dyDescent="0.25">
      <c r="B1262" t="s">
        <v>117</v>
      </c>
      <c r="C1262" t="s">
        <v>53</v>
      </c>
      <c r="D1262" t="s">
        <v>155</v>
      </c>
      <c r="E1262" t="s">
        <v>66</v>
      </c>
      <c r="F1262" t="s">
        <v>162</v>
      </c>
      <c r="G1262" t="s">
        <v>114</v>
      </c>
      <c r="H1262" t="s">
        <v>433</v>
      </c>
      <c r="I1262" t="s">
        <v>32</v>
      </c>
      <c r="J1262" t="s">
        <v>78</v>
      </c>
      <c r="K1262">
        <f t="shared" si="3881"/>
        <v>0</v>
      </c>
      <c r="L1262">
        <f t="shared" si="3882"/>
        <v>1</v>
      </c>
      <c r="M1262">
        <f t="shared" si="3883"/>
        <v>1</v>
      </c>
      <c r="N1262">
        <f t="shared" si="3884"/>
        <v>0</v>
      </c>
      <c r="O1262">
        <f t="shared" si="3885"/>
        <v>2</v>
      </c>
      <c r="P1262" t="str">
        <f t="shared" si="3886"/>
        <v>Medium centralized biomass gasification-Maturity</v>
      </c>
      <c r="Q1262" t="str">
        <f t="shared" si="3887"/>
        <v>Central gas storage-Maturity</v>
      </c>
      <c r="R1262" t="str">
        <f t="shared" si="3888"/>
        <v>Onsite-Maturity</v>
      </c>
      <c r="S1262" t="str">
        <f t="shared" si="3889"/>
        <v>Hydrogen turbine (OC)-Maturity</v>
      </c>
      <c r="T1262">
        <f ca="1">VLOOKUP($P1262,'TA database'!$I$8:$J$79,2,FALSE)</f>
        <v>6</v>
      </c>
      <c r="U1262">
        <f ca="1">VLOOKUP($Q1262,'TA database'!$I$86:$J$105,2,FALSE)</f>
        <v>9</v>
      </c>
      <c r="V1262">
        <f ca="1">VLOOKUP($R1262,'TA database'!$I$112:$J$139,2,FALSE)</f>
        <v>9</v>
      </c>
      <c r="W1262">
        <f>IFERROR(VLOOKUP($S1262,'TA database'!$I$146:$J$193,2,FALSE),0)</f>
        <v>0</v>
      </c>
      <c r="X1262">
        <f ca="1">IFERROR(VLOOKUP($S1262,'TA database'!$I$200:$J$271,2,FALSE),0)</f>
        <v>7</v>
      </c>
      <c r="Y1262">
        <f t="shared" ca="1" si="3890"/>
        <v>6</v>
      </c>
      <c r="Z1262" t="str">
        <f t="shared" si="3891"/>
        <v>BIO_GSF_MED_C   →   C_GAS_STRG   →   ONSITE_USE   →   H2_OCGT_PWR</v>
      </c>
      <c r="AA1262" t="str">
        <f t="shared" si="3892"/>
        <v>Grid electricity</v>
      </c>
      <c r="AB1262" t="str">
        <f t="shared" si="3893"/>
        <v>Maturity</v>
      </c>
      <c r="AC1262">
        <f t="shared" ca="1" si="3894"/>
        <v>6</v>
      </c>
      <c r="AD1262">
        <v>1203</v>
      </c>
      <c r="AE1262" t="str">
        <f>IF(AND(ISNUMBER(SEARCH(O1262,4)),ISNUMBER(SEARCH('(4) FCH pathway assessment'!$B$16,AB1262)),ISNUMBER(SEARCH('(4) FCH pathway assessment'!$B$10,AA1262))),AD1262,"")</f>
        <v/>
      </c>
      <c r="AF1262" t="str">
        <f t="shared" si="3726"/>
        <v/>
      </c>
      <c r="AG1262" t="str">
        <f>VLOOKUP(C1262,Assumptions!$B$116:$C$162,2,FALSE)</f>
        <v>BIO_GSF_MED_C</v>
      </c>
      <c r="AH1262" t="str">
        <f>VLOOKUP(D1262,Assumptions!$B$116:$C$162,2,FALSE)</f>
        <v>C_GAS_STRG</v>
      </c>
      <c r="AI1262" t="str">
        <f>VLOOKUP(E1262,Assumptions!$B$116:$C$162,2,FALSE)</f>
        <v>ONSITE_USE</v>
      </c>
      <c r="AJ1262" t="str">
        <f>VLOOKUP(F1262,Assumptions!$B$116:$C$162,2,FALSE)</f>
        <v>H2_OCGT_PWR</v>
      </c>
    </row>
    <row r="1263" spans="2:36" x14ac:dyDescent="0.25">
      <c r="B1263" t="s">
        <v>117</v>
      </c>
      <c r="C1263" t="s">
        <v>54</v>
      </c>
      <c r="D1263" t="s">
        <v>155</v>
      </c>
      <c r="E1263" t="s">
        <v>157</v>
      </c>
      <c r="F1263" t="s">
        <v>162</v>
      </c>
      <c r="G1263" t="s">
        <v>114</v>
      </c>
      <c r="H1263" t="s">
        <v>433</v>
      </c>
      <c r="I1263" t="s">
        <v>32</v>
      </c>
      <c r="J1263" t="s">
        <v>78</v>
      </c>
      <c r="K1263">
        <f t="shared" ref="K1263:K1267" si="3895">SUMPRODUCT(($C$7:$C$18=$C1263)*($D$6:$H$6=$D1263)*($D$7:$H$18))</f>
        <v>0</v>
      </c>
      <c r="L1263">
        <f t="shared" ref="L1263:L1267" si="3896">SUMPRODUCT(($C$19:$C$23=$D1263)*($I$6:$O$6=$E1263)*($I$19:$O$23))</f>
        <v>1</v>
      </c>
      <c r="M1263">
        <f t="shared" ref="M1263:M1267" si="3897">SUMPRODUCT(($C$24:$C$30=$E1263)*($P$6:$AI$6=$F1263)*($P$24:$AI$30))</f>
        <v>0</v>
      </c>
      <c r="N1263">
        <f t="shared" ref="N1263:N1267" si="3898">SUMPRODUCT(($C$31:$C$50=$F1263)*($AJ$6:$AM$6=$G1263)*($AJ$31:$AM$50))</f>
        <v>0</v>
      </c>
      <c r="O1263">
        <f t="shared" ref="O1263:O1267" si="3899">K1263+L1263+M1263+N1263</f>
        <v>1</v>
      </c>
      <c r="P1263" t="str">
        <f t="shared" ref="P1263:P1267" si="3900">CONCATENATE(C1263,"-",J1263)</f>
        <v>Medium centralized biomass gasification w/ CCS-Maturity</v>
      </c>
      <c r="Q1263" t="str">
        <f t="shared" ref="Q1263:Q1267" si="3901">CONCATENATE(D1263,"-",J1263)</f>
        <v>Central gas storage-Maturity</v>
      </c>
      <c r="R1263" t="str">
        <f t="shared" ref="R1263:R1267" si="3902">CONCATENATE(E1263,"-",J1263)</f>
        <v>Blending in natural gas pipeline-Maturity</v>
      </c>
      <c r="S1263" t="str">
        <f t="shared" ref="S1263:S1267" si="3903">CONCATENATE(F1263,"-",J1263)</f>
        <v>Hydrogen turbine (OC)-Maturity</v>
      </c>
      <c r="T1263">
        <f ca="1">VLOOKUP($P1263,'TA database'!$I$8:$J$79,2,FALSE)</f>
        <v>6</v>
      </c>
      <c r="U1263">
        <f ca="1">VLOOKUP($Q1263,'TA database'!$I$86:$J$105,2,FALSE)</f>
        <v>9</v>
      </c>
      <c r="V1263">
        <f ca="1">VLOOKUP($R1263,'TA database'!$I$112:$J$139,2,FALSE)</f>
        <v>7</v>
      </c>
      <c r="W1263">
        <f>IFERROR(VLOOKUP($S1263,'TA database'!$I$146:$J$193,2,FALSE),0)</f>
        <v>0</v>
      </c>
      <c r="X1263">
        <f ca="1">IFERROR(VLOOKUP($S1263,'TA database'!$I$200:$J$271,2,FALSE),0)</f>
        <v>7</v>
      </c>
      <c r="Y1263">
        <f t="shared" ca="1" si="3890"/>
        <v>6</v>
      </c>
      <c r="Z1263" t="str">
        <f t="shared" ref="Z1263:Z1267" si="3904">CONCATENATE(AG1263,"   →   ",AH1263,"   →   ",AI1263,"   →   ",AJ1263)</f>
        <v>BIO_GSF_CCS_MED_C   →   C_GAS_STRG   →   H2_BLND_NG_P   →   H2_OCGT_PWR</v>
      </c>
      <c r="AA1263" t="str">
        <f t="shared" ref="AA1263:AA1267" si="3905">G1263</f>
        <v>Grid electricity</v>
      </c>
      <c r="AB1263" t="str">
        <f t="shared" ref="AB1263:AB1267" si="3906">J1263</f>
        <v>Maturity</v>
      </c>
      <c r="AC1263">
        <f t="shared" ref="AC1263:AC1267" ca="1" si="3907">Y1263</f>
        <v>6</v>
      </c>
      <c r="AD1263">
        <v>1204</v>
      </c>
      <c r="AE1263" t="str">
        <f>IF(AND(ISNUMBER(SEARCH(O1263,4)),ISNUMBER(SEARCH('(4) FCH pathway assessment'!$B$16,AB1263)),ISNUMBER(SEARCH('(4) FCH pathway assessment'!$B$10,AA1263))),AD1263,"")</f>
        <v/>
      </c>
      <c r="AF1263" t="str">
        <f t="shared" si="3726"/>
        <v/>
      </c>
      <c r="AG1263" t="str">
        <f>VLOOKUP(C1263,Assumptions!$B$116:$C$162,2,FALSE)</f>
        <v>BIO_GSF_CCS_MED_C</v>
      </c>
      <c r="AH1263" t="str">
        <f>VLOOKUP(D1263,Assumptions!$B$116:$C$162,2,FALSE)</f>
        <v>C_GAS_STRG</v>
      </c>
      <c r="AI1263" t="str">
        <f>VLOOKUP(E1263,Assumptions!$B$116:$C$162,2,FALSE)</f>
        <v>H2_BLND_NG_P</v>
      </c>
      <c r="AJ1263" t="str">
        <f>VLOOKUP(F1263,Assumptions!$B$116:$C$162,2,FALSE)</f>
        <v>H2_OCGT_PWR</v>
      </c>
    </row>
    <row r="1264" spans="2:36" x14ac:dyDescent="0.25">
      <c r="B1264" t="s">
        <v>117</v>
      </c>
      <c r="C1264" t="s">
        <v>54</v>
      </c>
      <c r="D1264" t="s">
        <v>155</v>
      </c>
      <c r="E1264" t="s">
        <v>122</v>
      </c>
      <c r="F1264" t="s">
        <v>162</v>
      </c>
      <c r="G1264" t="s">
        <v>114</v>
      </c>
      <c r="H1264" t="s">
        <v>433</v>
      </c>
      <c r="I1264" t="s">
        <v>32</v>
      </c>
      <c r="J1264" t="s">
        <v>78</v>
      </c>
      <c r="K1264">
        <f t="shared" si="3895"/>
        <v>0</v>
      </c>
      <c r="L1264">
        <f t="shared" si="3896"/>
        <v>1</v>
      </c>
      <c r="M1264">
        <f t="shared" si="3897"/>
        <v>1</v>
      </c>
      <c r="N1264">
        <f t="shared" si="3898"/>
        <v>0</v>
      </c>
      <c r="O1264">
        <f t="shared" si="3899"/>
        <v>2</v>
      </c>
      <c r="P1264" t="str">
        <f t="shared" si="3900"/>
        <v>Medium centralized biomass gasification w/ CCS-Maturity</v>
      </c>
      <c r="Q1264" t="str">
        <f t="shared" si="3901"/>
        <v>Central gas storage-Maturity</v>
      </c>
      <c r="R1264" t="str">
        <f t="shared" si="3902"/>
        <v>Hydrogen transmission &amp; distribution pipeline-Maturity</v>
      </c>
      <c r="S1264" t="str">
        <f t="shared" si="3903"/>
        <v>Hydrogen turbine (OC)-Maturity</v>
      </c>
      <c r="T1264">
        <f ca="1">VLOOKUP($P1264,'TA database'!$I$8:$J$79,2,FALSE)</f>
        <v>6</v>
      </c>
      <c r="U1264">
        <f ca="1">VLOOKUP($Q1264,'TA database'!$I$86:$J$105,2,FALSE)</f>
        <v>9</v>
      </c>
      <c r="V1264">
        <f ca="1">VLOOKUP($R1264,'TA database'!$I$112:$J$139,2,FALSE)</f>
        <v>9</v>
      </c>
      <c r="W1264">
        <f>IFERROR(VLOOKUP($S1264,'TA database'!$I$146:$J$193,2,FALSE),0)</f>
        <v>0</v>
      </c>
      <c r="X1264">
        <f ca="1">IFERROR(VLOOKUP($S1264,'TA database'!$I$200:$J$271,2,FALSE),0)</f>
        <v>7</v>
      </c>
      <c r="Y1264">
        <f t="shared" ca="1" si="3890"/>
        <v>6</v>
      </c>
      <c r="Z1264" t="str">
        <f t="shared" si="3904"/>
        <v>BIO_GSF_CCS_MED_C   →   C_GAS_STRG   →   H2_T&amp;D_P   →   H2_OCGT_PWR</v>
      </c>
      <c r="AA1264" t="str">
        <f t="shared" si="3905"/>
        <v>Grid electricity</v>
      </c>
      <c r="AB1264" t="str">
        <f t="shared" si="3906"/>
        <v>Maturity</v>
      </c>
      <c r="AC1264">
        <f t="shared" ca="1" si="3907"/>
        <v>6</v>
      </c>
      <c r="AD1264">
        <v>1205</v>
      </c>
      <c r="AE1264" t="str">
        <f>IF(AND(ISNUMBER(SEARCH(O1264,4)),ISNUMBER(SEARCH('(4) FCH pathway assessment'!$B$16,AB1264)),ISNUMBER(SEARCH('(4) FCH pathway assessment'!$B$10,AA1264))),AD1264,"")</f>
        <v/>
      </c>
      <c r="AF1264" t="str">
        <f t="shared" si="3726"/>
        <v/>
      </c>
      <c r="AG1264" t="str">
        <f>VLOOKUP(C1264,Assumptions!$B$116:$C$162,2,FALSE)</f>
        <v>BIO_GSF_CCS_MED_C</v>
      </c>
      <c r="AH1264" t="str">
        <f>VLOOKUP(D1264,Assumptions!$B$116:$C$162,2,FALSE)</f>
        <v>C_GAS_STRG</v>
      </c>
      <c r="AI1264" t="str">
        <f>VLOOKUP(E1264,Assumptions!$B$116:$C$162,2,FALSE)</f>
        <v>H2_T&amp;D_P</v>
      </c>
      <c r="AJ1264" t="str">
        <f>VLOOKUP(F1264,Assumptions!$B$116:$C$162,2,FALSE)</f>
        <v>H2_OCGT_PWR</v>
      </c>
    </row>
    <row r="1265" spans="2:36" x14ac:dyDescent="0.25">
      <c r="B1265" t="s">
        <v>117</v>
      </c>
      <c r="C1265" t="s">
        <v>54</v>
      </c>
      <c r="D1265" t="s">
        <v>155</v>
      </c>
      <c r="E1265" t="s">
        <v>116</v>
      </c>
      <c r="F1265" t="s">
        <v>162</v>
      </c>
      <c r="G1265" t="s">
        <v>114</v>
      </c>
      <c r="H1265" t="s">
        <v>433</v>
      </c>
      <c r="I1265" t="s">
        <v>32</v>
      </c>
      <c r="J1265" t="s">
        <v>78</v>
      </c>
      <c r="K1265">
        <f t="shared" si="3895"/>
        <v>0</v>
      </c>
      <c r="L1265">
        <f t="shared" si="3896"/>
        <v>1</v>
      </c>
      <c r="M1265">
        <f t="shared" si="3897"/>
        <v>1</v>
      </c>
      <c r="N1265">
        <f t="shared" si="3898"/>
        <v>0</v>
      </c>
      <c r="O1265">
        <f t="shared" si="3899"/>
        <v>2</v>
      </c>
      <c r="P1265" t="str">
        <f t="shared" si="3900"/>
        <v>Medium centralized biomass gasification w/ CCS-Maturity</v>
      </c>
      <c r="Q1265" t="str">
        <f t="shared" si="3901"/>
        <v>Central gas storage-Maturity</v>
      </c>
      <c r="R1265" t="str">
        <f t="shared" si="3902"/>
        <v>Liquid hydrogen truck-Maturity</v>
      </c>
      <c r="S1265" t="str">
        <f t="shared" si="3903"/>
        <v>Hydrogen turbine (OC)-Maturity</v>
      </c>
      <c r="T1265">
        <f ca="1">VLOOKUP($P1265,'TA database'!$I$8:$J$79,2,FALSE)</f>
        <v>6</v>
      </c>
      <c r="U1265">
        <f ca="1">VLOOKUP($Q1265,'TA database'!$I$86:$J$105,2,FALSE)</f>
        <v>9</v>
      </c>
      <c r="V1265">
        <f ca="1">VLOOKUP($R1265,'TA database'!$I$112:$J$139,2,FALSE)</f>
        <v>9</v>
      </c>
      <c r="W1265">
        <f>IFERROR(VLOOKUP($S1265,'TA database'!$I$146:$J$193,2,FALSE),0)</f>
        <v>0</v>
      </c>
      <c r="X1265">
        <f ca="1">IFERROR(VLOOKUP($S1265,'TA database'!$I$200:$J$271,2,FALSE),0)</f>
        <v>7</v>
      </c>
      <c r="Y1265">
        <f t="shared" ca="1" si="3890"/>
        <v>6</v>
      </c>
      <c r="Z1265" t="str">
        <f t="shared" si="3904"/>
        <v>BIO_GSF_CCS_MED_C   →   C_GAS_STRG   →   LQ_TRUCK   →   H2_OCGT_PWR</v>
      </c>
      <c r="AA1265" t="str">
        <f t="shared" si="3905"/>
        <v>Grid electricity</v>
      </c>
      <c r="AB1265" t="str">
        <f t="shared" si="3906"/>
        <v>Maturity</v>
      </c>
      <c r="AC1265">
        <f t="shared" ca="1" si="3907"/>
        <v>6</v>
      </c>
      <c r="AD1265">
        <v>1206</v>
      </c>
      <c r="AE1265" t="str">
        <f>IF(AND(ISNUMBER(SEARCH(O1265,4)),ISNUMBER(SEARCH('(4) FCH pathway assessment'!$B$16,AB1265)),ISNUMBER(SEARCH('(4) FCH pathway assessment'!$B$10,AA1265))),AD1265,"")</f>
        <v/>
      </c>
      <c r="AF1265" t="str">
        <f t="shared" si="3726"/>
        <v/>
      </c>
      <c r="AG1265" t="str">
        <f>VLOOKUP(C1265,Assumptions!$B$116:$C$162,2,FALSE)</f>
        <v>BIO_GSF_CCS_MED_C</v>
      </c>
      <c r="AH1265" t="str">
        <f>VLOOKUP(D1265,Assumptions!$B$116:$C$162,2,FALSE)</f>
        <v>C_GAS_STRG</v>
      </c>
      <c r="AI1265" t="str">
        <f>VLOOKUP(E1265,Assumptions!$B$116:$C$162,2,FALSE)</f>
        <v>LQ_TRUCK</v>
      </c>
      <c r="AJ1265" t="str">
        <f>VLOOKUP(F1265,Assumptions!$B$116:$C$162,2,FALSE)</f>
        <v>H2_OCGT_PWR</v>
      </c>
    </row>
    <row r="1266" spans="2:36" x14ac:dyDescent="0.25">
      <c r="B1266" t="s">
        <v>117</v>
      </c>
      <c r="C1266" t="s">
        <v>54</v>
      </c>
      <c r="D1266" t="s">
        <v>155</v>
      </c>
      <c r="E1266" t="s">
        <v>66</v>
      </c>
      <c r="F1266" t="s">
        <v>162</v>
      </c>
      <c r="G1266" t="s">
        <v>114</v>
      </c>
      <c r="H1266" t="s">
        <v>433</v>
      </c>
      <c r="I1266" t="s">
        <v>32</v>
      </c>
      <c r="J1266" t="s">
        <v>78</v>
      </c>
      <c r="K1266">
        <f t="shared" si="3895"/>
        <v>0</v>
      </c>
      <c r="L1266">
        <f t="shared" si="3896"/>
        <v>1</v>
      </c>
      <c r="M1266">
        <f t="shared" si="3897"/>
        <v>1</v>
      </c>
      <c r="N1266">
        <f t="shared" si="3898"/>
        <v>0</v>
      </c>
      <c r="O1266">
        <f t="shared" si="3899"/>
        <v>2</v>
      </c>
      <c r="P1266" t="str">
        <f t="shared" si="3900"/>
        <v>Medium centralized biomass gasification w/ CCS-Maturity</v>
      </c>
      <c r="Q1266" t="str">
        <f t="shared" si="3901"/>
        <v>Central gas storage-Maturity</v>
      </c>
      <c r="R1266" t="str">
        <f t="shared" si="3902"/>
        <v>Onsite-Maturity</v>
      </c>
      <c r="S1266" t="str">
        <f t="shared" si="3903"/>
        <v>Hydrogen turbine (OC)-Maturity</v>
      </c>
      <c r="T1266">
        <f ca="1">VLOOKUP($P1266,'TA database'!$I$8:$J$79,2,FALSE)</f>
        <v>6</v>
      </c>
      <c r="U1266">
        <f ca="1">VLOOKUP($Q1266,'TA database'!$I$86:$J$105,2,FALSE)</f>
        <v>9</v>
      </c>
      <c r="V1266">
        <f ca="1">VLOOKUP($R1266,'TA database'!$I$112:$J$139,2,FALSE)</f>
        <v>9</v>
      </c>
      <c r="W1266">
        <f>IFERROR(VLOOKUP($S1266,'TA database'!$I$146:$J$193,2,FALSE),0)</f>
        <v>0</v>
      </c>
      <c r="X1266">
        <f ca="1">IFERROR(VLOOKUP($S1266,'TA database'!$I$200:$J$271,2,FALSE),0)</f>
        <v>7</v>
      </c>
      <c r="Y1266">
        <f t="shared" ca="1" si="3890"/>
        <v>6</v>
      </c>
      <c r="Z1266" t="str">
        <f t="shared" si="3904"/>
        <v>BIO_GSF_CCS_MED_C   →   C_GAS_STRG   →   ONSITE_USE   →   H2_OCGT_PWR</v>
      </c>
      <c r="AA1266" t="str">
        <f t="shared" si="3905"/>
        <v>Grid electricity</v>
      </c>
      <c r="AB1266" t="str">
        <f t="shared" si="3906"/>
        <v>Maturity</v>
      </c>
      <c r="AC1266">
        <f t="shared" ca="1" si="3907"/>
        <v>6</v>
      </c>
      <c r="AD1266">
        <v>1207</v>
      </c>
      <c r="AE1266" t="str">
        <f>IF(AND(ISNUMBER(SEARCH(O1266,4)),ISNUMBER(SEARCH('(4) FCH pathway assessment'!$B$16,AB1266)),ISNUMBER(SEARCH('(4) FCH pathway assessment'!$B$10,AA1266))),AD1266,"")</f>
        <v/>
      </c>
      <c r="AF1266" t="str">
        <f t="shared" si="3726"/>
        <v/>
      </c>
      <c r="AG1266" t="str">
        <f>VLOOKUP(C1266,Assumptions!$B$116:$C$162,2,FALSE)</f>
        <v>BIO_GSF_CCS_MED_C</v>
      </c>
      <c r="AH1266" t="str">
        <f>VLOOKUP(D1266,Assumptions!$B$116:$C$162,2,FALSE)</f>
        <v>C_GAS_STRG</v>
      </c>
      <c r="AI1266" t="str">
        <f>VLOOKUP(E1266,Assumptions!$B$116:$C$162,2,FALSE)</f>
        <v>ONSITE_USE</v>
      </c>
      <c r="AJ1266" t="str">
        <f>VLOOKUP(F1266,Assumptions!$B$116:$C$162,2,FALSE)</f>
        <v>H2_OCGT_PWR</v>
      </c>
    </row>
    <row r="1267" spans="2:36" x14ac:dyDescent="0.25">
      <c r="B1267" t="s">
        <v>117</v>
      </c>
      <c r="C1267" t="s">
        <v>55</v>
      </c>
      <c r="D1267" s="60" t="s">
        <v>130</v>
      </c>
      <c r="E1267" t="s">
        <v>66</v>
      </c>
      <c r="F1267" t="s">
        <v>162</v>
      </c>
      <c r="G1267" t="s">
        <v>114</v>
      </c>
      <c r="H1267" t="s">
        <v>433</v>
      </c>
      <c r="I1267" t="s">
        <v>32</v>
      </c>
      <c r="J1267" t="s">
        <v>78</v>
      </c>
      <c r="K1267">
        <f t="shared" si="3895"/>
        <v>0</v>
      </c>
      <c r="L1267">
        <f t="shared" si="3896"/>
        <v>1</v>
      </c>
      <c r="M1267">
        <f t="shared" si="3897"/>
        <v>1</v>
      </c>
      <c r="N1267">
        <f t="shared" si="3898"/>
        <v>0</v>
      </c>
      <c r="O1267">
        <f t="shared" si="3899"/>
        <v>2</v>
      </c>
      <c r="P1267" t="str">
        <f t="shared" si="3900"/>
        <v>Small decentralized biomass gasification-Maturity</v>
      </c>
      <c r="Q1267" t="str">
        <f t="shared" si="3901"/>
        <v>Distributed gas storage-Maturity</v>
      </c>
      <c r="R1267" t="str">
        <f t="shared" si="3902"/>
        <v>Onsite-Maturity</v>
      </c>
      <c r="S1267" t="str">
        <f t="shared" si="3903"/>
        <v>Hydrogen turbine (OC)-Maturity</v>
      </c>
      <c r="T1267">
        <f ca="1">VLOOKUP($P1267,'TA database'!$I$8:$J$79,2,FALSE)</f>
        <v>6</v>
      </c>
      <c r="U1267">
        <f ca="1">VLOOKUP($Q1267,'TA database'!$I$86:$J$105,2,FALSE)</f>
        <v>9</v>
      </c>
      <c r="V1267">
        <f ca="1">VLOOKUP($R1267,'TA database'!$I$112:$J$139,2,FALSE)</f>
        <v>9</v>
      </c>
      <c r="W1267">
        <f>IFERROR(VLOOKUP($S1267,'TA database'!$I$146:$J$193,2,FALSE),0)</f>
        <v>0</v>
      </c>
      <c r="X1267">
        <f ca="1">IFERROR(VLOOKUP($S1267,'TA database'!$I$200:$J$271,2,FALSE),0)</f>
        <v>7</v>
      </c>
      <c r="Y1267">
        <f t="shared" ref="Y1267:Y1271" ca="1" si="3908">IF($W1267=0,MIN($T1267:$V1267,$X1267),MIN($T1267:$W1267))</f>
        <v>6</v>
      </c>
      <c r="Z1267" t="str">
        <f t="shared" si="3904"/>
        <v>BIO_GSF_SML_D   →   D_GAS_STRG   →   ONSITE_USE   →   H2_OCGT_PWR</v>
      </c>
      <c r="AA1267" t="str">
        <f t="shared" si="3905"/>
        <v>Grid electricity</v>
      </c>
      <c r="AB1267" t="str">
        <f t="shared" si="3906"/>
        <v>Maturity</v>
      </c>
      <c r="AC1267">
        <f t="shared" ca="1" si="3907"/>
        <v>6</v>
      </c>
      <c r="AD1267">
        <v>1208</v>
      </c>
      <c r="AE1267" t="str">
        <f>IF(AND(ISNUMBER(SEARCH(O1267,4)),ISNUMBER(SEARCH('(4) FCH pathway assessment'!$B$16,AB1267)),ISNUMBER(SEARCH('(4) FCH pathway assessment'!$B$10,AA1267))),AD1267,"")</f>
        <v/>
      </c>
      <c r="AF1267" t="str">
        <f t="shared" si="3726"/>
        <v/>
      </c>
      <c r="AG1267" t="str">
        <f>VLOOKUP(C1267,Assumptions!$B$116:$C$162,2,FALSE)</f>
        <v>BIO_GSF_SML_D</v>
      </c>
      <c r="AH1267" t="str">
        <f>VLOOKUP(D1267,Assumptions!$B$116:$C$162,2,FALSE)</f>
        <v>D_GAS_STRG</v>
      </c>
      <c r="AI1267" t="str">
        <f>VLOOKUP(E1267,Assumptions!$B$116:$C$162,2,FALSE)</f>
        <v>ONSITE_USE</v>
      </c>
      <c r="AJ1267" t="str">
        <f>VLOOKUP(F1267,Assumptions!$B$116:$C$162,2,FALSE)</f>
        <v>H2_OCGT_PWR</v>
      </c>
    </row>
    <row r="1268" spans="2:36" x14ac:dyDescent="0.25">
      <c r="B1268" t="s">
        <v>117</v>
      </c>
      <c r="C1268" t="s">
        <v>56</v>
      </c>
      <c r="D1268" t="s">
        <v>62</v>
      </c>
      <c r="E1268" t="s">
        <v>157</v>
      </c>
      <c r="F1268" t="s">
        <v>162</v>
      </c>
      <c r="G1268" t="s">
        <v>114</v>
      </c>
      <c r="H1268" t="s">
        <v>433</v>
      </c>
      <c r="I1268" t="s">
        <v>32</v>
      </c>
      <c r="J1268" t="s">
        <v>78</v>
      </c>
      <c r="K1268">
        <f t="shared" ref="K1268:K1280" si="3909">SUMPRODUCT(($C$7:$C$18=$C1268)*($D$6:$H$6=$D1268)*($D$7:$H$18))</f>
        <v>0</v>
      </c>
      <c r="L1268">
        <f t="shared" ref="L1268:L1280" si="3910">SUMPRODUCT(($C$19:$C$23=$D1268)*($I$6:$O$6=$E1268)*($I$19:$O$23))</f>
        <v>0</v>
      </c>
      <c r="M1268">
        <f t="shared" ref="M1268:M1280" si="3911">SUMPRODUCT(($C$24:$C$30=$E1268)*($P$6:$AI$6=$F1268)*($P$24:$AI$30))</f>
        <v>0</v>
      </c>
      <c r="N1268">
        <f t="shared" ref="N1268:N1280" si="3912">SUMPRODUCT(($C$31:$C$50=$F1268)*($AJ$6:$AM$6=$G1268)*($AJ$31:$AM$50))</f>
        <v>0</v>
      </c>
      <c r="O1268">
        <f t="shared" ref="O1268:O1280" si="3913">K1268+L1268+M1268+N1268</f>
        <v>0</v>
      </c>
      <c r="P1268" t="str">
        <f t="shared" ref="P1268:P1280" si="3914">CONCATENATE(C1268,"-",J1268)</f>
        <v>Large centralized biomass steam reforming -Maturity</v>
      </c>
      <c r="Q1268" t="str">
        <f t="shared" ref="Q1268:Q1280" si="3915">CONCATENATE(D1268,"-",J1268)</f>
        <v>Underground storage-Maturity</v>
      </c>
      <c r="R1268" t="str">
        <f t="shared" ref="R1268:R1280" si="3916">CONCATENATE(E1268,"-",J1268)</f>
        <v>Blending in natural gas pipeline-Maturity</v>
      </c>
      <c r="S1268" t="str">
        <f t="shared" ref="S1268:S1280" si="3917">CONCATENATE(F1268,"-",J1268)</f>
        <v>Hydrogen turbine (OC)-Maturity</v>
      </c>
      <c r="T1268">
        <f ca="1">VLOOKUP($P1268,'TA database'!$I$8:$J$79,2,FALSE)</f>
        <v>6</v>
      </c>
      <c r="U1268">
        <f ca="1">VLOOKUP($Q1268,'TA database'!$I$86:$J$105,2,FALSE)</f>
        <v>6</v>
      </c>
      <c r="V1268">
        <f ca="1">VLOOKUP($R1268,'TA database'!$I$112:$J$139,2,FALSE)</f>
        <v>7</v>
      </c>
      <c r="W1268">
        <f>IFERROR(VLOOKUP($S1268,'TA database'!$I$146:$J$193,2,FALSE),0)</f>
        <v>0</v>
      </c>
      <c r="X1268">
        <f ca="1">IFERROR(VLOOKUP($S1268,'TA database'!$I$200:$J$271,2,FALSE),0)</f>
        <v>7</v>
      </c>
      <c r="Y1268">
        <f t="shared" ca="1" si="3908"/>
        <v>6</v>
      </c>
      <c r="Z1268" t="str">
        <f t="shared" ref="Z1268:Z1280" si="3918">CONCATENATE(AG1268,"   →   ",AH1268,"   →   ",AI1268,"   →   ",AJ1268)</f>
        <v>BIO_SR_LRG_C   →   C_UNDRGRND_STRG   →   H2_BLND_NG_P   →   H2_OCGT_PWR</v>
      </c>
      <c r="AA1268" t="str">
        <f t="shared" ref="AA1268:AA1280" si="3919">G1268</f>
        <v>Grid electricity</v>
      </c>
      <c r="AB1268" t="str">
        <f t="shared" ref="AB1268:AB1280" si="3920">J1268</f>
        <v>Maturity</v>
      </c>
      <c r="AC1268">
        <f t="shared" ref="AC1268:AC1280" ca="1" si="3921">Y1268</f>
        <v>6</v>
      </c>
      <c r="AD1268">
        <v>1209</v>
      </c>
      <c r="AE1268" t="str">
        <f>IF(AND(ISNUMBER(SEARCH(O1268,4)),ISNUMBER(SEARCH('(4) FCH pathway assessment'!$B$16,AB1268)),ISNUMBER(SEARCH('(4) FCH pathway assessment'!$B$10,AA1268))),AD1268,"")</f>
        <v/>
      </c>
      <c r="AF1268" t="str">
        <f t="shared" si="3726"/>
        <v/>
      </c>
      <c r="AG1268" t="str">
        <f>VLOOKUP(C1268,Assumptions!$B$116:$C$162,2,FALSE)</f>
        <v>BIO_SR_LRG_C</v>
      </c>
      <c r="AH1268" t="str">
        <f>VLOOKUP(D1268,Assumptions!$B$116:$C$162,2,FALSE)</f>
        <v>C_UNDRGRND_STRG</v>
      </c>
      <c r="AI1268" t="str">
        <f>VLOOKUP(E1268,Assumptions!$B$116:$C$162,2,FALSE)</f>
        <v>H2_BLND_NG_P</v>
      </c>
      <c r="AJ1268" t="str">
        <f>VLOOKUP(F1268,Assumptions!$B$116:$C$162,2,FALSE)</f>
        <v>H2_OCGT_PWR</v>
      </c>
    </row>
    <row r="1269" spans="2:36" x14ac:dyDescent="0.25">
      <c r="B1269" t="s">
        <v>117</v>
      </c>
      <c r="C1269" t="s">
        <v>56</v>
      </c>
      <c r="D1269" t="s">
        <v>62</v>
      </c>
      <c r="E1269" t="s">
        <v>122</v>
      </c>
      <c r="F1269" t="s">
        <v>162</v>
      </c>
      <c r="G1269" t="s">
        <v>114</v>
      </c>
      <c r="H1269" t="s">
        <v>433</v>
      </c>
      <c r="I1269" t="s">
        <v>32</v>
      </c>
      <c r="J1269" t="s">
        <v>78</v>
      </c>
      <c r="K1269">
        <f t="shared" si="3909"/>
        <v>0</v>
      </c>
      <c r="L1269">
        <f t="shared" si="3910"/>
        <v>0</v>
      </c>
      <c r="M1269">
        <f t="shared" si="3911"/>
        <v>1</v>
      </c>
      <c r="N1269">
        <f t="shared" si="3912"/>
        <v>0</v>
      </c>
      <c r="O1269">
        <f t="shared" si="3913"/>
        <v>1</v>
      </c>
      <c r="P1269" t="str">
        <f t="shared" si="3914"/>
        <v>Large centralized biomass steam reforming -Maturity</v>
      </c>
      <c r="Q1269" t="str">
        <f t="shared" si="3915"/>
        <v>Underground storage-Maturity</v>
      </c>
      <c r="R1269" t="str">
        <f t="shared" si="3916"/>
        <v>Hydrogen transmission &amp; distribution pipeline-Maturity</v>
      </c>
      <c r="S1269" t="str">
        <f t="shared" si="3917"/>
        <v>Hydrogen turbine (OC)-Maturity</v>
      </c>
      <c r="T1269">
        <f ca="1">VLOOKUP($P1269,'TA database'!$I$8:$J$79,2,FALSE)</f>
        <v>6</v>
      </c>
      <c r="U1269">
        <f ca="1">VLOOKUP($Q1269,'TA database'!$I$86:$J$105,2,FALSE)</f>
        <v>6</v>
      </c>
      <c r="V1269">
        <f ca="1">VLOOKUP($R1269,'TA database'!$I$112:$J$139,2,FALSE)</f>
        <v>9</v>
      </c>
      <c r="W1269">
        <f>IFERROR(VLOOKUP($S1269,'TA database'!$I$146:$J$193,2,FALSE),0)</f>
        <v>0</v>
      </c>
      <c r="X1269">
        <f ca="1">IFERROR(VLOOKUP($S1269,'TA database'!$I$200:$J$271,2,FALSE),0)</f>
        <v>7</v>
      </c>
      <c r="Y1269">
        <f t="shared" ca="1" si="3908"/>
        <v>6</v>
      </c>
      <c r="Z1269" t="str">
        <f t="shared" si="3918"/>
        <v>BIO_SR_LRG_C   →   C_UNDRGRND_STRG   →   H2_T&amp;D_P   →   H2_OCGT_PWR</v>
      </c>
      <c r="AA1269" t="str">
        <f t="shared" si="3919"/>
        <v>Grid electricity</v>
      </c>
      <c r="AB1269" t="str">
        <f t="shared" si="3920"/>
        <v>Maturity</v>
      </c>
      <c r="AC1269">
        <f t="shared" ca="1" si="3921"/>
        <v>6</v>
      </c>
      <c r="AD1269">
        <v>1210</v>
      </c>
      <c r="AE1269" t="str">
        <f>IF(AND(ISNUMBER(SEARCH(O1269,4)),ISNUMBER(SEARCH('(4) FCH pathway assessment'!$B$16,AB1269)),ISNUMBER(SEARCH('(4) FCH pathway assessment'!$B$10,AA1269))),AD1269,"")</f>
        <v/>
      </c>
      <c r="AF1269" t="str">
        <f t="shared" si="3726"/>
        <v/>
      </c>
      <c r="AG1269" t="str">
        <f>VLOOKUP(C1269,Assumptions!$B$116:$C$162,2,FALSE)</f>
        <v>BIO_SR_LRG_C</v>
      </c>
      <c r="AH1269" t="str">
        <f>VLOOKUP(D1269,Assumptions!$B$116:$C$162,2,FALSE)</f>
        <v>C_UNDRGRND_STRG</v>
      </c>
      <c r="AI1269" t="str">
        <f>VLOOKUP(E1269,Assumptions!$B$116:$C$162,2,FALSE)</f>
        <v>H2_T&amp;D_P</v>
      </c>
      <c r="AJ1269" t="str">
        <f>VLOOKUP(F1269,Assumptions!$B$116:$C$162,2,FALSE)</f>
        <v>H2_OCGT_PWR</v>
      </c>
    </row>
    <row r="1270" spans="2:36" x14ac:dyDescent="0.25">
      <c r="B1270" t="s">
        <v>117</v>
      </c>
      <c r="C1270" t="s">
        <v>56</v>
      </c>
      <c r="D1270" t="s">
        <v>62</v>
      </c>
      <c r="E1270" t="s">
        <v>116</v>
      </c>
      <c r="F1270" t="s">
        <v>162</v>
      </c>
      <c r="G1270" t="s">
        <v>114</v>
      </c>
      <c r="H1270" t="s">
        <v>433</v>
      </c>
      <c r="I1270" t="s">
        <v>32</v>
      </c>
      <c r="J1270" t="s">
        <v>78</v>
      </c>
      <c r="K1270">
        <f t="shared" si="3909"/>
        <v>0</v>
      </c>
      <c r="L1270">
        <f t="shared" si="3910"/>
        <v>0</v>
      </c>
      <c r="M1270">
        <f t="shared" si="3911"/>
        <v>1</v>
      </c>
      <c r="N1270">
        <f t="shared" si="3912"/>
        <v>0</v>
      </c>
      <c r="O1270">
        <f t="shared" si="3913"/>
        <v>1</v>
      </c>
      <c r="P1270" t="str">
        <f t="shared" si="3914"/>
        <v>Large centralized biomass steam reforming -Maturity</v>
      </c>
      <c r="Q1270" t="str">
        <f t="shared" si="3915"/>
        <v>Underground storage-Maturity</v>
      </c>
      <c r="R1270" t="str">
        <f t="shared" si="3916"/>
        <v>Liquid hydrogen truck-Maturity</v>
      </c>
      <c r="S1270" t="str">
        <f t="shared" si="3917"/>
        <v>Hydrogen turbine (OC)-Maturity</v>
      </c>
      <c r="T1270">
        <f ca="1">VLOOKUP($P1270,'TA database'!$I$8:$J$79,2,FALSE)</f>
        <v>6</v>
      </c>
      <c r="U1270">
        <f ca="1">VLOOKUP($Q1270,'TA database'!$I$86:$J$105,2,FALSE)</f>
        <v>6</v>
      </c>
      <c r="V1270">
        <f ca="1">VLOOKUP($R1270,'TA database'!$I$112:$J$139,2,FALSE)</f>
        <v>9</v>
      </c>
      <c r="W1270">
        <f>IFERROR(VLOOKUP($S1270,'TA database'!$I$146:$J$193,2,FALSE),0)</f>
        <v>0</v>
      </c>
      <c r="X1270">
        <f ca="1">IFERROR(VLOOKUP($S1270,'TA database'!$I$200:$J$271,2,FALSE),0)</f>
        <v>7</v>
      </c>
      <c r="Y1270">
        <f t="shared" ca="1" si="3908"/>
        <v>6</v>
      </c>
      <c r="Z1270" t="str">
        <f t="shared" si="3918"/>
        <v>BIO_SR_LRG_C   →   C_UNDRGRND_STRG   →   LQ_TRUCK   →   H2_OCGT_PWR</v>
      </c>
      <c r="AA1270" t="str">
        <f t="shared" si="3919"/>
        <v>Grid electricity</v>
      </c>
      <c r="AB1270" t="str">
        <f t="shared" si="3920"/>
        <v>Maturity</v>
      </c>
      <c r="AC1270">
        <f t="shared" ca="1" si="3921"/>
        <v>6</v>
      </c>
      <c r="AD1270">
        <v>1211</v>
      </c>
      <c r="AE1270" t="str">
        <f>IF(AND(ISNUMBER(SEARCH(O1270,4)),ISNUMBER(SEARCH('(4) FCH pathway assessment'!$B$16,AB1270)),ISNUMBER(SEARCH('(4) FCH pathway assessment'!$B$10,AA1270))),AD1270,"")</f>
        <v/>
      </c>
      <c r="AF1270" t="str">
        <f t="shared" si="3726"/>
        <v/>
      </c>
      <c r="AG1270" t="str">
        <f>VLOOKUP(C1270,Assumptions!$B$116:$C$162,2,FALSE)</f>
        <v>BIO_SR_LRG_C</v>
      </c>
      <c r="AH1270" t="str">
        <f>VLOOKUP(D1270,Assumptions!$B$116:$C$162,2,FALSE)</f>
        <v>C_UNDRGRND_STRG</v>
      </c>
      <c r="AI1270" t="str">
        <f>VLOOKUP(E1270,Assumptions!$B$116:$C$162,2,FALSE)</f>
        <v>LQ_TRUCK</v>
      </c>
      <c r="AJ1270" t="str">
        <f>VLOOKUP(F1270,Assumptions!$B$116:$C$162,2,FALSE)</f>
        <v>H2_OCGT_PWR</v>
      </c>
    </row>
    <row r="1271" spans="2:36" x14ac:dyDescent="0.25">
      <c r="B1271" t="s">
        <v>117</v>
      </c>
      <c r="C1271" t="s">
        <v>56</v>
      </c>
      <c r="D1271" t="s">
        <v>62</v>
      </c>
      <c r="E1271" t="s">
        <v>66</v>
      </c>
      <c r="F1271" t="s">
        <v>162</v>
      </c>
      <c r="G1271" t="s">
        <v>114</v>
      </c>
      <c r="H1271" t="s">
        <v>433</v>
      </c>
      <c r="I1271" t="s">
        <v>32</v>
      </c>
      <c r="J1271" t="s">
        <v>78</v>
      </c>
      <c r="K1271">
        <f t="shared" si="3909"/>
        <v>0</v>
      </c>
      <c r="L1271">
        <f t="shared" si="3910"/>
        <v>0</v>
      </c>
      <c r="M1271">
        <f t="shared" si="3911"/>
        <v>1</v>
      </c>
      <c r="N1271">
        <f t="shared" si="3912"/>
        <v>0</v>
      </c>
      <c r="O1271">
        <f t="shared" si="3913"/>
        <v>1</v>
      </c>
      <c r="P1271" t="str">
        <f t="shared" si="3914"/>
        <v>Large centralized biomass steam reforming -Maturity</v>
      </c>
      <c r="Q1271" t="str">
        <f t="shared" si="3915"/>
        <v>Underground storage-Maturity</v>
      </c>
      <c r="R1271" t="str">
        <f t="shared" si="3916"/>
        <v>Onsite-Maturity</v>
      </c>
      <c r="S1271" t="str">
        <f t="shared" si="3917"/>
        <v>Hydrogen turbine (OC)-Maturity</v>
      </c>
      <c r="T1271">
        <f ca="1">VLOOKUP($P1271,'TA database'!$I$8:$J$79,2,FALSE)</f>
        <v>6</v>
      </c>
      <c r="U1271">
        <f ca="1">VLOOKUP($Q1271,'TA database'!$I$86:$J$105,2,FALSE)</f>
        <v>6</v>
      </c>
      <c r="V1271">
        <f ca="1">VLOOKUP($R1271,'TA database'!$I$112:$J$139,2,FALSE)</f>
        <v>9</v>
      </c>
      <c r="W1271">
        <f>IFERROR(VLOOKUP($S1271,'TA database'!$I$146:$J$193,2,FALSE),0)</f>
        <v>0</v>
      </c>
      <c r="X1271">
        <f ca="1">IFERROR(VLOOKUP($S1271,'TA database'!$I$200:$J$271,2,FALSE),0)</f>
        <v>7</v>
      </c>
      <c r="Y1271">
        <f t="shared" ca="1" si="3908"/>
        <v>6</v>
      </c>
      <c r="Z1271" t="str">
        <f t="shared" si="3918"/>
        <v>BIO_SR_LRG_C   →   C_UNDRGRND_STRG   →   ONSITE_USE   →   H2_OCGT_PWR</v>
      </c>
      <c r="AA1271" t="str">
        <f t="shared" si="3919"/>
        <v>Grid electricity</v>
      </c>
      <c r="AB1271" t="str">
        <f t="shared" si="3920"/>
        <v>Maturity</v>
      </c>
      <c r="AC1271">
        <f t="shared" ca="1" si="3921"/>
        <v>6</v>
      </c>
      <c r="AD1271">
        <v>1212</v>
      </c>
      <c r="AE1271" t="str">
        <f>IF(AND(ISNUMBER(SEARCH(O1271,4)),ISNUMBER(SEARCH('(4) FCH pathway assessment'!$B$16,AB1271)),ISNUMBER(SEARCH('(4) FCH pathway assessment'!$B$10,AA1271))),AD1271,"")</f>
        <v/>
      </c>
      <c r="AF1271" t="str">
        <f t="shared" si="3726"/>
        <v/>
      </c>
      <c r="AG1271" t="str">
        <f>VLOOKUP(C1271,Assumptions!$B$116:$C$162,2,FALSE)</f>
        <v>BIO_SR_LRG_C</v>
      </c>
      <c r="AH1271" t="str">
        <f>VLOOKUP(D1271,Assumptions!$B$116:$C$162,2,FALSE)</f>
        <v>C_UNDRGRND_STRG</v>
      </c>
      <c r="AI1271" t="str">
        <f>VLOOKUP(E1271,Assumptions!$B$116:$C$162,2,FALSE)</f>
        <v>ONSITE_USE</v>
      </c>
      <c r="AJ1271" t="str">
        <f>VLOOKUP(F1271,Assumptions!$B$116:$C$162,2,FALSE)</f>
        <v>H2_OCGT_PWR</v>
      </c>
    </row>
    <row r="1272" spans="2:36" x14ac:dyDescent="0.25">
      <c r="B1272" t="s">
        <v>117</v>
      </c>
      <c r="C1272" t="s">
        <v>56</v>
      </c>
      <c r="D1272" s="61" t="s">
        <v>63</v>
      </c>
      <c r="E1272" t="s">
        <v>122</v>
      </c>
      <c r="F1272" t="s">
        <v>162</v>
      </c>
      <c r="G1272" t="s">
        <v>114</v>
      </c>
      <c r="H1272" t="s">
        <v>433</v>
      </c>
      <c r="I1272" t="s">
        <v>32</v>
      </c>
      <c r="J1272" t="s">
        <v>78</v>
      </c>
      <c r="K1272">
        <f t="shared" si="3909"/>
        <v>0</v>
      </c>
      <c r="L1272">
        <f t="shared" si="3910"/>
        <v>1</v>
      </c>
      <c r="M1272">
        <f t="shared" si="3911"/>
        <v>1</v>
      </c>
      <c r="N1272">
        <f t="shared" si="3912"/>
        <v>0</v>
      </c>
      <c r="O1272">
        <f t="shared" si="3913"/>
        <v>2</v>
      </c>
      <c r="P1272" t="str">
        <f t="shared" si="3914"/>
        <v>Large centralized biomass steam reforming -Maturity</v>
      </c>
      <c r="Q1272" t="str">
        <f t="shared" si="3915"/>
        <v>No storage-Maturity</v>
      </c>
      <c r="R1272" t="str">
        <f t="shared" si="3916"/>
        <v>Hydrogen transmission &amp; distribution pipeline-Maturity</v>
      </c>
      <c r="S1272" t="str">
        <f t="shared" si="3917"/>
        <v>Hydrogen turbine (OC)-Maturity</v>
      </c>
      <c r="T1272">
        <f ca="1">VLOOKUP($P1272,'TA database'!$I$8:$J$79,2,FALSE)</f>
        <v>6</v>
      </c>
      <c r="U1272">
        <f ca="1">VLOOKUP($Q1272,'TA database'!$I$86:$J$105,2,FALSE)</f>
        <v>9</v>
      </c>
      <c r="V1272">
        <f ca="1">VLOOKUP($R1272,'TA database'!$I$112:$J$139,2,FALSE)</f>
        <v>9</v>
      </c>
      <c r="W1272">
        <f>IFERROR(VLOOKUP($S1272,'TA database'!$I$146:$J$193,2,FALSE),0)</f>
        <v>0</v>
      </c>
      <c r="X1272">
        <f ca="1">IFERROR(VLOOKUP($S1272,'TA database'!$I$200:$J$271,2,FALSE),0)</f>
        <v>7</v>
      </c>
      <c r="Y1272">
        <f t="shared" ref="Y1272:Y1280" ca="1" si="3922">IF($W1272=0,MIN($T1272:$V1272,$X1272),MIN($T1272:$W1272))</f>
        <v>6</v>
      </c>
      <c r="Z1272" t="str">
        <f t="shared" si="3918"/>
        <v>BIO_SR_LRG_C   →   NO_STRG   →   H2_T&amp;D_P   →   H2_OCGT_PWR</v>
      </c>
      <c r="AA1272" t="str">
        <f t="shared" si="3919"/>
        <v>Grid electricity</v>
      </c>
      <c r="AB1272" t="str">
        <f t="shared" si="3920"/>
        <v>Maturity</v>
      </c>
      <c r="AC1272">
        <f t="shared" ca="1" si="3921"/>
        <v>6</v>
      </c>
      <c r="AD1272">
        <v>1213</v>
      </c>
      <c r="AE1272" t="str">
        <f>IF(AND(ISNUMBER(SEARCH(O1272,4)),ISNUMBER(SEARCH('(4) FCH pathway assessment'!$B$16,AB1272)),ISNUMBER(SEARCH('(4) FCH pathway assessment'!$B$10,AA1272))),AD1272,"")</f>
        <v/>
      </c>
      <c r="AF1272" t="str">
        <f t="shared" si="3726"/>
        <v/>
      </c>
      <c r="AG1272" t="str">
        <f>VLOOKUP(C1272,Assumptions!$B$116:$C$162,2,FALSE)</f>
        <v>BIO_SR_LRG_C</v>
      </c>
      <c r="AH1272" t="str">
        <f>VLOOKUP(D1272,Assumptions!$B$116:$C$162,2,FALSE)</f>
        <v>NO_STRG</v>
      </c>
      <c r="AI1272" t="str">
        <f>VLOOKUP(E1272,Assumptions!$B$116:$C$162,2,FALSE)</f>
        <v>H2_T&amp;D_P</v>
      </c>
      <c r="AJ1272" t="str">
        <f>VLOOKUP(F1272,Assumptions!$B$116:$C$162,2,FALSE)</f>
        <v>H2_OCGT_PWR</v>
      </c>
    </row>
    <row r="1273" spans="2:36" x14ac:dyDescent="0.25">
      <c r="B1273" t="s">
        <v>112</v>
      </c>
      <c r="C1273" t="s">
        <v>49</v>
      </c>
      <c r="D1273" t="s">
        <v>62</v>
      </c>
      <c r="E1273" t="s">
        <v>157</v>
      </c>
      <c r="F1273" t="s">
        <v>162</v>
      </c>
      <c r="G1273" t="s">
        <v>114</v>
      </c>
      <c r="H1273" t="s">
        <v>433</v>
      </c>
      <c r="I1273" t="s">
        <v>32</v>
      </c>
      <c r="J1273" t="s">
        <v>78</v>
      </c>
      <c r="K1273">
        <f t="shared" si="3909"/>
        <v>1</v>
      </c>
      <c r="L1273">
        <f t="shared" si="3910"/>
        <v>0</v>
      </c>
      <c r="M1273">
        <f t="shared" si="3911"/>
        <v>0</v>
      </c>
      <c r="N1273">
        <f t="shared" si="3912"/>
        <v>0</v>
      </c>
      <c r="O1273">
        <f t="shared" si="3913"/>
        <v>1</v>
      </c>
      <c r="P1273" t="str">
        <f t="shared" si="3914"/>
        <v>Large centralized electrolysis-Maturity</v>
      </c>
      <c r="Q1273" t="str">
        <f t="shared" si="3915"/>
        <v>Underground storage-Maturity</v>
      </c>
      <c r="R1273" t="str">
        <f t="shared" si="3916"/>
        <v>Blending in natural gas pipeline-Maturity</v>
      </c>
      <c r="S1273" t="str">
        <f t="shared" si="3917"/>
        <v>Hydrogen turbine (OC)-Maturity</v>
      </c>
      <c r="T1273">
        <f ca="1">VLOOKUP($P1273,'TA database'!$I$8:$J$79,2,FALSE)</f>
        <v>9</v>
      </c>
      <c r="U1273">
        <f ca="1">VLOOKUP($Q1273,'TA database'!$I$86:$J$105,2,FALSE)</f>
        <v>6</v>
      </c>
      <c r="V1273">
        <f ca="1">VLOOKUP($R1273,'TA database'!$I$112:$J$139,2,FALSE)</f>
        <v>7</v>
      </c>
      <c r="W1273">
        <f>IFERROR(VLOOKUP($S1273,'TA database'!$I$146:$J$193,2,FALSE),0)</f>
        <v>0</v>
      </c>
      <c r="X1273">
        <f ca="1">IFERROR(VLOOKUP($S1273,'TA database'!$I$200:$J$271,2,FALSE),0)</f>
        <v>7</v>
      </c>
      <c r="Y1273">
        <f t="shared" ca="1" si="3922"/>
        <v>6</v>
      </c>
      <c r="Z1273" t="str">
        <f t="shared" si="3918"/>
        <v>ELCTRLYZ_LRG_C   →   C_UNDRGRND_STRG   →   H2_BLND_NG_P   →   H2_OCGT_PWR</v>
      </c>
      <c r="AA1273" t="str">
        <f t="shared" si="3919"/>
        <v>Grid electricity</v>
      </c>
      <c r="AB1273" t="str">
        <f t="shared" si="3920"/>
        <v>Maturity</v>
      </c>
      <c r="AC1273">
        <f t="shared" ca="1" si="3921"/>
        <v>6</v>
      </c>
      <c r="AD1273">
        <v>1214</v>
      </c>
      <c r="AE1273" t="str">
        <f>IF(AND(ISNUMBER(SEARCH(O1273,4)),ISNUMBER(SEARCH('(4) FCH pathway assessment'!$B$16,AB1273)),ISNUMBER(SEARCH('(4) FCH pathway assessment'!$B$10,AA1273))),AD1273,"")</f>
        <v/>
      </c>
      <c r="AF1273" t="str">
        <f t="shared" si="3726"/>
        <v/>
      </c>
      <c r="AG1273" t="str">
        <f>VLOOKUP(C1273,Assumptions!$B$116:$C$162,2,FALSE)</f>
        <v>ELCTRLYZ_LRG_C</v>
      </c>
      <c r="AH1273" t="str">
        <f>VLOOKUP(D1273,Assumptions!$B$116:$C$162,2,FALSE)</f>
        <v>C_UNDRGRND_STRG</v>
      </c>
      <c r="AI1273" t="str">
        <f>VLOOKUP(E1273,Assumptions!$B$116:$C$162,2,FALSE)</f>
        <v>H2_BLND_NG_P</v>
      </c>
      <c r="AJ1273" t="str">
        <f>VLOOKUP(F1273,Assumptions!$B$116:$C$162,2,FALSE)</f>
        <v>H2_OCGT_PWR</v>
      </c>
    </row>
    <row r="1274" spans="2:36" x14ac:dyDescent="0.25">
      <c r="B1274" t="s">
        <v>112</v>
      </c>
      <c r="C1274" t="s">
        <v>49</v>
      </c>
      <c r="D1274" t="s">
        <v>62</v>
      </c>
      <c r="E1274" t="s">
        <v>122</v>
      </c>
      <c r="F1274" t="s">
        <v>162</v>
      </c>
      <c r="G1274" t="s">
        <v>114</v>
      </c>
      <c r="H1274" t="s">
        <v>433</v>
      </c>
      <c r="I1274" t="s">
        <v>32</v>
      </c>
      <c r="J1274" t="s">
        <v>78</v>
      </c>
      <c r="K1274">
        <f t="shared" si="3909"/>
        <v>1</v>
      </c>
      <c r="L1274">
        <f t="shared" si="3910"/>
        <v>0</v>
      </c>
      <c r="M1274">
        <f t="shared" si="3911"/>
        <v>1</v>
      </c>
      <c r="N1274">
        <f t="shared" si="3912"/>
        <v>0</v>
      </c>
      <c r="O1274">
        <f t="shared" si="3913"/>
        <v>2</v>
      </c>
      <c r="P1274" t="str">
        <f t="shared" si="3914"/>
        <v>Large centralized electrolysis-Maturity</v>
      </c>
      <c r="Q1274" t="str">
        <f t="shared" si="3915"/>
        <v>Underground storage-Maturity</v>
      </c>
      <c r="R1274" t="str">
        <f t="shared" si="3916"/>
        <v>Hydrogen transmission &amp; distribution pipeline-Maturity</v>
      </c>
      <c r="S1274" t="str">
        <f t="shared" si="3917"/>
        <v>Hydrogen turbine (OC)-Maturity</v>
      </c>
      <c r="T1274">
        <f ca="1">VLOOKUP($P1274,'TA database'!$I$8:$J$79,2,FALSE)</f>
        <v>9</v>
      </c>
      <c r="U1274">
        <f ca="1">VLOOKUP($Q1274,'TA database'!$I$86:$J$105,2,FALSE)</f>
        <v>6</v>
      </c>
      <c r="V1274">
        <f ca="1">VLOOKUP($R1274,'TA database'!$I$112:$J$139,2,FALSE)</f>
        <v>9</v>
      </c>
      <c r="W1274">
        <f>IFERROR(VLOOKUP($S1274,'TA database'!$I$146:$J$193,2,FALSE),0)</f>
        <v>0</v>
      </c>
      <c r="X1274">
        <f ca="1">IFERROR(VLOOKUP($S1274,'TA database'!$I$200:$J$271,2,FALSE),0)</f>
        <v>7</v>
      </c>
      <c r="Y1274">
        <f t="shared" ca="1" si="3922"/>
        <v>6</v>
      </c>
      <c r="Z1274" t="str">
        <f t="shared" si="3918"/>
        <v>ELCTRLYZ_LRG_C   →   C_UNDRGRND_STRG   →   H2_T&amp;D_P   →   H2_OCGT_PWR</v>
      </c>
      <c r="AA1274" t="str">
        <f t="shared" si="3919"/>
        <v>Grid electricity</v>
      </c>
      <c r="AB1274" t="str">
        <f t="shared" si="3920"/>
        <v>Maturity</v>
      </c>
      <c r="AC1274">
        <f t="shared" ca="1" si="3921"/>
        <v>6</v>
      </c>
      <c r="AD1274">
        <v>1215</v>
      </c>
      <c r="AE1274" t="str">
        <f>IF(AND(ISNUMBER(SEARCH(O1274,4)),ISNUMBER(SEARCH('(4) FCH pathway assessment'!$B$16,AB1274)),ISNUMBER(SEARCH('(4) FCH pathway assessment'!$B$10,AA1274))),AD1274,"")</f>
        <v/>
      </c>
      <c r="AF1274" t="str">
        <f t="shared" si="3726"/>
        <v/>
      </c>
      <c r="AG1274" t="str">
        <f>VLOOKUP(C1274,Assumptions!$B$116:$C$162,2,FALSE)</f>
        <v>ELCTRLYZ_LRG_C</v>
      </c>
      <c r="AH1274" t="str">
        <f>VLOOKUP(D1274,Assumptions!$B$116:$C$162,2,FALSE)</f>
        <v>C_UNDRGRND_STRG</v>
      </c>
      <c r="AI1274" t="str">
        <f>VLOOKUP(E1274,Assumptions!$B$116:$C$162,2,FALSE)</f>
        <v>H2_T&amp;D_P</v>
      </c>
      <c r="AJ1274" t="str">
        <f>VLOOKUP(F1274,Assumptions!$B$116:$C$162,2,FALSE)</f>
        <v>H2_OCGT_PWR</v>
      </c>
    </row>
    <row r="1275" spans="2:36" x14ac:dyDescent="0.25">
      <c r="B1275" t="s">
        <v>112</v>
      </c>
      <c r="C1275" t="s">
        <v>49</v>
      </c>
      <c r="D1275" t="s">
        <v>62</v>
      </c>
      <c r="E1275" t="s">
        <v>116</v>
      </c>
      <c r="F1275" t="s">
        <v>162</v>
      </c>
      <c r="G1275" t="s">
        <v>114</v>
      </c>
      <c r="H1275" t="s">
        <v>433</v>
      </c>
      <c r="I1275" t="s">
        <v>32</v>
      </c>
      <c r="J1275" t="s">
        <v>78</v>
      </c>
      <c r="K1275">
        <f t="shared" si="3909"/>
        <v>1</v>
      </c>
      <c r="L1275">
        <f t="shared" si="3910"/>
        <v>0</v>
      </c>
      <c r="M1275">
        <f t="shared" si="3911"/>
        <v>1</v>
      </c>
      <c r="N1275">
        <f t="shared" si="3912"/>
        <v>0</v>
      </c>
      <c r="O1275">
        <f t="shared" si="3913"/>
        <v>2</v>
      </c>
      <c r="P1275" t="str">
        <f t="shared" si="3914"/>
        <v>Large centralized electrolysis-Maturity</v>
      </c>
      <c r="Q1275" t="str">
        <f t="shared" si="3915"/>
        <v>Underground storage-Maturity</v>
      </c>
      <c r="R1275" t="str">
        <f t="shared" si="3916"/>
        <v>Liquid hydrogen truck-Maturity</v>
      </c>
      <c r="S1275" t="str">
        <f t="shared" si="3917"/>
        <v>Hydrogen turbine (OC)-Maturity</v>
      </c>
      <c r="T1275">
        <f ca="1">VLOOKUP($P1275,'TA database'!$I$8:$J$79,2,FALSE)</f>
        <v>9</v>
      </c>
      <c r="U1275">
        <f ca="1">VLOOKUP($Q1275,'TA database'!$I$86:$J$105,2,FALSE)</f>
        <v>6</v>
      </c>
      <c r="V1275">
        <f ca="1">VLOOKUP($R1275,'TA database'!$I$112:$J$139,2,FALSE)</f>
        <v>9</v>
      </c>
      <c r="W1275">
        <f>IFERROR(VLOOKUP($S1275,'TA database'!$I$146:$J$193,2,FALSE),0)</f>
        <v>0</v>
      </c>
      <c r="X1275">
        <f ca="1">IFERROR(VLOOKUP($S1275,'TA database'!$I$200:$J$271,2,FALSE),0)</f>
        <v>7</v>
      </c>
      <c r="Y1275">
        <f t="shared" ca="1" si="3922"/>
        <v>6</v>
      </c>
      <c r="Z1275" t="str">
        <f t="shared" si="3918"/>
        <v>ELCTRLYZ_LRG_C   →   C_UNDRGRND_STRG   →   LQ_TRUCK   →   H2_OCGT_PWR</v>
      </c>
      <c r="AA1275" t="str">
        <f t="shared" si="3919"/>
        <v>Grid electricity</v>
      </c>
      <c r="AB1275" t="str">
        <f t="shared" si="3920"/>
        <v>Maturity</v>
      </c>
      <c r="AC1275">
        <f t="shared" ca="1" si="3921"/>
        <v>6</v>
      </c>
      <c r="AD1275">
        <v>1216</v>
      </c>
      <c r="AE1275" t="str">
        <f>IF(AND(ISNUMBER(SEARCH(O1275,4)),ISNUMBER(SEARCH('(4) FCH pathway assessment'!$B$16,AB1275)),ISNUMBER(SEARCH('(4) FCH pathway assessment'!$B$10,AA1275))),AD1275,"")</f>
        <v/>
      </c>
      <c r="AF1275" t="str">
        <f t="shared" si="3726"/>
        <v/>
      </c>
      <c r="AG1275" t="str">
        <f>VLOOKUP(C1275,Assumptions!$B$116:$C$162,2,FALSE)</f>
        <v>ELCTRLYZ_LRG_C</v>
      </c>
      <c r="AH1275" t="str">
        <f>VLOOKUP(D1275,Assumptions!$B$116:$C$162,2,FALSE)</f>
        <v>C_UNDRGRND_STRG</v>
      </c>
      <c r="AI1275" t="str">
        <f>VLOOKUP(E1275,Assumptions!$B$116:$C$162,2,FALSE)</f>
        <v>LQ_TRUCK</v>
      </c>
      <c r="AJ1275" t="str">
        <f>VLOOKUP(F1275,Assumptions!$B$116:$C$162,2,FALSE)</f>
        <v>H2_OCGT_PWR</v>
      </c>
    </row>
    <row r="1276" spans="2:36" x14ac:dyDescent="0.25">
      <c r="B1276" t="s">
        <v>112</v>
      </c>
      <c r="C1276" t="s">
        <v>49</v>
      </c>
      <c r="D1276" t="s">
        <v>62</v>
      </c>
      <c r="E1276" t="s">
        <v>66</v>
      </c>
      <c r="F1276" t="s">
        <v>162</v>
      </c>
      <c r="G1276" t="s">
        <v>114</v>
      </c>
      <c r="H1276" t="s">
        <v>433</v>
      </c>
      <c r="I1276" t="s">
        <v>32</v>
      </c>
      <c r="J1276" t="s">
        <v>78</v>
      </c>
      <c r="K1276">
        <f t="shared" si="3909"/>
        <v>1</v>
      </c>
      <c r="L1276">
        <f t="shared" si="3910"/>
        <v>0</v>
      </c>
      <c r="M1276">
        <f t="shared" si="3911"/>
        <v>1</v>
      </c>
      <c r="N1276">
        <f t="shared" si="3912"/>
        <v>0</v>
      </c>
      <c r="O1276">
        <f t="shared" si="3913"/>
        <v>2</v>
      </c>
      <c r="P1276" t="str">
        <f t="shared" si="3914"/>
        <v>Large centralized electrolysis-Maturity</v>
      </c>
      <c r="Q1276" t="str">
        <f t="shared" si="3915"/>
        <v>Underground storage-Maturity</v>
      </c>
      <c r="R1276" t="str">
        <f t="shared" si="3916"/>
        <v>Onsite-Maturity</v>
      </c>
      <c r="S1276" t="str">
        <f t="shared" si="3917"/>
        <v>Hydrogen turbine (OC)-Maturity</v>
      </c>
      <c r="T1276">
        <f ca="1">VLOOKUP($P1276,'TA database'!$I$8:$J$79,2,FALSE)</f>
        <v>9</v>
      </c>
      <c r="U1276">
        <f ca="1">VLOOKUP($Q1276,'TA database'!$I$86:$J$105,2,FALSE)</f>
        <v>6</v>
      </c>
      <c r="V1276">
        <f ca="1">VLOOKUP($R1276,'TA database'!$I$112:$J$139,2,FALSE)</f>
        <v>9</v>
      </c>
      <c r="W1276">
        <f>IFERROR(VLOOKUP($S1276,'TA database'!$I$146:$J$193,2,FALSE),0)</f>
        <v>0</v>
      </c>
      <c r="X1276">
        <f ca="1">IFERROR(VLOOKUP($S1276,'TA database'!$I$200:$J$271,2,FALSE),0)</f>
        <v>7</v>
      </c>
      <c r="Y1276">
        <f t="shared" ca="1" si="3922"/>
        <v>6</v>
      </c>
      <c r="Z1276" t="str">
        <f t="shared" si="3918"/>
        <v>ELCTRLYZ_LRG_C   →   C_UNDRGRND_STRG   →   ONSITE_USE   →   H2_OCGT_PWR</v>
      </c>
      <c r="AA1276" t="str">
        <f t="shared" si="3919"/>
        <v>Grid electricity</v>
      </c>
      <c r="AB1276" t="str">
        <f t="shared" si="3920"/>
        <v>Maturity</v>
      </c>
      <c r="AC1276">
        <f t="shared" ca="1" si="3921"/>
        <v>6</v>
      </c>
      <c r="AD1276">
        <v>1217</v>
      </c>
      <c r="AE1276" t="str">
        <f>IF(AND(ISNUMBER(SEARCH(O1276,4)),ISNUMBER(SEARCH('(4) FCH pathway assessment'!$B$16,AB1276)),ISNUMBER(SEARCH('(4) FCH pathway assessment'!$B$10,AA1276))),AD1276,"")</f>
        <v/>
      </c>
      <c r="AF1276" t="str">
        <f t="shared" ref="AF1276:AF1339" si="3923">IFERROR(SMALL($AE$60:$AE$1991,AD1276),"")</f>
        <v/>
      </c>
      <c r="AG1276" t="str">
        <f>VLOOKUP(C1276,Assumptions!$B$116:$C$162,2,FALSE)</f>
        <v>ELCTRLYZ_LRG_C</v>
      </c>
      <c r="AH1276" t="str">
        <f>VLOOKUP(D1276,Assumptions!$B$116:$C$162,2,FALSE)</f>
        <v>C_UNDRGRND_STRG</v>
      </c>
      <c r="AI1276" t="str">
        <f>VLOOKUP(E1276,Assumptions!$B$116:$C$162,2,FALSE)</f>
        <v>ONSITE_USE</v>
      </c>
      <c r="AJ1276" t="str">
        <f>VLOOKUP(F1276,Assumptions!$B$116:$C$162,2,FALSE)</f>
        <v>H2_OCGT_PWR</v>
      </c>
    </row>
    <row r="1277" spans="2:36" x14ac:dyDescent="0.25">
      <c r="B1277" t="s">
        <v>112</v>
      </c>
      <c r="C1277" t="s">
        <v>49</v>
      </c>
      <c r="D1277" t="s">
        <v>155</v>
      </c>
      <c r="E1277" t="s">
        <v>157</v>
      </c>
      <c r="F1277" t="s">
        <v>162</v>
      </c>
      <c r="G1277" t="s">
        <v>114</v>
      </c>
      <c r="H1277" t="s">
        <v>433</v>
      </c>
      <c r="I1277" t="s">
        <v>32</v>
      </c>
      <c r="J1277" t="s">
        <v>78</v>
      </c>
      <c r="K1277">
        <f t="shared" si="3909"/>
        <v>1</v>
      </c>
      <c r="L1277">
        <f t="shared" si="3910"/>
        <v>1</v>
      </c>
      <c r="M1277">
        <f t="shared" si="3911"/>
        <v>0</v>
      </c>
      <c r="N1277">
        <f t="shared" si="3912"/>
        <v>0</v>
      </c>
      <c r="O1277">
        <f t="shared" si="3913"/>
        <v>2</v>
      </c>
      <c r="P1277" t="str">
        <f t="shared" si="3914"/>
        <v>Large centralized electrolysis-Maturity</v>
      </c>
      <c r="Q1277" t="str">
        <f t="shared" si="3915"/>
        <v>Central gas storage-Maturity</v>
      </c>
      <c r="R1277" t="str">
        <f t="shared" si="3916"/>
        <v>Blending in natural gas pipeline-Maturity</v>
      </c>
      <c r="S1277" t="str">
        <f t="shared" si="3917"/>
        <v>Hydrogen turbine (OC)-Maturity</v>
      </c>
      <c r="T1277">
        <f ca="1">VLOOKUP($P1277,'TA database'!$I$8:$J$79,2,FALSE)</f>
        <v>9</v>
      </c>
      <c r="U1277">
        <f ca="1">VLOOKUP($Q1277,'TA database'!$I$86:$J$105,2,FALSE)</f>
        <v>9</v>
      </c>
      <c r="V1277">
        <f ca="1">VLOOKUP($R1277,'TA database'!$I$112:$J$139,2,FALSE)</f>
        <v>7</v>
      </c>
      <c r="W1277">
        <f>IFERROR(VLOOKUP($S1277,'TA database'!$I$146:$J$193,2,FALSE),0)</f>
        <v>0</v>
      </c>
      <c r="X1277">
        <f ca="1">IFERROR(VLOOKUP($S1277,'TA database'!$I$200:$J$271,2,FALSE),0)</f>
        <v>7</v>
      </c>
      <c r="Y1277">
        <f t="shared" ca="1" si="3922"/>
        <v>7</v>
      </c>
      <c r="Z1277" t="str">
        <f t="shared" si="3918"/>
        <v>ELCTRLYZ_LRG_C   →   C_GAS_STRG   →   H2_BLND_NG_P   →   H2_OCGT_PWR</v>
      </c>
      <c r="AA1277" t="str">
        <f t="shared" si="3919"/>
        <v>Grid electricity</v>
      </c>
      <c r="AB1277" t="str">
        <f t="shared" si="3920"/>
        <v>Maturity</v>
      </c>
      <c r="AC1277">
        <f t="shared" ca="1" si="3921"/>
        <v>7</v>
      </c>
      <c r="AD1277">
        <v>1218</v>
      </c>
      <c r="AE1277" t="str">
        <f>IF(AND(ISNUMBER(SEARCH(O1277,4)),ISNUMBER(SEARCH('(4) FCH pathway assessment'!$B$16,AB1277)),ISNUMBER(SEARCH('(4) FCH pathway assessment'!$B$10,AA1277))),AD1277,"")</f>
        <v/>
      </c>
      <c r="AF1277" t="str">
        <f t="shared" si="3923"/>
        <v/>
      </c>
      <c r="AG1277" t="str">
        <f>VLOOKUP(C1277,Assumptions!$B$116:$C$162,2,FALSE)</f>
        <v>ELCTRLYZ_LRG_C</v>
      </c>
      <c r="AH1277" t="str">
        <f>VLOOKUP(D1277,Assumptions!$B$116:$C$162,2,FALSE)</f>
        <v>C_GAS_STRG</v>
      </c>
      <c r="AI1277" t="str">
        <f>VLOOKUP(E1277,Assumptions!$B$116:$C$162,2,FALSE)</f>
        <v>H2_BLND_NG_P</v>
      </c>
      <c r="AJ1277" t="str">
        <f>VLOOKUP(F1277,Assumptions!$B$116:$C$162,2,FALSE)</f>
        <v>H2_OCGT_PWR</v>
      </c>
    </row>
    <row r="1278" spans="2:36" x14ac:dyDescent="0.25">
      <c r="B1278" t="s">
        <v>112</v>
      </c>
      <c r="C1278" t="s">
        <v>49</v>
      </c>
      <c r="D1278" t="s">
        <v>155</v>
      </c>
      <c r="E1278" t="s">
        <v>122</v>
      </c>
      <c r="F1278" t="s">
        <v>162</v>
      </c>
      <c r="G1278" t="s">
        <v>114</v>
      </c>
      <c r="H1278" t="s">
        <v>433</v>
      </c>
      <c r="I1278" t="s">
        <v>32</v>
      </c>
      <c r="J1278" t="s">
        <v>78</v>
      </c>
      <c r="K1278">
        <f t="shared" si="3909"/>
        <v>1</v>
      </c>
      <c r="L1278">
        <f t="shared" si="3910"/>
        <v>1</v>
      </c>
      <c r="M1278">
        <f t="shared" si="3911"/>
        <v>1</v>
      </c>
      <c r="N1278">
        <f t="shared" si="3912"/>
        <v>0</v>
      </c>
      <c r="O1278">
        <f t="shared" si="3913"/>
        <v>3</v>
      </c>
      <c r="P1278" t="str">
        <f t="shared" si="3914"/>
        <v>Large centralized electrolysis-Maturity</v>
      </c>
      <c r="Q1278" t="str">
        <f t="shared" si="3915"/>
        <v>Central gas storage-Maturity</v>
      </c>
      <c r="R1278" t="str">
        <f t="shared" si="3916"/>
        <v>Hydrogen transmission &amp; distribution pipeline-Maturity</v>
      </c>
      <c r="S1278" t="str">
        <f t="shared" si="3917"/>
        <v>Hydrogen turbine (OC)-Maturity</v>
      </c>
      <c r="T1278">
        <f ca="1">VLOOKUP($P1278,'TA database'!$I$8:$J$79,2,FALSE)</f>
        <v>9</v>
      </c>
      <c r="U1278">
        <f ca="1">VLOOKUP($Q1278,'TA database'!$I$86:$J$105,2,FALSE)</f>
        <v>9</v>
      </c>
      <c r="V1278">
        <f ca="1">VLOOKUP($R1278,'TA database'!$I$112:$J$139,2,FALSE)</f>
        <v>9</v>
      </c>
      <c r="W1278">
        <f>IFERROR(VLOOKUP($S1278,'TA database'!$I$146:$J$193,2,FALSE),0)</f>
        <v>0</v>
      </c>
      <c r="X1278">
        <f ca="1">IFERROR(VLOOKUP($S1278,'TA database'!$I$200:$J$271,2,FALSE),0)</f>
        <v>7</v>
      </c>
      <c r="Y1278">
        <f t="shared" ca="1" si="3922"/>
        <v>7</v>
      </c>
      <c r="Z1278" t="str">
        <f t="shared" si="3918"/>
        <v>ELCTRLYZ_LRG_C   →   C_GAS_STRG   →   H2_T&amp;D_P   →   H2_OCGT_PWR</v>
      </c>
      <c r="AA1278" t="str">
        <f t="shared" si="3919"/>
        <v>Grid electricity</v>
      </c>
      <c r="AB1278" t="str">
        <f t="shared" si="3920"/>
        <v>Maturity</v>
      </c>
      <c r="AC1278">
        <f t="shared" ca="1" si="3921"/>
        <v>7</v>
      </c>
      <c r="AD1278">
        <v>1219</v>
      </c>
      <c r="AE1278" t="str">
        <f>IF(AND(ISNUMBER(SEARCH(O1278,4)),ISNUMBER(SEARCH('(4) FCH pathway assessment'!$B$16,AB1278)),ISNUMBER(SEARCH('(4) FCH pathway assessment'!$B$10,AA1278))),AD1278,"")</f>
        <v/>
      </c>
      <c r="AF1278" t="str">
        <f t="shared" si="3923"/>
        <v/>
      </c>
      <c r="AG1278" t="str">
        <f>VLOOKUP(C1278,Assumptions!$B$116:$C$162,2,FALSE)</f>
        <v>ELCTRLYZ_LRG_C</v>
      </c>
      <c r="AH1278" t="str">
        <f>VLOOKUP(D1278,Assumptions!$B$116:$C$162,2,FALSE)</f>
        <v>C_GAS_STRG</v>
      </c>
      <c r="AI1278" t="str">
        <f>VLOOKUP(E1278,Assumptions!$B$116:$C$162,2,FALSE)</f>
        <v>H2_T&amp;D_P</v>
      </c>
      <c r="AJ1278" t="str">
        <f>VLOOKUP(F1278,Assumptions!$B$116:$C$162,2,FALSE)</f>
        <v>H2_OCGT_PWR</v>
      </c>
    </row>
    <row r="1279" spans="2:36" x14ac:dyDescent="0.25">
      <c r="B1279" t="s">
        <v>112</v>
      </c>
      <c r="C1279" t="s">
        <v>49</v>
      </c>
      <c r="D1279" t="s">
        <v>155</v>
      </c>
      <c r="E1279" t="s">
        <v>116</v>
      </c>
      <c r="F1279" t="s">
        <v>162</v>
      </c>
      <c r="G1279" t="s">
        <v>114</v>
      </c>
      <c r="H1279" t="s">
        <v>433</v>
      </c>
      <c r="I1279" t="s">
        <v>32</v>
      </c>
      <c r="J1279" t="s">
        <v>78</v>
      </c>
      <c r="K1279">
        <f t="shared" si="3909"/>
        <v>1</v>
      </c>
      <c r="L1279">
        <f t="shared" si="3910"/>
        <v>1</v>
      </c>
      <c r="M1279">
        <f t="shared" si="3911"/>
        <v>1</v>
      </c>
      <c r="N1279">
        <f t="shared" si="3912"/>
        <v>0</v>
      </c>
      <c r="O1279">
        <f t="shared" si="3913"/>
        <v>3</v>
      </c>
      <c r="P1279" t="str">
        <f t="shared" si="3914"/>
        <v>Large centralized electrolysis-Maturity</v>
      </c>
      <c r="Q1279" t="str">
        <f t="shared" si="3915"/>
        <v>Central gas storage-Maturity</v>
      </c>
      <c r="R1279" t="str">
        <f t="shared" si="3916"/>
        <v>Liquid hydrogen truck-Maturity</v>
      </c>
      <c r="S1279" t="str">
        <f t="shared" si="3917"/>
        <v>Hydrogen turbine (OC)-Maturity</v>
      </c>
      <c r="T1279">
        <f ca="1">VLOOKUP($P1279,'TA database'!$I$8:$J$79,2,FALSE)</f>
        <v>9</v>
      </c>
      <c r="U1279">
        <f ca="1">VLOOKUP($Q1279,'TA database'!$I$86:$J$105,2,FALSE)</f>
        <v>9</v>
      </c>
      <c r="V1279">
        <f ca="1">VLOOKUP($R1279,'TA database'!$I$112:$J$139,2,FALSE)</f>
        <v>9</v>
      </c>
      <c r="W1279">
        <f>IFERROR(VLOOKUP($S1279,'TA database'!$I$146:$J$193,2,FALSE),0)</f>
        <v>0</v>
      </c>
      <c r="X1279">
        <f ca="1">IFERROR(VLOOKUP($S1279,'TA database'!$I$200:$J$271,2,FALSE),0)</f>
        <v>7</v>
      </c>
      <c r="Y1279">
        <f t="shared" ca="1" si="3922"/>
        <v>7</v>
      </c>
      <c r="Z1279" t="str">
        <f t="shared" si="3918"/>
        <v>ELCTRLYZ_LRG_C   →   C_GAS_STRG   →   LQ_TRUCK   →   H2_OCGT_PWR</v>
      </c>
      <c r="AA1279" t="str">
        <f t="shared" si="3919"/>
        <v>Grid electricity</v>
      </c>
      <c r="AB1279" t="str">
        <f t="shared" si="3920"/>
        <v>Maturity</v>
      </c>
      <c r="AC1279">
        <f t="shared" ca="1" si="3921"/>
        <v>7</v>
      </c>
      <c r="AD1279">
        <v>1220</v>
      </c>
      <c r="AE1279" t="str">
        <f>IF(AND(ISNUMBER(SEARCH(O1279,4)),ISNUMBER(SEARCH('(4) FCH pathway assessment'!$B$16,AB1279)),ISNUMBER(SEARCH('(4) FCH pathway assessment'!$B$10,AA1279))),AD1279,"")</f>
        <v/>
      </c>
      <c r="AF1279" t="str">
        <f t="shared" si="3923"/>
        <v/>
      </c>
      <c r="AG1279" t="str">
        <f>VLOOKUP(C1279,Assumptions!$B$116:$C$162,2,FALSE)</f>
        <v>ELCTRLYZ_LRG_C</v>
      </c>
      <c r="AH1279" t="str">
        <f>VLOOKUP(D1279,Assumptions!$B$116:$C$162,2,FALSE)</f>
        <v>C_GAS_STRG</v>
      </c>
      <c r="AI1279" t="str">
        <f>VLOOKUP(E1279,Assumptions!$B$116:$C$162,2,FALSE)</f>
        <v>LQ_TRUCK</v>
      </c>
      <c r="AJ1279" t="str">
        <f>VLOOKUP(F1279,Assumptions!$B$116:$C$162,2,FALSE)</f>
        <v>H2_OCGT_PWR</v>
      </c>
    </row>
    <row r="1280" spans="2:36" x14ac:dyDescent="0.25">
      <c r="B1280" t="s">
        <v>112</v>
      </c>
      <c r="C1280" t="s">
        <v>49</v>
      </c>
      <c r="D1280" t="s">
        <v>155</v>
      </c>
      <c r="E1280" t="s">
        <v>66</v>
      </c>
      <c r="F1280" t="s">
        <v>162</v>
      </c>
      <c r="G1280" t="s">
        <v>114</v>
      </c>
      <c r="H1280" t="s">
        <v>433</v>
      </c>
      <c r="I1280" t="s">
        <v>32</v>
      </c>
      <c r="J1280" t="s">
        <v>78</v>
      </c>
      <c r="K1280">
        <f t="shared" si="3909"/>
        <v>1</v>
      </c>
      <c r="L1280">
        <f t="shared" si="3910"/>
        <v>1</v>
      </c>
      <c r="M1280">
        <f t="shared" si="3911"/>
        <v>1</v>
      </c>
      <c r="N1280">
        <f t="shared" si="3912"/>
        <v>0</v>
      </c>
      <c r="O1280">
        <f t="shared" si="3913"/>
        <v>3</v>
      </c>
      <c r="P1280" t="str">
        <f t="shared" si="3914"/>
        <v>Large centralized electrolysis-Maturity</v>
      </c>
      <c r="Q1280" t="str">
        <f t="shared" si="3915"/>
        <v>Central gas storage-Maturity</v>
      </c>
      <c r="R1280" t="str">
        <f t="shared" si="3916"/>
        <v>Onsite-Maturity</v>
      </c>
      <c r="S1280" t="str">
        <f t="shared" si="3917"/>
        <v>Hydrogen turbine (OC)-Maturity</v>
      </c>
      <c r="T1280">
        <f ca="1">VLOOKUP($P1280,'TA database'!$I$8:$J$79,2,FALSE)</f>
        <v>9</v>
      </c>
      <c r="U1280">
        <f ca="1">VLOOKUP($Q1280,'TA database'!$I$86:$J$105,2,FALSE)</f>
        <v>9</v>
      </c>
      <c r="V1280">
        <f ca="1">VLOOKUP($R1280,'TA database'!$I$112:$J$139,2,FALSE)</f>
        <v>9</v>
      </c>
      <c r="W1280">
        <f>IFERROR(VLOOKUP($S1280,'TA database'!$I$146:$J$193,2,FALSE),0)</f>
        <v>0</v>
      </c>
      <c r="X1280">
        <f ca="1">IFERROR(VLOOKUP($S1280,'TA database'!$I$200:$J$271,2,FALSE),0)</f>
        <v>7</v>
      </c>
      <c r="Y1280">
        <f t="shared" ca="1" si="3922"/>
        <v>7</v>
      </c>
      <c r="Z1280" t="str">
        <f t="shared" si="3918"/>
        <v>ELCTRLYZ_LRG_C   →   C_GAS_STRG   →   ONSITE_USE   →   H2_OCGT_PWR</v>
      </c>
      <c r="AA1280" t="str">
        <f t="shared" si="3919"/>
        <v>Grid electricity</v>
      </c>
      <c r="AB1280" t="str">
        <f t="shared" si="3920"/>
        <v>Maturity</v>
      </c>
      <c r="AC1280">
        <f t="shared" ca="1" si="3921"/>
        <v>7</v>
      </c>
      <c r="AD1280">
        <v>1221</v>
      </c>
      <c r="AE1280" t="str">
        <f>IF(AND(ISNUMBER(SEARCH(O1280,4)),ISNUMBER(SEARCH('(4) FCH pathway assessment'!$B$16,AB1280)),ISNUMBER(SEARCH('(4) FCH pathway assessment'!$B$10,AA1280))),AD1280,"")</f>
        <v/>
      </c>
      <c r="AF1280" t="str">
        <f t="shared" si="3923"/>
        <v/>
      </c>
      <c r="AG1280" t="str">
        <f>VLOOKUP(C1280,Assumptions!$B$116:$C$162,2,FALSE)</f>
        <v>ELCTRLYZ_LRG_C</v>
      </c>
      <c r="AH1280" t="str">
        <f>VLOOKUP(D1280,Assumptions!$B$116:$C$162,2,FALSE)</f>
        <v>C_GAS_STRG</v>
      </c>
      <c r="AI1280" t="str">
        <f>VLOOKUP(E1280,Assumptions!$B$116:$C$162,2,FALSE)</f>
        <v>ONSITE_USE</v>
      </c>
      <c r="AJ1280" t="str">
        <f>VLOOKUP(F1280,Assumptions!$B$116:$C$162,2,FALSE)</f>
        <v>H2_OCGT_PWR</v>
      </c>
    </row>
    <row r="1281" spans="2:36" x14ac:dyDescent="0.25">
      <c r="B1281" t="s">
        <v>112</v>
      </c>
      <c r="C1281" t="s">
        <v>51</v>
      </c>
      <c r="D1281" t="s">
        <v>155</v>
      </c>
      <c r="E1281" t="s">
        <v>157</v>
      </c>
      <c r="F1281" t="s">
        <v>162</v>
      </c>
      <c r="G1281" t="s">
        <v>114</v>
      </c>
      <c r="H1281" t="s">
        <v>433</v>
      </c>
      <c r="I1281" t="s">
        <v>32</v>
      </c>
      <c r="J1281" t="s">
        <v>78</v>
      </c>
      <c r="K1281">
        <f t="shared" ref="K1281:K1284" si="3924">SUMPRODUCT(($C$7:$C$18=$C1281)*($D$6:$H$6=$D1281)*($D$7:$H$18))</f>
        <v>1</v>
      </c>
      <c r="L1281">
        <f t="shared" ref="L1281:L1284" si="3925">SUMPRODUCT(($C$19:$C$23=$D1281)*($I$6:$O$6=$E1281)*($I$19:$O$23))</f>
        <v>1</v>
      </c>
      <c r="M1281">
        <f t="shared" ref="M1281:M1284" si="3926">SUMPRODUCT(($C$24:$C$30=$E1281)*($P$6:$AI$6=$F1281)*($P$24:$AI$30))</f>
        <v>0</v>
      </c>
      <c r="N1281">
        <f t="shared" ref="N1281:N1284" si="3927">SUMPRODUCT(($C$31:$C$50=$F1281)*($AJ$6:$AM$6=$G1281)*($AJ$31:$AM$50))</f>
        <v>0</v>
      </c>
      <c r="O1281">
        <f t="shared" ref="O1281:O1284" si="3928">K1281+L1281+M1281+N1281</f>
        <v>2</v>
      </c>
      <c r="P1281" t="str">
        <f t="shared" ref="P1281:P1284" si="3929">CONCATENATE(C1281,"-",J1281)</f>
        <v>Medium centralized electrolysis-Maturity</v>
      </c>
      <c r="Q1281" t="str">
        <f t="shared" ref="Q1281:Q1284" si="3930">CONCATENATE(D1281,"-",J1281)</f>
        <v>Central gas storage-Maturity</v>
      </c>
      <c r="R1281" t="str">
        <f t="shared" ref="R1281:R1284" si="3931">CONCATENATE(E1281,"-",J1281)</f>
        <v>Blending in natural gas pipeline-Maturity</v>
      </c>
      <c r="S1281" t="str">
        <f t="shared" ref="S1281:S1284" si="3932">CONCATENATE(F1281,"-",J1281)</f>
        <v>Hydrogen turbine (OC)-Maturity</v>
      </c>
      <c r="T1281">
        <f ca="1">VLOOKUP($P1281,'TA database'!$I$8:$J$79,2,FALSE)</f>
        <v>9</v>
      </c>
      <c r="U1281">
        <f ca="1">VLOOKUP($Q1281,'TA database'!$I$86:$J$105,2,FALSE)</f>
        <v>9</v>
      </c>
      <c r="V1281">
        <f ca="1">VLOOKUP($R1281,'TA database'!$I$112:$J$139,2,FALSE)</f>
        <v>7</v>
      </c>
      <c r="W1281">
        <f>IFERROR(VLOOKUP($S1281,'TA database'!$I$146:$J$193,2,FALSE),0)</f>
        <v>0</v>
      </c>
      <c r="X1281">
        <f ca="1">IFERROR(VLOOKUP($S1281,'TA database'!$I$200:$J$271,2,FALSE),0)</f>
        <v>7</v>
      </c>
      <c r="Y1281">
        <f t="shared" ref="Y1281:Y1285" ca="1" si="3933">IF($W1281=0,MIN($T1281:$V1281,$X1281),MIN($T1281:$W1281))</f>
        <v>7</v>
      </c>
      <c r="Z1281" t="str">
        <f t="shared" ref="Z1281:Z1284" si="3934">CONCATENATE(AG1281,"   →   ",AH1281,"   →   ",AI1281,"   →   ",AJ1281)</f>
        <v>ELCTRLYZ_MED_C   →   C_GAS_STRG   →   H2_BLND_NG_P   →   H2_OCGT_PWR</v>
      </c>
      <c r="AA1281" t="str">
        <f t="shared" ref="AA1281:AA1284" si="3935">G1281</f>
        <v>Grid electricity</v>
      </c>
      <c r="AB1281" t="str">
        <f t="shared" ref="AB1281:AB1284" si="3936">J1281</f>
        <v>Maturity</v>
      </c>
      <c r="AC1281">
        <f t="shared" ref="AC1281:AC1284" ca="1" si="3937">Y1281</f>
        <v>7</v>
      </c>
      <c r="AD1281">
        <v>1222</v>
      </c>
      <c r="AE1281" t="str">
        <f>IF(AND(ISNUMBER(SEARCH(O1281,4)),ISNUMBER(SEARCH('(4) FCH pathway assessment'!$B$16,AB1281)),ISNUMBER(SEARCH('(4) FCH pathway assessment'!$B$10,AA1281))),AD1281,"")</f>
        <v/>
      </c>
      <c r="AF1281" t="str">
        <f t="shared" si="3923"/>
        <v/>
      </c>
      <c r="AG1281" t="str">
        <f>VLOOKUP(C1281,Assumptions!$B$116:$C$162,2,FALSE)</f>
        <v>ELCTRLYZ_MED_C</v>
      </c>
      <c r="AH1281" t="str">
        <f>VLOOKUP(D1281,Assumptions!$B$116:$C$162,2,FALSE)</f>
        <v>C_GAS_STRG</v>
      </c>
      <c r="AI1281" t="str">
        <f>VLOOKUP(E1281,Assumptions!$B$116:$C$162,2,FALSE)</f>
        <v>H2_BLND_NG_P</v>
      </c>
      <c r="AJ1281" t="str">
        <f>VLOOKUP(F1281,Assumptions!$B$116:$C$162,2,FALSE)</f>
        <v>H2_OCGT_PWR</v>
      </c>
    </row>
    <row r="1282" spans="2:36" x14ac:dyDescent="0.25">
      <c r="B1282" t="s">
        <v>112</v>
      </c>
      <c r="C1282" t="s">
        <v>51</v>
      </c>
      <c r="D1282" t="s">
        <v>155</v>
      </c>
      <c r="E1282" t="s">
        <v>122</v>
      </c>
      <c r="F1282" t="s">
        <v>162</v>
      </c>
      <c r="G1282" t="s">
        <v>114</v>
      </c>
      <c r="H1282" t="s">
        <v>433</v>
      </c>
      <c r="I1282" t="s">
        <v>32</v>
      </c>
      <c r="J1282" t="s">
        <v>78</v>
      </c>
      <c r="K1282">
        <f t="shared" si="3924"/>
        <v>1</v>
      </c>
      <c r="L1282">
        <f t="shared" si="3925"/>
        <v>1</v>
      </c>
      <c r="M1282">
        <f t="shared" si="3926"/>
        <v>1</v>
      </c>
      <c r="N1282">
        <f t="shared" si="3927"/>
        <v>0</v>
      </c>
      <c r="O1282">
        <f t="shared" si="3928"/>
        <v>3</v>
      </c>
      <c r="P1282" t="str">
        <f t="shared" si="3929"/>
        <v>Medium centralized electrolysis-Maturity</v>
      </c>
      <c r="Q1282" t="str">
        <f t="shared" si="3930"/>
        <v>Central gas storage-Maturity</v>
      </c>
      <c r="R1282" t="str">
        <f t="shared" si="3931"/>
        <v>Hydrogen transmission &amp; distribution pipeline-Maturity</v>
      </c>
      <c r="S1282" t="str">
        <f t="shared" si="3932"/>
        <v>Hydrogen turbine (OC)-Maturity</v>
      </c>
      <c r="T1282">
        <f ca="1">VLOOKUP($P1282,'TA database'!$I$8:$J$79,2,FALSE)</f>
        <v>9</v>
      </c>
      <c r="U1282">
        <f ca="1">VLOOKUP($Q1282,'TA database'!$I$86:$J$105,2,FALSE)</f>
        <v>9</v>
      </c>
      <c r="V1282">
        <f ca="1">VLOOKUP($R1282,'TA database'!$I$112:$J$139,2,FALSE)</f>
        <v>9</v>
      </c>
      <c r="W1282">
        <f>IFERROR(VLOOKUP($S1282,'TA database'!$I$146:$J$193,2,FALSE),0)</f>
        <v>0</v>
      </c>
      <c r="X1282">
        <f ca="1">IFERROR(VLOOKUP($S1282,'TA database'!$I$200:$J$271,2,FALSE),0)</f>
        <v>7</v>
      </c>
      <c r="Y1282">
        <f t="shared" ca="1" si="3933"/>
        <v>7</v>
      </c>
      <c r="Z1282" t="str">
        <f t="shared" si="3934"/>
        <v>ELCTRLYZ_MED_C   →   C_GAS_STRG   →   H2_T&amp;D_P   →   H2_OCGT_PWR</v>
      </c>
      <c r="AA1282" t="str">
        <f t="shared" si="3935"/>
        <v>Grid electricity</v>
      </c>
      <c r="AB1282" t="str">
        <f t="shared" si="3936"/>
        <v>Maturity</v>
      </c>
      <c r="AC1282">
        <f t="shared" ca="1" si="3937"/>
        <v>7</v>
      </c>
      <c r="AD1282">
        <v>1223</v>
      </c>
      <c r="AE1282" t="str">
        <f>IF(AND(ISNUMBER(SEARCH(O1282,4)),ISNUMBER(SEARCH('(4) FCH pathway assessment'!$B$16,AB1282)),ISNUMBER(SEARCH('(4) FCH pathway assessment'!$B$10,AA1282))),AD1282,"")</f>
        <v/>
      </c>
      <c r="AF1282" t="str">
        <f t="shared" si="3923"/>
        <v/>
      </c>
      <c r="AG1282" t="str">
        <f>VLOOKUP(C1282,Assumptions!$B$116:$C$162,2,FALSE)</f>
        <v>ELCTRLYZ_MED_C</v>
      </c>
      <c r="AH1282" t="str">
        <f>VLOOKUP(D1282,Assumptions!$B$116:$C$162,2,FALSE)</f>
        <v>C_GAS_STRG</v>
      </c>
      <c r="AI1282" t="str">
        <f>VLOOKUP(E1282,Assumptions!$B$116:$C$162,2,FALSE)</f>
        <v>H2_T&amp;D_P</v>
      </c>
      <c r="AJ1282" t="str">
        <f>VLOOKUP(F1282,Assumptions!$B$116:$C$162,2,FALSE)</f>
        <v>H2_OCGT_PWR</v>
      </c>
    </row>
    <row r="1283" spans="2:36" x14ac:dyDescent="0.25">
      <c r="B1283" t="s">
        <v>112</v>
      </c>
      <c r="C1283" t="s">
        <v>51</v>
      </c>
      <c r="D1283" t="s">
        <v>155</v>
      </c>
      <c r="E1283" t="s">
        <v>116</v>
      </c>
      <c r="F1283" t="s">
        <v>162</v>
      </c>
      <c r="G1283" t="s">
        <v>114</v>
      </c>
      <c r="H1283" t="s">
        <v>433</v>
      </c>
      <c r="I1283" t="s">
        <v>32</v>
      </c>
      <c r="J1283" t="s">
        <v>78</v>
      </c>
      <c r="K1283">
        <f t="shared" si="3924"/>
        <v>1</v>
      </c>
      <c r="L1283">
        <f t="shared" si="3925"/>
        <v>1</v>
      </c>
      <c r="M1283">
        <f t="shared" si="3926"/>
        <v>1</v>
      </c>
      <c r="N1283">
        <f t="shared" si="3927"/>
        <v>0</v>
      </c>
      <c r="O1283">
        <f t="shared" si="3928"/>
        <v>3</v>
      </c>
      <c r="P1283" t="str">
        <f t="shared" si="3929"/>
        <v>Medium centralized electrolysis-Maturity</v>
      </c>
      <c r="Q1283" t="str">
        <f t="shared" si="3930"/>
        <v>Central gas storage-Maturity</v>
      </c>
      <c r="R1283" t="str">
        <f t="shared" si="3931"/>
        <v>Liquid hydrogen truck-Maturity</v>
      </c>
      <c r="S1283" t="str">
        <f t="shared" si="3932"/>
        <v>Hydrogen turbine (OC)-Maturity</v>
      </c>
      <c r="T1283">
        <f ca="1">VLOOKUP($P1283,'TA database'!$I$8:$J$79,2,FALSE)</f>
        <v>9</v>
      </c>
      <c r="U1283">
        <f ca="1">VLOOKUP($Q1283,'TA database'!$I$86:$J$105,2,FALSE)</f>
        <v>9</v>
      </c>
      <c r="V1283">
        <f ca="1">VLOOKUP($R1283,'TA database'!$I$112:$J$139,2,FALSE)</f>
        <v>9</v>
      </c>
      <c r="W1283">
        <f>IFERROR(VLOOKUP($S1283,'TA database'!$I$146:$J$193,2,FALSE),0)</f>
        <v>0</v>
      </c>
      <c r="X1283">
        <f ca="1">IFERROR(VLOOKUP($S1283,'TA database'!$I$200:$J$271,2,FALSE),0)</f>
        <v>7</v>
      </c>
      <c r="Y1283">
        <f t="shared" ca="1" si="3933"/>
        <v>7</v>
      </c>
      <c r="Z1283" t="str">
        <f t="shared" si="3934"/>
        <v>ELCTRLYZ_MED_C   →   C_GAS_STRG   →   LQ_TRUCK   →   H2_OCGT_PWR</v>
      </c>
      <c r="AA1283" t="str">
        <f t="shared" si="3935"/>
        <v>Grid electricity</v>
      </c>
      <c r="AB1283" t="str">
        <f t="shared" si="3936"/>
        <v>Maturity</v>
      </c>
      <c r="AC1283">
        <f t="shared" ca="1" si="3937"/>
        <v>7</v>
      </c>
      <c r="AD1283">
        <v>1224</v>
      </c>
      <c r="AE1283" t="str">
        <f>IF(AND(ISNUMBER(SEARCH(O1283,4)),ISNUMBER(SEARCH('(4) FCH pathway assessment'!$B$16,AB1283)),ISNUMBER(SEARCH('(4) FCH pathway assessment'!$B$10,AA1283))),AD1283,"")</f>
        <v/>
      </c>
      <c r="AF1283" t="str">
        <f t="shared" si="3923"/>
        <v/>
      </c>
      <c r="AG1283" t="str">
        <f>VLOOKUP(C1283,Assumptions!$B$116:$C$162,2,FALSE)</f>
        <v>ELCTRLYZ_MED_C</v>
      </c>
      <c r="AH1283" t="str">
        <f>VLOOKUP(D1283,Assumptions!$B$116:$C$162,2,FALSE)</f>
        <v>C_GAS_STRG</v>
      </c>
      <c r="AI1283" t="str">
        <f>VLOOKUP(E1283,Assumptions!$B$116:$C$162,2,FALSE)</f>
        <v>LQ_TRUCK</v>
      </c>
      <c r="AJ1283" t="str">
        <f>VLOOKUP(F1283,Assumptions!$B$116:$C$162,2,FALSE)</f>
        <v>H2_OCGT_PWR</v>
      </c>
    </row>
    <row r="1284" spans="2:36" x14ac:dyDescent="0.25">
      <c r="B1284" t="s">
        <v>112</v>
      </c>
      <c r="C1284" t="s">
        <v>51</v>
      </c>
      <c r="D1284" t="s">
        <v>155</v>
      </c>
      <c r="E1284" t="s">
        <v>66</v>
      </c>
      <c r="F1284" t="s">
        <v>162</v>
      </c>
      <c r="G1284" t="s">
        <v>114</v>
      </c>
      <c r="H1284" t="s">
        <v>433</v>
      </c>
      <c r="I1284" t="s">
        <v>32</v>
      </c>
      <c r="J1284" t="s">
        <v>78</v>
      </c>
      <c r="K1284">
        <f t="shared" si="3924"/>
        <v>1</v>
      </c>
      <c r="L1284">
        <f t="shared" si="3925"/>
        <v>1</v>
      </c>
      <c r="M1284">
        <f t="shared" si="3926"/>
        <v>1</v>
      </c>
      <c r="N1284">
        <f t="shared" si="3927"/>
        <v>0</v>
      </c>
      <c r="O1284">
        <f t="shared" si="3928"/>
        <v>3</v>
      </c>
      <c r="P1284" t="str">
        <f t="shared" si="3929"/>
        <v>Medium centralized electrolysis-Maturity</v>
      </c>
      <c r="Q1284" t="str">
        <f t="shared" si="3930"/>
        <v>Central gas storage-Maturity</v>
      </c>
      <c r="R1284" t="str">
        <f t="shared" si="3931"/>
        <v>Onsite-Maturity</v>
      </c>
      <c r="S1284" t="str">
        <f t="shared" si="3932"/>
        <v>Hydrogen turbine (OC)-Maturity</v>
      </c>
      <c r="T1284">
        <f ca="1">VLOOKUP($P1284,'TA database'!$I$8:$J$79,2,FALSE)</f>
        <v>9</v>
      </c>
      <c r="U1284">
        <f ca="1">VLOOKUP($Q1284,'TA database'!$I$86:$J$105,2,FALSE)</f>
        <v>9</v>
      </c>
      <c r="V1284">
        <f ca="1">VLOOKUP($R1284,'TA database'!$I$112:$J$139,2,FALSE)</f>
        <v>9</v>
      </c>
      <c r="W1284">
        <f>IFERROR(VLOOKUP($S1284,'TA database'!$I$146:$J$193,2,FALSE),0)</f>
        <v>0</v>
      </c>
      <c r="X1284">
        <f ca="1">IFERROR(VLOOKUP($S1284,'TA database'!$I$200:$J$271,2,FALSE),0)</f>
        <v>7</v>
      </c>
      <c r="Y1284">
        <f t="shared" ca="1" si="3933"/>
        <v>7</v>
      </c>
      <c r="Z1284" t="str">
        <f t="shared" si="3934"/>
        <v>ELCTRLYZ_MED_C   →   C_GAS_STRG   →   ONSITE_USE   →   H2_OCGT_PWR</v>
      </c>
      <c r="AA1284" t="str">
        <f t="shared" si="3935"/>
        <v>Grid electricity</v>
      </c>
      <c r="AB1284" t="str">
        <f t="shared" si="3936"/>
        <v>Maturity</v>
      </c>
      <c r="AC1284">
        <f t="shared" ca="1" si="3937"/>
        <v>7</v>
      </c>
      <c r="AD1284">
        <v>1225</v>
      </c>
      <c r="AE1284" t="str">
        <f>IF(AND(ISNUMBER(SEARCH(O1284,4)),ISNUMBER(SEARCH('(4) FCH pathway assessment'!$B$16,AB1284)),ISNUMBER(SEARCH('(4) FCH pathway assessment'!$B$10,AA1284))),AD1284,"")</f>
        <v/>
      </c>
      <c r="AF1284" t="str">
        <f t="shared" si="3923"/>
        <v/>
      </c>
      <c r="AG1284" t="str">
        <f>VLOOKUP(C1284,Assumptions!$B$116:$C$162,2,FALSE)</f>
        <v>ELCTRLYZ_MED_C</v>
      </c>
      <c r="AH1284" t="str">
        <f>VLOOKUP(D1284,Assumptions!$B$116:$C$162,2,FALSE)</f>
        <v>C_GAS_STRG</v>
      </c>
      <c r="AI1284" t="str">
        <f>VLOOKUP(E1284,Assumptions!$B$116:$C$162,2,FALSE)</f>
        <v>ONSITE_USE</v>
      </c>
      <c r="AJ1284" t="str">
        <f>VLOOKUP(F1284,Assumptions!$B$116:$C$162,2,FALSE)</f>
        <v>H2_OCGT_PWR</v>
      </c>
    </row>
    <row r="1285" spans="2:36" x14ac:dyDescent="0.25">
      <c r="B1285" t="s">
        <v>112</v>
      </c>
      <c r="C1285" t="s">
        <v>52</v>
      </c>
      <c r="D1285" s="60" t="s">
        <v>130</v>
      </c>
      <c r="E1285" t="s">
        <v>66</v>
      </c>
      <c r="F1285" t="s">
        <v>162</v>
      </c>
      <c r="G1285" t="s">
        <v>114</v>
      </c>
      <c r="H1285" t="s">
        <v>433</v>
      </c>
      <c r="I1285" t="s">
        <v>32</v>
      </c>
      <c r="J1285" t="s">
        <v>78</v>
      </c>
      <c r="K1285">
        <f t="shared" ref="K1285:K1291" si="3938">SUMPRODUCT(($C$7:$C$18=$C1285)*($D$6:$H$6=$D1285)*($D$7:$H$18))</f>
        <v>1</v>
      </c>
      <c r="L1285">
        <f t="shared" ref="L1285:L1291" si="3939">SUMPRODUCT(($C$19:$C$23=$D1285)*($I$6:$O$6=$E1285)*($I$19:$O$23))</f>
        <v>1</v>
      </c>
      <c r="M1285">
        <f t="shared" ref="M1285:M1291" si="3940">SUMPRODUCT(($C$24:$C$30=$E1285)*($P$6:$AI$6=$F1285)*($P$24:$AI$30))</f>
        <v>1</v>
      </c>
      <c r="N1285">
        <f t="shared" ref="N1285:N1291" si="3941">SUMPRODUCT(($C$31:$C$50=$F1285)*($AJ$6:$AM$6=$G1285)*($AJ$31:$AM$50))</f>
        <v>0</v>
      </c>
      <c r="O1285">
        <f t="shared" ref="O1285:O1290" si="3942">K1285+L1285+M1285+N1285</f>
        <v>3</v>
      </c>
      <c r="P1285" t="str">
        <f t="shared" ref="P1285:P1291" si="3943">CONCATENATE(C1285,"-",J1285)</f>
        <v>Small decentralized electrolysis-Maturity</v>
      </c>
      <c r="Q1285" t="str">
        <f t="shared" ref="Q1285:Q1291" si="3944">CONCATENATE(D1285,"-",J1285)</f>
        <v>Distributed gas storage-Maturity</v>
      </c>
      <c r="R1285" t="str">
        <f t="shared" ref="R1285:R1291" si="3945">CONCATENATE(E1285,"-",J1285)</f>
        <v>Onsite-Maturity</v>
      </c>
      <c r="S1285" t="str">
        <f t="shared" ref="S1285:S1291" si="3946">CONCATENATE(F1285,"-",J1285)</f>
        <v>Hydrogen turbine (OC)-Maturity</v>
      </c>
      <c r="T1285">
        <f ca="1">VLOOKUP($P1285,'TA database'!$I$8:$J$79,2,FALSE)</f>
        <v>9</v>
      </c>
      <c r="U1285">
        <f ca="1">VLOOKUP($Q1285,'TA database'!$I$86:$J$105,2,FALSE)</f>
        <v>9</v>
      </c>
      <c r="V1285">
        <f ca="1">VLOOKUP($R1285,'TA database'!$I$112:$J$139,2,FALSE)</f>
        <v>9</v>
      </c>
      <c r="W1285">
        <f>IFERROR(VLOOKUP($S1285,'TA database'!$I$146:$J$193,2,FALSE),0)</f>
        <v>0</v>
      </c>
      <c r="X1285">
        <f ca="1">IFERROR(VLOOKUP($S1285,'TA database'!$I$200:$J$271,2,FALSE),0)</f>
        <v>7</v>
      </c>
      <c r="Y1285">
        <f t="shared" ca="1" si="3933"/>
        <v>7</v>
      </c>
      <c r="Z1285" t="str">
        <f t="shared" ref="Z1285:Z1290" si="3947">CONCATENATE(AG1285,"   →   ",AH1285,"   →   ",AI1285,"   →   ",AJ1285)</f>
        <v>ELCTRLYZ_SML_D   →   D_GAS_STRG   →   ONSITE_USE   →   H2_OCGT_PWR</v>
      </c>
      <c r="AA1285" t="str">
        <f t="shared" ref="AA1285:AA1290" si="3948">G1285</f>
        <v>Grid electricity</v>
      </c>
      <c r="AB1285" t="str">
        <f t="shared" ref="AB1285:AB1290" si="3949">J1285</f>
        <v>Maturity</v>
      </c>
      <c r="AC1285">
        <f t="shared" ref="AC1285:AC1290" ca="1" si="3950">Y1285</f>
        <v>7</v>
      </c>
      <c r="AD1285">
        <v>1226</v>
      </c>
      <c r="AE1285" t="str">
        <f>IF(AND(ISNUMBER(SEARCH(O1285,4)),ISNUMBER(SEARCH('(4) FCH pathway assessment'!$B$16,AB1285)),ISNUMBER(SEARCH('(4) FCH pathway assessment'!$B$10,AA1285))),AD1285,"")</f>
        <v/>
      </c>
      <c r="AF1285" t="str">
        <f t="shared" si="3923"/>
        <v/>
      </c>
      <c r="AG1285" t="str">
        <f>VLOOKUP(C1285,Assumptions!$B$116:$C$162,2,FALSE)</f>
        <v>ELCTRLYZ_SML_D</v>
      </c>
      <c r="AH1285" t="str">
        <f>VLOOKUP(D1285,Assumptions!$B$116:$C$162,2,FALSE)</f>
        <v>D_GAS_STRG</v>
      </c>
      <c r="AI1285" t="str">
        <f>VLOOKUP(E1285,Assumptions!$B$116:$C$162,2,FALSE)</f>
        <v>ONSITE_USE</v>
      </c>
      <c r="AJ1285" t="str">
        <f>VLOOKUP(F1285,Assumptions!$B$116:$C$162,2,FALSE)</f>
        <v>H2_OCGT_PWR</v>
      </c>
    </row>
    <row r="1286" spans="2:36" x14ac:dyDescent="0.25">
      <c r="B1286" t="s">
        <v>127</v>
      </c>
      <c r="C1286" t="s">
        <v>57</v>
      </c>
      <c r="D1286" t="s">
        <v>62</v>
      </c>
      <c r="E1286" t="s">
        <v>157</v>
      </c>
      <c r="F1286" t="s">
        <v>162</v>
      </c>
      <c r="G1286" t="s">
        <v>114</v>
      </c>
      <c r="H1286" t="s">
        <v>433</v>
      </c>
      <c r="I1286" t="s">
        <v>32</v>
      </c>
      <c r="J1286" t="s">
        <v>78</v>
      </c>
      <c r="K1286">
        <f t="shared" si="3938"/>
        <v>1</v>
      </c>
      <c r="L1286">
        <f t="shared" si="3939"/>
        <v>0</v>
      </c>
      <c r="M1286">
        <f t="shared" si="3940"/>
        <v>0</v>
      </c>
      <c r="N1286">
        <f t="shared" si="3941"/>
        <v>0</v>
      </c>
      <c r="O1286">
        <f t="shared" si="3942"/>
        <v>1</v>
      </c>
      <c r="P1286" t="str">
        <f t="shared" si="3943"/>
        <v>Large centralized natural gas steam reforming-Maturity</v>
      </c>
      <c r="Q1286" t="str">
        <f t="shared" si="3944"/>
        <v>Underground storage-Maturity</v>
      </c>
      <c r="R1286" t="str">
        <f t="shared" si="3945"/>
        <v>Blending in natural gas pipeline-Maturity</v>
      </c>
      <c r="S1286" t="str">
        <f t="shared" si="3946"/>
        <v>Hydrogen turbine (OC)-Maturity</v>
      </c>
      <c r="T1286">
        <f ca="1">VLOOKUP($P1286,'TA database'!$I$8:$J$79,2,FALSE)</f>
        <v>9</v>
      </c>
      <c r="U1286">
        <f ca="1">VLOOKUP($Q1286,'TA database'!$I$86:$J$105,2,FALSE)</f>
        <v>6</v>
      </c>
      <c r="V1286">
        <f ca="1">VLOOKUP($R1286,'TA database'!$I$112:$J$139,2,FALSE)</f>
        <v>7</v>
      </c>
      <c r="W1286">
        <f>IFERROR(VLOOKUP($S1286,'TA database'!$I$146:$J$193,2,FALSE),0)</f>
        <v>0</v>
      </c>
      <c r="X1286">
        <f ca="1">IFERROR(VLOOKUP($S1286,'TA database'!$I$200:$J$271,2,FALSE),0)</f>
        <v>7</v>
      </c>
      <c r="Y1286">
        <f t="shared" ref="Y1286:Y1294" ca="1" si="3951">IF($W1286=0,MIN($T1286:$V1286,$X1286),MIN($T1286:$W1286))</f>
        <v>6</v>
      </c>
      <c r="Z1286" t="str">
        <f t="shared" si="3947"/>
        <v>NG_SR_LRG_C   →   C_UNDRGRND_STRG   →   H2_BLND_NG_P   →   H2_OCGT_PWR</v>
      </c>
      <c r="AA1286" t="str">
        <f t="shared" si="3948"/>
        <v>Grid electricity</v>
      </c>
      <c r="AB1286" t="str">
        <f t="shared" si="3949"/>
        <v>Maturity</v>
      </c>
      <c r="AC1286">
        <f t="shared" ca="1" si="3950"/>
        <v>6</v>
      </c>
      <c r="AD1286">
        <v>1227</v>
      </c>
      <c r="AE1286" t="str">
        <f>IF(AND(ISNUMBER(SEARCH(O1286,4)),ISNUMBER(SEARCH('(4) FCH pathway assessment'!$B$16,AB1286)),ISNUMBER(SEARCH('(4) FCH pathway assessment'!$B$10,AA1286))),AD1286,"")</f>
        <v/>
      </c>
      <c r="AF1286" t="str">
        <f t="shared" si="3923"/>
        <v/>
      </c>
      <c r="AG1286" t="str">
        <f>VLOOKUP(C1286,Assumptions!$B$116:$C$162,2,FALSE)</f>
        <v>NG_SR_LRG_C</v>
      </c>
      <c r="AH1286" t="str">
        <f>VLOOKUP(D1286,Assumptions!$B$116:$C$162,2,FALSE)</f>
        <v>C_UNDRGRND_STRG</v>
      </c>
      <c r="AI1286" t="str">
        <f>VLOOKUP(E1286,Assumptions!$B$116:$C$162,2,FALSE)</f>
        <v>H2_BLND_NG_P</v>
      </c>
      <c r="AJ1286" t="str">
        <f>VLOOKUP(F1286,Assumptions!$B$116:$C$162,2,FALSE)</f>
        <v>H2_OCGT_PWR</v>
      </c>
    </row>
    <row r="1287" spans="2:36" x14ac:dyDescent="0.25">
      <c r="B1287" t="s">
        <v>127</v>
      </c>
      <c r="C1287" t="s">
        <v>57</v>
      </c>
      <c r="D1287" t="s">
        <v>62</v>
      </c>
      <c r="E1287" t="s">
        <v>122</v>
      </c>
      <c r="F1287" t="s">
        <v>162</v>
      </c>
      <c r="G1287" t="s">
        <v>114</v>
      </c>
      <c r="H1287" t="s">
        <v>433</v>
      </c>
      <c r="I1287" t="s">
        <v>32</v>
      </c>
      <c r="J1287" t="s">
        <v>78</v>
      </c>
      <c r="K1287">
        <f t="shared" si="3938"/>
        <v>1</v>
      </c>
      <c r="L1287">
        <f t="shared" si="3939"/>
        <v>0</v>
      </c>
      <c r="M1287">
        <f t="shared" si="3940"/>
        <v>1</v>
      </c>
      <c r="N1287">
        <f t="shared" si="3941"/>
        <v>0</v>
      </c>
      <c r="O1287">
        <f t="shared" si="3942"/>
        <v>2</v>
      </c>
      <c r="P1287" t="str">
        <f t="shared" si="3943"/>
        <v>Large centralized natural gas steam reforming-Maturity</v>
      </c>
      <c r="Q1287" t="str">
        <f t="shared" si="3944"/>
        <v>Underground storage-Maturity</v>
      </c>
      <c r="R1287" t="str">
        <f t="shared" si="3945"/>
        <v>Hydrogen transmission &amp; distribution pipeline-Maturity</v>
      </c>
      <c r="S1287" t="str">
        <f t="shared" si="3946"/>
        <v>Hydrogen turbine (OC)-Maturity</v>
      </c>
      <c r="T1287">
        <f ca="1">VLOOKUP($P1287,'TA database'!$I$8:$J$79,2,FALSE)</f>
        <v>9</v>
      </c>
      <c r="U1287">
        <f ca="1">VLOOKUP($Q1287,'TA database'!$I$86:$J$105,2,FALSE)</f>
        <v>6</v>
      </c>
      <c r="V1287">
        <f ca="1">VLOOKUP($R1287,'TA database'!$I$112:$J$139,2,FALSE)</f>
        <v>9</v>
      </c>
      <c r="W1287">
        <f>IFERROR(VLOOKUP($S1287,'TA database'!$I$146:$J$193,2,FALSE),0)</f>
        <v>0</v>
      </c>
      <c r="X1287">
        <f ca="1">IFERROR(VLOOKUP($S1287,'TA database'!$I$200:$J$271,2,FALSE),0)</f>
        <v>7</v>
      </c>
      <c r="Y1287">
        <f t="shared" ca="1" si="3951"/>
        <v>6</v>
      </c>
      <c r="Z1287" t="str">
        <f t="shared" si="3947"/>
        <v>NG_SR_LRG_C   →   C_UNDRGRND_STRG   →   H2_T&amp;D_P   →   H2_OCGT_PWR</v>
      </c>
      <c r="AA1287" t="str">
        <f t="shared" si="3948"/>
        <v>Grid electricity</v>
      </c>
      <c r="AB1287" t="str">
        <f t="shared" si="3949"/>
        <v>Maturity</v>
      </c>
      <c r="AC1287">
        <f t="shared" ca="1" si="3950"/>
        <v>6</v>
      </c>
      <c r="AD1287">
        <v>1228</v>
      </c>
      <c r="AE1287" t="str">
        <f>IF(AND(ISNUMBER(SEARCH(O1287,4)),ISNUMBER(SEARCH('(4) FCH pathway assessment'!$B$16,AB1287)),ISNUMBER(SEARCH('(4) FCH pathway assessment'!$B$10,AA1287))),AD1287,"")</f>
        <v/>
      </c>
      <c r="AF1287" t="str">
        <f t="shared" si="3923"/>
        <v/>
      </c>
      <c r="AG1287" t="str">
        <f>VLOOKUP(C1287,Assumptions!$B$116:$C$162,2,FALSE)</f>
        <v>NG_SR_LRG_C</v>
      </c>
      <c r="AH1287" t="str">
        <f>VLOOKUP(D1287,Assumptions!$B$116:$C$162,2,FALSE)</f>
        <v>C_UNDRGRND_STRG</v>
      </c>
      <c r="AI1287" t="str">
        <f>VLOOKUP(E1287,Assumptions!$B$116:$C$162,2,FALSE)</f>
        <v>H2_T&amp;D_P</v>
      </c>
      <c r="AJ1287" t="str">
        <f>VLOOKUP(F1287,Assumptions!$B$116:$C$162,2,FALSE)</f>
        <v>H2_OCGT_PWR</v>
      </c>
    </row>
    <row r="1288" spans="2:36" x14ac:dyDescent="0.25">
      <c r="B1288" t="s">
        <v>127</v>
      </c>
      <c r="C1288" t="s">
        <v>57</v>
      </c>
      <c r="D1288" t="s">
        <v>62</v>
      </c>
      <c r="E1288" t="s">
        <v>116</v>
      </c>
      <c r="F1288" t="s">
        <v>162</v>
      </c>
      <c r="G1288" t="s">
        <v>114</v>
      </c>
      <c r="H1288" t="s">
        <v>433</v>
      </c>
      <c r="I1288" t="s">
        <v>32</v>
      </c>
      <c r="J1288" t="s">
        <v>78</v>
      </c>
      <c r="K1288">
        <f t="shared" si="3938"/>
        <v>1</v>
      </c>
      <c r="L1288">
        <f t="shared" si="3939"/>
        <v>0</v>
      </c>
      <c r="M1288">
        <f t="shared" si="3940"/>
        <v>1</v>
      </c>
      <c r="N1288">
        <f t="shared" si="3941"/>
        <v>0</v>
      </c>
      <c r="O1288">
        <f t="shared" si="3942"/>
        <v>2</v>
      </c>
      <c r="P1288" t="str">
        <f t="shared" si="3943"/>
        <v>Large centralized natural gas steam reforming-Maturity</v>
      </c>
      <c r="Q1288" t="str">
        <f t="shared" si="3944"/>
        <v>Underground storage-Maturity</v>
      </c>
      <c r="R1288" t="str">
        <f t="shared" si="3945"/>
        <v>Liquid hydrogen truck-Maturity</v>
      </c>
      <c r="S1288" t="str">
        <f t="shared" si="3946"/>
        <v>Hydrogen turbine (OC)-Maturity</v>
      </c>
      <c r="T1288">
        <f ca="1">VLOOKUP($P1288,'TA database'!$I$8:$J$79,2,FALSE)</f>
        <v>9</v>
      </c>
      <c r="U1288">
        <f ca="1">VLOOKUP($Q1288,'TA database'!$I$86:$J$105,2,FALSE)</f>
        <v>6</v>
      </c>
      <c r="V1288">
        <f ca="1">VLOOKUP($R1288,'TA database'!$I$112:$J$139,2,FALSE)</f>
        <v>9</v>
      </c>
      <c r="W1288">
        <f>IFERROR(VLOOKUP($S1288,'TA database'!$I$146:$J$193,2,FALSE),0)</f>
        <v>0</v>
      </c>
      <c r="X1288">
        <f ca="1">IFERROR(VLOOKUP($S1288,'TA database'!$I$200:$J$271,2,FALSE),0)</f>
        <v>7</v>
      </c>
      <c r="Y1288">
        <f t="shared" ca="1" si="3951"/>
        <v>6</v>
      </c>
      <c r="Z1288" t="str">
        <f t="shared" si="3947"/>
        <v>NG_SR_LRG_C   →   C_UNDRGRND_STRG   →   LQ_TRUCK   →   H2_OCGT_PWR</v>
      </c>
      <c r="AA1288" t="str">
        <f t="shared" si="3948"/>
        <v>Grid electricity</v>
      </c>
      <c r="AB1288" t="str">
        <f t="shared" si="3949"/>
        <v>Maturity</v>
      </c>
      <c r="AC1288">
        <f t="shared" ca="1" si="3950"/>
        <v>6</v>
      </c>
      <c r="AD1288">
        <v>1229</v>
      </c>
      <c r="AE1288" t="str">
        <f>IF(AND(ISNUMBER(SEARCH(O1288,4)),ISNUMBER(SEARCH('(4) FCH pathway assessment'!$B$16,AB1288)),ISNUMBER(SEARCH('(4) FCH pathway assessment'!$B$10,AA1288))),AD1288,"")</f>
        <v/>
      </c>
      <c r="AF1288" t="str">
        <f t="shared" si="3923"/>
        <v/>
      </c>
      <c r="AG1288" t="str">
        <f>VLOOKUP(C1288,Assumptions!$B$116:$C$162,2,FALSE)</f>
        <v>NG_SR_LRG_C</v>
      </c>
      <c r="AH1288" t="str">
        <f>VLOOKUP(D1288,Assumptions!$B$116:$C$162,2,FALSE)</f>
        <v>C_UNDRGRND_STRG</v>
      </c>
      <c r="AI1288" t="str">
        <f>VLOOKUP(E1288,Assumptions!$B$116:$C$162,2,FALSE)</f>
        <v>LQ_TRUCK</v>
      </c>
      <c r="AJ1288" t="str">
        <f>VLOOKUP(F1288,Assumptions!$B$116:$C$162,2,FALSE)</f>
        <v>H2_OCGT_PWR</v>
      </c>
    </row>
    <row r="1289" spans="2:36" x14ac:dyDescent="0.25">
      <c r="B1289" t="s">
        <v>127</v>
      </c>
      <c r="C1289" t="s">
        <v>57</v>
      </c>
      <c r="D1289" t="s">
        <v>62</v>
      </c>
      <c r="E1289" t="s">
        <v>66</v>
      </c>
      <c r="F1289" t="s">
        <v>162</v>
      </c>
      <c r="G1289" t="s">
        <v>114</v>
      </c>
      <c r="H1289" t="s">
        <v>433</v>
      </c>
      <c r="I1289" t="s">
        <v>32</v>
      </c>
      <c r="J1289" t="s">
        <v>78</v>
      </c>
      <c r="K1289">
        <f t="shared" si="3938"/>
        <v>1</v>
      </c>
      <c r="L1289">
        <f t="shared" si="3939"/>
        <v>0</v>
      </c>
      <c r="M1289">
        <f t="shared" si="3940"/>
        <v>1</v>
      </c>
      <c r="N1289">
        <f t="shared" si="3941"/>
        <v>0</v>
      </c>
      <c r="O1289">
        <f t="shared" si="3942"/>
        <v>2</v>
      </c>
      <c r="P1289" t="str">
        <f t="shared" si="3943"/>
        <v>Large centralized natural gas steam reforming-Maturity</v>
      </c>
      <c r="Q1289" t="str">
        <f t="shared" si="3944"/>
        <v>Underground storage-Maturity</v>
      </c>
      <c r="R1289" t="str">
        <f t="shared" si="3945"/>
        <v>Onsite-Maturity</v>
      </c>
      <c r="S1289" t="str">
        <f t="shared" si="3946"/>
        <v>Hydrogen turbine (OC)-Maturity</v>
      </c>
      <c r="T1289">
        <f ca="1">VLOOKUP($P1289,'TA database'!$I$8:$J$79,2,FALSE)</f>
        <v>9</v>
      </c>
      <c r="U1289">
        <f ca="1">VLOOKUP($Q1289,'TA database'!$I$86:$J$105,2,FALSE)</f>
        <v>6</v>
      </c>
      <c r="V1289">
        <f ca="1">VLOOKUP($R1289,'TA database'!$I$112:$J$139,2,FALSE)</f>
        <v>9</v>
      </c>
      <c r="W1289">
        <f>IFERROR(VLOOKUP($S1289,'TA database'!$I$146:$J$193,2,FALSE),0)</f>
        <v>0</v>
      </c>
      <c r="X1289">
        <f ca="1">IFERROR(VLOOKUP($S1289,'TA database'!$I$200:$J$271,2,FALSE),0)</f>
        <v>7</v>
      </c>
      <c r="Y1289">
        <f t="shared" ca="1" si="3951"/>
        <v>6</v>
      </c>
      <c r="Z1289" t="str">
        <f t="shared" si="3947"/>
        <v>NG_SR_LRG_C   →   C_UNDRGRND_STRG   →   ONSITE_USE   →   H2_OCGT_PWR</v>
      </c>
      <c r="AA1289" t="str">
        <f t="shared" si="3948"/>
        <v>Grid electricity</v>
      </c>
      <c r="AB1289" t="str">
        <f t="shared" si="3949"/>
        <v>Maturity</v>
      </c>
      <c r="AC1289">
        <f t="shared" ca="1" si="3950"/>
        <v>6</v>
      </c>
      <c r="AD1289">
        <v>1230</v>
      </c>
      <c r="AE1289" t="str">
        <f>IF(AND(ISNUMBER(SEARCH(O1289,4)),ISNUMBER(SEARCH('(4) FCH pathway assessment'!$B$16,AB1289)),ISNUMBER(SEARCH('(4) FCH pathway assessment'!$B$10,AA1289))),AD1289,"")</f>
        <v/>
      </c>
      <c r="AF1289" t="str">
        <f t="shared" si="3923"/>
        <v/>
      </c>
      <c r="AG1289" t="str">
        <f>VLOOKUP(C1289,Assumptions!$B$116:$C$162,2,FALSE)</f>
        <v>NG_SR_LRG_C</v>
      </c>
      <c r="AH1289" t="str">
        <f>VLOOKUP(D1289,Assumptions!$B$116:$C$162,2,FALSE)</f>
        <v>C_UNDRGRND_STRG</v>
      </c>
      <c r="AI1289" t="str">
        <f>VLOOKUP(E1289,Assumptions!$B$116:$C$162,2,FALSE)</f>
        <v>ONSITE_USE</v>
      </c>
      <c r="AJ1289" t="str">
        <f>VLOOKUP(F1289,Assumptions!$B$116:$C$162,2,FALSE)</f>
        <v>H2_OCGT_PWR</v>
      </c>
    </row>
    <row r="1290" spans="2:36" x14ac:dyDescent="0.25">
      <c r="B1290" t="s">
        <v>127</v>
      </c>
      <c r="C1290" t="s">
        <v>57</v>
      </c>
      <c r="D1290" s="61" t="s">
        <v>63</v>
      </c>
      <c r="E1290" t="s">
        <v>122</v>
      </c>
      <c r="F1290" t="s">
        <v>162</v>
      </c>
      <c r="G1290" t="s">
        <v>114</v>
      </c>
      <c r="H1290" t="s">
        <v>433</v>
      </c>
      <c r="I1290" t="s">
        <v>32</v>
      </c>
      <c r="J1290" t="s">
        <v>78</v>
      </c>
      <c r="K1290">
        <f t="shared" si="3938"/>
        <v>1</v>
      </c>
      <c r="L1290">
        <f t="shared" si="3939"/>
        <v>1</v>
      </c>
      <c r="M1290">
        <f t="shared" si="3940"/>
        <v>1</v>
      </c>
      <c r="N1290">
        <f t="shared" si="3941"/>
        <v>0</v>
      </c>
      <c r="O1290">
        <f t="shared" si="3942"/>
        <v>3</v>
      </c>
      <c r="P1290" t="str">
        <f t="shared" si="3943"/>
        <v>Large centralized natural gas steam reforming-Maturity</v>
      </c>
      <c r="Q1290" t="str">
        <f t="shared" si="3944"/>
        <v>No storage-Maturity</v>
      </c>
      <c r="R1290" t="str">
        <f t="shared" si="3945"/>
        <v>Hydrogen transmission &amp; distribution pipeline-Maturity</v>
      </c>
      <c r="S1290" t="str">
        <f t="shared" si="3946"/>
        <v>Hydrogen turbine (OC)-Maturity</v>
      </c>
      <c r="T1290">
        <f ca="1">VLOOKUP($P1290,'TA database'!$I$8:$J$79,2,FALSE)</f>
        <v>9</v>
      </c>
      <c r="U1290">
        <f ca="1">VLOOKUP($Q1290,'TA database'!$I$86:$J$105,2,FALSE)</f>
        <v>9</v>
      </c>
      <c r="V1290">
        <f ca="1">VLOOKUP($R1290,'TA database'!$I$112:$J$139,2,FALSE)</f>
        <v>9</v>
      </c>
      <c r="W1290">
        <f>IFERROR(VLOOKUP($S1290,'TA database'!$I$146:$J$193,2,FALSE),0)</f>
        <v>0</v>
      </c>
      <c r="X1290">
        <f ca="1">IFERROR(VLOOKUP($S1290,'TA database'!$I$200:$J$271,2,FALSE),0)</f>
        <v>7</v>
      </c>
      <c r="Y1290">
        <f t="shared" ca="1" si="3951"/>
        <v>7</v>
      </c>
      <c r="Z1290" t="str">
        <f t="shared" si="3947"/>
        <v>NG_SR_LRG_C   →   NO_STRG   →   H2_T&amp;D_P   →   H2_OCGT_PWR</v>
      </c>
      <c r="AA1290" t="str">
        <f t="shared" si="3948"/>
        <v>Grid electricity</v>
      </c>
      <c r="AB1290" t="str">
        <f t="shared" si="3949"/>
        <v>Maturity</v>
      </c>
      <c r="AC1290">
        <f t="shared" ca="1" si="3950"/>
        <v>7</v>
      </c>
      <c r="AD1290">
        <v>1231</v>
      </c>
      <c r="AE1290" t="str">
        <f>IF(AND(ISNUMBER(SEARCH(O1290,4)),ISNUMBER(SEARCH('(4) FCH pathway assessment'!$B$16,AB1290)),ISNUMBER(SEARCH('(4) FCH pathway assessment'!$B$10,AA1290))),AD1290,"")</f>
        <v/>
      </c>
      <c r="AF1290" t="str">
        <f t="shared" si="3923"/>
        <v/>
      </c>
      <c r="AG1290" t="str">
        <f>VLOOKUP(C1290,Assumptions!$B$116:$C$162,2,FALSE)</f>
        <v>NG_SR_LRG_C</v>
      </c>
      <c r="AH1290" t="str">
        <f>VLOOKUP(D1290,Assumptions!$B$116:$C$162,2,FALSE)</f>
        <v>NO_STRG</v>
      </c>
      <c r="AI1290" t="str">
        <f>VLOOKUP(E1290,Assumptions!$B$116:$C$162,2,FALSE)</f>
        <v>H2_T&amp;D_P</v>
      </c>
      <c r="AJ1290" t="str">
        <f>VLOOKUP(F1290,Assumptions!$B$116:$C$162,2,FALSE)</f>
        <v>H2_OCGT_PWR</v>
      </c>
    </row>
    <row r="1291" spans="2:36" x14ac:dyDescent="0.25">
      <c r="B1291" t="s">
        <v>127</v>
      </c>
      <c r="C1291" t="s">
        <v>58</v>
      </c>
      <c r="D1291" t="s">
        <v>155</v>
      </c>
      <c r="E1291" t="s">
        <v>157</v>
      </c>
      <c r="F1291" t="s">
        <v>162</v>
      </c>
      <c r="G1291" t="s">
        <v>114</v>
      </c>
      <c r="H1291" t="s">
        <v>433</v>
      </c>
      <c r="I1291" t="s">
        <v>32</v>
      </c>
      <c r="J1291" t="s">
        <v>78</v>
      </c>
      <c r="K1291">
        <f t="shared" si="3938"/>
        <v>1</v>
      </c>
      <c r="L1291">
        <f t="shared" si="3939"/>
        <v>1</v>
      </c>
      <c r="M1291">
        <f t="shared" si="3940"/>
        <v>0</v>
      </c>
      <c r="N1291">
        <f t="shared" si="3941"/>
        <v>0</v>
      </c>
      <c r="O1291">
        <f t="shared" ref="O1291:O1295" si="3952">K1291+L1291+M1291+N1291</f>
        <v>2</v>
      </c>
      <c r="P1291" t="str">
        <f t="shared" si="3943"/>
        <v>Small centralized natural gas steam reforming-Maturity</v>
      </c>
      <c r="Q1291" t="str">
        <f t="shared" si="3944"/>
        <v>Central gas storage-Maturity</v>
      </c>
      <c r="R1291" t="str">
        <f t="shared" si="3945"/>
        <v>Blending in natural gas pipeline-Maturity</v>
      </c>
      <c r="S1291" t="str">
        <f t="shared" si="3946"/>
        <v>Hydrogen turbine (OC)-Maturity</v>
      </c>
      <c r="T1291">
        <f ca="1">VLOOKUP($P1291,'TA database'!$I$8:$J$79,2,FALSE)</f>
        <v>9</v>
      </c>
      <c r="U1291">
        <f ca="1">VLOOKUP($Q1291,'TA database'!$I$86:$J$105,2,FALSE)</f>
        <v>9</v>
      </c>
      <c r="V1291">
        <f ca="1">VLOOKUP($R1291,'TA database'!$I$112:$J$139,2,FALSE)</f>
        <v>7</v>
      </c>
      <c r="W1291">
        <f>IFERROR(VLOOKUP($S1291,'TA database'!$I$146:$J$193,2,FALSE),0)</f>
        <v>0</v>
      </c>
      <c r="X1291">
        <f ca="1">IFERROR(VLOOKUP($S1291,'TA database'!$I$200:$J$271,2,FALSE),0)</f>
        <v>7</v>
      </c>
      <c r="Y1291">
        <f t="shared" ca="1" si="3951"/>
        <v>7</v>
      </c>
      <c r="Z1291" t="str">
        <f t="shared" ref="Z1291:Z1295" si="3953">CONCATENATE(AG1291,"   →   ",AH1291,"   →   ",AI1291,"   →   ",AJ1291)</f>
        <v>NG_SR_SML_C   →   C_GAS_STRG   →   H2_BLND_NG_P   →   H2_OCGT_PWR</v>
      </c>
      <c r="AA1291" t="str">
        <f t="shared" ref="AA1291:AA1295" si="3954">G1291</f>
        <v>Grid electricity</v>
      </c>
      <c r="AB1291" t="str">
        <f t="shared" ref="AB1291:AB1295" si="3955">J1291</f>
        <v>Maturity</v>
      </c>
      <c r="AC1291">
        <f t="shared" ref="AC1291:AC1295" ca="1" si="3956">Y1291</f>
        <v>7</v>
      </c>
      <c r="AD1291">
        <v>1232</v>
      </c>
      <c r="AE1291" t="str">
        <f>IF(AND(ISNUMBER(SEARCH(O1291,4)),ISNUMBER(SEARCH('(4) FCH pathway assessment'!$B$16,AB1291)),ISNUMBER(SEARCH('(4) FCH pathway assessment'!$B$10,AA1291))),AD1291,"")</f>
        <v/>
      </c>
      <c r="AF1291" t="str">
        <f t="shared" si="3923"/>
        <v/>
      </c>
      <c r="AG1291" t="str">
        <f>VLOOKUP(C1291,Assumptions!$B$116:$C$162,2,FALSE)</f>
        <v>NG_SR_SML_C</v>
      </c>
      <c r="AH1291" t="str">
        <f>VLOOKUP(D1291,Assumptions!$B$116:$C$162,2,FALSE)</f>
        <v>C_GAS_STRG</v>
      </c>
      <c r="AI1291" t="str">
        <f>VLOOKUP(E1291,Assumptions!$B$116:$C$162,2,FALSE)</f>
        <v>H2_BLND_NG_P</v>
      </c>
      <c r="AJ1291" t="str">
        <f>VLOOKUP(F1291,Assumptions!$B$116:$C$162,2,FALSE)</f>
        <v>H2_OCGT_PWR</v>
      </c>
    </row>
    <row r="1292" spans="2:36" x14ac:dyDescent="0.25">
      <c r="B1292" t="s">
        <v>127</v>
      </c>
      <c r="C1292" t="s">
        <v>58</v>
      </c>
      <c r="D1292" t="s">
        <v>155</v>
      </c>
      <c r="E1292" t="s">
        <v>122</v>
      </c>
      <c r="F1292" t="s">
        <v>162</v>
      </c>
      <c r="G1292" t="s">
        <v>114</v>
      </c>
      <c r="H1292" t="s">
        <v>433</v>
      </c>
      <c r="I1292" t="s">
        <v>32</v>
      </c>
      <c r="J1292" t="s">
        <v>78</v>
      </c>
      <c r="K1292">
        <f t="shared" ref="K1292:K1295" si="3957">SUMPRODUCT(($C$7:$C$18=$C1292)*($D$6:$H$6=$D1292)*($D$7:$H$18))</f>
        <v>1</v>
      </c>
      <c r="L1292">
        <f t="shared" ref="L1292:L1295" si="3958">SUMPRODUCT(($C$19:$C$23=$D1292)*($I$6:$O$6=$E1292)*($I$19:$O$23))</f>
        <v>1</v>
      </c>
      <c r="M1292">
        <f t="shared" ref="M1292:M1295" si="3959">SUMPRODUCT(($C$24:$C$30=$E1292)*($P$6:$AI$6=$F1292)*($P$24:$AI$30))</f>
        <v>1</v>
      </c>
      <c r="N1292">
        <f t="shared" ref="N1292:N1295" si="3960">SUMPRODUCT(($C$31:$C$50=$F1292)*($AJ$6:$AM$6=$G1292)*($AJ$31:$AM$50))</f>
        <v>0</v>
      </c>
      <c r="O1292">
        <f t="shared" si="3952"/>
        <v>3</v>
      </c>
      <c r="P1292" t="str">
        <f t="shared" ref="P1292:P1295" si="3961">CONCATENATE(C1292,"-",J1292)</f>
        <v>Small centralized natural gas steam reforming-Maturity</v>
      </c>
      <c r="Q1292" t="str">
        <f t="shared" ref="Q1292:Q1295" si="3962">CONCATENATE(D1292,"-",J1292)</f>
        <v>Central gas storage-Maturity</v>
      </c>
      <c r="R1292" t="str">
        <f t="shared" ref="R1292:R1295" si="3963">CONCATENATE(E1292,"-",J1292)</f>
        <v>Hydrogen transmission &amp; distribution pipeline-Maturity</v>
      </c>
      <c r="S1292" t="str">
        <f t="shared" ref="S1292:S1295" si="3964">CONCATENATE(F1292,"-",J1292)</f>
        <v>Hydrogen turbine (OC)-Maturity</v>
      </c>
      <c r="T1292">
        <f ca="1">VLOOKUP($P1292,'TA database'!$I$8:$J$79,2,FALSE)</f>
        <v>9</v>
      </c>
      <c r="U1292">
        <f ca="1">VLOOKUP($Q1292,'TA database'!$I$86:$J$105,2,FALSE)</f>
        <v>9</v>
      </c>
      <c r="V1292">
        <f ca="1">VLOOKUP($R1292,'TA database'!$I$112:$J$139,2,FALSE)</f>
        <v>9</v>
      </c>
      <c r="W1292">
        <f>IFERROR(VLOOKUP($S1292,'TA database'!$I$146:$J$193,2,FALSE),0)</f>
        <v>0</v>
      </c>
      <c r="X1292">
        <f ca="1">IFERROR(VLOOKUP($S1292,'TA database'!$I$200:$J$271,2,FALSE),0)</f>
        <v>7</v>
      </c>
      <c r="Y1292">
        <f t="shared" ca="1" si="3951"/>
        <v>7</v>
      </c>
      <c r="Z1292" t="str">
        <f t="shared" si="3953"/>
        <v>NG_SR_SML_C   →   C_GAS_STRG   →   H2_T&amp;D_P   →   H2_OCGT_PWR</v>
      </c>
      <c r="AA1292" t="str">
        <f t="shared" si="3954"/>
        <v>Grid electricity</v>
      </c>
      <c r="AB1292" t="str">
        <f t="shared" si="3955"/>
        <v>Maturity</v>
      </c>
      <c r="AC1292">
        <f t="shared" ca="1" si="3956"/>
        <v>7</v>
      </c>
      <c r="AD1292">
        <v>1233</v>
      </c>
      <c r="AE1292" t="str">
        <f>IF(AND(ISNUMBER(SEARCH(O1292,4)),ISNUMBER(SEARCH('(4) FCH pathway assessment'!$B$16,AB1292)),ISNUMBER(SEARCH('(4) FCH pathway assessment'!$B$10,AA1292))),AD1292,"")</f>
        <v/>
      </c>
      <c r="AF1292" t="str">
        <f t="shared" si="3923"/>
        <v/>
      </c>
      <c r="AG1292" t="str">
        <f>VLOOKUP(C1292,Assumptions!$B$116:$C$162,2,FALSE)</f>
        <v>NG_SR_SML_C</v>
      </c>
      <c r="AH1292" t="str">
        <f>VLOOKUP(D1292,Assumptions!$B$116:$C$162,2,FALSE)</f>
        <v>C_GAS_STRG</v>
      </c>
      <c r="AI1292" t="str">
        <f>VLOOKUP(E1292,Assumptions!$B$116:$C$162,2,FALSE)</f>
        <v>H2_T&amp;D_P</v>
      </c>
      <c r="AJ1292" t="str">
        <f>VLOOKUP(F1292,Assumptions!$B$116:$C$162,2,FALSE)</f>
        <v>H2_OCGT_PWR</v>
      </c>
    </row>
    <row r="1293" spans="2:36" x14ac:dyDescent="0.25">
      <c r="B1293" t="s">
        <v>127</v>
      </c>
      <c r="C1293" t="s">
        <v>58</v>
      </c>
      <c r="D1293" t="s">
        <v>155</v>
      </c>
      <c r="E1293" t="s">
        <v>116</v>
      </c>
      <c r="F1293" t="s">
        <v>162</v>
      </c>
      <c r="G1293" t="s">
        <v>114</v>
      </c>
      <c r="H1293" t="s">
        <v>433</v>
      </c>
      <c r="I1293" t="s">
        <v>32</v>
      </c>
      <c r="J1293" t="s">
        <v>78</v>
      </c>
      <c r="K1293">
        <f t="shared" si="3957"/>
        <v>1</v>
      </c>
      <c r="L1293">
        <f t="shared" si="3958"/>
        <v>1</v>
      </c>
      <c r="M1293">
        <f t="shared" si="3959"/>
        <v>1</v>
      </c>
      <c r="N1293">
        <f t="shared" si="3960"/>
        <v>0</v>
      </c>
      <c r="O1293">
        <f t="shared" si="3952"/>
        <v>3</v>
      </c>
      <c r="P1293" t="str">
        <f t="shared" si="3961"/>
        <v>Small centralized natural gas steam reforming-Maturity</v>
      </c>
      <c r="Q1293" t="str">
        <f t="shared" si="3962"/>
        <v>Central gas storage-Maturity</v>
      </c>
      <c r="R1293" t="str">
        <f t="shared" si="3963"/>
        <v>Liquid hydrogen truck-Maturity</v>
      </c>
      <c r="S1293" t="str">
        <f t="shared" si="3964"/>
        <v>Hydrogen turbine (OC)-Maturity</v>
      </c>
      <c r="T1293">
        <f ca="1">VLOOKUP($P1293,'TA database'!$I$8:$J$79,2,FALSE)</f>
        <v>9</v>
      </c>
      <c r="U1293">
        <f ca="1">VLOOKUP($Q1293,'TA database'!$I$86:$J$105,2,FALSE)</f>
        <v>9</v>
      </c>
      <c r="V1293">
        <f ca="1">VLOOKUP($R1293,'TA database'!$I$112:$J$139,2,FALSE)</f>
        <v>9</v>
      </c>
      <c r="W1293">
        <f>IFERROR(VLOOKUP($S1293,'TA database'!$I$146:$J$193,2,FALSE),0)</f>
        <v>0</v>
      </c>
      <c r="X1293">
        <f ca="1">IFERROR(VLOOKUP($S1293,'TA database'!$I$200:$J$271,2,FALSE),0)</f>
        <v>7</v>
      </c>
      <c r="Y1293">
        <f t="shared" ca="1" si="3951"/>
        <v>7</v>
      </c>
      <c r="Z1293" t="str">
        <f t="shared" si="3953"/>
        <v>NG_SR_SML_C   →   C_GAS_STRG   →   LQ_TRUCK   →   H2_OCGT_PWR</v>
      </c>
      <c r="AA1293" t="str">
        <f t="shared" si="3954"/>
        <v>Grid electricity</v>
      </c>
      <c r="AB1293" t="str">
        <f t="shared" si="3955"/>
        <v>Maturity</v>
      </c>
      <c r="AC1293">
        <f t="shared" ca="1" si="3956"/>
        <v>7</v>
      </c>
      <c r="AD1293">
        <v>1234</v>
      </c>
      <c r="AE1293" t="str">
        <f>IF(AND(ISNUMBER(SEARCH(O1293,4)),ISNUMBER(SEARCH('(4) FCH pathway assessment'!$B$16,AB1293)),ISNUMBER(SEARCH('(4) FCH pathway assessment'!$B$10,AA1293))),AD1293,"")</f>
        <v/>
      </c>
      <c r="AF1293" t="str">
        <f t="shared" si="3923"/>
        <v/>
      </c>
      <c r="AG1293" t="str">
        <f>VLOOKUP(C1293,Assumptions!$B$116:$C$162,2,FALSE)</f>
        <v>NG_SR_SML_C</v>
      </c>
      <c r="AH1293" t="str">
        <f>VLOOKUP(D1293,Assumptions!$B$116:$C$162,2,FALSE)</f>
        <v>C_GAS_STRG</v>
      </c>
      <c r="AI1293" t="str">
        <f>VLOOKUP(E1293,Assumptions!$B$116:$C$162,2,FALSE)</f>
        <v>LQ_TRUCK</v>
      </c>
      <c r="AJ1293" t="str">
        <f>VLOOKUP(F1293,Assumptions!$B$116:$C$162,2,FALSE)</f>
        <v>H2_OCGT_PWR</v>
      </c>
    </row>
    <row r="1294" spans="2:36" x14ac:dyDescent="0.25">
      <c r="B1294" t="s">
        <v>127</v>
      </c>
      <c r="C1294" t="s">
        <v>58</v>
      </c>
      <c r="D1294" t="s">
        <v>155</v>
      </c>
      <c r="E1294" t="s">
        <v>66</v>
      </c>
      <c r="F1294" t="s">
        <v>162</v>
      </c>
      <c r="G1294" t="s">
        <v>114</v>
      </c>
      <c r="H1294" t="s">
        <v>433</v>
      </c>
      <c r="I1294" t="s">
        <v>32</v>
      </c>
      <c r="J1294" t="s">
        <v>78</v>
      </c>
      <c r="K1294">
        <f t="shared" si="3957"/>
        <v>1</v>
      </c>
      <c r="L1294">
        <f t="shared" si="3958"/>
        <v>1</v>
      </c>
      <c r="M1294">
        <f t="shared" si="3959"/>
        <v>1</v>
      </c>
      <c r="N1294">
        <f t="shared" si="3960"/>
        <v>0</v>
      </c>
      <c r="O1294">
        <f t="shared" si="3952"/>
        <v>3</v>
      </c>
      <c r="P1294" t="str">
        <f t="shared" si="3961"/>
        <v>Small centralized natural gas steam reforming-Maturity</v>
      </c>
      <c r="Q1294" t="str">
        <f t="shared" si="3962"/>
        <v>Central gas storage-Maturity</v>
      </c>
      <c r="R1294" t="str">
        <f t="shared" si="3963"/>
        <v>Onsite-Maturity</v>
      </c>
      <c r="S1294" t="str">
        <f t="shared" si="3964"/>
        <v>Hydrogen turbine (OC)-Maturity</v>
      </c>
      <c r="T1294">
        <f ca="1">VLOOKUP($P1294,'TA database'!$I$8:$J$79,2,FALSE)</f>
        <v>9</v>
      </c>
      <c r="U1294">
        <f ca="1">VLOOKUP($Q1294,'TA database'!$I$86:$J$105,2,FALSE)</f>
        <v>9</v>
      </c>
      <c r="V1294">
        <f ca="1">VLOOKUP($R1294,'TA database'!$I$112:$J$139,2,FALSE)</f>
        <v>9</v>
      </c>
      <c r="W1294">
        <f>IFERROR(VLOOKUP($S1294,'TA database'!$I$146:$J$193,2,FALSE),0)</f>
        <v>0</v>
      </c>
      <c r="X1294">
        <f ca="1">IFERROR(VLOOKUP($S1294,'TA database'!$I$200:$J$271,2,FALSE),0)</f>
        <v>7</v>
      </c>
      <c r="Y1294">
        <f t="shared" ca="1" si="3951"/>
        <v>7</v>
      </c>
      <c r="Z1294" t="str">
        <f t="shared" si="3953"/>
        <v>NG_SR_SML_C   →   C_GAS_STRG   →   ONSITE_USE   →   H2_OCGT_PWR</v>
      </c>
      <c r="AA1294" t="str">
        <f t="shared" si="3954"/>
        <v>Grid electricity</v>
      </c>
      <c r="AB1294" t="str">
        <f t="shared" si="3955"/>
        <v>Maturity</v>
      </c>
      <c r="AC1294">
        <f t="shared" ca="1" si="3956"/>
        <v>7</v>
      </c>
      <c r="AD1294">
        <v>1235</v>
      </c>
      <c r="AE1294" t="str">
        <f>IF(AND(ISNUMBER(SEARCH(O1294,4)),ISNUMBER(SEARCH('(4) FCH pathway assessment'!$B$16,AB1294)),ISNUMBER(SEARCH('(4) FCH pathway assessment'!$B$10,AA1294))),AD1294,"")</f>
        <v/>
      </c>
      <c r="AF1294" t="str">
        <f t="shared" si="3923"/>
        <v/>
      </c>
      <c r="AG1294" t="str">
        <f>VLOOKUP(C1294,Assumptions!$B$116:$C$162,2,FALSE)</f>
        <v>NG_SR_SML_C</v>
      </c>
      <c r="AH1294" t="str">
        <f>VLOOKUP(D1294,Assumptions!$B$116:$C$162,2,FALSE)</f>
        <v>C_GAS_STRG</v>
      </c>
      <c r="AI1294" t="str">
        <f>VLOOKUP(E1294,Assumptions!$B$116:$C$162,2,FALSE)</f>
        <v>ONSITE_USE</v>
      </c>
      <c r="AJ1294" t="str">
        <f>VLOOKUP(F1294,Assumptions!$B$116:$C$162,2,FALSE)</f>
        <v>H2_OCGT_PWR</v>
      </c>
    </row>
    <row r="1295" spans="2:36" x14ac:dyDescent="0.25">
      <c r="B1295" t="s">
        <v>127</v>
      </c>
      <c r="C1295" t="s">
        <v>59</v>
      </c>
      <c r="D1295" s="60" t="s">
        <v>130</v>
      </c>
      <c r="E1295" t="s">
        <v>66</v>
      </c>
      <c r="F1295" t="s">
        <v>162</v>
      </c>
      <c r="G1295" t="s">
        <v>114</v>
      </c>
      <c r="H1295" t="s">
        <v>433</v>
      </c>
      <c r="I1295" t="s">
        <v>32</v>
      </c>
      <c r="J1295" t="s">
        <v>78</v>
      </c>
      <c r="K1295">
        <f t="shared" si="3957"/>
        <v>1</v>
      </c>
      <c r="L1295">
        <f t="shared" si="3958"/>
        <v>1</v>
      </c>
      <c r="M1295">
        <f t="shared" si="3959"/>
        <v>1</v>
      </c>
      <c r="N1295">
        <f t="shared" si="3960"/>
        <v>0</v>
      </c>
      <c r="O1295">
        <f t="shared" si="3952"/>
        <v>3</v>
      </c>
      <c r="P1295" t="str">
        <f t="shared" si="3961"/>
        <v>Medium decentralized natural gas steam reforming-Maturity</v>
      </c>
      <c r="Q1295" t="str">
        <f t="shared" si="3962"/>
        <v>Distributed gas storage-Maturity</v>
      </c>
      <c r="R1295" t="str">
        <f t="shared" si="3963"/>
        <v>Onsite-Maturity</v>
      </c>
      <c r="S1295" t="str">
        <f t="shared" si="3964"/>
        <v>Hydrogen turbine (OC)-Maturity</v>
      </c>
      <c r="T1295">
        <f ca="1">VLOOKUP($P1295,'TA database'!$I$8:$J$79,2,FALSE)</f>
        <v>9</v>
      </c>
      <c r="U1295">
        <f ca="1">VLOOKUP($Q1295,'TA database'!$I$86:$J$105,2,FALSE)</f>
        <v>9</v>
      </c>
      <c r="V1295">
        <f ca="1">VLOOKUP($R1295,'TA database'!$I$112:$J$139,2,FALSE)</f>
        <v>9</v>
      </c>
      <c r="W1295">
        <f>IFERROR(VLOOKUP($S1295,'TA database'!$I$146:$J$193,2,FALSE),0)</f>
        <v>0</v>
      </c>
      <c r="X1295">
        <f ca="1">IFERROR(VLOOKUP($S1295,'TA database'!$I$200:$J$271,2,FALSE),0)</f>
        <v>7</v>
      </c>
      <c r="Y1295">
        <f t="shared" ref="Y1295" ca="1" si="3965">IF($W1295=0,MIN($T1295:$V1295,$X1295),MIN($T1295:$W1295))</f>
        <v>7</v>
      </c>
      <c r="Z1295" t="str">
        <f t="shared" si="3953"/>
        <v>NG_SR_MED_D   →   D_GAS_STRG   →   ONSITE_USE   →   H2_OCGT_PWR</v>
      </c>
      <c r="AA1295" t="str">
        <f t="shared" si="3954"/>
        <v>Grid electricity</v>
      </c>
      <c r="AB1295" t="str">
        <f t="shared" si="3955"/>
        <v>Maturity</v>
      </c>
      <c r="AC1295">
        <f t="shared" ca="1" si="3956"/>
        <v>7</v>
      </c>
      <c r="AD1295">
        <v>1236</v>
      </c>
      <c r="AE1295" t="str">
        <f>IF(AND(ISNUMBER(SEARCH(O1295,4)),ISNUMBER(SEARCH('(4) FCH pathway assessment'!$B$16,AB1295)),ISNUMBER(SEARCH('(4) FCH pathway assessment'!$B$10,AA1295))),AD1295,"")</f>
        <v/>
      </c>
      <c r="AF1295" t="str">
        <f t="shared" si="3923"/>
        <v/>
      </c>
      <c r="AG1295" t="str">
        <f>VLOOKUP(C1295,Assumptions!$B$116:$C$162,2,FALSE)</f>
        <v>NG_SR_MED_D</v>
      </c>
      <c r="AH1295" t="str">
        <f>VLOOKUP(D1295,Assumptions!$B$116:$C$162,2,FALSE)</f>
        <v>D_GAS_STRG</v>
      </c>
      <c r="AI1295" t="str">
        <f>VLOOKUP(E1295,Assumptions!$B$116:$C$162,2,FALSE)</f>
        <v>ONSITE_USE</v>
      </c>
      <c r="AJ1295" t="str">
        <f>VLOOKUP(F1295,Assumptions!$B$116:$C$162,2,FALSE)</f>
        <v>H2_OCGT_PWR</v>
      </c>
    </row>
    <row r="1296" spans="2:36" x14ac:dyDescent="0.25">
      <c r="B1296" t="s">
        <v>127</v>
      </c>
      <c r="C1296" t="s">
        <v>60</v>
      </c>
      <c r="D1296" s="60" t="s">
        <v>130</v>
      </c>
      <c r="E1296" t="s">
        <v>66</v>
      </c>
      <c r="F1296" t="s">
        <v>162</v>
      </c>
      <c r="G1296" t="s">
        <v>114</v>
      </c>
      <c r="H1296" t="s">
        <v>433</v>
      </c>
      <c r="I1296" t="s">
        <v>32</v>
      </c>
      <c r="J1296" t="s">
        <v>78</v>
      </c>
      <c r="K1296">
        <f t="shared" ref="K1296" si="3966">SUMPRODUCT(($C$7:$C$18=$C1296)*($D$6:$H$6=$D1296)*($D$7:$H$18))</f>
        <v>1</v>
      </c>
      <c r="L1296">
        <f t="shared" ref="L1296" si="3967">SUMPRODUCT(($C$19:$C$23=$D1296)*($I$6:$O$6=$E1296)*($I$19:$O$23))</f>
        <v>1</v>
      </c>
      <c r="M1296">
        <f t="shared" ref="M1296" si="3968">SUMPRODUCT(($C$24:$C$30=$E1296)*($P$6:$AI$6=$F1296)*($P$24:$AI$30))</f>
        <v>1</v>
      </c>
      <c r="N1296">
        <f t="shared" ref="N1296" si="3969">SUMPRODUCT(($C$31:$C$50=$F1296)*($AJ$6:$AM$6=$G1296)*($AJ$31:$AM$50))</f>
        <v>0</v>
      </c>
      <c r="O1296">
        <f t="shared" ref="O1296" si="3970">K1296+L1296+M1296+N1296</f>
        <v>3</v>
      </c>
      <c r="P1296" t="str">
        <f t="shared" ref="P1296" si="3971">CONCATENATE(C1296,"-",J1296)</f>
        <v>Small decentralized natural gas steam reforming-Maturity</v>
      </c>
      <c r="Q1296" t="str">
        <f t="shared" ref="Q1296" si="3972">CONCATENATE(D1296,"-",J1296)</f>
        <v>Distributed gas storage-Maturity</v>
      </c>
      <c r="R1296" t="str">
        <f t="shared" ref="R1296" si="3973">CONCATENATE(E1296,"-",J1296)</f>
        <v>Onsite-Maturity</v>
      </c>
      <c r="S1296" t="str">
        <f t="shared" ref="S1296" si="3974">CONCATENATE(F1296,"-",J1296)</f>
        <v>Hydrogen turbine (OC)-Maturity</v>
      </c>
      <c r="T1296">
        <f ca="1">VLOOKUP($P1296,'TA database'!$I$8:$J$79,2,FALSE)</f>
        <v>9</v>
      </c>
      <c r="U1296">
        <f ca="1">VLOOKUP($Q1296,'TA database'!$I$86:$J$105,2,FALSE)</f>
        <v>9</v>
      </c>
      <c r="V1296">
        <f ca="1">VLOOKUP($R1296,'TA database'!$I$112:$J$139,2,FALSE)</f>
        <v>9</v>
      </c>
      <c r="W1296">
        <f>IFERROR(VLOOKUP($S1296,'TA database'!$I$146:$J$193,2,FALSE),0)</f>
        <v>0</v>
      </c>
      <c r="X1296">
        <f ca="1">IFERROR(VLOOKUP($S1296,'TA database'!$I$200:$J$271,2,FALSE),0)</f>
        <v>7</v>
      </c>
      <c r="Y1296">
        <f t="shared" ref="Y1296" ca="1" si="3975">IF($W1296=0,MIN($T1296:$V1296,$X1296),MIN($T1296:$W1296))</f>
        <v>7</v>
      </c>
      <c r="Z1296" t="str">
        <f t="shared" ref="Z1296" si="3976">CONCATENATE(AG1296,"   →   ",AH1296,"   →   ",AI1296,"   →   ",AJ1296)</f>
        <v>NG_SR_SML_D   →   D_GAS_STRG   →   ONSITE_USE   →   H2_OCGT_PWR</v>
      </c>
      <c r="AA1296" t="str">
        <f t="shared" ref="AA1296" si="3977">G1296</f>
        <v>Grid electricity</v>
      </c>
      <c r="AB1296" t="str">
        <f t="shared" ref="AB1296" si="3978">J1296</f>
        <v>Maturity</v>
      </c>
      <c r="AC1296">
        <f t="shared" ref="AC1296" ca="1" si="3979">Y1296</f>
        <v>7</v>
      </c>
      <c r="AD1296">
        <v>1237</v>
      </c>
      <c r="AE1296" t="str">
        <f>IF(AND(ISNUMBER(SEARCH(O1296,4)),ISNUMBER(SEARCH('(4) FCH pathway assessment'!$B$16,AB1296)),ISNUMBER(SEARCH('(4) FCH pathway assessment'!$B$10,AA1296))),AD1296,"")</f>
        <v/>
      </c>
      <c r="AF1296" t="str">
        <f t="shared" si="3923"/>
        <v/>
      </c>
      <c r="AG1296" t="str">
        <f>VLOOKUP(C1296,Assumptions!$B$116:$C$162,2,FALSE)</f>
        <v>NG_SR_SML_D</v>
      </c>
      <c r="AH1296" t="str">
        <f>VLOOKUP(D1296,Assumptions!$B$116:$C$162,2,FALSE)</f>
        <v>D_GAS_STRG</v>
      </c>
      <c r="AI1296" t="str">
        <f>VLOOKUP(E1296,Assumptions!$B$116:$C$162,2,FALSE)</f>
        <v>ONSITE_USE</v>
      </c>
      <c r="AJ1296" t="str">
        <f>VLOOKUP(F1296,Assumptions!$B$116:$C$162,2,FALSE)</f>
        <v>H2_OCGT_PWR</v>
      </c>
    </row>
    <row r="1297" spans="2:36" x14ac:dyDescent="0.25">
      <c r="B1297" t="s">
        <v>117</v>
      </c>
      <c r="C1297" t="s">
        <v>53</v>
      </c>
      <c r="D1297" t="s">
        <v>155</v>
      </c>
      <c r="E1297" t="s">
        <v>157</v>
      </c>
      <c r="F1297" t="s">
        <v>164</v>
      </c>
      <c r="G1297" t="s">
        <v>126</v>
      </c>
      <c r="H1297" t="s">
        <v>433</v>
      </c>
      <c r="I1297" t="s">
        <v>32</v>
      </c>
      <c r="J1297" t="s">
        <v>78</v>
      </c>
      <c r="K1297">
        <f t="shared" ref="K1297:K1302" si="3980">SUMPRODUCT(($C$7:$C$18=$C1297)*($D$6:$H$6=$D1297)*($D$7:$H$18))</f>
        <v>0</v>
      </c>
      <c r="L1297">
        <f t="shared" ref="L1297:L1302" si="3981">SUMPRODUCT(($C$19:$C$23=$D1297)*($I$6:$O$6=$E1297)*($I$19:$O$23))</f>
        <v>1</v>
      </c>
      <c r="M1297">
        <f t="shared" ref="M1297:M1302" si="3982">SUMPRODUCT(($C$24:$C$30=$E1297)*($P$6:$AI$6=$F1297)*($P$24:$AI$30))</f>
        <v>0</v>
      </c>
      <c r="N1297">
        <f t="shared" ref="N1297:N1302" si="3983">SUMPRODUCT(($C$31:$C$50=$F1297)*($AJ$6:$AM$6=$G1297)*($AJ$31:$AM$50))</f>
        <v>1</v>
      </c>
      <c r="O1297">
        <f t="shared" ref="O1297:O1302" si="3984">K1297+L1297+M1297+N1297</f>
        <v>2</v>
      </c>
      <c r="P1297" t="str">
        <f t="shared" ref="P1297:P1302" si="3985">CONCATENATE(C1297,"-",J1297)</f>
        <v>Medium centralized biomass gasification-Maturity</v>
      </c>
      <c r="Q1297" t="str">
        <f t="shared" ref="Q1297:Q1302" si="3986">CONCATENATE(D1297,"-",J1297)</f>
        <v>Central gas storage-Maturity</v>
      </c>
      <c r="R1297" t="str">
        <f t="shared" ref="R1297:R1302" si="3987">CONCATENATE(E1297,"-",J1297)</f>
        <v>Blending in natural gas pipeline-Maturity</v>
      </c>
      <c r="S1297" t="str">
        <f t="shared" ref="S1297:S1302" si="3988">CONCATENATE(F1297,"-",J1297)</f>
        <v>Prime power H2 fuel cell-Maturity</v>
      </c>
      <c r="T1297">
        <f ca="1">VLOOKUP($P1297,'TA database'!$I$8:$J$79,2,FALSE)</f>
        <v>6</v>
      </c>
      <c r="U1297">
        <f ca="1">VLOOKUP($Q1297,'TA database'!$I$86:$J$105,2,FALSE)</f>
        <v>9</v>
      </c>
      <c r="V1297">
        <f ca="1">VLOOKUP($R1297,'TA database'!$I$112:$J$139,2,FALSE)</f>
        <v>7</v>
      </c>
      <c r="W1297">
        <f>IFERROR(VLOOKUP($S1297,'TA database'!$I$146:$J$193,2,FALSE),0)</f>
        <v>0</v>
      </c>
      <c r="X1297">
        <f ca="1">IFERROR(VLOOKUP($S1297,'TA database'!$I$200:$J$271,2,FALSE),0)</f>
        <v>9</v>
      </c>
      <c r="Y1297">
        <f t="shared" ref="Y1297:Y1302" ca="1" si="3989">IF($W1297=0,MIN($T1297:$V1297,$X1297),MIN($T1297:$W1297))</f>
        <v>6</v>
      </c>
      <c r="Z1297" t="str">
        <f t="shared" ref="Z1297:Z1302" si="3990">CONCATENATE(AG1297,"   →   ",AH1297,"   →   ",AI1297,"   →   ",AJ1297)</f>
        <v>BIO_GSF_MED_C   →   C_GAS_STRG   →   H2_BLND_NG_P   →   H2_FC_PWR</v>
      </c>
      <c r="AA1297" t="str">
        <f t="shared" ref="AA1297:AA1302" si="3991">G1297</f>
        <v>Onsite / Back-up power</v>
      </c>
      <c r="AB1297" t="str">
        <f t="shared" ref="AB1297:AB1302" si="3992">J1297</f>
        <v>Maturity</v>
      </c>
      <c r="AC1297">
        <f t="shared" ref="AC1297:AC1302" ca="1" si="3993">Y1297</f>
        <v>6</v>
      </c>
      <c r="AD1297">
        <v>1238</v>
      </c>
      <c r="AE1297" t="str">
        <f>IF(AND(ISNUMBER(SEARCH(O1297,4)),ISNUMBER(SEARCH('(4) FCH pathway assessment'!$B$16,AB1297)),ISNUMBER(SEARCH('(4) FCH pathway assessment'!$B$10,AA1297))),AD1297,"")</f>
        <v/>
      </c>
      <c r="AF1297" t="str">
        <f t="shared" si="3923"/>
        <v/>
      </c>
      <c r="AG1297" t="str">
        <f>VLOOKUP(C1297,Assumptions!$B$116:$C$162,2,FALSE)</f>
        <v>BIO_GSF_MED_C</v>
      </c>
      <c r="AH1297" t="str">
        <f>VLOOKUP(D1297,Assumptions!$B$116:$C$162,2,FALSE)</f>
        <v>C_GAS_STRG</v>
      </c>
      <c r="AI1297" t="str">
        <f>VLOOKUP(E1297,Assumptions!$B$116:$C$162,2,FALSE)</f>
        <v>H2_BLND_NG_P</v>
      </c>
      <c r="AJ1297" t="str">
        <f>VLOOKUP(F1297,Assumptions!$B$116:$C$162,2,FALSE)</f>
        <v>H2_FC_PWR</v>
      </c>
    </row>
    <row r="1298" spans="2:36" x14ac:dyDescent="0.25">
      <c r="B1298" t="s">
        <v>117</v>
      </c>
      <c r="C1298" t="s">
        <v>53</v>
      </c>
      <c r="D1298" t="s">
        <v>155</v>
      </c>
      <c r="E1298" t="s">
        <v>122</v>
      </c>
      <c r="F1298" t="s">
        <v>164</v>
      </c>
      <c r="G1298" t="s">
        <v>126</v>
      </c>
      <c r="H1298" t="s">
        <v>433</v>
      </c>
      <c r="I1298" t="s">
        <v>32</v>
      </c>
      <c r="J1298" t="s">
        <v>78</v>
      </c>
      <c r="K1298">
        <f t="shared" si="3980"/>
        <v>0</v>
      </c>
      <c r="L1298">
        <f t="shared" si="3981"/>
        <v>1</v>
      </c>
      <c r="M1298">
        <f t="shared" si="3982"/>
        <v>1</v>
      </c>
      <c r="N1298">
        <f t="shared" si="3983"/>
        <v>1</v>
      </c>
      <c r="O1298">
        <f t="shared" si="3984"/>
        <v>3</v>
      </c>
      <c r="P1298" t="str">
        <f t="shared" si="3985"/>
        <v>Medium centralized biomass gasification-Maturity</v>
      </c>
      <c r="Q1298" t="str">
        <f t="shared" si="3986"/>
        <v>Central gas storage-Maturity</v>
      </c>
      <c r="R1298" t="str">
        <f t="shared" si="3987"/>
        <v>Hydrogen transmission &amp; distribution pipeline-Maturity</v>
      </c>
      <c r="S1298" t="str">
        <f t="shared" si="3988"/>
        <v>Prime power H2 fuel cell-Maturity</v>
      </c>
      <c r="T1298">
        <f ca="1">VLOOKUP($P1298,'TA database'!$I$8:$J$79,2,FALSE)</f>
        <v>6</v>
      </c>
      <c r="U1298">
        <f ca="1">VLOOKUP($Q1298,'TA database'!$I$86:$J$105,2,FALSE)</f>
        <v>9</v>
      </c>
      <c r="V1298">
        <f ca="1">VLOOKUP($R1298,'TA database'!$I$112:$J$139,2,FALSE)</f>
        <v>9</v>
      </c>
      <c r="W1298">
        <f>IFERROR(VLOOKUP($S1298,'TA database'!$I$146:$J$193,2,FALSE),0)</f>
        <v>0</v>
      </c>
      <c r="X1298">
        <f ca="1">IFERROR(VLOOKUP($S1298,'TA database'!$I$200:$J$271,2,FALSE),0)</f>
        <v>9</v>
      </c>
      <c r="Y1298">
        <f t="shared" ca="1" si="3989"/>
        <v>6</v>
      </c>
      <c r="Z1298" t="str">
        <f t="shared" si="3990"/>
        <v>BIO_GSF_MED_C   →   C_GAS_STRG   →   H2_T&amp;D_P   →   H2_FC_PWR</v>
      </c>
      <c r="AA1298" t="str">
        <f t="shared" si="3991"/>
        <v>Onsite / Back-up power</v>
      </c>
      <c r="AB1298" t="str">
        <f t="shared" si="3992"/>
        <v>Maturity</v>
      </c>
      <c r="AC1298">
        <f t="shared" ca="1" si="3993"/>
        <v>6</v>
      </c>
      <c r="AD1298">
        <v>1239</v>
      </c>
      <c r="AE1298" t="str">
        <f>IF(AND(ISNUMBER(SEARCH(O1298,4)),ISNUMBER(SEARCH('(4) FCH pathway assessment'!$B$16,AB1298)),ISNUMBER(SEARCH('(4) FCH pathway assessment'!$B$10,AA1298))),AD1298,"")</f>
        <v/>
      </c>
      <c r="AF1298" t="str">
        <f t="shared" si="3923"/>
        <v/>
      </c>
      <c r="AG1298" t="str">
        <f>VLOOKUP(C1298,Assumptions!$B$116:$C$162,2,FALSE)</f>
        <v>BIO_GSF_MED_C</v>
      </c>
      <c r="AH1298" t="str">
        <f>VLOOKUP(D1298,Assumptions!$B$116:$C$162,2,FALSE)</f>
        <v>C_GAS_STRG</v>
      </c>
      <c r="AI1298" t="str">
        <f>VLOOKUP(E1298,Assumptions!$B$116:$C$162,2,FALSE)</f>
        <v>H2_T&amp;D_P</v>
      </c>
      <c r="AJ1298" t="str">
        <f>VLOOKUP(F1298,Assumptions!$B$116:$C$162,2,FALSE)</f>
        <v>H2_FC_PWR</v>
      </c>
    </row>
    <row r="1299" spans="2:36" x14ac:dyDescent="0.25">
      <c r="B1299" t="s">
        <v>117</v>
      </c>
      <c r="C1299" t="s">
        <v>53</v>
      </c>
      <c r="D1299" t="s">
        <v>155</v>
      </c>
      <c r="E1299" t="s">
        <v>66</v>
      </c>
      <c r="F1299" t="s">
        <v>164</v>
      </c>
      <c r="G1299" t="s">
        <v>126</v>
      </c>
      <c r="H1299" t="s">
        <v>433</v>
      </c>
      <c r="I1299" t="s">
        <v>32</v>
      </c>
      <c r="J1299" t="s">
        <v>78</v>
      </c>
      <c r="K1299">
        <f t="shared" si="3980"/>
        <v>0</v>
      </c>
      <c r="L1299">
        <f t="shared" si="3981"/>
        <v>1</v>
      </c>
      <c r="M1299">
        <f t="shared" si="3982"/>
        <v>1</v>
      </c>
      <c r="N1299">
        <f t="shared" si="3983"/>
        <v>1</v>
      </c>
      <c r="O1299">
        <f t="shared" si="3984"/>
        <v>3</v>
      </c>
      <c r="P1299" t="str">
        <f t="shared" si="3985"/>
        <v>Medium centralized biomass gasification-Maturity</v>
      </c>
      <c r="Q1299" t="str">
        <f t="shared" si="3986"/>
        <v>Central gas storage-Maturity</v>
      </c>
      <c r="R1299" t="str">
        <f t="shared" si="3987"/>
        <v>Onsite-Maturity</v>
      </c>
      <c r="S1299" t="str">
        <f t="shared" si="3988"/>
        <v>Prime power H2 fuel cell-Maturity</v>
      </c>
      <c r="T1299">
        <f ca="1">VLOOKUP($P1299,'TA database'!$I$8:$J$79,2,FALSE)</f>
        <v>6</v>
      </c>
      <c r="U1299">
        <f ca="1">VLOOKUP($Q1299,'TA database'!$I$86:$J$105,2,FALSE)</f>
        <v>9</v>
      </c>
      <c r="V1299">
        <f ca="1">VLOOKUP($R1299,'TA database'!$I$112:$J$139,2,FALSE)</f>
        <v>9</v>
      </c>
      <c r="W1299">
        <f>IFERROR(VLOOKUP($S1299,'TA database'!$I$146:$J$193,2,FALSE),0)</f>
        <v>0</v>
      </c>
      <c r="X1299">
        <f ca="1">IFERROR(VLOOKUP($S1299,'TA database'!$I$200:$J$271,2,FALSE),0)</f>
        <v>9</v>
      </c>
      <c r="Y1299">
        <f t="shared" ca="1" si="3989"/>
        <v>6</v>
      </c>
      <c r="Z1299" t="str">
        <f t="shared" si="3990"/>
        <v>BIO_GSF_MED_C   →   C_GAS_STRG   →   ONSITE_USE   →   H2_FC_PWR</v>
      </c>
      <c r="AA1299" t="str">
        <f t="shared" si="3991"/>
        <v>Onsite / Back-up power</v>
      </c>
      <c r="AB1299" t="str">
        <f t="shared" si="3992"/>
        <v>Maturity</v>
      </c>
      <c r="AC1299">
        <f t="shared" ca="1" si="3993"/>
        <v>6</v>
      </c>
      <c r="AD1299">
        <v>1240</v>
      </c>
      <c r="AE1299" t="str">
        <f>IF(AND(ISNUMBER(SEARCH(O1299,4)),ISNUMBER(SEARCH('(4) FCH pathway assessment'!$B$16,AB1299)),ISNUMBER(SEARCH('(4) FCH pathway assessment'!$B$10,AA1299))),AD1299,"")</f>
        <v/>
      </c>
      <c r="AF1299" t="str">
        <f t="shared" si="3923"/>
        <v/>
      </c>
      <c r="AG1299" t="str">
        <f>VLOOKUP(C1299,Assumptions!$B$116:$C$162,2,FALSE)</f>
        <v>BIO_GSF_MED_C</v>
      </c>
      <c r="AH1299" t="str">
        <f>VLOOKUP(D1299,Assumptions!$B$116:$C$162,2,FALSE)</f>
        <v>C_GAS_STRG</v>
      </c>
      <c r="AI1299" t="str">
        <f>VLOOKUP(E1299,Assumptions!$B$116:$C$162,2,FALSE)</f>
        <v>ONSITE_USE</v>
      </c>
      <c r="AJ1299" t="str">
        <f>VLOOKUP(F1299,Assumptions!$B$116:$C$162,2,FALSE)</f>
        <v>H2_FC_PWR</v>
      </c>
    </row>
    <row r="1300" spans="2:36" x14ac:dyDescent="0.25">
      <c r="B1300" t="s">
        <v>117</v>
      </c>
      <c r="C1300" t="s">
        <v>54</v>
      </c>
      <c r="D1300" t="s">
        <v>155</v>
      </c>
      <c r="E1300" t="s">
        <v>157</v>
      </c>
      <c r="F1300" t="s">
        <v>164</v>
      </c>
      <c r="G1300" t="s">
        <v>126</v>
      </c>
      <c r="H1300" t="s">
        <v>433</v>
      </c>
      <c r="I1300" t="s">
        <v>32</v>
      </c>
      <c r="J1300" t="s">
        <v>78</v>
      </c>
      <c r="K1300">
        <f t="shared" si="3980"/>
        <v>0</v>
      </c>
      <c r="L1300">
        <f t="shared" si="3981"/>
        <v>1</v>
      </c>
      <c r="M1300">
        <f t="shared" si="3982"/>
        <v>0</v>
      </c>
      <c r="N1300">
        <f t="shared" si="3983"/>
        <v>1</v>
      </c>
      <c r="O1300">
        <f t="shared" si="3984"/>
        <v>2</v>
      </c>
      <c r="P1300" t="str">
        <f t="shared" si="3985"/>
        <v>Medium centralized biomass gasification w/ CCS-Maturity</v>
      </c>
      <c r="Q1300" t="str">
        <f t="shared" si="3986"/>
        <v>Central gas storage-Maturity</v>
      </c>
      <c r="R1300" t="str">
        <f t="shared" si="3987"/>
        <v>Blending in natural gas pipeline-Maturity</v>
      </c>
      <c r="S1300" t="str">
        <f t="shared" si="3988"/>
        <v>Prime power H2 fuel cell-Maturity</v>
      </c>
      <c r="T1300">
        <f ca="1">VLOOKUP($P1300,'TA database'!$I$8:$J$79,2,FALSE)</f>
        <v>6</v>
      </c>
      <c r="U1300">
        <f ca="1">VLOOKUP($Q1300,'TA database'!$I$86:$J$105,2,FALSE)</f>
        <v>9</v>
      </c>
      <c r="V1300">
        <f ca="1">VLOOKUP($R1300,'TA database'!$I$112:$J$139,2,FALSE)</f>
        <v>7</v>
      </c>
      <c r="W1300">
        <f>IFERROR(VLOOKUP($S1300,'TA database'!$I$146:$J$193,2,FALSE),0)</f>
        <v>0</v>
      </c>
      <c r="X1300">
        <f ca="1">IFERROR(VLOOKUP($S1300,'TA database'!$I$200:$J$271,2,FALSE),0)</f>
        <v>9</v>
      </c>
      <c r="Y1300">
        <f t="shared" ca="1" si="3989"/>
        <v>6</v>
      </c>
      <c r="Z1300" t="str">
        <f t="shared" si="3990"/>
        <v>BIO_GSF_CCS_MED_C   →   C_GAS_STRG   →   H2_BLND_NG_P   →   H2_FC_PWR</v>
      </c>
      <c r="AA1300" t="str">
        <f t="shared" si="3991"/>
        <v>Onsite / Back-up power</v>
      </c>
      <c r="AB1300" t="str">
        <f t="shared" si="3992"/>
        <v>Maturity</v>
      </c>
      <c r="AC1300">
        <f t="shared" ca="1" si="3993"/>
        <v>6</v>
      </c>
      <c r="AD1300">
        <v>1241</v>
      </c>
      <c r="AE1300" t="str">
        <f>IF(AND(ISNUMBER(SEARCH(O1300,4)),ISNUMBER(SEARCH('(4) FCH pathway assessment'!$B$16,AB1300)),ISNUMBER(SEARCH('(4) FCH pathway assessment'!$B$10,AA1300))),AD1300,"")</f>
        <v/>
      </c>
      <c r="AF1300" t="str">
        <f t="shared" si="3923"/>
        <v/>
      </c>
      <c r="AG1300" t="str">
        <f>VLOOKUP(C1300,Assumptions!$B$116:$C$162,2,FALSE)</f>
        <v>BIO_GSF_CCS_MED_C</v>
      </c>
      <c r="AH1300" t="str">
        <f>VLOOKUP(D1300,Assumptions!$B$116:$C$162,2,FALSE)</f>
        <v>C_GAS_STRG</v>
      </c>
      <c r="AI1300" t="str">
        <f>VLOOKUP(E1300,Assumptions!$B$116:$C$162,2,FALSE)</f>
        <v>H2_BLND_NG_P</v>
      </c>
      <c r="AJ1300" t="str">
        <f>VLOOKUP(F1300,Assumptions!$B$116:$C$162,2,FALSE)</f>
        <v>H2_FC_PWR</v>
      </c>
    </row>
    <row r="1301" spans="2:36" x14ac:dyDescent="0.25">
      <c r="B1301" t="s">
        <v>117</v>
      </c>
      <c r="C1301" t="s">
        <v>54</v>
      </c>
      <c r="D1301" t="s">
        <v>155</v>
      </c>
      <c r="E1301" t="s">
        <v>122</v>
      </c>
      <c r="F1301" t="s">
        <v>164</v>
      </c>
      <c r="G1301" t="s">
        <v>126</v>
      </c>
      <c r="H1301" t="s">
        <v>433</v>
      </c>
      <c r="I1301" t="s">
        <v>32</v>
      </c>
      <c r="J1301" t="s">
        <v>78</v>
      </c>
      <c r="K1301">
        <f t="shared" si="3980"/>
        <v>0</v>
      </c>
      <c r="L1301">
        <f t="shared" si="3981"/>
        <v>1</v>
      </c>
      <c r="M1301">
        <f t="shared" si="3982"/>
        <v>1</v>
      </c>
      <c r="N1301">
        <f t="shared" si="3983"/>
        <v>1</v>
      </c>
      <c r="O1301">
        <f t="shared" si="3984"/>
        <v>3</v>
      </c>
      <c r="P1301" t="str">
        <f t="shared" si="3985"/>
        <v>Medium centralized biomass gasification w/ CCS-Maturity</v>
      </c>
      <c r="Q1301" t="str">
        <f t="shared" si="3986"/>
        <v>Central gas storage-Maturity</v>
      </c>
      <c r="R1301" t="str">
        <f t="shared" si="3987"/>
        <v>Hydrogen transmission &amp; distribution pipeline-Maturity</v>
      </c>
      <c r="S1301" t="str">
        <f t="shared" si="3988"/>
        <v>Prime power H2 fuel cell-Maturity</v>
      </c>
      <c r="T1301">
        <f ca="1">VLOOKUP($P1301,'TA database'!$I$8:$J$79,2,FALSE)</f>
        <v>6</v>
      </c>
      <c r="U1301">
        <f ca="1">VLOOKUP($Q1301,'TA database'!$I$86:$J$105,2,FALSE)</f>
        <v>9</v>
      </c>
      <c r="V1301">
        <f ca="1">VLOOKUP($R1301,'TA database'!$I$112:$J$139,2,FALSE)</f>
        <v>9</v>
      </c>
      <c r="W1301">
        <f>IFERROR(VLOOKUP($S1301,'TA database'!$I$146:$J$193,2,FALSE),0)</f>
        <v>0</v>
      </c>
      <c r="X1301">
        <f ca="1">IFERROR(VLOOKUP($S1301,'TA database'!$I$200:$J$271,2,FALSE),0)</f>
        <v>9</v>
      </c>
      <c r="Y1301">
        <f t="shared" ca="1" si="3989"/>
        <v>6</v>
      </c>
      <c r="Z1301" t="str">
        <f t="shared" si="3990"/>
        <v>BIO_GSF_CCS_MED_C   →   C_GAS_STRG   →   H2_T&amp;D_P   →   H2_FC_PWR</v>
      </c>
      <c r="AA1301" t="str">
        <f t="shared" si="3991"/>
        <v>Onsite / Back-up power</v>
      </c>
      <c r="AB1301" t="str">
        <f t="shared" si="3992"/>
        <v>Maturity</v>
      </c>
      <c r="AC1301">
        <f t="shared" ca="1" si="3993"/>
        <v>6</v>
      </c>
      <c r="AD1301">
        <v>1242</v>
      </c>
      <c r="AE1301" t="str">
        <f>IF(AND(ISNUMBER(SEARCH(O1301,4)),ISNUMBER(SEARCH('(4) FCH pathway assessment'!$B$16,AB1301)),ISNUMBER(SEARCH('(4) FCH pathway assessment'!$B$10,AA1301))),AD1301,"")</f>
        <v/>
      </c>
      <c r="AF1301" t="str">
        <f t="shared" si="3923"/>
        <v/>
      </c>
      <c r="AG1301" t="str">
        <f>VLOOKUP(C1301,Assumptions!$B$116:$C$162,2,FALSE)</f>
        <v>BIO_GSF_CCS_MED_C</v>
      </c>
      <c r="AH1301" t="str">
        <f>VLOOKUP(D1301,Assumptions!$B$116:$C$162,2,FALSE)</f>
        <v>C_GAS_STRG</v>
      </c>
      <c r="AI1301" t="str">
        <f>VLOOKUP(E1301,Assumptions!$B$116:$C$162,2,FALSE)</f>
        <v>H2_T&amp;D_P</v>
      </c>
      <c r="AJ1301" t="str">
        <f>VLOOKUP(F1301,Assumptions!$B$116:$C$162,2,FALSE)</f>
        <v>H2_FC_PWR</v>
      </c>
    </row>
    <row r="1302" spans="2:36" x14ac:dyDescent="0.25">
      <c r="B1302" t="s">
        <v>117</v>
      </c>
      <c r="C1302" t="s">
        <v>54</v>
      </c>
      <c r="D1302" t="s">
        <v>155</v>
      </c>
      <c r="E1302" t="s">
        <v>66</v>
      </c>
      <c r="F1302" t="s">
        <v>164</v>
      </c>
      <c r="G1302" t="s">
        <v>126</v>
      </c>
      <c r="H1302" t="s">
        <v>433</v>
      </c>
      <c r="I1302" t="s">
        <v>32</v>
      </c>
      <c r="J1302" t="s">
        <v>78</v>
      </c>
      <c r="K1302">
        <f t="shared" si="3980"/>
        <v>0</v>
      </c>
      <c r="L1302">
        <f t="shared" si="3981"/>
        <v>1</v>
      </c>
      <c r="M1302">
        <f t="shared" si="3982"/>
        <v>1</v>
      </c>
      <c r="N1302">
        <f t="shared" si="3983"/>
        <v>1</v>
      </c>
      <c r="O1302">
        <f t="shared" si="3984"/>
        <v>3</v>
      </c>
      <c r="P1302" t="str">
        <f t="shared" si="3985"/>
        <v>Medium centralized biomass gasification w/ CCS-Maturity</v>
      </c>
      <c r="Q1302" t="str">
        <f t="shared" si="3986"/>
        <v>Central gas storage-Maturity</v>
      </c>
      <c r="R1302" t="str">
        <f t="shared" si="3987"/>
        <v>Onsite-Maturity</v>
      </c>
      <c r="S1302" t="str">
        <f t="shared" si="3988"/>
        <v>Prime power H2 fuel cell-Maturity</v>
      </c>
      <c r="T1302">
        <f ca="1">VLOOKUP($P1302,'TA database'!$I$8:$J$79,2,FALSE)</f>
        <v>6</v>
      </c>
      <c r="U1302">
        <f ca="1">VLOOKUP($Q1302,'TA database'!$I$86:$J$105,2,FALSE)</f>
        <v>9</v>
      </c>
      <c r="V1302">
        <f ca="1">VLOOKUP($R1302,'TA database'!$I$112:$J$139,2,FALSE)</f>
        <v>9</v>
      </c>
      <c r="W1302">
        <f>IFERROR(VLOOKUP($S1302,'TA database'!$I$146:$J$193,2,FALSE),0)</f>
        <v>0</v>
      </c>
      <c r="X1302">
        <f ca="1">IFERROR(VLOOKUP($S1302,'TA database'!$I$200:$J$271,2,FALSE),0)</f>
        <v>9</v>
      </c>
      <c r="Y1302">
        <f t="shared" ca="1" si="3989"/>
        <v>6</v>
      </c>
      <c r="Z1302" t="str">
        <f t="shared" si="3990"/>
        <v>BIO_GSF_CCS_MED_C   →   C_GAS_STRG   →   ONSITE_USE   →   H2_FC_PWR</v>
      </c>
      <c r="AA1302" t="str">
        <f t="shared" si="3991"/>
        <v>Onsite / Back-up power</v>
      </c>
      <c r="AB1302" t="str">
        <f t="shared" si="3992"/>
        <v>Maturity</v>
      </c>
      <c r="AC1302">
        <f t="shared" ca="1" si="3993"/>
        <v>6</v>
      </c>
      <c r="AD1302">
        <v>1243</v>
      </c>
      <c r="AE1302" t="str">
        <f>IF(AND(ISNUMBER(SEARCH(O1302,4)),ISNUMBER(SEARCH('(4) FCH pathway assessment'!$B$16,AB1302)),ISNUMBER(SEARCH('(4) FCH pathway assessment'!$B$10,AA1302))),AD1302,"")</f>
        <v/>
      </c>
      <c r="AF1302" t="str">
        <f t="shared" si="3923"/>
        <v/>
      </c>
      <c r="AG1302" t="str">
        <f>VLOOKUP(C1302,Assumptions!$B$116:$C$162,2,FALSE)</f>
        <v>BIO_GSF_CCS_MED_C</v>
      </c>
      <c r="AH1302" t="str">
        <f>VLOOKUP(D1302,Assumptions!$B$116:$C$162,2,FALSE)</f>
        <v>C_GAS_STRG</v>
      </c>
      <c r="AI1302" t="str">
        <f>VLOOKUP(E1302,Assumptions!$B$116:$C$162,2,FALSE)</f>
        <v>ONSITE_USE</v>
      </c>
      <c r="AJ1302" t="str">
        <f>VLOOKUP(F1302,Assumptions!$B$116:$C$162,2,FALSE)</f>
        <v>H2_FC_PWR</v>
      </c>
    </row>
    <row r="1303" spans="2:36" x14ac:dyDescent="0.25">
      <c r="B1303" t="s">
        <v>117</v>
      </c>
      <c r="C1303" t="s">
        <v>55</v>
      </c>
      <c r="D1303" s="60" t="s">
        <v>130</v>
      </c>
      <c r="E1303" t="s">
        <v>66</v>
      </c>
      <c r="F1303" t="s">
        <v>164</v>
      </c>
      <c r="G1303" t="s">
        <v>126</v>
      </c>
      <c r="H1303" t="s">
        <v>433</v>
      </c>
      <c r="I1303" t="s">
        <v>32</v>
      </c>
      <c r="J1303" t="s">
        <v>78</v>
      </c>
      <c r="K1303">
        <f t="shared" ref="K1303:K1306" si="3994">SUMPRODUCT(($C$7:$C$18=$C1303)*($D$6:$H$6=$D1303)*($D$7:$H$18))</f>
        <v>0</v>
      </c>
      <c r="L1303">
        <f t="shared" ref="L1303:L1306" si="3995">SUMPRODUCT(($C$19:$C$23=$D1303)*($I$6:$O$6=$E1303)*($I$19:$O$23))</f>
        <v>1</v>
      </c>
      <c r="M1303">
        <f t="shared" ref="M1303:M1306" si="3996">SUMPRODUCT(($C$24:$C$30=$E1303)*($P$6:$AI$6=$F1303)*($P$24:$AI$30))</f>
        <v>1</v>
      </c>
      <c r="N1303">
        <f t="shared" ref="N1303:N1306" si="3997">SUMPRODUCT(($C$31:$C$50=$F1303)*($AJ$6:$AM$6=$G1303)*($AJ$31:$AM$50))</f>
        <v>1</v>
      </c>
      <c r="O1303">
        <f t="shared" ref="O1303:O1306" si="3998">K1303+L1303+M1303+N1303</f>
        <v>3</v>
      </c>
      <c r="P1303" t="str">
        <f t="shared" ref="P1303:P1306" si="3999">CONCATENATE(C1303,"-",J1303)</f>
        <v>Small decentralized biomass gasification-Maturity</v>
      </c>
      <c r="Q1303" t="str">
        <f t="shared" ref="Q1303:Q1306" si="4000">CONCATENATE(D1303,"-",J1303)</f>
        <v>Distributed gas storage-Maturity</v>
      </c>
      <c r="R1303" t="str">
        <f t="shared" ref="R1303:R1306" si="4001">CONCATENATE(E1303,"-",J1303)</f>
        <v>Onsite-Maturity</v>
      </c>
      <c r="S1303" t="str">
        <f t="shared" ref="S1303:S1306" si="4002">CONCATENATE(F1303,"-",J1303)</f>
        <v>Prime power H2 fuel cell-Maturity</v>
      </c>
      <c r="T1303">
        <f ca="1">VLOOKUP($P1303,'TA database'!$I$8:$J$79,2,FALSE)</f>
        <v>6</v>
      </c>
      <c r="U1303">
        <f ca="1">VLOOKUP($Q1303,'TA database'!$I$86:$J$105,2,FALSE)</f>
        <v>9</v>
      </c>
      <c r="V1303">
        <f ca="1">VLOOKUP($R1303,'TA database'!$I$112:$J$139,2,FALSE)</f>
        <v>9</v>
      </c>
      <c r="W1303">
        <f>IFERROR(VLOOKUP($S1303,'TA database'!$I$146:$J$193,2,FALSE),0)</f>
        <v>0</v>
      </c>
      <c r="X1303">
        <f ca="1">IFERROR(VLOOKUP($S1303,'TA database'!$I$200:$J$271,2,FALSE),0)</f>
        <v>9</v>
      </c>
      <c r="Y1303">
        <f t="shared" ref="Y1303:Y1307" ca="1" si="4003">IF($W1303=0,MIN($T1303:$V1303,$X1303),MIN($T1303:$W1303))</f>
        <v>6</v>
      </c>
      <c r="Z1303" t="str">
        <f t="shared" ref="Z1303:Z1306" si="4004">CONCATENATE(AG1303,"   →   ",AH1303,"   →   ",AI1303,"   →   ",AJ1303)</f>
        <v>BIO_GSF_SML_D   →   D_GAS_STRG   →   ONSITE_USE   →   H2_FC_PWR</v>
      </c>
      <c r="AA1303" t="str">
        <f t="shared" ref="AA1303:AA1306" si="4005">G1303</f>
        <v>Onsite / Back-up power</v>
      </c>
      <c r="AB1303" t="str">
        <f t="shared" ref="AB1303:AB1306" si="4006">J1303</f>
        <v>Maturity</v>
      </c>
      <c r="AC1303">
        <f t="shared" ref="AC1303:AC1306" ca="1" si="4007">Y1303</f>
        <v>6</v>
      </c>
      <c r="AD1303">
        <v>1244</v>
      </c>
      <c r="AE1303" t="str">
        <f>IF(AND(ISNUMBER(SEARCH(O1303,4)),ISNUMBER(SEARCH('(4) FCH pathway assessment'!$B$16,AB1303)),ISNUMBER(SEARCH('(4) FCH pathway assessment'!$B$10,AA1303))),AD1303,"")</f>
        <v/>
      </c>
      <c r="AF1303" t="str">
        <f t="shared" si="3923"/>
        <v/>
      </c>
      <c r="AG1303" t="str">
        <f>VLOOKUP(C1303,Assumptions!$B$116:$C$162,2,FALSE)</f>
        <v>BIO_GSF_SML_D</v>
      </c>
      <c r="AH1303" t="str">
        <f>VLOOKUP(D1303,Assumptions!$B$116:$C$162,2,FALSE)</f>
        <v>D_GAS_STRG</v>
      </c>
      <c r="AI1303" t="str">
        <f>VLOOKUP(E1303,Assumptions!$B$116:$C$162,2,FALSE)</f>
        <v>ONSITE_USE</v>
      </c>
      <c r="AJ1303" t="str">
        <f>VLOOKUP(F1303,Assumptions!$B$116:$C$162,2,FALSE)</f>
        <v>H2_FC_PWR</v>
      </c>
    </row>
    <row r="1304" spans="2:36" x14ac:dyDescent="0.25">
      <c r="B1304" t="s">
        <v>117</v>
      </c>
      <c r="C1304" t="s">
        <v>56</v>
      </c>
      <c r="D1304" t="s">
        <v>62</v>
      </c>
      <c r="E1304" t="s">
        <v>157</v>
      </c>
      <c r="F1304" t="s">
        <v>164</v>
      </c>
      <c r="G1304" t="s">
        <v>126</v>
      </c>
      <c r="H1304" t="s">
        <v>433</v>
      </c>
      <c r="I1304" t="s">
        <v>32</v>
      </c>
      <c r="J1304" t="s">
        <v>78</v>
      </c>
      <c r="K1304">
        <f t="shared" si="3994"/>
        <v>0</v>
      </c>
      <c r="L1304">
        <f t="shared" si="3995"/>
        <v>0</v>
      </c>
      <c r="M1304">
        <f t="shared" si="3996"/>
        <v>0</v>
      </c>
      <c r="N1304">
        <f t="shared" si="3997"/>
        <v>1</v>
      </c>
      <c r="O1304">
        <f t="shared" si="3998"/>
        <v>1</v>
      </c>
      <c r="P1304" t="str">
        <f t="shared" si="3999"/>
        <v>Large centralized biomass steam reforming -Maturity</v>
      </c>
      <c r="Q1304" t="str">
        <f t="shared" si="4000"/>
        <v>Underground storage-Maturity</v>
      </c>
      <c r="R1304" t="str">
        <f t="shared" si="4001"/>
        <v>Blending in natural gas pipeline-Maturity</v>
      </c>
      <c r="S1304" t="str">
        <f t="shared" si="4002"/>
        <v>Prime power H2 fuel cell-Maturity</v>
      </c>
      <c r="T1304">
        <f ca="1">VLOOKUP($P1304,'TA database'!$I$8:$J$79,2,FALSE)</f>
        <v>6</v>
      </c>
      <c r="U1304">
        <f ca="1">VLOOKUP($Q1304,'TA database'!$I$86:$J$105,2,FALSE)</f>
        <v>6</v>
      </c>
      <c r="V1304">
        <f ca="1">VLOOKUP($R1304,'TA database'!$I$112:$J$139,2,FALSE)</f>
        <v>7</v>
      </c>
      <c r="W1304">
        <f>IFERROR(VLOOKUP($S1304,'TA database'!$I$146:$J$193,2,FALSE),0)</f>
        <v>0</v>
      </c>
      <c r="X1304">
        <f ca="1">IFERROR(VLOOKUP($S1304,'TA database'!$I$200:$J$271,2,FALSE),0)</f>
        <v>9</v>
      </c>
      <c r="Y1304">
        <f t="shared" ca="1" si="4003"/>
        <v>6</v>
      </c>
      <c r="Z1304" t="str">
        <f t="shared" si="4004"/>
        <v>BIO_SR_LRG_C   →   C_UNDRGRND_STRG   →   H2_BLND_NG_P   →   H2_FC_PWR</v>
      </c>
      <c r="AA1304" t="str">
        <f t="shared" si="4005"/>
        <v>Onsite / Back-up power</v>
      </c>
      <c r="AB1304" t="str">
        <f t="shared" si="4006"/>
        <v>Maturity</v>
      </c>
      <c r="AC1304">
        <f t="shared" ca="1" si="4007"/>
        <v>6</v>
      </c>
      <c r="AD1304">
        <v>1245</v>
      </c>
      <c r="AE1304" t="str">
        <f>IF(AND(ISNUMBER(SEARCH(O1304,4)),ISNUMBER(SEARCH('(4) FCH pathway assessment'!$B$16,AB1304)),ISNUMBER(SEARCH('(4) FCH pathway assessment'!$B$10,AA1304))),AD1304,"")</f>
        <v/>
      </c>
      <c r="AF1304" t="str">
        <f t="shared" si="3923"/>
        <v/>
      </c>
      <c r="AG1304" t="str">
        <f>VLOOKUP(C1304,Assumptions!$B$116:$C$162,2,FALSE)</f>
        <v>BIO_SR_LRG_C</v>
      </c>
      <c r="AH1304" t="str">
        <f>VLOOKUP(D1304,Assumptions!$B$116:$C$162,2,FALSE)</f>
        <v>C_UNDRGRND_STRG</v>
      </c>
      <c r="AI1304" t="str">
        <f>VLOOKUP(E1304,Assumptions!$B$116:$C$162,2,FALSE)</f>
        <v>H2_BLND_NG_P</v>
      </c>
      <c r="AJ1304" t="str">
        <f>VLOOKUP(F1304,Assumptions!$B$116:$C$162,2,FALSE)</f>
        <v>H2_FC_PWR</v>
      </c>
    </row>
    <row r="1305" spans="2:36" x14ac:dyDescent="0.25">
      <c r="B1305" t="s">
        <v>117</v>
      </c>
      <c r="C1305" t="s">
        <v>56</v>
      </c>
      <c r="D1305" t="s">
        <v>62</v>
      </c>
      <c r="E1305" t="s">
        <v>122</v>
      </c>
      <c r="F1305" t="s">
        <v>164</v>
      </c>
      <c r="G1305" t="s">
        <v>126</v>
      </c>
      <c r="H1305" t="s">
        <v>433</v>
      </c>
      <c r="I1305" t="s">
        <v>32</v>
      </c>
      <c r="J1305" t="s">
        <v>78</v>
      </c>
      <c r="K1305">
        <f t="shared" si="3994"/>
        <v>0</v>
      </c>
      <c r="L1305">
        <f t="shared" si="3995"/>
        <v>0</v>
      </c>
      <c r="M1305">
        <f t="shared" si="3996"/>
        <v>1</v>
      </c>
      <c r="N1305">
        <f t="shared" si="3997"/>
        <v>1</v>
      </c>
      <c r="O1305">
        <f t="shared" si="3998"/>
        <v>2</v>
      </c>
      <c r="P1305" t="str">
        <f t="shared" si="3999"/>
        <v>Large centralized biomass steam reforming -Maturity</v>
      </c>
      <c r="Q1305" t="str">
        <f t="shared" si="4000"/>
        <v>Underground storage-Maturity</v>
      </c>
      <c r="R1305" t="str">
        <f t="shared" si="4001"/>
        <v>Hydrogen transmission &amp; distribution pipeline-Maturity</v>
      </c>
      <c r="S1305" t="str">
        <f t="shared" si="4002"/>
        <v>Prime power H2 fuel cell-Maturity</v>
      </c>
      <c r="T1305">
        <f ca="1">VLOOKUP($P1305,'TA database'!$I$8:$J$79,2,FALSE)</f>
        <v>6</v>
      </c>
      <c r="U1305">
        <f ca="1">VLOOKUP($Q1305,'TA database'!$I$86:$J$105,2,FALSE)</f>
        <v>6</v>
      </c>
      <c r="V1305">
        <f ca="1">VLOOKUP($R1305,'TA database'!$I$112:$J$139,2,FALSE)</f>
        <v>9</v>
      </c>
      <c r="W1305">
        <f>IFERROR(VLOOKUP($S1305,'TA database'!$I$146:$J$193,2,FALSE),0)</f>
        <v>0</v>
      </c>
      <c r="X1305">
        <f ca="1">IFERROR(VLOOKUP($S1305,'TA database'!$I$200:$J$271,2,FALSE),0)</f>
        <v>9</v>
      </c>
      <c r="Y1305">
        <f t="shared" ca="1" si="4003"/>
        <v>6</v>
      </c>
      <c r="Z1305" t="str">
        <f t="shared" si="4004"/>
        <v>BIO_SR_LRG_C   →   C_UNDRGRND_STRG   →   H2_T&amp;D_P   →   H2_FC_PWR</v>
      </c>
      <c r="AA1305" t="str">
        <f t="shared" si="4005"/>
        <v>Onsite / Back-up power</v>
      </c>
      <c r="AB1305" t="str">
        <f t="shared" si="4006"/>
        <v>Maturity</v>
      </c>
      <c r="AC1305">
        <f t="shared" ca="1" si="4007"/>
        <v>6</v>
      </c>
      <c r="AD1305">
        <v>1246</v>
      </c>
      <c r="AE1305" t="str">
        <f>IF(AND(ISNUMBER(SEARCH(O1305,4)),ISNUMBER(SEARCH('(4) FCH pathway assessment'!$B$16,AB1305)),ISNUMBER(SEARCH('(4) FCH pathway assessment'!$B$10,AA1305))),AD1305,"")</f>
        <v/>
      </c>
      <c r="AF1305" t="str">
        <f t="shared" si="3923"/>
        <v/>
      </c>
      <c r="AG1305" t="str">
        <f>VLOOKUP(C1305,Assumptions!$B$116:$C$162,2,FALSE)</f>
        <v>BIO_SR_LRG_C</v>
      </c>
      <c r="AH1305" t="str">
        <f>VLOOKUP(D1305,Assumptions!$B$116:$C$162,2,FALSE)</f>
        <v>C_UNDRGRND_STRG</v>
      </c>
      <c r="AI1305" t="str">
        <f>VLOOKUP(E1305,Assumptions!$B$116:$C$162,2,FALSE)</f>
        <v>H2_T&amp;D_P</v>
      </c>
      <c r="AJ1305" t="str">
        <f>VLOOKUP(F1305,Assumptions!$B$116:$C$162,2,FALSE)</f>
        <v>H2_FC_PWR</v>
      </c>
    </row>
    <row r="1306" spans="2:36" x14ac:dyDescent="0.25">
      <c r="B1306" t="s">
        <v>117</v>
      </c>
      <c r="C1306" t="s">
        <v>56</v>
      </c>
      <c r="D1306" t="s">
        <v>62</v>
      </c>
      <c r="E1306" t="s">
        <v>66</v>
      </c>
      <c r="F1306" t="s">
        <v>164</v>
      </c>
      <c r="G1306" t="s">
        <v>126</v>
      </c>
      <c r="H1306" t="s">
        <v>433</v>
      </c>
      <c r="I1306" t="s">
        <v>32</v>
      </c>
      <c r="J1306" t="s">
        <v>78</v>
      </c>
      <c r="K1306">
        <f t="shared" si="3994"/>
        <v>0</v>
      </c>
      <c r="L1306">
        <f t="shared" si="3995"/>
        <v>0</v>
      </c>
      <c r="M1306">
        <f t="shared" si="3996"/>
        <v>1</v>
      </c>
      <c r="N1306">
        <f t="shared" si="3997"/>
        <v>1</v>
      </c>
      <c r="O1306">
        <f t="shared" si="3998"/>
        <v>2</v>
      </c>
      <c r="P1306" t="str">
        <f t="shared" si="3999"/>
        <v>Large centralized biomass steam reforming -Maturity</v>
      </c>
      <c r="Q1306" t="str">
        <f t="shared" si="4000"/>
        <v>Underground storage-Maturity</v>
      </c>
      <c r="R1306" t="str">
        <f t="shared" si="4001"/>
        <v>Onsite-Maturity</v>
      </c>
      <c r="S1306" t="str">
        <f t="shared" si="4002"/>
        <v>Prime power H2 fuel cell-Maturity</v>
      </c>
      <c r="T1306">
        <f ca="1">VLOOKUP($P1306,'TA database'!$I$8:$J$79,2,FALSE)</f>
        <v>6</v>
      </c>
      <c r="U1306">
        <f ca="1">VLOOKUP($Q1306,'TA database'!$I$86:$J$105,2,FALSE)</f>
        <v>6</v>
      </c>
      <c r="V1306">
        <f ca="1">VLOOKUP($R1306,'TA database'!$I$112:$J$139,2,FALSE)</f>
        <v>9</v>
      </c>
      <c r="W1306">
        <f>IFERROR(VLOOKUP($S1306,'TA database'!$I$146:$J$193,2,FALSE),0)</f>
        <v>0</v>
      </c>
      <c r="X1306">
        <f ca="1">IFERROR(VLOOKUP($S1306,'TA database'!$I$200:$J$271,2,FALSE),0)</f>
        <v>9</v>
      </c>
      <c r="Y1306">
        <f t="shared" ca="1" si="4003"/>
        <v>6</v>
      </c>
      <c r="Z1306" t="str">
        <f t="shared" si="4004"/>
        <v>BIO_SR_LRG_C   →   C_UNDRGRND_STRG   →   ONSITE_USE   →   H2_FC_PWR</v>
      </c>
      <c r="AA1306" t="str">
        <f t="shared" si="4005"/>
        <v>Onsite / Back-up power</v>
      </c>
      <c r="AB1306" t="str">
        <f t="shared" si="4006"/>
        <v>Maturity</v>
      </c>
      <c r="AC1306">
        <f t="shared" ca="1" si="4007"/>
        <v>6</v>
      </c>
      <c r="AD1306">
        <v>1247</v>
      </c>
      <c r="AE1306" t="str">
        <f>IF(AND(ISNUMBER(SEARCH(O1306,4)),ISNUMBER(SEARCH('(4) FCH pathway assessment'!$B$16,AB1306)),ISNUMBER(SEARCH('(4) FCH pathway assessment'!$B$10,AA1306))),AD1306,"")</f>
        <v/>
      </c>
      <c r="AF1306" t="str">
        <f t="shared" si="3923"/>
        <v/>
      </c>
      <c r="AG1306" t="str">
        <f>VLOOKUP(C1306,Assumptions!$B$116:$C$162,2,FALSE)</f>
        <v>BIO_SR_LRG_C</v>
      </c>
      <c r="AH1306" t="str">
        <f>VLOOKUP(D1306,Assumptions!$B$116:$C$162,2,FALSE)</f>
        <v>C_UNDRGRND_STRG</v>
      </c>
      <c r="AI1306" t="str">
        <f>VLOOKUP(E1306,Assumptions!$B$116:$C$162,2,FALSE)</f>
        <v>ONSITE_USE</v>
      </c>
      <c r="AJ1306" t="str">
        <f>VLOOKUP(F1306,Assumptions!$B$116:$C$162,2,FALSE)</f>
        <v>H2_FC_PWR</v>
      </c>
    </row>
    <row r="1307" spans="2:36" x14ac:dyDescent="0.25">
      <c r="B1307" t="s">
        <v>117</v>
      </c>
      <c r="C1307" t="s">
        <v>56</v>
      </c>
      <c r="D1307" s="61" t="s">
        <v>63</v>
      </c>
      <c r="E1307" t="s">
        <v>122</v>
      </c>
      <c r="F1307" t="s">
        <v>164</v>
      </c>
      <c r="G1307" t="s">
        <v>126</v>
      </c>
      <c r="H1307" t="s">
        <v>433</v>
      </c>
      <c r="I1307" t="s">
        <v>32</v>
      </c>
      <c r="J1307" t="s">
        <v>78</v>
      </c>
      <c r="K1307">
        <f t="shared" ref="K1307:K1313" si="4008">SUMPRODUCT(($C$7:$C$18=$C1307)*($D$6:$H$6=$D1307)*($D$7:$H$18))</f>
        <v>0</v>
      </c>
      <c r="L1307">
        <f t="shared" ref="L1307:L1313" si="4009">SUMPRODUCT(($C$19:$C$23=$D1307)*($I$6:$O$6=$E1307)*($I$19:$O$23))</f>
        <v>1</v>
      </c>
      <c r="M1307">
        <f t="shared" ref="M1307:M1313" si="4010">SUMPRODUCT(($C$24:$C$30=$E1307)*($P$6:$AI$6=$F1307)*($P$24:$AI$30))</f>
        <v>1</v>
      </c>
      <c r="N1307">
        <f t="shared" ref="N1307:N1313" si="4011">SUMPRODUCT(($C$31:$C$50=$F1307)*($AJ$6:$AM$6=$G1307)*($AJ$31:$AM$50))</f>
        <v>1</v>
      </c>
      <c r="O1307">
        <f t="shared" ref="O1307:O1313" si="4012">K1307+L1307+M1307+N1307</f>
        <v>3</v>
      </c>
      <c r="P1307" t="str">
        <f t="shared" ref="P1307:P1313" si="4013">CONCATENATE(C1307,"-",J1307)</f>
        <v>Large centralized biomass steam reforming -Maturity</v>
      </c>
      <c r="Q1307" t="str">
        <f t="shared" ref="Q1307:Q1313" si="4014">CONCATENATE(D1307,"-",J1307)</f>
        <v>No storage-Maturity</v>
      </c>
      <c r="R1307" t="str">
        <f t="shared" ref="R1307:R1313" si="4015">CONCATENATE(E1307,"-",J1307)</f>
        <v>Hydrogen transmission &amp; distribution pipeline-Maturity</v>
      </c>
      <c r="S1307" t="str">
        <f t="shared" ref="S1307:S1313" si="4016">CONCATENATE(F1307,"-",J1307)</f>
        <v>Prime power H2 fuel cell-Maturity</v>
      </c>
      <c r="T1307">
        <f ca="1">VLOOKUP($P1307,'TA database'!$I$8:$J$79,2,FALSE)</f>
        <v>6</v>
      </c>
      <c r="U1307">
        <f ca="1">VLOOKUP($Q1307,'TA database'!$I$86:$J$105,2,FALSE)</f>
        <v>9</v>
      </c>
      <c r="V1307">
        <f ca="1">VLOOKUP($R1307,'TA database'!$I$112:$J$139,2,FALSE)</f>
        <v>9</v>
      </c>
      <c r="W1307">
        <f>IFERROR(VLOOKUP($S1307,'TA database'!$I$146:$J$193,2,FALSE),0)</f>
        <v>0</v>
      </c>
      <c r="X1307">
        <f ca="1">IFERROR(VLOOKUP($S1307,'TA database'!$I$200:$J$271,2,FALSE),0)</f>
        <v>9</v>
      </c>
      <c r="Y1307">
        <f t="shared" ca="1" si="4003"/>
        <v>6</v>
      </c>
      <c r="Z1307" t="str">
        <f t="shared" ref="Z1307:Z1313" si="4017">CONCATENATE(AG1307,"   →   ",AH1307,"   →   ",AI1307,"   →   ",AJ1307)</f>
        <v>BIO_SR_LRG_C   →   NO_STRG   →   H2_T&amp;D_P   →   H2_FC_PWR</v>
      </c>
      <c r="AA1307" t="str">
        <f t="shared" ref="AA1307:AA1313" si="4018">G1307</f>
        <v>Onsite / Back-up power</v>
      </c>
      <c r="AB1307" t="str">
        <f t="shared" ref="AB1307:AB1313" si="4019">J1307</f>
        <v>Maturity</v>
      </c>
      <c r="AC1307">
        <f t="shared" ref="AC1307:AC1313" ca="1" si="4020">Y1307</f>
        <v>6</v>
      </c>
      <c r="AD1307">
        <v>1248</v>
      </c>
      <c r="AE1307" t="str">
        <f>IF(AND(ISNUMBER(SEARCH(O1307,4)),ISNUMBER(SEARCH('(4) FCH pathway assessment'!$B$16,AB1307)),ISNUMBER(SEARCH('(4) FCH pathway assessment'!$B$10,AA1307))),AD1307,"")</f>
        <v/>
      </c>
      <c r="AF1307" t="str">
        <f t="shared" si="3923"/>
        <v/>
      </c>
      <c r="AG1307" t="str">
        <f>VLOOKUP(C1307,Assumptions!$B$116:$C$162,2,FALSE)</f>
        <v>BIO_SR_LRG_C</v>
      </c>
      <c r="AH1307" t="str">
        <f>VLOOKUP(D1307,Assumptions!$B$116:$C$162,2,FALSE)</f>
        <v>NO_STRG</v>
      </c>
      <c r="AI1307" t="str">
        <f>VLOOKUP(E1307,Assumptions!$B$116:$C$162,2,FALSE)</f>
        <v>H2_T&amp;D_P</v>
      </c>
      <c r="AJ1307" t="str">
        <f>VLOOKUP(F1307,Assumptions!$B$116:$C$162,2,FALSE)</f>
        <v>H2_FC_PWR</v>
      </c>
    </row>
    <row r="1308" spans="2:36" x14ac:dyDescent="0.25">
      <c r="B1308" t="s">
        <v>112</v>
      </c>
      <c r="C1308" t="s">
        <v>49</v>
      </c>
      <c r="D1308" t="s">
        <v>62</v>
      </c>
      <c r="E1308" t="s">
        <v>157</v>
      </c>
      <c r="F1308" t="s">
        <v>164</v>
      </c>
      <c r="G1308" t="s">
        <v>126</v>
      </c>
      <c r="H1308" t="s">
        <v>433</v>
      </c>
      <c r="I1308" t="s">
        <v>32</v>
      </c>
      <c r="J1308" t="s">
        <v>78</v>
      </c>
      <c r="K1308">
        <f t="shared" si="4008"/>
        <v>1</v>
      </c>
      <c r="L1308">
        <f t="shared" si="4009"/>
        <v>0</v>
      </c>
      <c r="M1308">
        <f t="shared" si="4010"/>
        <v>0</v>
      </c>
      <c r="N1308">
        <f t="shared" si="4011"/>
        <v>1</v>
      </c>
      <c r="O1308">
        <f t="shared" si="4012"/>
        <v>2</v>
      </c>
      <c r="P1308" t="str">
        <f t="shared" si="4013"/>
        <v>Large centralized electrolysis-Maturity</v>
      </c>
      <c r="Q1308" t="str">
        <f t="shared" si="4014"/>
        <v>Underground storage-Maturity</v>
      </c>
      <c r="R1308" t="str">
        <f t="shared" si="4015"/>
        <v>Blending in natural gas pipeline-Maturity</v>
      </c>
      <c r="S1308" t="str">
        <f t="shared" si="4016"/>
        <v>Prime power H2 fuel cell-Maturity</v>
      </c>
      <c r="T1308">
        <f ca="1">VLOOKUP($P1308,'TA database'!$I$8:$J$79,2,FALSE)</f>
        <v>9</v>
      </c>
      <c r="U1308">
        <f ca="1">VLOOKUP($Q1308,'TA database'!$I$86:$J$105,2,FALSE)</f>
        <v>6</v>
      </c>
      <c r="V1308">
        <f ca="1">VLOOKUP($R1308,'TA database'!$I$112:$J$139,2,FALSE)</f>
        <v>7</v>
      </c>
      <c r="W1308">
        <f>IFERROR(VLOOKUP($S1308,'TA database'!$I$146:$J$193,2,FALSE),0)</f>
        <v>0</v>
      </c>
      <c r="X1308">
        <f ca="1">IFERROR(VLOOKUP($S1308,'TA database'!$I$200:$J$271,2,FALSE),0)</f>
        <v>9</v>
      </c>
      <c r="Y1308">
        <f t="shared" ref="Y1308:Y1316" ca="1" si="4021">IF($W1308=0,MIN($T1308:$V1308,$X1308),MIN($T1308:$W1308))</f>
        <v>6</v>
      </c>
      <c r="Z1308" t="str">
        <f t="shared" si="4017"/>
        <v>ELCTRLYZ_LRG_C   →   C_UNDRGRND_STRG   →   H2_BLND_NG_P   →   H2_FC_PWR</v>
      </c>
      <c r="AA1308" t="str">
        <f t="shared" si="4018"/>
        <v>Onsite / Back-up power</v>
      </c>
      <c r="AB1308" t="str">
        <f t="shared" si="4019"/>
        <v>Maturity</v>
      </c>
      <c r="AC1308">
        <f t="shared" ca="1" si="4020"/>
        <v>6</v>
      </c>
      <c r="AD1308">
        <v>1249</v>
      </c>
      <c r="AE1308" t="str">
        <f>IF(AND(ISNUMBER(SEARCH(O1308,4)),ISNUMBER(SEARCH('(4) FCH pathway assessment'!$B$16,AB1308)),ISNUMBER(SEARCH('(4) FCH pathway assessment'!$B$10,AA1308))),AD1308,"")</f>
        <v/>
      </c>
      <c r="AF1308" t="str">
        <f t="shared" si="3923"/>
        <v/>
      </c>
      <c r="AG1308" t="str">
        <f>VLOOKUP(C1308,Assumptions!$B$116:$C$162,2,FALSE)</f>
        <v>ELCTRLYZ_LRG_C</v>
      </c>
      <c r="AH1308" t="str">
        <f>VLOOKUP(D1308,Assumptions!$B$116:$C$162,2,FALSE)</f>
        <v>C_UNDRGRND_STRG</v>
      </c>
      <c r="AI1308" t="str">
        <f>VLOOKUP(E1308,Assumptions!$B$116:$C$162,2,FALSE)</f>
        <v>H2_BLND_NG_P</v>
      </c>
      <c r="AJ1308" t="str">
        <f>VLOOKUP(F1308,Assumptions!$B$116:$C$162,2,FALSE)</f>
        <v>H2_FC_PWR</v>
      </c>
    </row>
    <row r="1309" spans="2:36" x14ac:dyDescent="0.25">
      <c r="B1309" t="s">
        <v>112</v>
      </c>
      <c r="C1309" t="s">
        <v>49</v>
      </c>
      <c r="D1309" t="s">
        <v>62</v>
      </c>
      <c r="E1309" t="s">
        <v>122</v>
      </c>
      <c r="F1309" t="s">
        <v>164</v>
      </c>
      <c r="G1309" t="s">
        <v>126</v>
      </c>
      <c r="H1309" t="s">
        <v>433</v>
      </c>
      <c r="I1309" t="s">
        <v>32</v>
      </c>
      <c r="J1309" t="s">
        <v>78</v>
      </c>
      <c r="K1309">
        <f t="shared" si="4008"/>
        <v>1</v>
      </c>
      <c r="L1309">
        <f t="shared" si="4009"/>
        <v>0</v>
      </c>
      <c r="M1309">
        <f t="shared" si="4010"/>
        <v>1</v>
      </c>
      <c r="N1309">
        <f t="shared" si="4011"/>
        <v>1</v>
      </c>
      <c r="O1309">
        <f t="shared" si="4012"/>
        <v>3</v>
      </c>
      <c r="P1309" t="str">
        <f t="shared" si="4013"/>
        <v>Large centralized electrolysis-Maturity</v>
      </c>
      <c r="Q1309" t="str">
        <f t="shared" si="4014"/>
        <v>Underground storage-Maturity</v>
      </c>
      <c r="R1309" t="str">
        <f t="shared" si="4015"/>
        <v>Hydrogen transmission &amp; distribution pipeline-Maturity</v>
      </c>
      <c r="S1309" t="str">
        <f t="shared" si="4016"/>
        <v>Prime power H2 fuel cell-Maturity</v>
      </c>
      <c r="T1309">
        <f ca="1">VLOOKUP($P1309,'TA database'!$I$8:$J$79,2,FALSE)</f>
        <v>9</v>
      </c>
      <c r="U1309">
        <f ca="1">VLOOKUP($Q1309,'TA database'!$I$86:$J$105,2,FALSE)</f>
        <v>6</v>
      </c>
      <c r="V1309">
        <f ca="1">VLOOKUP($R1309,'TA database'!$I$112:$J$139,2,FALSE)</f>
        <v>9</v>
      </c>
      <c r="W1309">
        <f>IFERROR(VLOOKUP($S1309,'TA database'!$I$146:$J$193,2,FALSE),0)</f>
        <v>0</v>
      </c>
      <c r="X1309">
        <f ca="1">IFERROR(VLOOKUP($S1309,'TA database'!$I$200:$J$271,2,FALSE),0)</f>
        <v>9</v>
      </c>
      <c r="Y1309">
        <f t="shared" ca="1" si="4021"/>
        <v>6</v>
      </c>
      <c r="Z1309" t="str">
        <f t="shared" si="4017"/>
        <v>ELCTRLYZ_LRG_C   →   C_UNDRGRND_STRG   →   H2_T&amp;D_P   →   H2_FC_PWR</v>
      </c>
      <c r="AA1309" t="str">
        <f t="shared" si="4018"/>
        <v>Onsite / Back-up power</v>
      </c>
      <c r="AB1309" t="str">
        <f t="shared" si="4019"/>
        <v>Maturity</v>
      </c>
      <c r="AC1309">
        <f t="shared" ca="1" si="4020"/>
        <v>6</v>
      </c>
      <c r="AD1309">
        <v>1250</v>
      </c>
      <c r="AE1309" t="str">
        <f>IF(AND(ISNUMBER(SEARCH(O1309,4)),ISNUMBER(SEARCH('(4) FCH pathway assessment'!$B$16,AB1309)),ISNUMBER(SEARCH('(4) FCH pathway assessment'!$B$10,AA1309))),AD1309,"")</f>
        <v/>
      </c>
      <c r="AF1309" t="str">
        <f t="shared" si="3923"/>
        <v/>
      </c>
      <c r="AG1309" t="str">
        <f>VLOOKUP(C1309,Assumptions!$B$116:$C$162,2,FALSE)</f>
        <v>ELCTRLYZ_LRG_C</v>
      </c>
      <c r="AH1309" t="str">
        <f>VLOOKUP(D1309,Assumptions!$B$116:$C$162,2,FALSE)</f>
        <v>C_UNDRGRND_STRG</v>
      </c>
      <c r="AI1309" t="str">
        <f>VLOOKUP(E1309,Assumptions!$B$116:$C$162,2,FALSE)</f>
        <v>H2_T&amp;D_P</v>
      </c>
      <c r="AJ1309" t="str">
        <f>VLOOKUP(F1309,Assumptions!$B$116:$C$162,2,FALSE)</f>
        <v>H2_FC_PWR</v>
      </c>
    </row>
    <row r="1310" spans="2:36" x14ac:dyDescent="0.25">
      <c r="B1310" t="s">
        <v>112</v>
      </c>
      <c r="C1310" t="s">
        <v>49</v>
      </c>
      <c r="D1310" t="s">
        <v>62</v>
      </c>
      <c r="E1310" t="s">
        <v>66</v>
      </c>
      <c r="F1310" t="s">
        <v>164</v>
      </c>
      <c r="G1310" t="s">
        <v>126</v>
      </c>
      <c r="H1310" t="s">
        <v>433</v>
      </c>
      <c r="I1310" t="s">
        <v>32</v>
      </c>
      <c r="J1310" t="s">
        <v>78</v>
      </c>
      <c r="K1310">
        <f t="shared" si="4008"/>
        <v>1</v>
      </c>
      <c r="L1310">
        <f t="shared" si="4009"/>
        <v>0</v>
      </c>
      <c r="M1310">
        <f t="shared" si="4010"/>
        <v>1</v>
      </c>
      <c r="N1310">
        <f t="shared" si="4011"/>
        <v>1</v>
      </c>
      <c r="O1310">
        <f t="shared" si="4012"/>
        <v>3</v>
      </c>
      <c r="P1310" t="str">
        <f t="shared" si="4013"/>
        <v>Large centralized electrolysis-Maturity</v>
      </c>
      <c r="Q1310" t="str">
        <f t="shared" si="4014"/>
        <v>Underground storage-Maturity</v>
      </c>
      <c r="R1310" t="str">
        <f t="shared" si="4015"/>
        <v>Onsite-Maturity</v>
      </c>
      <c r="S1310" t="str">
        <f t="shared" si="4016"/>
        <v>Prime power H2 fuel cell-Maturity</v>
      </c>
      <c r="T1310">
        <f ca="1">VLOOKUP($P1310,'TA database'!$I$8:$J$79,2,FALSE)</f>
        <v>9</v>
      </c>
      <c r="U1310">
        <f ca="1">VLOOKUP($Q1310,'TA database'!$I$86:$J$105,2,FALSE)</f>
        <v>6</v>
      </c>
      <c r="V1310">
        <f ca="1">VLOOKUP($R1310,'TA database'!$I$112:$J$139,2,FALSE)</f>
        <v>9</v>
      </c>
      <c r="W1310">
        <f>IFERROR(VLOOKUP($S1310,'TA database'!$I$146:$J$193,2,FALSE),0)</f>
        <v>0</v>
      </c>
      <c r="X1310">
        <f ca="1">IFERROR(VLOOKUP($S1310,'TA database'!$I$200:$J$271,2,FALSE),0)</f>
        <v>9</v>
      </c>
      <c r="Y1310">
        <f t="shared" ca="1" si="4021"/>
        <v>6</v>
      </c>
      <c r="Z1310" t="str">
        <f t="shared" si="4017"/>
        <v>ELCTRLYZ_LRG_C   →   C_UNDRGRND_STRG   →   ONSITE_USE   →   H2_FC_PWR</v>
      </c>
      <c r="AA1310" t="str">
        <f t="shared" si="4018"/>
        <v>Onsite / Back-up power</v>
      </c>
      <c r="AB1310" t="str">
        <f t="shared" si="4019"/>
        <v>Maturity</v>
      </c>
      <c r="AC1310">
        <f t="shared" ca="1" si="4020"/>
        <v>6</v>
      </c>
      <c r="AD1310">
        <v>1251</v>
      </c>
      <c r="AE1310" t="str">
        <f>IF(AND(ISNUMBER(SEARCH(O1310,4)),ISNUMBER(SEARCH('(4) FCH pathway assessment'!$B$16,AB1310)),ISNUMBER(SEARCH('(4) FCH pathway assessment'!$B$10,AA1310))),AD1310,"")</f>
        <v/>
      </c>
      <c r="AF1310" t="str">
        <f t="shared" si="3923"/>
        <v/>
      </c>
      <c r="AG1310" t="str">
        <f>VLOOKUP(C1310,Assumptions!$B$116:$C$162,2,FALSE)</f>
        <v>ELCTRLYZ_LRG_C</v>
      </c>
      <c r="AH1310" t="str">
        <f>VLOOKUP(D1310,Assumptions!$B$116:$C$162,2,FALSE)</f>
        <v>C_UNDRGRND_STRG</v>
      </c>
      <c r="AI1310" t="str">
        <f>VLOOKUP(E1310,Assumptions!$B$116:$C$162,2,FALSE)</f>
        <v>ONSITE_USE</v>
      </c>
      <c r="AJ1310" t="str">
        <f>VLOOKUP(F1310,Assumptions!$B$116:$C$162,2,FALSE)</f>
        <v>H2_FC_PWR</v>
      </c>
    </row>
    <row r="1311" spans="2:36" x14ac:dyDescent="0.25">
      <c r="B1311" t="s">
        <v>112</v>
      </c>
      <c r="C1311" t="s">
        <v>49</v>
      </c>
      <c r="D1311" t="s">
        <v>155</v>
      </c>
      <c r="E1311" t="s">
        <v>157</v>
      </c>
      <c r="F1311" t="s">
        <v>164</v>
      </c>
      <c r="G1311" t="s">
        <v>126</v>
      </c>
      <c r="H1311" t="s">
        <v>433</v>
      </c>
      <c r="I1311" t="s">
        <v>32</v>
      </c>
      <c r="J1311" t="s">
        <v>78</v>
      </c>
      <c r="K1311">
        <f t="shared" si="4008"/>
        <v>1</v>
      </c>
      <c r="L1311">
        <f t="shared" si="4009"/>
        <v>1</v>
      </c>
      <c r="M1311">
        <f t="shared" si="4010"/>
        <v>0</v>
      </c>
      <c r="N1311">
        <f t="shared" si="4011"/>
        <v>1</v>
      </c>
      <c r="O1311">
        <f t="shared" si="4012"/>
        <v>3</v>
      </c>
      <c r="P1311" t="str">
        <f t="shared" si="4013"/>
        <v>Large centralized electrolysis-Maturity</v>
      </c>
      <c r="Q1311" t="str">
        <f t="shared" si="4014"/>
        <v>Central gas storage-Maturity</v>
      </c>
      <c r="R1311" t="str">
        <f t="shared" si="4015"/>
        <v>Blending in natural gas pipeline-Maturity</v>
      </c>
      <c r="S1311" t="str">
        <f t="shared" si="4016"/>
        <v>Prime power H2 fuel cell-Maturity</v>
      </c>
      <c r="T1311">
        <f ca="1">VLOOKUP($P1311,'TA database'!$I$8:$J$79,2,FALSE)</f>
        <v>9</v>
      </c>
      <c r="U1311">
        <f ca="1">VLOOKUP($Q1311,'TA database'!$I$86:$J$105,2,FALSE)</f>
        <v>9</v>
      </c>
      <c r="V1311">
        <f ca="1">VLOOKUP($R1311,'TA database'!$I$112:$J$139,2,FALSE)</f>
        <v>7</v>
      </c>
      <c r="W1311">
        <f>IFERROR(VLOOKUP($S1311,'TA database'!$I$146:$J$193,2,FALSE),0)</f>
        <v>0</v>
      </c>
      <c r="X1311">
        <f ca="1">IFERROR(VLOOKUP($S1311,'TA database'!$I$200:$J$271,2,FALSE),0)</f>
        <v>9</v>
      </c>
      <c r="Y1311">
        <f t="shared" ca="1" si="4021"/>
        <v>7</v>
      </c>
      <c r="Z1311" t="str">
        <f t="shared" si="4017"/>
        <v>ELCTRLYZ_LRG_C   →   C_GAS_STRG   →   H2_BLND_NG_P   →   H2_FC_PWR</v>
      </c>
      <c r="AA1311" t="str">
        <f t="shared" si="4018"/>
        <v>Onsite / Back-up power</v>
      </c>
      <c r="AB1311" t="str">
        <f t="shared" si="4019"/>
        <v>Maturity</v>
      </c>
      <c r="AC1311">
        <f t="shared" ca="1" si="4020"/>
        <v>7</v>
      </c>
      <c r="AD1311">
        <v>1252</v>
      </c>
      <c r="AE1311" t="str">
        <f>IF(AND(ISNUMBER(SEARCH(O1311,4)),ISNUMBER(SEARCH('(4) FCH pathway assessment'!$B$16,AB1311)),ISNUMBER(SEARCH('(4) FCH pathway assessment'!$B$10,AA1311))),AD1311,"")</f>
        <v/>
      </c>
      <c r="AF1311" t="str">
        <f t="shared" si="3923"/>
        <v/>
      </c>
      <c r="AG1311" t="str">
        <f>VLOOKUP(C1311,Assumptions!$B$116:$C$162,2,FALSE)</f>
        <v>ELCTRLYZ_LRG_C</v>
      </c>
      <c r="AH1311" t="str">
        <f>VLOOKUP(D1311,Assumptions!$B$116:$C$162,2,FALSE)</f>
        <v>C_GAS_STRG</v>
      </c>
      <c r="AI1311" t="str">
        <f>VLOOKUP(E1311,Assumptions!$B$116:$C$162,2,FALSE)</f>
        <v>H2_BLND_NG_P</v>
      </c>
      <c r="AJ1311" t="str">
        <f>VLOOKUP(F1311,Assumptions!$B$116:$C$162,2,FALSE)</f>
        <v>H2_FC_PWR</v>
      </c>
    </row>
    <row r="1312" spans="2:36" x14ac:dyDescent="0.25">
      <c r="B1312" t="s">
        <v>112</v>
      </c>
      <c r="C1312" t="s">
        <v>49</v>
      </c>
      <c r="D1312" t="s">
        <v>155</v>
      </c>
      <c r="E1312" t="s">
        <v>122</v>
      </c>
      <c r="F1312" t="s">
        <v>164</v>
      </c>
      <c r="G1312" t="s">
        <v>126</v>
      </c>
      <c r="H1312" t="s">
        <v>433</v>
      </c>
      <c r="I1312" t="s">
        <v>32</v>
      </c>
      <c r="J1312" t="s">
        <v>78</v>
      </c>
      <c r="K1312">
        <f t="shared" si="4008"/>
        <v>1</v>
      </c>
      <c r="L1312">
        <f t="shared" si="4009"/>
        <v>1</v>
      </c>
      <c r="M1312">
        <f t="shared" si="4010"/>
        <v>1</v>
      </c>
      <c r="N1312">
        <f t="shared" si="4011"/>
        <v>1</v>
      </c>
      <c r="O1312">
        <f t="shared" si="4012"/>
        <v>4</v>
      </c>
      <c r="P1312" t="str">
        <f t="shared" si="4013"/>
        <v>Large centralized electrolysis-Maturity</v>
      </c>
      <c r="Q1312" t="str">
        <f t="shared" si="4014"/>
        <v>Central gas storage-Maturity</v>
      </c>
      <c r="R1312" t="str">
        <f t="shared" si="4015"/>
        <v>Hydrogen transmission &amp; distribution pipeline-Maturity</v>
      </c>
      <c r="S1312" t="str">
        <f t="shared" si="4016"/>
        <v>Prime power H2 fuel cell-Maturity</v>
      </c>
      <c r="T1312">
        <f ca="1">VLOOKUP($P1312,'TA database'!$I$8:$J$79,2,FALSE)</f>
        <v>9</v>
      </c>
      <c r="U1312">
        <f ca="1">VLOOKUP($Q1312,'TA database'!$I$86:$J$105,2,FALSE)</f>
        <v>9</v>
      </c>
      <c r="V1312">
        <f ca="1">VLOOKUP($R1312,'TA database'!$I$112:$J$139,2,FALSE)</f>
        <v>9</v>
      </c>
      <c r="W1312">
        <f>IFERROR(VLOOKUP($S1312,'TA database'!$I$146:$J$193,2,FALSE),0)</f>
        <v>0</v>
      </c>
      <c r="X1312">
        <f ca="1">IFERROR(VLOOKUP($S1312,'TA database'!$I$200:$J$271,2,FALSE),0)</f>
        <v>9</v>
      </c>
      <c r="Y1312">
        <f t="shared" ca="1" si="4021"/>
        <v>9</v>
      </c>
      <c r="Z1312" t="str">
        <f t="shared" si="4017"/>
        <v>ELCTRLYZ_LRG_C   →   C_GAS_STRG   →   H2_T&amp;D_P   →   H2_FC_PWR</v>
      </c>
      <c r="AA1312" t="str">
        <f t="shared" si="4018"/>
        <v>Onsite / Back-up power</v>
      </c>
      <c r="AB1312" t="str">
        <f t="shared" si="4019"/>
        <v>Maturity</v>
      </c>
      <c r="AC1312">
        <f t="shared" ca="1" si="4020"/>
        <v>9</v>
      </c>
      <c r="AD1312">
        <v>1253</v>
      </c>
      <c r="AE1312" t="str">
        <f>IF(AND(ISNUMBER(SEARCH(O1312,4)),ISNUMBER(SEARCH('(4) FCH pathway assessment'!$B$16,AB1312)),ISNUMBER(SEARCH('(4) FCH pathway assessment'!$B$10,AA1312))),AD1312,"")</f>
        <v/>
      </c>
      <c r="AF1312" t="str">
        <f t="shared" si="3923"/>
        <v/>
      </c>
      <c r="AG1312" t="str">
        <f>VLOOKUP(C1312,Assumptions!$B$116:$C$162,2,FALSE)</f>
        <v>ELCTRLYZ_LRG_C</v>
      </c>
      <c r="AH1312" t="str">
        <f>VLOOKUP(D1312,Assumptions!$B$116:$C$162,2,FALSE)</f>
        <v>C_GAS_STRG</v>
      </c>
      <c r="AI1312" t="str">
        <f>VLOOKUP(E1312,Assumptions!$B$116:$C$162,2,FALSE)</f>
        <v>H2_T&amp;D_P</v>
      </c>
      <c r="AJ1312" t="str">
        <f>VLOOKUP(F1312,Assumptions!$B$116:$C$162,2,FALSE)</f>
        <v>H2_FC_PWR</v>
      </c>
    </row>
    <row r="1313" spans="2:36" x14ac:dyDescent="0.25">
      <c r="B1313" t="s">
        <v>112</v>
      </c>
      <c r="C1313" t="s">
        <v>49</v>
      </c>
      <c r="D1313" t="s">
        <v>155</v>
      </c>
      <c r="E1313" t="s">
        <v>66</v>
      </c>
      <c r="F1313" t="s">
        <v>164</v>
      </c>
      <c r="G1313" t="s">
        <v>126</v>
      </c>
      <c r="H1313" t="s">
        <v>433</v>
      </c>
      <c r="I1313" t="s">
        <v>32</v>
      </c>
      <c r="J1313" t="s">
        <v>78</v>
      </c>
      <c r="K1313">
        <f t="shared" si="4008"/>
        <v>1</v>
      </c>
      <c r="L1313">
        <f t="shared" si="4009"/>
        <v>1</v>
      </c>
      <c r="M1313">
        <f t="shared" si="4010"/>
        <v>1</v>
      </c>
      <c r="N1313">
        <f t="shared" si="4011"/>
        <v>1</v>
      </c>
      <c r="O1313">
        <f t="shared" si="4012"/>
        <v>4</v>
      </c>
      <c r="P1313" t="str">
        <f t="shared" si="4013"/>
        <v>Large centralized electrolysis-Maturity</v>
      </c>
      <c r="Q1313" t="str">
        <f t="shared" si="4014"/>
        <v>Central gas storage-Maturity</v>
      </c>
      <c r="R1313" t="str">
        <f t="shared" si="4015"/>
        <v>Onsite-Maturity</v>
      </c>
      <c r="S1313" t="str">
        <f t="shared" si="4016"/>
        <v>Prime power H2 fuel cell-Maturity</v>
      </c>
      <c r="T1313">
        <f ca="1">VLOOKUP($P1313,'TA database'!$I$8:$J$79,2,FALSE)</f>
        <v>9</v>
      </c>
      <c r="U1313">
        <f ca="1">VLOOKUP($Q1313,'TA database'!$I$86:$J$105,2,FALSE)</f>
        <v>9</v>
      </c>
      <c r="V1313">
        <f ca="1">VLOOKUP($R1313,'TA database'!$I$112:$J$139,2,FALSE)</f>
        <v>9</v>
      </c>
      <c r="W1313">
        <f>IFERROR(VLOOKUP($S1313,'TA database'!$I$146:$J$193,2,FALSE),0)</f>
        <v>0</v>
      </c>
      <c r="X1313">
        <f ca="1">IFERROR(VLOOKUP($S1313,'TA database'!$I$200:$J$271,2,FALSE),0)</f>
        <v>9</v>
      </c>
      <c r="Y1313">
        <f t="shared" ca="1" si="4021"/>
        <v>9</v>
      </c>
      <c r="Z1313" t="str">
        <f t="shared" si="4017"/>
        <v>ELCTRLYZ_LRG_C   →   C_GAS_STRG   →   ONSITE_USE   →   H2_FC_PWR</v>
      </c>
      <c r="AA1313" t="str">
        <f t="shared" si="4018"/>
        <v>Onsite / Back-up power</v>
      </c>
      <c r="AB1313" t="str">
        <f t="shared" si="4019"/>
        <v>Maturity</v>
      </c>
      <c r="AC1313">
        <f t="shared" ca="1" si="4020"/>
        <v>9</v>
      </c>
      <c r="AD1313">
        <v>1254</v>
      </c>
      <c r="AE1313" t="str">
        <f>IF(AND(ISNUMBER(SEARCH(O1313,4)),ISNUMBER(SEARCH('(4) FCH pathway assessment'!$B$16,AB1313)),ISNUMBER(SEARCH('(4) FCH pathway assessment'!$B$10,AA1313))),AD1313,"")</f>
        <v/>
      </c>
      <c r="AF1313" t="str">
        <f t="shared" si="3923"/>
        <v/>
      </c>
      <c r="AG1313" t="str">
        <f>VLOOKUP(C1313,Assumptions!$B$116:$C$162,2,FALSE)</f>
        <v>ELCTRLYZ_LRG_C</v>
      </c>
      <c r="AH1313" t="str">
        <f>VLOOKUP(D1313,Assumptions!$B$116:$C$162,2,FALSE)</f>
        <v>C_GAS_STRG</v>
      </c>
      <c r="AI1313" t="str">
        <f>VLOOKUP(E1313,Assumptions!$B$116:$C$162,2,FALSE)</f>
        <v>ONSITE_USE</v>
      </c>
      <c r="AJ1313" t="str">
        <f>VLOOKUP(F1313,Assumptions!$B$116:$C$162,2,FALSE)</f>
        <v>H2_FC_PWR</v>
      </c>
    </row>
    <row r="1314" spans="2:36" x14ac:dyDescent="0.25">
      <c r="B1314" t="s">
        <v>112</v>
      </c>
      <c r="C1314" t="s">
        <v>51</v>
      </c>
      <c r="D1314" t="s">
        <v>155</v>
      </c>
      <c r="E1314" t="s">
        <v>157</v>
      </c>
      <c r="F1314" t="s">
        <v>164</v>
      </c>
      <c r="G1314" t="s">
        <v>126</v>
      </c>
      <c r="H1314" t="s">
        <v>433</v>
      </c>
      <c r="I1314" t="s">
        <v>32</v>
      </c>
      <c r="J1314" t="s">
        <v>78</v>
      </c>
      <c r="K1314">
        <f t="shared" ref="K1314:K1317" si="4022">SUMPRODUCT(($C$7:$C$18=$C1314)*($D$6:$H$6=$D1314)*($D$7:$H$18))</f>
        <v>1</v>
      </c>
      <c r="L1314">
        <f t="shared" ref="L1314:L1317" si="4023">SUMPRODUCT(($C$19:$C$23=$D1314)*($I$6:$O$6=$E1314)*($I$19:$O$23))</f>
        <v>1</v>
      </c>
      <c r="M1314">
        <f t="shared" ref="M1314:M1317" si="4024">SUMPRODUCT(($C$24:$C$30=$E1314)*($P$6:$AI$6=$F1314)*($P$24:$AI$30))</f>
        <v>0</v>
      </c>
      <c r="N1314">
        <f t="shared" ref="N1314:N1317" si="4025">SUMPRODUCT(($C$31:$C$50=$F1314)*($AJ$6:$AM$6=$G1314)*($AJ$31:$AM$50))</f>
        <v>1</v>
      </c>
      <c r="O1314">
        <f t="shared" ref="O1314:O1317" si="4026">K1314+L1314+M1314+N1314</f>
        <v>3</v>
      </c>
      <c r="P1314" t="str">
        <f t="shared" ref="P1314:P1317" si="4027">CONCATENATE(C1314,"-",J1314)</f>
        <v>Medium centralized electrolysis-Maturity</v>
      </c>
      <c r="Q1314" t="str">
        <f t="shared" ref="Q1314:Q1317" si="4028">CONCATENATE(D1314,"-",J1314)</f>
        <v>Central gas storage-Maturity</v>
      </c>
      <c r="R1314" t="str">
        <f t="shared" ref="R1314:R1317" si="4029">CONCATENATE(E1314,"-",J1314)</f>
        <v>Blending in natural gas pipeline-Maturity</v>
      </c>
      <c r="S1314" t="str">
        <f t="shared" ref="S1314:S1317" si="4030">CONCATENATE(F1314,"-",J1314)</f>
        <v>Prime power H2 fuel cell-Maturity</v>
      </c>
      <c r="T1314">
        <f ca="1">VLOOKUP($P1314,'TA database'!$I$8:$J$79,2,FALSE)</f>
        <v>9</v>
      </c>
      <c r="U1314">
        <f ca="1">VLOOKUP($Q1314,'TA database'!$I$86:$J$105,2,FALSE)</f>
        <v>9</v>
      </c>
      <c r="V1314">
        <f ca="1">VLOOKUP($R1314,'TA database'!$I$112:$J$139,2,FALSE)</f>
        <v>7</v>
      </c>
      <c r="W1314">
        <f>IFERROR(VLOOKUP($S1314,'TA database'!$I$146:$J$193,2,FALSE),0)</f>
        <v>0</v>
      </c>
      <c r="X1314">
        <f ca="1">IFERROR(VLOOKUP($S1314,'TA database'!$I$200:$J$271,2,FALSE),0)</f>
        <v>9</v>
      </c>
      <c r="Y1314">
        <f t="shared" ca="1" si="4021"/>
        <v>7</v>
      </c>
      <c r="Z1314" t="str">
        <f t="shared" ref="Z1314:Z1317" si="4031">CONCATENATE(AG1314,"   →   ",AH1314,"   →   ",AI1314,"   →   ",AJ1314)</f>
        <v>ELCTRLYZ_MED_C   →   C_GAS_STRG   →   H2_BLND_NG_P   →   H2_FC_PWR</v>
      </c>
      <c r="AA1314" t="str">
        <f t="shared" ref="AA1314:AA1317" si="4032">G1314</f>
        <v>Onsite / Back-up power</v>
      </c>
      <c r="AB1314" t="str">
        <f t="shared" ref="AB1314:AB1317" si="4033">J1314</f>
        <v>Maturity</v>
      </c>
      <c r="AC1314">
        <f t="shared" ref="AC1314:AC1317" ca="1" si="4034">Y1314</f>
        <v>7</v>
      </c>
      <c r="AD1314">
        <v>1255</v>
      </c>
      <c r="AE1314" t="str">
        <f>IF(AND(ISNUMBER(SEARCH(O1314,4)),ISNUMBER(SEARCH('(4) FCH pathway assessment'!$B$16,AB1314)),ISNUMBER(SEARCH('(4) FCH pathway assessment'!$B$10,AA1314))),AD1314,"")</f>
        <v/>
      </c>
      <c r="AF1314" t="str">
        <f t="shared" si="3923"/>
        <v/>
      </c>
      <c r="AG1314" t="str">
        <f>VLOOKUP(C1314,Assumptions!$B$116:$C$162,2,FALSE)</f>
        <v>ELCTRLYZ_MED_C</v>
      </c>
      <c r="AH1314" t="str">
        <f>VLOOKUP(D1314,Assumptions!$B$116:$C$162,2,FALSE)</f>
        <v>C_GAS_STRG</v>
      </c>
      <c r="AI1314" t="str">
        <f>VLOOKUP(E1314,Assumptions!$B$116:$C$162,2,FALSE)</f>
        <v>H2_BLND_NG_P</v>
      </c>
      <c r="AJ1314" t="str">
        <f>VLOOKUP(F1314,Assumptions!$B$116:$C$162,2,FALSE)</f>
        <v>H2_FC_PWR</v>
      </c>
    </row>
    <row r="1315" spans="2:36" x14ac:dyDescent="0.25">
      <c r="B1315" t="s">
        <v>112</v>
      </c>
      <c r="C1315" t="s">
        <v>51</v>
      </c>
      <c r="D1315" t="s">
        <v>155</v>
      </c>
      <c r="E1315" t="s">
        <v>122</v>
      </c>
      <c r="F1315" t="s">
        <v>164</v>
      </c>
      <c r="G1315" t="s">
        <v>126</v>
      </c>
      <c r="H1315" t="s">
        <v>433</v>
      </c>
      <c r="I1315" t="s">
        <v>32</v>
      </c>
      <c r="J1315" t="s">
        <v>78</v>
      </c>
      <c r="K1315">
        <f t="shared" si="4022"/>
        <v>1</v>
      </c>
      <c r="L1315">
        <f t="shared" si="4023"/>
        <v>1</v>
      </c>
      <c r="M1315">
        <f t="shared" si="4024"/>
        <v>1</v>
      </c>
      <c r="N1315">
        <f t="shared" si="4025"/>
        <v>1</v>
      </c>
      <c r="O1315">
        <f t="shared" si="4026"/>
        <v>4</v>
      </c>
      <c r="P1315" t="str">
        <f t="shared" si="4027"/>
        <v>Medium centralized electrolysis-Maturity</v>
      </c>
      <c r="Q1315" t="str">
        <f t="shared" si="4028"/>
        <v>Central gas storage-Maturity</v>
      </c>
      <c r="R1315" t="str">
        <f t="shared" si="4029"/>
        <v>Hydrogen transmission &amp; distribution pipeline-Maturity</v>
      </c>
      <c r="S1315" t="str">
        <f t="shared" si="4030"/>
        <v>Prime power H2 fuel cell-Maturity</v>
      </c>
      <c r="T1315">
        <f ca="1">VLOOKUP($P1315,'TA database'!$I$8:$J$79,2,FALSE)</f>
        <v>9</v>
      </c>
      <c r="U1315">
        <f ca="1">VLOOKUP($Q1315,'TA database'!$I$86:$J$105,2,FALSE)</f>
        <v>9</v>
      </c>
      <c r="V1315">
        <f ca="1">VLOOKUP($R1315,'TA database'!$I$112:$J$139,2,FALSE)</f>
        <v>9</v>
      </c>
      <c r="W1315">
        <f>IFERROR(VLOOKUP($S1315,'TA database'!$I$146:$J$193,2,FALSE),0)</f>
        <v>0</v>
      </c>
      <c r="X1315">
        <f ca="1">IFERROR(VLOOKUP($S1315,'TA database'!$I$200:$J$271,2,FALSE),0)</f>
        <v>9</v>
      </c>
      <c r="Y1315">
        <f t="shared" ca="1" si="4021"/>
        <v>9</v>
      </c>
      <c r="Z1315" t="str">
        <f t="shared" si="4031"/>
        <v>ELCTRLYZ_MED_C   →   C_GAS_STRG   →   H2_T&amp;D_P   →   H2_FC_PWR</v>
      </c>
      <c r="AA1315" t="str">
        <f t="shared" si="4032"/>
        <v>Onsite / Back-up power</v>
      </c>
      <c r="AB1315" t="str">
        <f t="shared" si="4033"/>
        <v>Maturity</v>
      </c>
      <c r="AC1315">
        <f t="shared" ca="1" si="4034"/>
        <v>9</v>
      </c>
      <c r="AD1315">
        <v>1256</v>
      </c>
      <c r="AE1315" t="str">
        <f>IF(AND(ISNUMBER(SEARCH(O1315,4)),ISNUMBER(SEARCH('(4) FCH pathway assessment'!$B$16,AB1315)),ISNUMBER(SEARCH('(4) FCH pathway assessment'!$B$10,AA1315))),AD1315,"")</f>
        <v/>
      </c>
      <c r="AF1315" t="str">
        <f t="shared" si="3923"/>
        <v/>
      </c>
      <c r="AG1315" t="str">
        <f>VLOOKUP(C1315,Assumptions!$B$116:$C$162,2,FALSE)</f>
        <v>ELCTRLYZ_MED_C</v>
      </c>
      <c r="AH1315" t="str">
        <f>VLOOKUP(D1315,Assumptions!$B$116:$C$162,2,FALSE)</f>
        <v>C_GAS_STRG</v>
      </c>
      <c r="AI1315" t="str">
        <f>VLOOKUP(E1315,Assumptions!$B$116:$C$162,2,FALSE)</f>
        <v>H2_T&amp;D_P</v>
      </c>
      <c r="AJ1315" t="str">
        <f>VLOOKUP(F1315,Assumptions!$B$116:$C$162,2,FALSE)</f>
        <v>H2_FC_PWR</v>
      </c>
    </row>
    <row r="1316" spans="2:36" x14ac:dyDescent="0.25">
      <c r="B1316" t="s">
        <v>112</v>
      </c>
      <c r="C1316" t="s">
        <v>51</v>
      </c>
      <c r="D1316" t="s">
        <v>155</v>
      </c>
      <c r="E1316" t="s">
        <v>66</v>
      </c>
      <c r="F1316" t="s">
        <v>164</v>
      </c>
      <c r="G1316" t="s">
        <v>126</v>
      </c>
      <c r="H1316" t="s">
        <v>433</v>
      </c>
      <c r="I1316" t="s">
        <v>32</v>
      </c>
      <c r="J1316" t="s">
        <v>78</v>
      </c>
      <c r="K1316">
        <f t="shared" si="4022"/>
        <v>1</v>
      </c>
      <c r="L1316">
        <f t="shared" si="4023"/>
        <v>1</v>
      </c>
      <c r="M1316">
        <f t="shared" si="4024"/>
        <v>1</v>
      </c>
      <c r="N1316">
        <f t="shared" si="4025"/>
        <v>1</v>
      </c>
      <c r="O1316">
        <f t="shared" si="4026"/>
        <v>4</v>
      </c>
      <c r="P1316" t="str">
        <f t="shared" si="4027"/>
        <v>Medium centralized electrolysis-Maturity</v>
      </c>
      <c r="Q1316" t="str">
        <f t="shared" si="4028"/>
        <v>Central gas storage-Maturity</v>
      </c>
      <c r="R1316" t="str">
        <f t="shared" si="4029"/>
        <v>Onsite-Maturity</v>
      </c>
      <c r="S1316" t="str">
        <f t="shared" si="4030"/>
        <v>Prime power H2 fuel cell-Maturity</v>
      </c>
      <c r="T1316">
        <f ca="1">VLOOKUP($P1316,'TA database'!$I$8:$J$79,2,FALSE)</f>
        <v>9</v>
      </c>
      <c r="U1316">
        <f ca="1">VLOOKUP($Q1316,'TA database'!$I$86:$J$105,2,FALSE)</f>
        <v>9</v>
      </c>
      <c r="V1316">
        <f ca="1">VLOOKUP($R1316,'TA database'!$I$112:$J$139,2,FALSE)</f>
        <v>9</v>
      </c>
      <c r="W1316">
        <f>IFERROR(VLOOKUP($S1316,'TA database'!$I$146:$J$193,2,FALSE),0)</f>
        <v>0</v>
      </c>
      <c r="X1316">
        <f ca="1">IFERROR(VLOOKUP($S1316,'TA database'!$I$200:$J$271,2,FALSE),0)</f>
        <v>9</v>
      </c>
      <c r="Y1316">
        <f t="shared" ca="1" si="4021"/>
        <v>9</v>
      </c>
      <c r="Z1316" t="str">
        <f t="shared" si="4031"/>
        <v>ELCTRLYZ_MED_C   →   C_GAS_STRG   →   ONSITE_USE   →   H2_FC_PWR</v>
      </c>
      <c r="AA1316" t="str">
        <f t="shared" si="4032"/>
        <v>Onsite / Back-up power</v>
      </c>
      <c r="AB1316" t="str">
        <f t="shared" si="4033"/>
        <v>Maturity</v>
      </c>
      <c r="AC1316">
        <f t="shared" ca="1" si="4034"/>
        <v>9</v>
      </c>
      <c r="AD1316">
        <v>1257</v>
      </c>
      <c r="AE1316" t="str">
        <f>IF(AND(ISNUMBER(SEARCH(O1316,4)),ISNUMBER(SEARCH('(4) FCH pathway assessment'!$B$16,AB1316)),ISNUMBER(SEARCH('(4) FCH pathway assessment'!$B$10,AA1316))),AD1316,"")</f>
        <v/>
      </c>
      <c r="AF1316" t="str">
        <f t="shared" si="3923"/>
        <v/>
      </c>
      <c r="AG1316" t="str">
        <f>VLOOKUP(C1316,Assumptions!$B$116:$C$162,2,FALSE)</f>
        <v>ELCTRLYZ_MED_C</v>
      </c>
      <c r="AH1316" t="str">
        <f>VLOOKUP(D1316,Assumptions!$B$116:$C$162,2,FALSE)</f>
        <v>C_GAS_STRG</v>
      </c>
      <c r="AI1316" t="str">
        <f>VLOOKUP(E1316,Assumptions!$B$116:$C$162,2,FALSE)</f>
        <v>ONSITE_USE</v>
      </c>
      <c r="AJ1316" t="str">
        <f>VLOOKUP(F1316,Assumptions!$B$116:$C$162,2,FALSE)</f>
        <v>H2_FC_PWR</v>
      </c>
    </row>
    <row r="1317" spans="2:36" x14ac:dyDescent="0.25">
      <c r="B1317" t="s">
        <v>112</v>
      </c>
      <c r="C1317" t="s">
        <v>52</v>
      </c>
      <c r="D1317" s="60" t="s">
        <v>130</v>
      </c>
      <c r="E1317" t="s">
        <v>66</v>
      </c>
      <c r="F1317" t="s">
        <v>164</v>
      </c>
      <c r="G1317" t="s">
        <v>126</v>
      </c>
      <c r="H1317" t="s">
        <v>433</v>
      </c>
      <c r="I1317" t="s">
        <v>32</v>
      </c>
      <c r="J1317" t="s">
        <v>78</v>
      </c>
      <c r="K1317">
        <f t="shared" si="4022"/>
        <v>1</v>
      </c>
      <c r="L1317">
        <f t="shared" si="4023"/>
        <v>1</v>
      </c>
      <c r="M1317">
        <f t="shared" si="4024"/>
        <v>1</v>
      </c>
      <c r="N1317">
        <f t="shared" si="4025"/>
        <v>1</v>
      </c>
      <c r="O1317">
        <f t="shared" si="4026"/>
        <v>4</v>
      </c>
      <c r="P1317" t="str">
        <f t="shared" si="4027"/>
        <v>Small decentralized electrolysis-Maturity</v>
      </c>
      <c r="Q1317" t="str">
        <f t="shared" si="4028"/>
        <v>Distributed gas storage-Maturity</v>
      </c>
      <c r="R1317" t="str">
        <f t="shared" si="4029"/>
        <v>Onsite-Maturity</v>
      </c>
      <c r="S1317" t="str">
        <f t="shared" si="4030"/>
        <v>Prime power H2 fuel cell-Maturity</v>
      </c>
      <c r="T1317">
        <f ca="1">VLOOKUP($P1317,'TA database'!$I$8:$J$79,2,FALSE)</f>
        <v>9</v>
      </c>
      <c r="U1317">
        <f ca="1">VLOOKUP($Q1317,'TA database'!$I$86:$J$105,2,FALSE)</f>
        <v>9</v>
      </c>
      <c r="V1317">
        <f ca="1">VLOOKUP($R1317,'TA database'!$I$112:$J$139,2,FALSE)</f>
        <v>9</v>
      </c>
      <c r="W1317">
        <f>IFERROR(VLOOKUP($S1317,'TA database'!$I$146:$J$193,2,FALSE),0)</f>
        <v>0</v>
      </c>
      <c r="X1317">
        <f ca="1">IFERROR(VLOOKUP($S1317,'TA database'!$I$200:$J$271,2,FALSE),0)</f>
        <v>9</v>
      </c>
      <c r="Y1317">
        <f t="shared" ref="Y1317:Y1320" ca="1" si="4035">IF($W1317=0,MIN($T1317:$V1317,$X1317),MIN($T1317:$W1317))</f>
        <v>9</v>
      </c>
      <c r="Z1317" t="str">
        <f t="shared" si="4031"/>
        <v>ELCTRLYZ_SML_D   →   D_GAS_STRG   →   ONSITE_USE   →   H2_FC_PWR</v>
      </c>
      <c r="AA1317" t="str">
        <f t="shared" si="4032"/>
        <v>Onsite / Back-up power</v>
      </c>
      <c r="AB1317" t="str">
        <f t="shared" si="4033"/>
        <v>Maturity</v>
      </c>
      <c r="AC1317">
        <f t="shared" ca="1" si="4034"/>
        <v>9</v>
      </c>
      <c r="AD1317">
        <v>1258</v>
      </c>
      <c r="AE1317" t="str">
        <f>IF(AND(ISNUMBER(SEARCH(O1317,4)),ISNUMBER(SEARCH('(4) FCH pathway assessment'!$B$16,AB1317)),ISNUMBER(SEARCH('(4) FCH pathway assessment'!$B$10,AA1317))),AD1317,"")</f>
        <v/>
      </c>
      <c r="AF1317" t="str">
        <f t="shared" si="3923"/>
        <v/>
      </c>
      <c r="AG1317" t="str">
        <f>VLOOKUP(C1317,Assumptions!$B$116:$C$162,2,FALSE)</f>
        <v>ELCTRLYZ_SML_D</v>
      </c>
      <c r="AH1317" t="str">
        <f>VLOOKUP(D1317,Assumptions!$B$116:$C$162,2,FALSE)</f>
        <v>D_GAS_STRG</v>
      </c>
      <c r="AI1317" t="str">
        <f>VLOOKUP(E1317,Assumptions!$B$116:$C$162,2,FALSE)</f>
        <v>ONSITE_USE</v>
      </c>
      <c r="AJ1317" t="str">
        <f>VLOOKUP(F1317,Assumptions!$B$116:$C$162,2,FALSE)</f>
        <v>H2_FC_PWR</v>
      </c>
    </row>
    <row r="1318" spans="2:36" x14ac:dyDescent="0.25">
      <c r="B1318" t="s">
        <v>127</v>
      </c>
      <c r="C1318" t="s">
        <v>57</v>
      </c>
      <c r="D1318" t="s">
        <v>62</v>
      </c>
      <c r="E1318" t="s">
        <v>157</v>
      </c>
      <c r="F1318" t="s">
        <v>164</v>
      </c>
      <c r="G1318" t="s">
        <v>126</v>
      </c>
      <c r="H1318" t="s">
        <v>433</v>
      </c>
      <c r="I1318" t="s">
        <v>32</v>
      </c>
      <c r="J1318" t="s">
        <v>78</v>
      </c>
      <c r="K1318">
        <f t="shared" ref="K1318:K1324" si="4036">SUMPRODUCT(($C$7:$C$18=$C1318)*($D$6:$H$6=$D1318)*($D$7:$H$18))</f>
        <v>1</v>
      </c>
      <c r="L1318">
        <f t="shared" ref="L1318:L1324" si="4037">SUMPRODUCT(($C$19:$C$23=$D1318)*($I$6:$O$6=$E1318)*($I$19:$O$23))</f>
        <v>0</v>
      </c>
      <c r="M1318">
        <f t="shared" ref="M1318:M1324" si="4038">SUMPRODUCT(($C$24:$C$30=$E1318)*($P$6:$AI$6=$F1318)*($P$24:$AI$30))</f>
        <v>0</v>
      </c>
      <c r="N1318">
        <f t="shared" ref="N1318:N1324" si="4039">SUMPRODUCT(($C$31:$C$50=$F1318)*($AJ$6:$AM$6=$G1318)*($AJ$31:$AM$50))</f>
        <v>1</v>
      </c>
      <c r="O1318">
        <f t="shared" ref="O1318:O1324" si="4040">K1318+L1318+M1318+N1318</f>
        <v>2</v>
      </c>
      <c r="P1318" t="str">
        <f t="shared" ref="P1318:P1324" si="4041">CONCATENATE(C1318,"-",J1318)</f>
        <v>Large centralized natural gas steam reforming-Maturity</v>
      </c>
      <c r="Q1318" t="str">
        <f t="shared" ref="Q1318:Q1324" si="4042">CONCATENATE(D1318,"-",J1318)</f>
        <v>Underground storage-Maturity</v>
      </c>
      <c r="R1318" t="str">
        <f t="shared" ref="R1318:R1324" si="4043">CONCATENATE(E1318,"-",J1318)</f>
        <v>Blending in natural gas pipeline-Maturity</v>
      </c>
      <c r="S1318" t="str">
        <f t="shared" ref="S1318:S1324" si="4044">CONCATENATE(F1318,"-",J1318)</f>
        <v>Prime power H2 fuel cell-Maturity</v>
      </c>
      <c r="T1318">
        <f ca="1">VLOOKUP($P1318,'TA database'!$I$8:$J$79,2,FALSE)</f>
        <v>9</v>
      </c>
      <c r="U1318">
        <f ca="1">VLOOKUP($Q1318,'TA database'!$I$86:$J$105,2,FALSE)</f>
        <v>6</v>
      </c>
      <c r="V1318">
        <f ca="1">VLOOKUP($R1318,'TA database'!$I$112:$J$139,2,FALSE)</f>
        <v>7</v>
      </c>
      <c r="W1318">
        <f>IFERROR(VLOOKUP($S1318,'TA database'!$I$146:$J$193,2,FALSE),0)</f>
        <v>0</v>
      </c>
      <c r="X1318">
        <f ca="1">IFERROR(VLOOKUP($S1318,'TA database'!$I$200:$J$271,2,FALSE),0)</f>
        <v>9</v>
      </c>
      <c r="Y1318">
        <f t="shared" ca="1" si="4035"/>
        <v>6</v>
      </c>
      <c r="Z1318" t="str">
        <f t="shared" ref="Z1318:Z1324" si="4045">CONCATENATE(AG1318,"   →   ",AH1318,"   →   ",AI1318,"   →   ",AJ1318)</f>
        <v>NG_SR_LRG_C   →   C_UNDRGRND_STRG   →   H2_BLND_NG_P   →   H2_FC_PWR</v>
      </c>
      <c r="AA1318" t="str">
        <f t="shared" ref="AA1318:AA1324" si="4046">G1318</f>
        <v>Onsite / Back-up power</v>
      </c>
      <c r="AB1318" t="str">
        <f t="shared" ref="AB1318:AB1324" si="4047">J1318</f>
        <v>Maturity</v>
      </c>
      <c r="AC1318">
        <f t="shared" ref="AC1318:AC1324" ca="1" si="4048">Y1318</f>
        <v>6</v>
      </c>
      <c r="AD1318">
        <v>1259</v>
      </c>
      <c r="AE1318" t="str">
        <f>IF(AND(ISNUMBER(SEARCH(O1318,4)),ISNUMBER(SEARCH('(4) FCH pathway assessment'!$B$16,AB1318)),ISNUMBER(SEARCH('(4) FCH pathway assessment'!$B$10,AA1318))),AD1318,"")</f>
        <v/>
      </c>
      <c r="AF1318" t="str">
        <f t="shared" si="3923"/>
        <v/>
      </c>
      <c r="AG1318" t="str">
        <f>VLOOKUP(C1318,Assumptions!$B$116:$C$162,2,FALSE)</f>
        <v>NG_SR_LRG_C</v>
      </c>
      <c r="AH1318" t="str">
        <f>VLOOKUP(D1318,Assumptions!$B$116:$C$162,2,FALSE)</f>
        <v>C_UNDRGRND_STRG</v>
      </c>
      <c r="AI1318" t="str">
        <f>VLOOKUP(E1318,Assumptions!$B$116:$C$162,2,FALSE)</f>
        <v>H2_BLND_NG_P</v>
      </c>
      <c r="AJ1318" t="str">
        <f>VLOOKUP(F1318,Assumptions!$B$116:$C$162,2,FALSE)</f>
        <v>H2_FC_PWR</v>
      </c>
    </row>
    <row r="1319" spans="2:36" x14ac:dyDescent="0.25">
      <c r="B1319" t="s">
        <v>127</v>
      </c>
      <c r="C1319" t="s">
        <v>57</v>
      </c>
      <c r="D1319" t="s">
        <v>62</v>
      </c>
      <c r="E1319" t="s">
        <v>122</v>
      </c>
      <c r="F1319" t="s">
        <v>164</v>
      </c>
      <c r="G1319" t="s">
        <v>126</v>
      </c>
      <c r="H1319" t="s">
        <v>433</v>
      </c>
      <c r="I1319" t="s">
        <v>32</v>
      </c>
      <c r="J1319" t="s">
        <v>78</v>
      </c>
      <c r="K1319">
        <f t="shared" si="4036"/>
        <v>1</v>
      </c>
      <c r="L1319">
        <f t="shared" si="4037"/>
        <v>0</v>
      </c>
      <c r="M1319">
        <f t="shared" si="4038"/>
        <v>1</v>
      </c>
      <c r="N1319">
        <f t="shared" si="4039"/>
        <v>1</v>
      </c>
      <c r="O1319">
        <f t="shared" si="4040"/>
        <v>3</v>
      </c>
      <c r="P1319" t="str">
        <f t="shared" si="4041"/>
        <v>Large centralized natural gas steam reforming-Maturity</v>
      </c>
      <c r="Q1319" t="str">
        <f t="shared" si="4042"/>
        <v>Underground storage-Maturity</v>
      </c>
      <c r="R1319" t="str">
        <f t="shared" si="4043"/>
        <v>Hydrogen transmission &amp; distribution pipeline-Maturity</v>
      </c>
      <c r="S1319" t="str">
        <f t="shared" si="4044"/>
        <v>Prime power H2 fuel cell-Maturity</v>
      </c>
      <c r="T1319">
        <f ca="1">VLOOKUP($P1319,'TA database'!$I$8:$J$79,2,FALSE)</f>
        <v>9</v>
      </c>
      <c r="U1319">
        <f ca="1">VLOOKUP($Q1319,'TA database'!$I$86:$J$105,2,FALSE)</f>
        <v>6</v>
      </c>
      <c r="V1319">
        <f ca="1">VLOOKUP($R1319,'TA database'!$I$112:$J$139,2,FALSE)</f>
        <v>9</v>
      </c>
      <c r="W1319">
        <f>IFERROR(VLOOKUP($S1319,'TA database'!$I$146:$J$193,2,FALSE),0)</f>
        <v>0</v>
      </c>
      <c r="X1319">
        <f ca="1">IFERROR(VLOOKUP($S1319,'TA database'!$I$200:$J$271,2,FALSE),0)</f>
        <v>9</v>
      </c>
      <c r="Y1319">
        <f t="shared" ca="1" si="4035"/>
        <v>6</v>
      </c>
      <c r="Z1319" t="str">
        <f t="shared" si="4045"/>
        <v>NG_SR_LRG_C   →   C_UNDRGRND_STRG   →   H2_T&amp;D_P   →   H2_FC_PWR</v>
      </c>
      <c r="AA1319" t="str">
        <f t="shared" si="4046"/>
        <v>Onsite / Back-up power</v>
      </c>
      <c r="AB1319" t="str">
        <f t="shared" si="4047"/>
        <v>Maturity</v>
      </c>
      <c r="AC1319">
        <f t="shared" ca="1" si="4048"/>
        <v>6</v>
      </c>
      <c r="AD1319">
        <v>1260</v>
      </c>
      <c r="AE1319" t="str">
        <f>IF(AND(ISNUMBER(SEARCH(O1319,4)),ISNUMBER(SEARCH('(4) FCH pathway assessment'!$B$16,AB1319)),ISNUMBER(SEARCH('(4) FCH pathway assessment'!$B$10,AA1319))),AD1319,"")</f>
        <v/>
      </c>
      <c r="AF1319" t="str">
        <f t="shared" si="3923"/>
        <v/>
      </c>
      <c r="AG1319" t="str">
        <f>VLOOKUP(C1319,Assumptions!$B$116:$C$162,2,FALSE)</f>
        <v>NG_SR_LRG_C</v>
      </c>
      <c r="AH1319" t="str">
        <f>VLOOKUP(D1319,Assumptions!$B$116:$C$162,2,FALSE)</f>
        <v>C_UNDRGRND_STRG</v>
      </c>
      <c r="AI1319" t="str">
        <f>VLOOKUP(E1319,Assumptions!$B$116:$C$162,2,FALSE)</f>
        <v>H2_T&amp;D_P</v>
      </c>
      <c r="AJ1319" t="str">
        <f>VLOOKUP(F1319,Assumptions!$B$116:$C$162,2,FALSE)</f>
        <v>H2_FC_PWR</v>
      </c>
    </row>
    <row r="1320" spans="2:36" x14ac:dyDescent="0.25">
      <c r="B1320" t="s">
        <v>127</v>
      </c>
      <c r="C1320" t="s">
        <v>57</v>
      </c>
      <c r="D1320" t="s">
        <v>62</v>
      </c>
      <c r="E1320" t="s">
        <v>66</v>
      </c>
      <c r="F1320" t="s">
        <v>164</v>
      </c>
      <c r="G1320" t="s">
        <v>126</v>
      </c>
      <c r="H1320" t="s">
        <v>433</v>
      </c>
      <c r="I1320" t="s">
        <v>32</v>
      </c>
      <c r="J1320" t="s">
        <v>78</v>
      </c>
      <c r="K1320">
        <f t="shared" si="4036"/>
        <v>1</v>
      </c>
      <c r="L1320">
        <f t="shared" si="4037"/>
        <v>0</v>
      </c>
      <c r="M1320">
        <f t="shared" si="4038"/>
        <v>1</v>
      </c>
      <c r="N1320">
        <f t="shared" si="4039"/>
        <v>1</v>
      </c>
      <c r="O1320">
        <f t="shared" si="4040"/>
        <v>3</v>
      </c>
      <c r="P1320" t="str">
        <f t="shared" si="4041"/>
        <v>Large centralized natural gas steam reforming-Maturity</v>
      </c>
      <c r="Q1320" t="str">
        <f t="shared" si="4042"/>
        <v>Underground storage-Maturity</v>
      </c>
      <c r="R1320" t="str">
        <f t="shared" si="4043"/>
        <v>Onsite-Maturity</v>
      </c>
      <c r="S1320" t="str">
        <f t="shared" si="4044"/>
        <v>Prime power H2 fuel cell-Maturity</v>
      </c>
      <c r="T1320">
        <f ca="1">VLOOKUP($P1320,'TA database'!$I$8:$J$79,2,FALSE)</f>
        <v>9</v>
      </c>
      <c r="U1320">
        <f ca="1">VLOOKUP($Q1320,'TA database'!$I$86:$J$105,2,FALSE)</f>
        <v>6</v>
      </c>
      <c r="V1320">
        <f ca="1">VLOOKUP($R1320,'TA database'!$I$112:$J$139,2,FALSE)</f>
        <v>9</v>
      </c>
      <c r="W1320">
        <f>IFERROR(VLOOKUP($S1320,'TA database'!$I$146:$J$193,2,FALSE),0)</f>
        <v>0</v>
      </c>
      <c r="X1320">
        <f ca="1">IFERROR(VLOOKUP($S1320,'TA database'!$I$200:$J$271,2,FALSE),0)</f>
        <v>9</v>
      </c>
      <c r="Y1320">
        <f t="shared" ca="1" si="4035"/>
        <v>6</v>
      </c>
      <c r="Z1320" t="str">
        <f t="shared" si="4045"/>
        <v>NG_SR_LRG_C   →   C_UNDRGRND_STRG   →   ONSITE_USE   →   H2_FC_PWR</v>
      </c>
      <c r="AA1320" t="str">
        <f t="shared" si="4046"/>
        <v>Onsite / Back-up power</v>
      </c>
      <c r="AB1320" t="str">
        <f t="shared" si="4047"/>
        <v>Maturity</v>
      </c>
      <c r="AC1320">
        <f t="shared" ca="1" si="4048"/>
        <v>6</v>
      </c>
      <c r="AD1320">
        <v>1261</v>
      </c>
      <c r="AE1320" t="str">
        <f>IF(AND(ISNUMBER(SEARCH(O1320,4)),ISNUMBER(SEARCH('(4) FCH pathway assessment'!$B$16,AB1320)),ISNUMBER(SEARCH('(4) FCH pathway assessment'!$B$10,AA1320))),AD1320,"")</f>
        <v/>
      </c>
      <c r="AF1320" t="str">
        <f t="shared" si="3923"/>
        <v/>
      </c>
      <c r="AG1320" t="str">
        <f>VLOOKUP(C1320,Assumptions!$B$116:$C$162,2,FALSE)</f>
        <v>NG_SR_LRG_C</v>
      </c>
      <c r="AH1320" t="str">
        <f>VLOOKUP(D1320,Assumptions!$B$116:$C$162,2,FALSE)</f>
        <v>C_UNDRGRND_STRG</v>
      </c>
      <c r="AI1320" t="str">
        <f>VLOOKUP(E1320,Assumptions!$B$116:$C$162,2,FALSE)</f>
        <v>ONSITE_USE</v>
      </c>
      <c r="AJ1320" t="str">
        <f>VLOOKUP(F1320,Assumptions!$B$116:$C$162,2,FALSE)</f>
        <v>H2_FC_PWR</v>
      </c>
    </row>
    <row r="1321" spans="2:36" x14ac:dyDescent="0.25">
      <c r="B1321" t="s">
        <v>127</v>
      </c>
      <c r="C1321" t="s">
        <v>57</v>
      </c>
      <c r="D1321" s="61" t="s">
        <v>63</v>
      </c>
      <c r="E1321" t="s">
        <v>122</v>
      </c>
      <c r="F1321" t="s">
        <v>164</v>
      </c>
      <c r="G1321" t="s">
        <v>126</v>
      </c>
      <c r="H1321" t="s">
        <v>433</v>
      </c>
      <c r="I1321" t="s">
        <v>32</v>
      </c>
      <c r="J1321" t="s">
        <v>78</v>
      </c>
      <c r="K1321">
        <f t="shared" si="4036"/>
        <v>1</v>
      </c>
      <c r="L1321">
        <f t="shared" si="4037"/>
        <v>1</v>
      </c>
      <c r="M1321">
        <f t="shared" si="4038"/>
        <v>1</v>
      </c>
      <c r="N1321">
        <f t="shared" si="4039"/>
        <v>1</v>
      </c>
      <c r="O1321">
        <f t="shared" si="4040"/>
        <v>4</v>
      </c>
      <c r="P1321" t="str">
        <f t="shared" si="4041"/>
        <v>Large centralized natural gas steam reforming-Maturity</v>
      </c>
      <c r="Q1321" t="str">
        <f t="shared" si="4042"/>
        <v>No storage-Maturity</v>
      </c>
      <c r="R1321" t="str">
        <f t="shared" si="4043"/>
        <v>Hydrogen transmission &amp; distribution pipeline-Maturity</v>
      </c>
      <c r="S1321" t="str">
        <f t="shared" si="4044"/>
        <v>Prime power H2 fuel cell-Maturity</v>
      </c>
      <c r="T1321">
        <f ca="1">VLOOKUP($P1321,'TA database'!$I$8:$J$79,2,FALSE)</f>
        <v>9</v>
      </c>
      <c r="U1321">
        <f ca="1">VLOOKUP($Q1321,'TA database'!$I$86:$J$105,2,FALSE)</f>
        <v>9</v>
      </c>
      <c r="V1321">
        <f ca="1">VLOOKUP($R1321,'TA database'!$I$112:$J$139,2,FALSE)</f>
        <v>9</v>
      </c>
      <c r="W1321">
        <f>IFERROR(VLOOKUP($S1321,'TA database'!$I$146:$J$193,2,FALSE),0)</f>
        <v>0</v>
      </c>
      <c r="X1321">
        <f ca="1">IFERROR(VLOOKUP($S1321,'TA database'!$I$200:$J$271,2,FALSE),0)</f>
        <v>9</v>
      </c>
      <c r="Y1321">
        <f t="shared" ref="Y1321:Y1324" ca="1" si="4049">IF($W1321=0,MIN($T1321:$V1321,$X1321),MIN($T1321:$W1321))</f>
        <v>9</v>
      </c>
      <c r="Z1321" t="str">
        <f t="shared" si="4045"/>
        <v>NG_SR_LRG_C   →   NO_STRG   →   H2_T&amp;D_P   →   H2_FC_PWR</v>
      </c>
      <c r="AA1321" t="str">
        <f t="shared" si="4046"/>
        <v>Onsite / Back-up power</v>
      </c>
      <c r="AB1321" t="str">
        <f t="shared" si="4047"/>
        <v>Maturity</v>
      </c>
      <c r="AC1321">
        <f t="shared" ca="1" si="4048"/>
        <v>9</v>
      </c>
      <c r="AD1321">
        <v>1262</v>
      </c>
      <c r="AE1321" t="str">
        <f>IF(AND(ISNUMBER(SEARCH(O1321,4)),ISNUMBER(SEARCH('(4) FCH pathway assessment'!$B$16,AB1321)),ISNUMBER(SEARCH('(4) FCH pathway assessment'!$B$10,AA1321))),AD1321,"")</f>
        <v/>
      </c>
      <c r="AF1321" t="str">
        <f t="shared" si="3923"/>
        <v/>
      </c>
      <c r="AG1321" t="str">
        <f>VLOOKUP(C1321,Assumptions!$B$116:$C$162,2,FALSE)</f>
        <v>NG_SR_LRG_C</v>
      </c>
      <c r="AH1321" t="str">
        <f>VLOOKUP(D1321,Assumptions!$B$116:$C$162,2,FALSE)</f>
        <v>NO_STRG</v>
      </c>
      <c r="AI1321" t="str">
        <f>VLOOKUP(E1321,Assumptions!$B$116:$C$162,2,FALSE)</f>
        <v>H2_T&amp;D_P</v>
      </c>
      <c r="AJ1321" t="str">
        <f>VLOOKUP(F1321,Assumptions!$B$116:$C$162,2,FALSE)</f>
        <v>H2_FC_PWR</v>
      </c>
    </row>
    <row r="1322" spans="2:36" x14ac:dyDescent="0.25">
      <c r="B1322" t="s">
        <v>127</v>
      </c>
      <c r="C1322" t="s">
        <v>58</v>
      </c>
      <c r="D1322" t="s">
        <v>155</v>
      </c>
      <c r="E1322" t="s">
        <v>157</v>
      </c>
      <c r="F1322" t="s">
        <v>164</v>
      </c>
      <c r="G1322" t="s">
        <v>126</v>
      </c>
      <c r="H1322" t="s">
        <v>433</v>
      </c>
      <c r="I1322" t="s">
        <v>32</v>
      </c>
      <c r="J1322" t="s">
        <v>78</v>
      </c>
      <c r="K1322">
        <f t="shared" si="4036"/>
        <v>1</v>
      </c>
      <c r="L1322">
        <f t="shared" si="4037"/>
        <v>1</v>
      </c>
      <c r="M1322">
        <f t="shared" si="4038"/>
        <v>0</v>
      </c>
      <c r="N1322">
        <f t="shared" si="4039"/>
        <v>1</v>
      </c>
      <c r="O1322">
        <f t="shared" si="4040"/>
        <v>3</v>
      </c>
      <c r="P1322" t="str">
        <f t="shared" si="4041"/>
        <v>Small centralized natural gas steam reforming-Maturity</v>
      </c>
      <c r="Q1322" t="str">
        <f t="shared" si="4042"/>
        <v>Central gas storage-Maturity</v>
      </c>
      <c r="R1322" t="str">
        <f t="shared" si="4043"/>
        <v>Blending in natural gas pipeline-Maturity</v>
      </c>
      <c r="S1322" t="str">
        <f t="shared" si="4044"/>
        <v>Prime power H2 fuel cell-Maturity</v>
      </c>
      <c r="T1322">
        <f ca="1">VLOOKUP($P1322,'TA database'!$I$8:$J$79,2,FALSE)</f>
        <v>9</v>
      </c>
      <c r="U1322">
        <f ca="1">VLOOKUP($Q1322,'TA database'!$I$86:$J$105,2,FALSE)</f>
        <v>9</v>
      </c>
      <c r="V1322">
        <f ca="1">VLOOKUP($R1322,'TA database'!$I$112:$J$139,2,FALSE)</f>
        <v>7</v>
      </c>
      <c r="W1322">
        <f>IFERROR(VLOOKUP($S1322,'TA database'!$I$146:$J$193,2,FALSE),0)</f>
        <v>0</v>
      </c>
      <c r="X1322">
        <f ca="1">IFERROR(VLOOKUP($S1322,'TA database'!$I$200:$J$271,2,FALSE),0)</f>
        <v>9</v>
      </c>
      <c r="Y1322">
        <f t="shared" ca="1" si="4049"/>
        <v>7</v>
      </c>
      <c r="Z1322" t="str">
        <f t="shared" si="4045"/>
        <v>NG_SR_SML_C   →   C_GAS_STRG   →   H2_BLND_NG_P   →   H2_FC_PWR</v>
      </c>
      <c r="AA1322" t="str">
        <f t="shared" si="4046"/>
        <v>Onsite / Back-up power</v>
      </c>
      <c r="AB1322" t="str">
        <f t="shared" si="4047"/>
        <v>Maturity</v>
      </c>
      <c r="AC1322">
        <f t="shared" ca="1" si="4048"/>
        <v>7</v>
      </c>
      <c r="AD1322">
        <v>1263</v>
      </c>
      <c r="AE1322" t="str">
        <f>IF(AND(ISNUMBER(SEARCH(O1322,4)),ISNUMBER(SEARCH('(4) FCH pathway assessment'!$B$16,AB1322)),ISNUMBER(SEARCH('(4) FCH pathway assessment'!$B$10,AA1322))),AD1322,"")</f>
        <v/>
      </c>
      <c r="AF1322" t="str">
        <f t="shared" si="3923"/>
        <v/>
      </c>
      <c r="AG1322" t="str">
        <f>VLOOKUP(C1322,Assumptions!$B$116:$C$162,2,FALSE)</f>
        <v>NG_SR_SML_C</v>
      </c>
      <c r="AH1322" t="str">
        <f>VLOOKUP(D1322,Assumptions!$B$116:$C$162,2,FALSE)</f>
        <v>C_GAS_STRG</v>
      </c>
      <c r="AI1322" t="str">
        <f>VLOOKUP(E1322,Assumptions!$B$116:$C$162,2,FALSE)</f>
        <v>H2_BLND_NG_P</v>
      </c>
      <c r="AJ1322" t="str">
        <f>VLOOKUP(F1322,Assumptions!$B$116:$C$162,2,FALSE)</f>
        <v>H2_FC_PWR</v>
      </c>
    </row>
    <row r="1323" spans="2:36" x14ac:dyDescent="0.25">
      <c r="B1323" t="s">
        <v>127</v>
      </c>
      <c r="C1323" t="s">
        <v>58</v>
      </c>
      <c r="D1323" t="s">
        <v>155</v>
      </c>
      <c r="E1323" t="s">
        <v>122</v>
      </c>
      <c r="F1323" t="s">
        <v>164</v>
      </c>
      <c r="G1323" t="s">
        <v>126</v>
      </c>
      <c r="H1323" t="s">
        <v>433</v>
      </c>
      <c r="I1323" t="s">
        <v>32</v>
      </c>
      <c r="J1323" t="s">
        <v>78</v>
      </c>
      <c r="K1323">
        <f t="shared" si="4036"/>
        <v>1</v>
      </c>
      <c r="L1323">
        <f t="shared" si="4037"/>
        <v>1</v>
      </c>
      <c r="M1323">
        <f t="shared" si="4038"/>
        <v>1</v>
      </c>
      <c r="N1323">
        <f t="shared" si="4039"/>
        <v>1</v>
      </c>
      <c r="O1323">
        <f t="shared" si="4040"/>
        <v>4</v>
      </c>
      <c r="P1323" t="str">
        <f t="shared" si="4041"/>
        <v>Small centralized natural gas steam reforming-Maturity</v>
      </c>
      <c r="Q1323" t="str">
        <f t="shared" si="4042"/>
        <v>Central gas storage-Maturity</v>
      </c>
      <c r="R1323" t="str">
        <f t="shared" si="4043"/>
        <v>Hydrogen transmission &amp; distribution pipeline-Maturity</v>
      </c>
      <c r="S1323" t="str">
        <f t="shared" si="4044"/>
        <v>Prime power H2 fuel cell-Maturity</v>
      </c>
      <c r="T1323">
        <f ca="1">VLOOKUP($P1323,'TA database'!$I$8:$J$79,2,FALSE)</f>
        <v>9</v>
      </c>
      <c r="U1323">
        <f ca="1">VLOOKUP($Q1323,'TA database'!$I$86:$J$105,2,FALSE)</f>
        <v>9</v>
      </c>
      <c r="V1323">
        <f ca="1">VLOOKUP($R1323,'TA database'!$I$112:$J$139,2,FALSE)</f>
        <v>9</v>
      </c>
      <c r="W1323">
        <f>IFERROR(VLOOKUP($S1323,'TA database'!$I$146:$J$193,2,FALSE),0)</f>
        <v>0</v>
      </c>
      <c r="X1323">
        <f ca="1">IFERROR(VLOOKUP($S1323,'TA database'!$I$200:$J$271,2,FALSE),0)</f>
        <v>9</v>
      </c>
      <c r="Y1323">
        <f t="shared" ca="1" si="4049"/>
        <v>9</v>
      </c>
      <c r="Z1323" t="str">
        <f t="shared" si="4045"/>
        <v>NG_SR_SML_C   →   C_GAS_STRG   →   H2_T&amp;D_P   →   H2_FC_PWR</v>
      </c>
      <c r="AA1323" t="str">
        <f t="shared" si="4046"/>
        <v>Onsite / Back-up power</v>
      </c>
      <c r="AB1323" t="str">
        <f t="shared" si="4047"/>
        <v>Maturity</v>
      </c>
      <c r="AC1323">
        <f t="shared" ca="1" si="4048"/>
        <v>9</v>
      </c>
      <c r="AD1323">
        <v>1264</v>
      </c>
      <c r="AE1323" t="str">
        <f>IF(AND(ISNUMBER(SEARCH(O1323,4)),ISNUMBER(SEARCH('(4) FCH pathway assessment'!$B$16,AB1323)),ISNUMBER(SEARCH('(4) FCH pathway assessment'!$B$10,AA1323))),AD1323,"")</f>
        <v/>
      </c>
      <c r="AF1323" t="str">
        <f t="shared" si="3923"/>
        <v/>
      </c>
      <c r="AG1323" t="str">
        <f>VLOOKUP(C1323,Assumptions!$B$116:$C$162,2,FALSE)</f>
        <v>NG_SR_SML_C</v>
      </c>
      <c r="AH1323" t="str">
        <f>VLOOKUP(D1323,Assumptions!$B$116:$C$162,2,FALSE)</f>
        <v>C_GAS_STRG</v>
      </c>
      <c r="AI1323" t="str">
        <f>VLOOKUP(E1323,Assumptions!$B$116:$C$162,2,FALSE)</f>
        <v>H2_T&amp;D_P</v>
      </c>
      <c r="AJ1323" t="str">
        <f>VLOOKUP(F1323,Assumptions!$B$116:$C$162,2,FALSE)</f>
        <v>H2_FC_PWR</v>
      </c>
    </row>
    <row r="1324" spans="2:36" x14ac:dyDescent="0.25">
      <c r="B1324" t="s">
        <v>127</v>
      </c>
      <c r="C1324" t="s">
        <v>58</v>
      </c>
      <c r="D1324" t="s">
        <v>155</v>
      </c>
      <c r="E1324" t="s">
        <v>66</v>
      </c>
      <c r="F1324" t="s">
        <v>164</v>
      </c>
      <c r="G1324" t="s">
        <v>126</v>
      </c>
      <c r="H1324" t="s">
        <v>433</v>
      </c>
      <c r="I1324" t="s">
        <v>32</v>
      </c>
      <c r="J1324" t="s">
        <v>78</v>
      </c>
      <c r="K1324">
        <f t="shared" si="4036"/>
        <v>1</v>
      </c>
      <c r="L1324">
        <f t="shared" si="4037"/>
        <v>1</v>
      </c>
      <c r="M1324">
        <f t="shared" si="4038"/>
        <v>1</v>
      </c>
      <c r="N1324">
        <f t="shared" si="4039"/>
        <v>1</v>
      </c>
      <c r="O1324">
        <f t="shared" si="4040"/>
        <v>4</v>
      </c>
      <c r="P1324" t="str">
        <f t="shared" si="4041"/>
        <v>Small centralized natural gas steam reforming-Maturity</v>
      </c>
      <c r="Q1324" t="str">
        <f t="shared" si="4042"/>
        <v>Central gas storage-Maturity</v>
      </c>
      <c r="R1324" t="str">
        <f t="shared" si="4043"/>
        <v>Onsite-Maturity</v>
      </c>
      <c r="S1324" t="str">
        <f t="shared" si="4044"/>
        <v>Prime power H2 fuel cell-Maturity</v>
      </c>
      <c r="T1324">
        <f ca="1">VLOOKUP($P1324,'TA database'!$I$8:$J$79,2,FALSE)</f>
        <v>9</v>
      </c>
      <c r="U1324">
        <f ca="1">VLOOKUP($Q1324,'TA database'!$I$86:$J$105,2,FALSE)</f>
        <v>9</v>
      </c>
      <c r="V1324">
        <f ca="1">VLOOKUP($R1324,'TA database'!$I$112:$J$139,2,FALSE)</f>
        <v>9</v>
      </c>
      <c r="W1324">
        <f>IFERROR(VLOOKUP($S1324,'TA database'!$I$146:$J$193,2,FALSE),0)</f>
        <v>0</v>
      </c>
      <c r="X1324">
        <f ca="1">IFERROR(VLOOKUP($S1324,'TA database'!$I$200:$J$271,2,FALSE),0)</f>
        <v>9</v>
      </c>
      <c r="Y1324">
        <f t="shared" ca="1" si="4049"/>
        <v>9</v>
      </c>
      <c r="Z1324" t="str">
        <f t="shared" si="4045"/>
        <v>NG_SR_SML_C   →   C_GAS_STRG   →   ONSITE_USE   →   H2_FC_PWR</v>
      </c>
      <c r="AA1324" t="str">
        <f t="shared" si="4046"/>
        <v>Onsite / Back-up power</v>
      </c>
      <c r="AB1324" t="str">
        <f t="shared" si="4047"/>
        <v>Maturity</v>
      </c>
      <c r="AC1324">
        <f t="shared" ca="1" si="4048"/>
        <v>9</v>
      </c>
      <c r="AD1324">
        <v>1265</v>
      </c>
      <c r="AE1324" t="str">
        <f>IF(AND(ISNUMBER(SEARCH(O1324,4)),ISNUMBER(SEARCH('(4) FCH pathway assessment'!$B$16,AB1324)),ISNUMBER(SEARCH('(4) FCH pathway assessment'!$B$10,AA1324))),AD1324,"")</f>
        <v/>
      </c>
      <c r="AF1324" t="str">
        <f t="shared" si="3923"/>
        <v/>
      </c>
      <c r="AG1324" t="str">
        <f>VLOOKUP(C1324,Assumptions!$B$116:$C$162,2,FALSE)</f>
        <v>NG_SR_SML_C</v>
      </c>
      <c r="AH1324" t="str">
        <f>VLOOKUP(D1324,Assumptions!$B$116:$C$162,2,FALSE)</f>
        <v>C_GAS_STRG</v>
      </c>
      <c r="AI1324" t="str">
        <f>VLOOKUP(E1324,Assumptions!$B$116:$C$162,2,FALSE)</f>
        <v>ONSITE_USE</v>
      </c>
      <c r="AJ1324" t="str">
        <f>VLOOKUP(F1324,Assumptions!$B$116:$C$162,2,FALSE)</f>
        <v>H2_FC_PWR</v>
      </c>
    </row>
    <row r="1325" spans="2:36" x14ac:dyDescent="0.25">
      <c r="B1325" t="s">
        <v>127</v>
      </c>
      <c r="C1325" t="s">
        <v>59</v>
      </c>
      <c r="D1325" s="60" t="s">
        <v>130</v>
      </c>
      <c r="E1325" t="s">
        <v>66</v>
      </c>
      <c r="F1325" t="s">
        <v>164</v>
      </c>
      <c r="G1325" t="s">
        <v>126</v>
      </c>
      <c r="H1325" t="s">
        <v>433</v>
      </c>
      <c r="I1325" t="s">
        <v>32</v>
      </c>
      <c r="J1325" t="s">
        <v>78</v>
      </c>
      <c r="K1325">
        <f t="shared" ref="K1325:K1326" si="4050">SUMPRODUCT(($C$7:$C$18=$C1325)*($D$6:$H$6=$D1325)*($D$7:$H$18))</f>
        <v>1</v>
      </c>
      <c r="L1325">
        <f t="shared" ref="L1325:L1326" si="4051">SUMPRODUCT(($C$19:$C$23=$D1325)*($I$6:$O$6=$E1325)*($I$19:$O$23))</f>
        <v>1</v>
      </c>
      <c r="M1325">
        <f t="shared" ref="M1325:M1326" si="4052">SUMPRODUCT(($C$24:$C$30=$E1325)*($P$6:$AI$6=$F1325)*($P$24:$AI$30))</f>
        <v>1</v>
      </c>
      <c r="N1325">
        <f t="shared" ref="N1325:N1326" si="4053">SUMPRODUCT(($C$31:$C$50=$F1325)*($AJ$6:$AM$6=$G1325)*($AJ$31:$AM$50))</f>
        <v>1</v>
      </c>
      <c r="O1325">
        <f t="shared" ref="O1325:O1326" si="4054">K1325+L1325+M1325+N1325</f>
        <v>4</v>
      </c>
      <c r="P1325" t="str">
        <f t="shared" ref="P1325:P1326" si="4055">CONCATENATE(C1325,"-",J1325)</f>
        <v>Medium decentralized natural gas steam reforming-Maturity</v>
      </c>
      <c r="Q1325" t="str">
        <f t="shared" ref="Q1325:Q1326" si="4056">CONCATENATE(D1325,"-",J1325)</f>
        <v>Distributed gas storage-Maturity</v>
      </c>
      <c r="R1325" t="str">
        <f t="shared" ref="R1325:R1326" si="4057">CONCATENATE(E1325,"-",J1325)</f>
        <v>Onsite-Maturity</v>
      </c>
      <c r="S1325" t="str">
        <f t="shared" ref="S1325:S1326" si="4058">CONCATENATE(F1325,"-",J1325)</f>
        <v>Prime power H2 fuel cell-Maturity</v>
      </c>
      <c r="T1325">
        <f ca="1">VLOOKUP($P1325,'TA database'!$I$8:$J$79,2,FALSE)</f>
        <v>9</v>
      </c>
      <c r="U1325">
        <f ca="1">VLOOKUP($Q1325,'TA database'!$I$86:$J$105,2,FALSE)</f>
        <v>9</v>
      </c>
      <c r="V1325">
        <f ca="1">VLOOKUP($R1325,'TA database'!$I$112:$J$139,2,FALSE)</f>
        <v>9</v>
      </c>
      <c r="W1325">
        <f>IFERROR(VLOOKUP($S1325,'TA database'!$I$146:$J$193,2,FALSE),0)</f>
        <v>0</v>
      </c>
      <c r="X1325">
        <f ca="1">IFERROR(VLOOKUP($S1325,'TA database'!$I$200:$J$271,2,FALSE),0)</f>
        <v>9</v>
      </c>
      <c r="Y1325">
        <f t="shared" ref="Y1325:Y1326" ca="1" si="4059">IF($W1325=0,MIN($T1325:$V1325,$X1325),MIN($T1325:$W1325))</f>
        <v>9</v>
      </c>
      <c r="Z1325" t="str">
        <f t="shared" ref="Z1325:Z1326" si="4060">CONCATENATE(AG1325,"   →   ",AH1325,"   →   ",AI1325,"   →   ",AJ1325)</f>
        <v>NG_SR_MED_D   →   D_GAS_STRG   →   ONSITE_USE   →   H2_FC_PWR</v>
      </c>
      <c r="AA1325" t="str">
        <f t="shared" ref="AA1325:AA1326" si="4061">G1325</f>
        <v>Onsite / Back-up power</v>
      </c>
      <c r="AB1325" t="str">
        <f t="shared" ref="AB1325:AB1326" si="4062">J1325</f>
        <v>Maturity</v>
      </c>
      <c r="AC1325">
        <f t="shared" ref="AC1325:AC1326" ca="1" si="4063">Y1325</f>
        <v>9</v>
      </c>
      <c r="AD1325">
        <v>1266</v>
      </c>
      <c r="AE1325" t="str">
        <f>IF(AND(ISNUMBER(SEARCH(O1325,4)),ISNUMBER(SEARCH('(4) FCH pathway assessment'!$B$16,AB1325)),ISNUMBER(SEARCH('(4) FCH pathway assessment'!$B$10,AA1325))),AD1325,"")</f>
        <v/>
      </c>
      <c r="AF1325" t="str">
        <f t="shared" si="3923"/>
        <v/>
      </c>
      <c r="AG1325" t="str">
        <f>VLOOKUP(C1325,Assumptions!$B$116:$C$162,2,FALSE)</f>
        <v>NG_SR_MED_D</v>
      </c>
      <c r="AH1325" t="str">
        <f>VLOOKUP(D1325,Assumptions!$B$116:$C$162,2,FALSE)</f>
        <v>D_GAS_STRG</v>
      </c>
      <c r="AI1325" t="str">
        <f>VLOOKUP(E1325,Assumptions!$B$116:$C$162,2,FALSE)</f>
        <v>ONSITE_USE</v>
      </c>
      <c r="AJ1325" t="str">
        <f>VLOOKUP(F1325,Assumptions!$B$116:$C$162,2,FALSE)</f>
        <v>H2_FC_PWR</v>
      </c>
    </row>
    <row r="1326" spans="2:36" x14ac:dyDescent="0.25">
      <c r="B1326" t="s">
        <v>127</v>
      </c>
      <c r="C1326" t="s">
        <v>60</v>
      </c>
      <c r="D1326" s="60" t="s">
        <v>130</v>
      </c>
      <c r="E1326" t="s">
        <v>66</v>
      </c>
      <c r="F1326" t="s">
        <v>164</v>
      </c>
      <c r="G1326" t="s">
        <v>126</v>
      </c>
      <c r="H1326" t="s">
        <v>433</v>
      </c>
      <c r="I1326" t="s">
        <v>32</v>
      </c>
      <c r="J1326" t="s">
        <v>78</v>
      </c>
      <c r="K1326">
        <f t="shared" si="4050"/>
        <v>1</v>
      </c>
      <c r="L1326">
        <f t="shared" si="4051"/>
        <v>1</v>
      </c>
      <c r="M1326">
        <f t="shared" si="4052"/>
        <v>1</v>
      </c>
      <c r="N1326">
        <f t="shared" si="4053"/>
        <v>1</v>
      </c>
      <c r="O1326">
        <f t="shared" si="4054"/>
        <v>4</v>
      </c>
      <c r="P1326" t="str">
        <f t="shared" si="4055"/>
        <v>Small decentralized natural gas steam reforming-Maturity</v>
      </c>
      <c r="Q1326" t="str">
        <f t="shared" si="4056"/>
        <v>Distributed gas storage-Maturity</v>
      </c>
      <c r="R1326" t="str">
        <f t="shared" si="4057"/>
        <v>Onsite-Maturity</v>
      </c>
      <c r="S1326" t="str">
        <f t="shared" si="4058"/>
        <v>Prime power H2 fuel cell-Maturity</v>
      </c>
      <c r="T1326">
        <f ca="1">VLOOKUP($P1326,'TA database'!$I$8:$J$79,2,FALSE)</f>
        <v>9</v>
      </c>
      <c r="U1326">
        <f ca="1">VLOOKUP($Q1326,'TA database'!$I$86:$J$105,2,FALSE)</f>
        <v>9</v>
      </c>
      <c r="V1326">
        <f ca="1">VLOOKUP($R1326,'TA database'!$I$112:$J$139,2,FALSE)</f>
        <v>9</v>
      </c>
      <c r="W1326">
        <f>IFERROR(VLOOKUP($S1326,'TA database'!$I$146:$J$193,2,FALSE),0)</f>
        <v>0</v>
      </c>
      <c r="X1326">
        <f ca="1">IFERROR(VLOOKUP($S1326,'TA database'!$I$200:$J$271,2,FALSE),0)</f>
        <v>9</v>
      </c>
      <c r="Y1326">
        <f t="shared" ca="1" si="4059"/>
        <v>9</v>
      </c>
      <c r="Z1326" t="str">
        <f t="shared" si="4060"/>
        <v>NG_SR_SML_D   →   D_GAS_STRG   →   ONSITE_USE   →   H2_FC_PWR</v>
      </c>
      <c r="AA1326" t="str">
        <f t="shared" si="4061"/>
        <v>Onsite / Back-up power</v>
      </c>
      <c r="AB1326" t="str">
        <f t="shared" si="4062"/>
        <v>Maturity</v>
      </c>
      <c r="AC1326">
        <f t="shared" ca="1" si="4063"/>
        <v>9</v>
      </c>
      <c r="AD1326">
        <v>1267</v>
      </c>
      <c r="AE1326" t="str">
        <f>IF(AND(ISNUMBER(SEARCH(O1326,4)),ISNUMBER(SEARCH('(4) FCH pathway assessment'!$B$16,AB1326)),ISNUMBER(SEARCH('(4) FCH pathway assessment'!$B$10,AA1326))),AD1326,"")</f>
        <v/>
      </c>
      <c r="AF1326" t="str">
        <f t="shared" si="3923"/>
        <v/>
      </c>
      <c r="AG1326" t="str">
        <f>VLOOKUP(C1326,Assumptions!$B$116:$C$162,2,FALSE)</f>
        <v>NG_SR_SML_D</v>
      </c>
      <c r="AH1326" t="str">
        <f>VLOOKUP(D1326,Assumptions!$B$116:$C$162,2,FALSE)</f>
        <v>D_GAS_STRG</v>
      </c>
      <c r="AI1326" t="str">
        <f>VLOOKUP(E1326,Assumptions!$B$116:$C$162,2,FALSE)</f>
        <v>ONSITE_USE</v>
      </c>
      <c r="AJ1326" t="str">
        <f>VLOOKUP(F1326,Assumptions!$B$116:$C$162,2,FALSE)</f>
        <v>H2_FC_PWR</v>
      </c>
    </row>
    <row r="1327" spans="2:36" x14ac:dyDescent="0.25">
      <c r="B1327" t="s">
        <v>117</v>
      </c>
      <c r="C1327" t="s">
        <v>53</v>
      </c>
      <c r="D1327" t="s">
        <v>155</v>
      </c>
      <c r="E1327" t="s">
        <v>65</v>
      </c>
      <c r="F1327" t="s">
        <v>165</v>
      </c>
      <c r="G1327" t="s">
        <v>126</v>
      </c>
      <c r="H1327" t="s">
        <v>433</v>
      </c>
      <c r="I1327" t="s">
        <v>32</v>
      </c>
      <c r="J1327" t="s">
        <v>78</v>
      </c>
      <c r="K1327">
        <f t="shared" ref="K1327" si="4064">SUMPRODUCT(($C$7:$C$18=$C1327)*($D$6:$H$6=$D1327)*($D$7:$H$18))</f>
        <v>0</v>
      </c>
      <c r="L1327">
        <f t="shared" ref="L1327" si="4065">SUMPRODUCT(($C$19:$C$23=$D1327)*($I$6:$O$6=$E1327)*($I$19:$O$23))</f>
        <v>1</v>
      </c>
      <c r="M1327">
        <f t="shared" ref="M1327" si="4066">SUMPRODUCT(($C$24:$C$30=$E1327)*($P$6:$AI$6=$F1327)*($P$24:$AI$30))</f>
        <v>0</v>
      </c>
      <c r="N1327">
        <f t="shared" ref="N1327" si="4067">SUMPRODUCT(($C$31:$C$50=$F1327)*($AJ$6:$AM$6=$G1327)*($AJ$31:$AM$50))</f>
        <v>1</v>
      </c>
      <c r="O1327">
        <f t="shared" ref="O1327" si="4068">K1327+L1327+M1327+N1327</f>
        <v>2</v>
      </c>
      <c r="P1327" t="str">
        <f t="shared" ref="P1327" si="4069">CONCATENATE(C1327,"-",J1327)</f>
        <v>Medium centralized biomass gasification-Maturity</v>
      </c>
      <c r="Q1327" t="str">
        <f t="shared" ref="Q1327" si="4070">CONCATENATE(D1327,"-",J1327)</f>
        <v>Central gas storage-Maturity</v>
      </c>
      <c r="R1327" t="str">
        <f t="shared" ref="R1327" si="4071">CONCATENATE(E1327,"-",J1327)</f>
        <v>Methanation-Maturity</v>
      </c>
      <c r="S1327" t="str">
        <f t="shared" ref="S1327" si="4072">CONCATENATE(F1327,"-",J1327)</f>
        <v>Prime power natural gas fuel cell-Maturity</v>
      </c>
      <c r="T1327">
        <f ca="1">VLOOKUP($P1327,'TA database'!$I$8:$J$79,2,FALSE)</f>
        <v>6</v>
      </c>
      <c r="U1327">
        <f ca="1">VLOOKUP($Q1327,'TA database'!$I$86:$J$105,2,FALSE)</f>
        <v>9</v>
      </c>
      <c r="V1327">
        <f ca="1">VLOOKUP($R1327,'TA database'!$I$112:$J$139,2,FALSE)</f>
        <v>6</v>
      </c>
      <c r="W1327">
        <f>IFERROR(VLOOKUP($S1327,'TA database'!$I$146:$J$193,2,FALSE),0)</f>
        <v>0</v>
      </c>
      <c r="X1327">
        <f ca="1">IFERROR(VLOOKUP($S1327,'TA database'!$I$200:$J$271,2,FALSE),0)</f>
        <v>9</v>
      </c>
      <c r="Y1327">
        <f t="shared" ref="Y1327" ca="1" si="4073">IF($W1327=0,MIN($T1327:$V1327,$X1327),MIN($T1327:$W1327))</f>
        <v>6</v>
      </c>
      <c r="Z1327" t="str">
        <f t="shared" ref="Z1327" si="4074">CONCATENATE(AG1327,"   →   ",AH1327,"   →   ",AI1327,"   →   ",AJ1327)</f>
        <v>BIO_GSF_MED_C   →   C_GAS_STRG   →   METHANATION   →   NG_FC_PWR</v>
      </c>
      <c r="AA1327" t="str">
        <f t="shared" ref="AA1327" si="4075">G1327</f>
        <v>Onsite / Back-up power</v>
      </c>
      <c r="AB1327" t="str">
        <f t="shared" ref="AB1327" si="4076">J1327</f>
        <v>Maturity</v>
      </c>
      <c r="AC1327">
        <f t="shared" ref="AC1327" ca="1" si="4077">Y1327</f>
        <v>6</v>
      </c>
      <c r="AD1327">
        <v>1268</v>
      </c>
      <c r="AE1327" t="str">
        <f>IF(AND(ISNUMBER(SEARCH(O1327,4)),ISNUMBER(SEARCH('(4) FCH pathway assessment'!$B$16,AB1327)),ISNUMBER(SEARCH('(4) FCH pathway assessment'!$B$10,AA1327))),AD1327,"")</f>
        <v/>
      </c>
      <c r="AF1327" t="str">
        <f t="shared" si="3923"/>
        <v/>
      </c>
      <c r="AG1327" t="str">
        <f>VLOOKUP(C1327,Assumptions!$B$116:$C$162,2,FALSE)</f>
        <v>BIO_GSF_MED_C</v>
      </c>
      <c r="AH1327" t="str">
        <f>VLOOKUP(D1327,Assumptions!$B$116:$C$162,2,FALSE)</f>
        <v>C_GAS_STRG</v>
      </c>
      <c r="AI1327" t="str">
        <f>VLOOKUP(E1327,Assumptions!$B$116:$C$162,2,FALSE)</f>
        <v>METHANATION</v>
      </c>
      <c r="AJ1327" t="str">
        <f>VLOOKUP(F1327,Assumptions!$B$116:$C$162,2,FALSE)</f>
        <v>NG_FC_PWR</v>
      </c>
    </row>
    <row r="1328" spans="2:36" x14ac:dyDescent="0.25">
      <c r="B1328" t="s">
        <v>117</v>
      </c>
      <c r="C1328" t="s">
        <v>54</v>
      </c>
      <c r="D1328" t="s">
        <v>155</v>
      </c>
      <c r="E1328" t="s">
        <v>65</v>
      </c>
      <c r="F1328" t="s">
        <v>165</v>
      </c>
      <c r="G1328" t="s">
        <v>126</v>
      </c>
      <c r="H1328" t="s">
        <v>433</v>
      </c>
      <c r="I1328" t="s">
        <v>32</v>
      </c>
      <c r="J1328" t="s">
        <v>78</v>
      </c>
      <c r="K1328">
        <f t="shared" ref="K1328" si="4078">SUMPRODUCT(($C$7:$C$18=$C1328)*($D$6:$H$6=$D1328)*($D$7:$H$18))</f>
        <v>0</v>
      </c>
      <c r="L1328">
        <f t="shared" ref="L1328" si="4079">SUMPRODUCT(($C$19:$C$23=$D1328)*($I$6:$O$6=$E1328)*($I$19:$O$23))</f>
        <v>1</v>
      </c>
      <c r="M1328">
        <f t="shared" ref="M1328" si="4080">SUMPRODUCT(($C$24:$C$30=$E1328)*($P$6:$AI$6=$F1328)*($P$24:$AI$30))</f>
        <v>0</v>
      </c>
      <c r="N1328">
        <f t="shared" ref="N1328" si="4081">SUMPRODUCT(($C$31:$C$50=$F1328)*($AJ$6:$AM$6=$G1328)*($AJ$31:$AM$50))</f>
        <v>1</v>
      </c>
      <c r="O1328">
        <f t="shared" ref="O1328" si="4082">K1328+L1328+M1328+N1328</f>
        <v>2</v>
      </c>
      <c r="P1328" t="str">
        <f t="shared" ref="P1328" si="4083">CONCATENATE(C1328,"-",J1328)</f>
        <v>Medium centralized biomass gasification w/ CCS-Maturity</v>
      </c>
      <c r="Q1328" t="str">
        <f t="shared" ref="Q1328" si="4084">CONCATENATE(D1328,"-",J1328)</f>
        <v>Central gas storage-Maturity</v>
      </c>
      <c r="R1328" t="str">
        <f t="shared" ref="R1328" si="4085">CONCATENATE(E1328,"-",J1328)</f>
        <v>Methanation-Maturity</v>
      </c>
      <c r="S1328" t="str">
        <f t="shared" ref="S1328" si="4086">CONCATENATE(F1328,"-",J1328)</f>
        <v>Prime power natural gas fuel cell-Maturity</v>
      </c>
      <c r="T1328">
        <f ca="1">VLOOKUP($P1328,'TA database'!$I$8:$J$79,2,FALSE)</f>
        <v>6</v>
      </c>
      <c r="U1328">
        <f ca="1">VLOOKUP($Q1328,'TA database'!$I$86:$J$105,2,FALSE)</f>
        <v>9</v>
      </c>
      <c r="V1328">
        <f ca="1">VLOOKUP($R1328,'TA database'!$I$112:$J$139,2,FALSE)</f>
        <v>6</v>
      </c>
      <c r="W1328">
        <f>IFERROR(VLOOKUP($S1328,'TA database'!$I$146:$J$193,2,FALSE),0)</f>
        <v>0</v>
      </c>
      <c r="X1328">
        <f ca="1">IFERROR(VLOOKUP($S1328,'TA database'!$I$200:$J$271,2,FALSE),0)</f>
        <v>9</v>
      </c>
      <c r="Y1328">
        <f t="shared" ref="Y1328" ca="1" si="4087">IF($W1328=0,MIN($T1328:$V1328,$X1328),MIN($T1328:$W1328))</f>
        <v>6</v>
      </c>
      <c r="Z1328" t="str">
        <f t="shared" ref="Z1328" si="4088">CONCATENATE(AG1328,"   →   ",AH1328,"   →   ",AI1328,"   →   ",AJ1328)</f>
        <v>BIO_GSF_CCS_MED_C   →   C_GAS_STRG   →   METHANATION   →   NG_FC_PWR</v>
      </c>
      <c r="AA1328" t="str">
        <f t="shared" ref="AA1328" si="4089">G1328</f>
        <v>Onsite / Back-up power</v>
      </c>
      <c r="AB1328" t="str">
        <f t="shared" ref="AB1328" si="4090">J1328</f>
        <v>Maturity</v>
      </c>
      <c r="AC1328">
        <f t="shared" ref="AC1328" ca="1" si="4091">Y1328</f>
        <v>6</v>
      </c>
      <c r="AD1328">
        <v>1269</v>
      </c>
      <c r="AE1328" t="str">
        <f>IF(AND(ISNUMBER(SEARCH(O1328,4)),ISNUMBER(SEARCH('(4) FCH pathway assessment'!$B$16,AB1328)),ISNUMBER(SEARCH('(4) FCH pathway assessment'!$B$10,AA1328))),AD1328,"")</f>
        <v/>
      </c>
      <c r="AF1328" t="str">
        <f t="shared" si="3923"/>
        <v/>
      </c>
      <c r="AG1328" t="str">
        <f>VLOOKUP(C1328,Assumptions!$B$116:$C$162,2,FALSE)</f>
        <v>BIO_GSF_CCS_MED_C</v>
      </c>
      <c r="AH1328" t="str">
        <f>VLOOKUP(D1328,Assumptions!$B$116:$C$162,2,FALSE)</f>
        <v>C_GAS_STRG</v>
      </c>
      <c r="AI1328" t="str">
        <f>VLOOKUP(E1328,Assumptions!$B$116:$C$162,2,FALSE)</f>
        <v>METHANATION</v>
      </c>
      <c r="AJ1328" t="str">
        <f>VLOOKUP(F1328,Assumptions!$B$116:$C$162,2,FALSE)</f>
        <v>NG_FC_PWR</v>
      </c>
    </row>
    <row r="1329" spans="2:36" x14ac:dyDescent="0.25">
      <c r="B1329" t="s">
        <v>117</v>
      </c>
      <c r="C1329" t="s">
        <v>56</v>
      </c>
      <c r="D1329" t="s">
        <v>62</v>
      </c>
      <c r="E1329" t="s">
        <v>65</v>
      </c>
      <c r="F1329" t="s">
        <v>165</v>
      </c>
      <c r="G1329" t="s">
        <v>126</v>
      </c>
      <c r="H1329" t="s">
        <v>433</v>
      </c>
      <c r="I1329" t="s">
        <v>32</v>
      </c>
      <c r="J1329" t="s">
        <v>78</v>
      </c>
      <c r="K1329">
        <f t="shared" ref="K1329:K1330" si="4092">SUMPRODUCT(($C$7:$C$18=$C1329)*($D$6:$H$6=$D1329)*($D$7:$H$18))</f>
        <v>0</v>
      </c>
      <c r="L1329">
        <f t="shared" ref="L1329:L1330" si="4093">SUMPRODUCT(($C$19:$C$23=$D1329)*($I$6:$O$6=$E1329)*($I$19:$O$23))</f>
        <v>0</v>
      </c>
      <c r="M1329">
        <f t="shared" ref="M1329:M1330" si="4094">SUMPRODUCT(($C$24:$C$30=$E1329)*($P$6:$AI$6=$F1329)*($P$24:$AI$30))</f>
        <v>0</v>
      </c>
      <c r="N1329">
        <f t="shared" ref="N1329:N1330" si="4095">SUMPRODUCT(($C$31:$C$50=$F1329)*($AJ$6:$AM$6=$G1329)*($AJ$31:$AM$50))</f>
        <v>1</v>
      </c>
      <c r="O1329">
        <f t="shared" ref="O1329" si="4096">K1329+L1329+M1329+N1329</f>
        <v>1</v>
      </c>
      <c r="P1329" t="str">
        <f t="shared" ref="P1329:P1330" si="4097">CONCATENATE(C1329,"-",J1329)</f>
        <v>Large centralized biomass steam reforming -Maturity</v>
      </c>
      <c r="Q1329" t="str">
        <f t="shared" ref="Q1329:Q1330" si="4098">CONCATENATE(D1329,"-",J1329)</f>
        <v>Underground storage-Maturity</v>
      </c>
      <c r="R1329" t="str">
        <f t="shared" ref="R1329:R1330" si="4099">CONCATENATE(E1329,"-",J1329)</f>
        <v>Methanation-Maturity</v>
      </c>
      <c r="S1329" t="str">
        <f t="shared" ref="S1329:S1330" si="4100">CONCATENATE(F1329,"-",J1329)</f>
        <v>Prime power natural gas fuel cell-Maturity</v>
      </c>
      <c r="T1329">
        <f ca="1">VLOOKUP($P1329,'TA database'!$I$8:$J$79,2,FALSE)</f>
        <v>6</v>
      </c>
      <c r="U1329">
        <f ca="1">VLOOKUP($Q1329,'TA database'!$I$86:$J$105,2,FALSE)</f>
        <v>6</v>
      </c>
      <c r="V1329">
        <f ca="1">VLOOKUP($R1329,'TA database'!$I$112:$J$139,2,FALSE)</f>
        <v>6</v>
      </c>
      <c r="W1329">
        <f>IFERROR(VLOOKUP($S1329,'TA database'!$I$146:$J$193,2,FALSE),0)</f>
        <v>0</v>
      </c>
      <c r="X1329">
        <f ca="1">IFERROR(VLOOKUP($S1329,'TA database'!$I$200:$J$271,2,FALSE),0)</f>
        <v>9</v>
      </c>
      <c r="Y1329">
        <f t="shared" ref="Y1329:Y1331" ca="1" si="4101">IF($W1329=0,MIN($T1329:$V1329,$X1329),MIN($T1329:$W1329))</f>
        <v>6</v>
      </c>
      <c r="Z1329" t="str">
        <f t="shared" ref="Z1329" si="4102">CONCATENATE(AG1329,"   →   ",AH1329,"   →   ",AI1329,"   →   ",AJ1329)</f>
        <v>BIO_SR_LRG_C   →   C_UNDRGRND_STRG   →   METHANATION   →   NG_FC_PWR</v>
      </c>
      <c r="AA1329" t="str">
        <f t="shared" ref="AA1329" si="4103">G1329</f>
        <v>Onsite / Back-up power</v>
      </c>
      <c r="AB1329" t="str">
        <f t="shared" ref="AB1329" si="4104">J1329</f>
        <v>Maturity</v>
      </c>
      <c r="AC1329">
        <f t="shared" ref="AC1329" ca="1" si="4105">Y1329</f>
        <v>6</v>
      </c>
      <c r="AD1329">
        <v>1270</v>
      </c>
      <c r="AE1329" t="str">
        <f>IF(AND(ISNUMBER(SEARCH(O1329,4)),ISNUMBER(SEARCH('(4) FCH pathway assessment'!$B$16,AB1329)),ISNUMBER(SEARCH('(4) FCH pathway assessment'!$B$10,AA1329))),AD1329,"")</f>
        <v/>
      </c>
      <c r="AF1329" t="str">
        <f t="shared" si="3923"/>
        <v/>
      </c>
      <c r="AG1329" t="str">
        <f>VLOOKUP(C1329,Assumptions!$B$116:$C$162,2,FALSE)</f>
        <v>BIO_SR_LRG_C</v>
      </c>
      <c r="AH1329" t="str">
        <f>VLOOKUP(D1329,Assumptions!$B$116:$C$162,2,FALSE)</f>
        <v>C_UNDRGRND_STRG</v>
      </c>
      <c r="AI1329" t="str">
        <f>VLOOKUP(E1329,Assumptions!$B$116:$C$162,2,FALSE)</f>
        <v>METHANATION</v>
      </c>
      <c r="AJ1329" t="str">
        <f>VLOOKUP(F1329,Assumptions!$B$116:$C$162,2,FALSE)</f>
        <v>NG_FC_PWR</v>
      </c>
    </row>
    <row r="1330" spans="2:36" x14ac:dyDescent="0.25">
      <c r="B1330" t="s">
        <v>112</v>
      </c>
      <c r="C1330" t="s">
        <v>49</v>
      </c>
      <c r="D1330" t="s">
        <v>62</v>
      </c>
      <c r="E1330" t="s">
        <v>65</v>
      </c>
      <c r="F1330" t="s">
        <v>165</v>
      </c>
      <c r="G1330" t="s">
        <v>126</v>
      </c>
      <c r="H1330" t="s">
        <v>433</v>
      </c>
      <c r="I1330" t="s">
        <v>32</v>
      </c>
      <c r="J1330" t="s">
        <v>78</v>
      </c>
      <c r="K1330">
        <f t="shared" si="4092"/>
        <v>1</v>
      </c>
      <c r="L1330">
        <f t="shared" si="4093"/>
        <v>0</v>
      </c>
      <c r="M1330">
        <f t="shared" si="4094"/>
        <v>0</v>
      </c>
      <c r="N1330">
        <f t="shared" si="4095"/>
        <v>1</v>
      </c>
      <c r="O1330">
        <f t="shared" ref="O1330:O1332" si="4106">K1330+L1330+M1330+N1330</f>
        <v>2</v>
      </c>
      <c r="P1330" t="str">
        <f t="shared" si="4097"/>
        <v>Large centralized electrolysis-Maturity</v>
      </c>
      <c r="Q1330" t="str">
        <f t="shared" si="4098"/>
        <v>Underground storage-Maturity</v>
      </c>
      <c r="R1330" t="str">
        <f t="shared" si="4099"/>
        <v>Methanation-Maturity</v>
      </c>
      <c r="S1330" t="str">
        <f t="shared" si="4100"/>
        <v>Prime power natural gas fuel cell-Maturity</v>
      </c>
      <c r="T1330">
        <f ca="1">VLOOKUP($P1330,'TA database'!$I$8:$J$79,2,FALSE)</f>
        <v>9</v>
      </c>
      <c r="U1330">
        <f ca="1">VLOOKUP($Q1330,'TA database'!$I$86:$J$105,2,FALSE)</f>
        <v>6</v>
      </c>
      <c r="V1330">
        <f ca="1">VLOOKUP($R1330,'TA database'!$I$112:$J$139,2,FALSE)</f>
        <v>6</v>
      </c>
      <c r="W1330">
        <f>IFERROR(VLOOKUP($S1330,'TA database'!$I$146:$J$193,2,FALSE),0)</f>
        <v>0</v>
      </c>
      <c r="X1330">
        <f ca="1">IFERROR(VLOOKUP($S1330,'TA database'!$I$200:$J$271,2,FALSE),0)</f>
        <v>9</v>
      </c>
      <c r="Y1330">
        <f t="shared" ca="1" si="4101"/>
        <v>6</v>
      </c>
      <c r="Z1330" t="str">
        <f t="shared" ref="Z1330:Z1332" si="4107">CONCATENATE(AG1330,"   →   ",AH1330,"   →   ",AI1330,"   →   ",AJ1330)</f>
        <v>ELCTRLYZ_LRG_C   →   C_UNDRGRND_STRG   →   METHANATION   →   NG_FC_PWR</v>
      </c>
      <c r="AA1330" t="str">
        <f t="shared" ref="AA1330:AA1332" si="4108">G1330</f>
        <v>Onsite / Back-up power</v>
      </c>
      <c r="AB1330" t="str">
        <f t="shared" ref="AB1330:AB1332" si="4109">J1330</f>
        <v>Maturity</v>
      </c>
      <c r="AC1330">
        <f t="shared" ref="AC1330:AC1332" ca="1" si="4110">Y1330</f>
        <v>6</v>
      </c>
      <c r="AD1330">
        <v>1271</v>
      </c>
      <c r="AE1330" t="str">
        <f>IF(AND(ISNUMBER(SEARCH(O1330,4)),ISNUMBER(SEARCH('(4) FCH pathway assessment'!$B$16,AB1330)),ISNUMBER(SEARCH('(4) FCH pathway assessment'!$B$10,AA1330))),AD1330,"")</f>
        <v/>
      </c>
      <c r="AF1330" t="str">
        <f t="shared" si="3923"/>
        <v/>
      </c>
      <c r="AG1330" t="str">
        <f>VLOOKUP(C1330,Assumptions!$B$116:$C$162,2,FALSE)</f>
        <v>ELCTRLYZ_LRG_C</v>
      </c>
      <c r="AH1330" t="str">
        <f>VLOOKUP(D1330,Assumptions!$B$116:$C$162,2,FALSE)</f>
        <v>C_UNDRGRND_STRG</v>
      </c>
      <c r="AI1330" t="str">
        <f>VLOOKUP(E1330,Assumptions!$B$116:$C$162,2,FALSE)</f>
        <v>METHANATION</v>
      </c>
      <c r="AJ1330" t="str">
        <f>VLOOKUP(F1330,Assumptions!$B$116:$C$162,2,FALSE)</f>
        <v>NG_FC_PWR</v>
      </c>
    </row>
    <row r="1331" spans="2:36" x14ac:dyDescent="0.25">
      <c r="B1331" t="s">
        <v>112</v>
      </c>
      <c r="C1331" t="s">
        <v>49</v>
      </c>
      <c r="D1331" t="s">
        <v>155</v>
      </c>
      <c r="E1331" t="s">
        <v>65</v>
      </c>
      <c r="F1331" t="s">
        <v>165</v>
      </c>
      <c r="G1331" t="s">
        <v>126</v>
      </c>
      <c r="H1331" t="s">
        <v>433</v>
      </c>
      <c r="I1331" t="s">
        <v>32</v>
      </c>
      <c r="J1331" t="s">
        <v>78</v>
      </c>
      <c r="K1331">
        <f t="shared" ref="K1331:K1332" si="4111">SUMPRODUCT(($C$7:$C$18=$C1331)*($D$6:$H$6=$D1331)*($D$7:$H$18))</f>
        <v>1</v>
      </c>
      <c r="L1331">
        <f t="shared" ref="L1331:L1332" si="4112">SUMPRODUCT(($C$19:$C$23=$D1331)*($I$6:$O$6=$E1331)*($I$19:$O$23))</f>
        <v>1</v>
      </c>
      <c r="M1331">
        <f t="shared" ref="M1331:M1332" si="4113">SUMPRODUCT(($C$24:$C$30=$E1331)*($P$6:$AI$6=$F1331)*($P$24:$AI$30))</f>
        <v>0</v>
      </c>
      <c r="N1331">
        <f t="shared" ref="N1331:N1332" si="4114">SUMPRODUCT(($C$31:$C$50=$F1331)*($AJ$6:$AM$6=$G1331)*($AJ$31:$AM$50))</f>
        <v>1</v>
      </c>
      <c r="O1331">
        <f t="shared" si="4106"/>
        <v>3</v>
      </c>
      <c r="P1331" t="str">
        <f t="shared" ref="P1331:P1332" si="4115">CONCATENATE(C1331,"-",J1331)</f>
        <v>Large centralized electrolysis-Maturity</v>
      </c>
      <c r="Q1331" t="str">
        <f t="shared" ref="Q1331:Q1332" si="4116">CONCATENATE(D1331,"-",J1331)</f>
        <v>Central gas storage-Maturity</v>
      </c>
      <c r="R1331" t="str">
        <f t="shared" ref="R1331:R1332" si="4117">CONCATENATE(E1331,"-",J1331)</f>
        <v>Methanation-Maturity</v>
      </c>
      <c r="S1331" t="str">
        <f t="shared" ref="S1331:S1332" si="4118">CONCATENATE(F1331,"-",J1331)</f>
        <v>Prime power natural gas fuel cell-Maturity</v>
      </c>
      <c r="T1331">
        <f ca="1">VLOOKUP($P1331,'TA database'!$I$8:$J$79,2,FALSE)</f>
        <v>9</v>
      </c>
      <c r="U1331">
        <f ca="1">VLOOKUP($Q1331,'TA database'!$I$86:$J$105,2,FALSE)</f>
        <v>9</v>
      </c>
      <c r="V1331">
        <f ca="1">VLOOKUP($R1331,'TA database'!$I$112:$J$139,2,FALSE)</f>
        <v>6</v>
      </c>
      <c r="W1331">
        <f>IFERROR(VLOOKUP($S1331,'TA database'!$I$146:$J$193,2,FALSE),0)</f>
        <v>0</v>
      </c>
      <c r="X1331">
        <f ca="1">IFERROR(VLOOKUP($S1331,'TA database'!$I$200:$J$271,2,FALSE),0)</f>
        <v>9</v>
      </c>
      <c r="Y1331">
        <f t="shared" ca="1" si="4101"/>
        <v>6</v>
      </c>
      <c r="Z1331" t="str">
        <f t="shared" si="4107"/>
        <v>ELCTRLYZ_LRG_C   →   C_GAS_STRG   →   METHANATION   →   NG_FC_PWR</v>
      </c>
      <c r="AA1331" t="str">
        <f t="shared" si="4108"/>
        <v>Onsite / Back-up power</v>
      </c>
      <c r="AB1331" t="str">
        <f t="shared" si="4109"/>
        <v>Maturity</v>
      </c>
      <c r="AC1331">
        <f t="shared" ca="1" si="4110"/>
        <v>6</v>
      </c>
      <c r="AD1331">
        <v>1272</v>
      </c>
      <c r="AE1331" t="str">
        <f>IF(AND(ISNUMBER(SEARCH(O1331,4)),ISNUMBER(SEARCH('(4) FCH pathway assessment'!$B$16,AB1331)),ISNUMBER(SEARCH('(4) FCH pathway assessment'!$B$10,AA1331))),AD1331,"")</f>
        <v/>
      </c>
      <c r="AF1331" t="str">
        <f t="shared" si="3923"/>
        <v/>
      </c>
      <c r="AG1331" t="str">
        <f>VLOOKUP(C1331,Assumptions!$B$116:$C$162,2,FALSE)</f>
        <v>ELCTRLYZ_LRG_C</v>
      </c>
      <c r="AH1331" t="str">
        <f>VLOOKUP(D1331,Assumptions!$B$116:$C$162,2,FALSE)</f>
        <v>C_GAS_STRG</v>
      </c>
      <c r="AI1331" t="str">
        <f>VLOOKUP(E1331,Assumptions!$B$116:$C$162,2,FALSE)</f>
        <v>METHANATION</v>
      </c>
      <c r="AJ1331" t="str">
        <f>VLOOKUP(F1331,Assumptions!$B$116:$C$162,2,FALSE)</f>
        <v>NG_FC_PWR</v>
      </c>
    </row>
    <row r="1332" spans="2:36" x14ac:dyDescent="0.25">
      <c r="B1332" t="s">
        <v>112</v>
      </c>
      <c r="C1332" t="s">
        <v>51</v>
      </c>
      <c r="D1332" t="s">
        <v>155</v>
      </c>
      <c r="E1332" t="s">
        <v>65</v>
      </c>
      <c r="F1332" t="s">
        <v>165</v>
      </c>
      <c r="G1332" t="s">
        <v>126</v>
      </c>
      <c r="H1332" t="s">
        <v>433</v>
      </c>
      <c r="I1332" t="s">
        <v>32</v>
      </c>
      <c r="J1332" t="s">
        <v>78</v>
      </c>
      <c r="K1332">
        <f t="shared" si="4111"/>
        <v>1</v>
      </c>
      <c r="L1332">
        <f t="shared" si="4112"/>
        <v>1</v>
      </c>
      <c r="M1332">
        <f t="shared" si="4113"/>
        <v>0</v>
      </c>
      <c r="N1332">
        <f t="shared" si="4114"/>
        <v>1</v>
      </c>
      <c r="O1332">
        <f t="shared" si="4106"/>
        <v>3</v>
      </c>
      <c r="P1332" t="str">
        <f t="shared" si="4115"/>
        <v>Medium centralized electrolysis-Maturity</v>
      </c>
      <c r="Q1332" t="str">
        <f t="shared" si="4116"/>
        <v>Central gas storage-Maturity</v>
      </c>
      <c r="R1332" t="str">
        <f t="shared" si="4117"/>
        <v>Methanation-Maturity</v>
      </c>
      <c r="S1332" t="str">
        <f t="shared" si="4118"/>
        <v>Prime power natural gas fuel cell-Maturity</v>
      </c>
      <c r="T1332">
        <f ca="1">VLOOKUP($P1332,'TA database'!$I$8:$J$79,2,FALSE)</f>
        <v>9</v>
      </c>
      <c r="U1332">
        <f ca="1">VLOOKUP($Q1332,'TA database'!$I$86:$J$105,2,FALSE)</f>
        <v>9</v>
      </c>
      <c r="V1332">
        <f ca="1">VLOOKUP($R1332,'TA database'!$I$112:$J$139,2,FALSE)</f>
        <v>6</v>
      </c>
      <c r="W1332">
        <f>IFERROR(VLOOKUP($S1332,'TA database'!$I$146:$J$193,2,FALSE),0)</f>
        <v>0</v>
      </c>
      <c r="X1332">
        <f ca="1">IFERROR(VLOOKUP($S1332,'TA database'!$I$200:$J$271,2,FALSE),0)</f>
        <v>9</v>
      </c>
      <c r="Y1332">
        <f t="shared" ref="Y1332" ca="1" si="4119">IF($W1332=0,MIN($T1332:$V1332,$X1332),MIN($T1332:$W1332))</f>
        <v>6</v>
      </c>
      <c r="Z1332" t="str">
        <f t="shared" si="4107"/>
        <v>ELCTRLYZ_MED_C   →   C_GAS_STRG   →   METHANATION   →   NG_FC_PWR</v>
      </c>
      <c r="AA1332" t="str">
        <f t="shared" si="4108"/>
        <v>Onsite / Back-up power</v>
      </c>
      <c r="AB1332" t="str">
        <f t="shared" si="4109"/>
        <v>Maturity</v>
      </c>
      <c r="AC1332">
        <f t="shared" ca="1" si="4110"/>
        <v>6</v>
      </c>
      <c r="AD1332">
        <v>1273</v>
      </c>
      <c r="AE1332" t="str">
        <f>IF(AND(ISNUMBER(SEARCH(O1332,4)),ISNUMBER(SEARCH('(4) FCH pathway assessment'!$B$16,AB1332)),ISNUMBER(SEARCH('(4) FCH pathway assessment'!$B$10,AA1332))),AD1332,"")</f>
        <v/>
      </c>
      <c r="AF1332" t="str">
        <f t="shared" si="3923"/>
        <v/>
      </c>
      <c r="AG1332" t="str">
        <f>VLOOKUP(C1332,Assumptions!$B$116:$C$162,2,FALSE)</f>
        <v>ELCTRLYZ_MED_C</v>
      </c>
      <c r="AH1332" t="str">
        <f>VLOOKUP(D1332,Assumptions!$B$116:$C$162,2,FALSE)</f>
        <v>C_GAS_STRG</v>
      </c>
      <c r="AI1332" t="str">
        <f>VLOOKUP(E1332,Assumptions!$B$116:$C$162,2,FALSE)</f>
        <v>METHANATION</v>
      </c>
      <c r="AJ1332" t="str">
        <f>VLOOKUP(F1332,Assumptions!$B$116:$C$162,2,FALSE)</f>
        <v>NG_FC_PWR</v>
      </c>
    </row>
    <row r="1333" spans="2:36" x14ac:dyDescent="0.25">
      <c r="B1333" t="s">
        <v>127</v>
      </c>
      <c r="C1333" t="s">
        <v>57</v>
      </c>
      <c r="D1333" t="s">
        <v>62</v>
      </c>
      <c r="E1333" t="s">
        <v>65</v>
      </c>
      <c r="F1333" t="s">
        <v>165</v>
      </c>
      <c r="G1333" t="s">
        <v>126</v>
      </c>
      <c r="H1333" t="s">
        <v>433</v>
      </c>
      <c r="I1333" t="s">
        <v>32</v>
      </c>
      <c r="J1333" t="s">
        <v>78</v>
      </c>
      <c r="K1333">
        <f t="shared" ref="K1333" si="4120">SUMPRODUCT(($C$7:$C$18=$C1333)*($D$6:$H$6=$D1333)*($D$7:$H$18))</f>
        <v>1</v>
      </c>
      <c r="L1333">
        <f t="shared" ref="L1333" si="4121">SUMPRODUCT(($C$19:$C$23=$D1333)*($I$6:$O$6=$E1333)*($I$19:$O$23))</f>
        <v>0</v>
      </c>
      <c r="M1333">
        <f t="shared" ref="M1333" si="4122">SUMPRODUCT(($C$24:$C$30=$E1333)*($P$6:$AI$6=$F1333)*($P$24:$AI$30))</f>
        <v>0</v>
      </c>
      <c r="N1333">
        <f t="shared" ref="N1333" si="4123">SUMPRODUCT(($C$31:$C$50=$F1333)*($AJ$6:$AM$6=$G1333)*($AJ$31:$AM$50))</f>
        <v>1</v>
      </c>
      <c r="O1333">
        <f t="shared" ref="O1333" si="4124">K1333+L1333+M1333+N1333</f>
        <v>2</v>
      </c>
      <c r="P1333" t="str">
        <f t="shared" ref="P1333" si="4125">CONCATENATE(C1333,"-",J1333)</f>
        <v>Large centralized natural gas steam reforming-Maturity</v>
      </c>
      <c r="Q1333" t="str">
        <f t="shared" ref="Q1333" si="4126">CONCATENATE(D1333,"-",J1333)</f>
        <v>Underground storage-Maturity</v>
      </c>
      <c r="R1333" t="str">
        <f t="shared" ref="R1333" si="4127">CONCATENATE(E1333,"-",J1333)</f>
        <v>Methanation-Maturity</v>
      </c>
      <c r="S1333" t="str">
        <f t="shared" ref="S1333" si="4128">CONCATENATE(F1333,"-",J1333)</f>
        <v>Prime power natural gas fuel cell-Maturity</v>
      </c>
      <c r="T1333">
        <f ca="1">VLOOKUP($P1333,'TA database'!$I$8:$J$79,2,FALSE)</f>
        <v>9</v>
      </c>
      <c r="U1333">
        <f ca="1">VLOOKUP($Q1333,'TA database'!$I$86:$J$105,2,FALSE)</f>
        <v>6</v>
      </c>
      <c r="V1333">
        <f ca="1">VLOOKUP($R1333,'TA database'!$I$112:$J$139,2,FALSE)</f>
        <v>6</v>
      </c>
      <c r="W1333">
        <f>IFERROR(VLOOKUP($S1333,'TA database'!$I$146:$J$193,2,FALSE),0)</f>
        <v>0</v>
      </c>
      <c r="X1333">
        <f ca="1">IFERROR(VLOOKUP($S1333,'TA database'!$I$200:$J$271,2,FALSE),0)</f>
        <v>9</v>
      </c>
      <c r="Y1333">
        <f t="shared" ref="Y1333" ca="1" si="4129">IF($W1333=0,MIN($T1333:$V1333,$X1333),MIN($T1333:$W1333))</f>
        <v>6</v>
      </c>
      <c r="Z1333" t="str">
        <f t="shared" ref="Z1333" si="4130">CONCATENATE(AG1333,"   →   ",AH1333,"   →   ",AI1333,"   →   ",AJ1333)</f>
        <v>NG_SR_LRG_C   →   C_UNDRGRND_STRG   →   METHANATION   →   NG_FC_PWR</v>
      </c>
      <c r="AA1333" t="str">
        <f t="shared" ref="AA1333" si="4131">G1333</f>
        <v>Onsite / Back-up power</v>
      </c>
      <c r="AB1333" t="str">
        <f t="shared" ref="AB1333" si="4132">J1333</f>
        <v>Maturity</v>
      </c>
      <c r="AC1333">
        <f t="shared" ref="AC1333" ca="1" si="4133">Y1333</f>
        <v>6</v>
      </c>
      <c r="AD1333">
        <v>1274</v>
      </c>
      <c r="AE1333" t="str">
        <f>IF(AND(ISNUMBER(SEARCH(O1333,4)),ISNUMBER(SEARCH('(4) FCH pathway assessment'!$B$16,AB1333)),ISNUMBER(SEARCH('(4) FCH pathway assessment'!$B$10,AA1333))),AD1333,"")</f>
        <v/>
      </c>
      <c r="AF1333" t="str">
        <f t="shared" si="3923"/>
        <v/>
      </c>
      <c r="AG1333" t="str">
        <f>VLOOKUP(C1333,Assumptions!$B$116:$C$162,2,FALSE)</f>
        <v>NG_SR_LRG_C</v>
      </c>
      <c r="AH1333" t="str">
        <f>VLOOKUP(D1333,Assumptions!$B$116:$C$162,2,FALSE)</f>
        <v>C_UNDRGRND_STRG</v>
      </c>
      <c r="AI1333" t="str">
        <f>VLOOKUP(E1333,Assumptions!$B$116:$C$162,2,FALSE)</f>
        <v>METHANATION</v>
      </c>
      <c r="AJ1333" t="str">
        <f>VLOOKUP(F1333,Assumptions!$B$116:$C$162,2,FALSE)</f>
        <v>NG_FC_PWR</v>
      </c>
    </row>
    <row r="1334" spans="2:36" x14ac:dyDescent="0.25">
      <c r="B1334" t="s">
        <v>127</v>
      </c>
      <c r="C1334" t="s">
        <v>58</v>
      </c>
      <c r="D1334" t="s">
        <v>155</v>
      </c>
      <c r="E1334" t="s">
        <v>65</v>
      </c>
      <c r="F1334" t="s">
        <v>165</v>
      </c>
      <c r="G1334" t="s">
        <v>126</v>
      </c>
      <c r="H1334" t="s">
        <v>433</v>
      </c>
      <c r="I1334" t="s">
        <v>32</v>
      </c>
      <c r="J1334" t="s">
        <v>78</v>
      </c>
      <c r="K1334">
        <f t="shared" ref="K1334" si="4134">SUMPRODUCT(($C$7:$C$18=$C1334)*($D$6:$H$6=$D1334)*($D$7:$H$18))</f>
        <v>1</v>
      </c>
      <c r="L1334">
        <f t="shared" ref="L1334" si="4135">SUMPRODUCT(($C$19:$C$23=$D1334)*($I$6:$O$6=$E1334)*($I$19:$O$23))</f>
        <v>1</v>
      </c>
      <c r="M1334">
        <f t="shared" ref="M1334" si="4136">SUMPRODUCT(($C$24:$C$30=$E1334)*($P$6:$AI$6=$F1334)*($P$24:$AI$30))</f>
        <v>0</v>
      </c>
      <c r="N1334">
        <f t="shared" ref="N1334" si="4137">SUMPRODUCT(($C$31:$C$50=$F1334)*($AJ$6:$AM$6=$G1334)*($AJ$31:$AM$50))</f>
        <v>1</v>
      </c>
      <c r="O1334">
        <f t="shared" ref="O1334" si="4138">K1334+L1334+M1334+N1334</f>
        <v>3</v>
      </c>
      <c r="P1334" t="str">
        <f t="shared" ref="P1334" si="4139">CONCATENATE(C1334,"-",J1334)</f>
        <v>Small centralized natural gas steam reforming-Maturity</v>
      </c>
      <c r="Q1334" t="str">
        <f t="shared" ref="Q1334" si="4140">CONCATENATE(D1334,"-",J1334)</f>
        <v>Central gas storage-Maturity</v>
      </c>
      <c r="R1334" t="str">
        <f t="shared" ref="R1334" si="4141">CONCATENATE(E1334,"-",J1334)</f>
        <v>Methanation-Maturity</v>
      </c>
      <c r="S1334" t="str">
        <f t="shared" ref="S1334" si="4142">CONCATENATE(F1334,"-",J1334)</f>
        <v>Prime power natural gas fuel cell-Maturity</v>
      </c>
      <c r="T1334">
        <f ca="1">VLOOKUP($P1334,'TA database'!$I$8:$J$79,2,FALSE)</f>
        <v>9</v>
      </c>
      <c r="U1334">
        <f ca="1">VLOOKUP($Q1334,'TA database'!$I$86:$J$105,2,FALSE)</f>
        <v>9</v>
      </c>
      <c r="V1334">
        <f ca="1">VLOOKUP($R1334,'TA database'!$I$112:$J$139,2,FALSE)</f>
        <v>6</v>
      </c>
      <c r="W1334">
        <f>IFERROR(VLOOKUP($S1334,'TA database'!$I$146:$J$193,2,FALSE),0)</f>
        <v>0</v>
      </c>
      <c r="X1334">
        <f ca="1">IFERROR(VLOOKUP($S1334,'TA database'!$I$200:$J$271,2,FALSE),0)</f>
        <v>9</v>
      </c>
      <c r="Y1334">
        <f t="shared" ref="Y1334" ca="1" si="4143">IF($W1334=0,MIN($T1334:$V1334,$X1334),MIN($T1334:$W1334))</f>
        <v>6</v>
      </c>
      <c r="Z1334" t="str">
        <f t="shared" ref="Z1334" si="4144">CONCATENATE(AG1334,"   →   ",AH1334,"   →   ",AI1334,"   →   ",AJ1334)</f>
        <v>NG_SR_SML_C   →   C_GAS_STRG   →   METHANATION   →   NG_FC_PWR</v>
      </c>
      <c r="AA1334" t="str">
        <f t="shared" ref="AA1334" si="4145">G1334</f>
        <v>Onsite / Back-up power</v>
      </c>
      <c r="AB1334" t="str">
        <f t="shared" ref="AB1334" si="4146">J1334</f>
        <v>Maturity</v>
      </c>
      <c r="AC1334">
        <f t="shared" ref="AC1334" ca="1" si="4147">Y1334</f>
        <v>6</v>
      </c>
      <c r="AD1334">
        <v>1275</v>
      </c>
      <c r="AE1334" t="str">
        <f>IF(AND(ISNUMBER(SEARCH(O1334,4)),ISNUMBER(SEARCH('(4) FCH pathway assessment'!$B$16,AB1334)),ISNUMBER(SEARCH('(4) FCH pathway assessment'!$B$10,AA1334))),AD1334,"")</f>
        <v/>
      </c>
      <c r="AF1334" t="str">
        <f t="shared" si="3923"/>
        <v/>
      </c>
      <c r="AG1334" t="str">
        <f>VLOOKUP(C1334,Assumptions!$B$116:$C$162,2,FALSE)</f>
        <v>NG_SR_SML_C</v>
      </c>
      <c r="AH1334" t="str">
        <f>VLOOKUP(D1334,Assumptions!$B$116:$C$162,2,FALSE)</f>
        <v>C_GAS_STRG</v>
      </c>
      <c r="AI1334" t="str">
        <f>VLOOKUP(E1334,Assumptions!$B$116:$C$162,2,FALSE)</f>
        <v>METHANATION</v>
      </c>
      <c r="AJ1334" t="str">
        <f>VLOOKUP(F1334,Assumptions!$B$116:$C$162,2,FALSE)</f>
        <v>NG_FC_PWR</v>
      </c>
    </row>
    <row r="1335" spans="2:36" x14ac:dyDescent="0.25">
      <c r="B1335" t="s">
        <v>127</v>
      </c>
      <c r="C1335" t="s">
        <v>174</v>
      </c>
      <c r="D1335" s="61" t="s">
        <v>177</v>
      </c>
      <c r="E1335" t="s">
        <v>180</v>
      </c>
      <c r="F1335" t="s">
        <v>165</v>
      </c>
      <c r="G1335" t="s">
        <v>126</v>
      </c>
      <c r="H1335" t="s">
        <v>433</v>
      </c>
      <c r="I1335" t="s">
        <v>32</v>
      </c>
      <c r="J1335" t="s">
        <v>78</v>
      </c>
      <c r="K1335">
        <f t="shared" ref="K1335:K1341" si="4148">SUMPRODUCT(($C$7:$C$18=$C1335)*($D$6:$H$6=$D1335)*($D$7:$H$18))</f>
        <v>1</v>
      </c>
      <c r="L1335">
        <f t="shared" ref="L1335:L1341" si="4149">SUMPRODUCT(($C$19:$C$23=$D1335)*($I$6:$O$6=$E1335)*($I$19:$O$23))</f>
        <v>1</v>
      </c>
      <c r="M1335">
        <f t="shared" ref="M1335:M1341" si="4150">SUMPRODUCT(($C$24:$C$30=$E1335)*($P$6:$AI$6=$F1335)*($P$24:$AI$30))</f>
        <v>1</v>
      </c>
      <c r="N1335">
        <f t="shared" ref="N1335:N1341" si="4151">SUMPRODUCT(($C$31:$C$50=$F1335)*($AJ$6:$AM$6=$G1335)*($AJ$31:$AM$50))</f>
        <v>1</v>
      </c>
      <c r="O1335">
        <f t="shared" ref="O1335:O1340" si="4152">K1335+L1335+M1335+N1335</f>
        <v>4</v>
      </c>
      <c r="P1335" t="str">
        <f t="shared" ref="P1335:P1341" si="4153">CONCATENATE(C1335,"-",J1335)</f>
        <v>Natural gas production-Maturity</v>
      </c>
      <c r="Q1335" t="str">
        <f t="shared" ref="Q1335:Q1341" si="4154">CONCATENATE(D1335,"-",J1335)</f>
        <v>Natural gas storage-Maturity</v>
      </c>
      <c r="R1335" t="str">
        <f t="shared" ref="R1335:R1341" si="4155">CONCATENATE(E1335,"-",J1335)</f>
        <v>Natural gas transport-Maturity</v>
      </c>
      <c r="S1335" t="str">
        <f t="shared" ref="S1335:S1341" si="4156">CONCATENATE(F1335,"-",J1335)</f>
        <v>Prime power natural gas fuel cell-Maturity</v>
      </c>
      <c r="T1335">
        <f ca="1">VLOOKUP($P1335,'TA database'!$I$8:$J$79,2,FALSE)</f>
        <v>9</v>
      </c>
      <c r="U1335">
        <f ca="1">VLOOKUP($Q1335,'TA database'!$I$86:$J$105,2,FALSE)</f>
        <v>9</v>
      </c>
      <c r="V1335">
        <f ca="1">VLOOKUP($R1335,'TA database'!$I$112:$J$139,2,FALSE)</f>
        <v>9</v>
      </c>
      <c r="W1335">
        <f>IFERROR(VLOOKUP($S1335,'TA database'!$I$146:$J$193,2,FALSE),0)</f>
        <v>0</v>
      </c>
      <c r="X1335">
        <f ca="1">IFERROR(VLOOKUP($S1335,'TA database'!$I$200:$J$271,2,FALSE),0)</f>
        <v>9</v>
      </c>
      <c r="Y1335">
        <f t="shared" ref="Y1335:Y1343" ca="1" si="4157">IF($W1335=0,MIN($T1335:$V1335,$X1335),MIN($T1335:$W1335))</f>
        <v>9</v>
      </c>
      <c r="Z1335" t="str">
        <f t="shared" ref="Z1335:Z1340" si="4158">CONCATENATE(AG1335,"   →   ",AH1335,"   →   ",AI1335,"   →   ",AJ1335)</f>
        <v>[NG_PROD]   →   [NG_STRG]   →   [NG_TRNSP]   →   NG_FC_PWR</v>
      </c>
      <c r="AA1335" t="str">
        <f t="shared" ref="AA1335:AA1340" si="4159">G1335</f>
        <v>Onsite / Back-up power</v>
      </c>
      <c r="AB1335" t="str">
        <f t="shared" ref="AB1335:AB1340" si="4160">J1335</f>
        <v>Maturity</v>
      </c>
      <c r="AC1335">
        <f t="shared" ref="AC1335:AC1340" ca="1" si="4161">Y1335</f>
        <v>9</v>
      </c>
      <c r="AD1335">
        <v>1276</v>
      </c>
      <c r="AE1335" t="str">
        <f>IF(AND(ISNUMBER(SEARCH(O1335,4)),ISNUMBER(SEARCH('(4) FCH pathway assessment'!$B$16,AB1335)),ISNUMBER(SEARCH('(4) FCH pathway assessment'!$B$10,AA1335))),AD1335,"")</f>
        <v/>
      </c>
      <c r="AF1335" t="str">
        <f t="shared" si="3923"/>
        <v/>
      </c>
      <c r="AG1335" t="str">
        <f>VLOOKUP(C1335,Assumptions!$B$116:$C$162,2,FALSE)</f>
        <v>[NG_PROD]</v>
      </c>
      <c r="AH1335" t="str">
        <f>VLOOKUP(D1335,Assumptions!$B$116:$C$162,2,FALSE)</f>
        <v>[NG_STRG]</v>
      </c>
      <c r="AI1335" t="str">
        <f>VLOOKUP(E1335,Assumptions!$B$116:$C$162,2,FALSE)</f>
        <v>[NG_TRNSP]</v>
      </c>
      <c r="AJ1335" t="str">
        <f>VLOOKUP(F1335,Assumptions!$B$116:$C$162,2,FALSE)</f>
        <v>NG_FC_PWR</v>
      </c>
    </row>
    <row r="1336" spans="2:36" x14ac:dyDescent="0.25">
      <c r="B1336" t="s">
        <v>117</v>
      </c>
      <c r="C1336" t="s">
        <v>53</v>
      </c>
      <c r="D1336" t="s">
        <v>155</v>
      </c>
      <c r="E1336" t="s">
        <v>157</v>
      </c>
      <c r="F1336" t="s">
        <v>552</v>
      </c>
      <c r="G1336" t="s">
        <v>132</v>
      </c>
      <c r="H1336" t="s">
        <v>434</v>
      </c>
      <c r="I1336" t="s">
        <v>32</v>
      </c>
      <c r="J1336" t="s">
        <v>78</v>
      </c>
      <c r="K1336">
        <f t="shared" si="4148"/>
        <v>0</v>
      </c>
      <c r="L1336">
        <f t="shared" si="4149"/>
        <v>1</v>
      </c>
      <c r="M1336">
        <f t="shared" si="4150"/>
        <v>0</v>
      </c>
      <c r="N1336">
        <f t="shared" si="4151"/>
        <v>1</v>
      </c>
      <c r="O1336">
        <f t="shared" si="4152"/>
        <v>2</v>
      </c>
      <c r="P1336" t="str">
        <f t="shared" si="4153"/>
        <v>Medium centralized biomass gasification-Maturity</v>
      </c>
      <c r="Q1336" t="str">
        <f t="shared" si="4154"/>
        <v>Central gas storage-Maturity</v>
      </c>
      <c r="R1336" t="str">
        <f t="shared" si="4155"/>
        <v>Blending in natural gas pipeline-Maturity</v>
      </c>
      <c r="S1336" t="str">
        <f t="shared" si="4156"/>
        <v>District-CHP with H2 fuel cell (heat)-Maturity</v>
      </c>
      <c r="T1336">
        <f ca="1">VLOOKUP($P1336,'TA database'!$I$8:$J$79,2,FALSE)</f>
        <v>6</v>
      </c>
      <c r="U1336">
        <f ca="1">VLOOKUP($Q1336,'TA database'!$I$86:$J$105,2,FALSE)</f>
        <v>9</v>
      </c>
      <c r="V1336">
        <f ca="1">VLOOKUP($R1336,'TA database'!$I$112:$J$139,2,FALSE)</f>
        <v>7</v>
      </c>
      <c r="W1336">
        <f ca="1">IFERROR(VLOOKUP($S1336,'TA database'!$I$146:$J$193,2,FALSE),0)</f>
        <v>9</v>
      </c>
      <c r="X1336">
        <f>IFERROR(VLOOKUP($S1336,'TA database'!$I$200:$J$271,2,FALSE),0)</f>
        <v>0</v>
      </c>
      <c r="Y1336">
        <f t="shared" ca="1" si="4157"/>
        <v>6</v>
      </c>
      <c r="Z1336" t="str">
        <f t="shared" si="4158"/>
        <v>BIO_GSF_MED_C   →   C_GAS_STRG   →   H2_BLND_NG_P   →   H2_FC_DCHP_HEAT</v>
      </c>
      <c r="AA1336" t="str">
        <f t="shared" si="4159"/>
        <v>Building heat</v>
      </c>
      <c r="AB1336" t="str">
        <f t="shared" si="4160"/>
        <v>Maturity</v>
      </c>
      <c r="AC1336">
        <f t="shared" ca="1" si="4161"/>
        <v>6</v>
      </c>
      <c r="AD1336">
        <v>1277</v>
      </c>
      <c r="AE1336" t="str">
        <f>IF(AND(ISNUMBER(SEARCH(O1336,4)),ISNUMBER(SEARCH('(4) FCH pathway assessment'!$B$16,AB1336)),ISNUMBER(SEARCH('(4) FCH pathway assessment'!$B$10,AA1336))),AD1336,"")</f>
        <v/>
      </c>
      <c r="AF1336" t="str">
        <f t="shared" si="3923"/>
        <v/>
      </c>
      <c r="AG1336" t="str">
        <f>VLOOKUP(C1336,Assumptions!$B$116:$C$162,2,FALSE)</f>
        <v>BIO_GSF_MED_C</v>
      </c>
      <c r="AH1336" t="str">
        <f>VLOOKUP(D1336,Assumptions!$B$116:$C$162,2,FALSE)</f>
        <v>C_GAS_STRG</v>
      </c>
      <c r="AI1336" t="str">
        <f>VLOOKUP(E1336,Assumptions!$B$116:$C$162,2,FALSE)</f>
        <v>H2_BLND_NG_P</v>
      </c>
      <c r="AJ1336" t="str">
        <f>VLOOKUP(F1336,Assumptions!$B$116:$C$162,2,FALSE)</f>
        <v>H2_FC_DCHP_HEAT</v>
      </c>
    </row>
    <row r="1337" spans="2:36" x14ac:dyDescent="0.25">
      <c r="B1337" t="s">
        <v>117</v>
      </c>
      <c r="C1337" t="s">
        <v>53</v>
      </c>
      <c r="D1337" t="s">
        <v>155</v>
      </c>
      <c r="E1337" t="s">
        <v>122</v>
      </c>
      <c r="F1337" t="s">
        <v>552</v>
      </c>
      <c r="G1337" t="s">
        <v>132</v>
      </c>
      <c r="H1337" t="s">
        <v>434</v>
      </c>
      <c r="I1337" t="s">
        <v>32</v>
      </c>
      <c r="J1337" t="s">
        <v>78</v>
      </c>
      <c r="K1337">
        <f t="shared" si="4148"/>
        <v>0</v>
      </c>
      <c r="L1337">
        <f t="shared" si="4149"/>
        <v>1</v>
      </c>
      <c r="M1337">
        <f t="shared" si="4150"/>
        <v>1</v>
      </c>
      <c r="N1337">
        <f t="shared" si="4151"/>
        <v>1</v>
      </c>
      <c r="O1337">
        <f t="shared" si="4152"/>
        <v>3</v>
      </c>
      <c r="P1337" t="str">
        <f t="shared" si="4153"/>
        <v>Medium centralized biomass gasification-Maturity</v>
      </c>
      <c r="Q1337" t="str">
        <f t="shared" si="4154"/>
        <v>Central gas storage-Maturity</v>
      </c>
      <c r="R1337" t="str">
        <f t="shared" si="4155"/>
        <v>Hydrogen transmission &amp; distribution pipeline-Maturity</v>
      </c>
      <c r="S1337" t="str">
        <f t="shared" si="4156"/>
        <v>District-CHP with H2 fuel cell (heat)-Maturity</v>
      </c>
      <c r="T1337">
        <f ca="1">VLOOKUP($P1337,'TA database'!$I$8:$J$79,2,FALSE)</f>
        <v>6</v>
      </c>
      <c r="U1337">
        <f ca="1">VLOOKUP($Q1337,'TA database'!$I$86:$J$105,2,FALSE)</f>
        <v>9</v>
      </c>
      <c r="V1337">
        <f ca="1">VLOOKUP($R1337,'TA database'!$I$112:$J$139,2,FALSE)</f>
        <v>9</v>
      </c>
      <c r="W1337">
        <f ca="1">IFERROR(VLOOKUP($S1337,'TA database'!$I$146:$J$193,2,FALSE),0)</f>
        <v>9</v>
      </c>
      <c r="X1337">
        <f>IFERROR(VLOOKUP($S1337,'TA database'!$I$200:$J$271,2,FALSE),0)</f>
        <v>0</v>
      </c>
      <c r="Y1337">
        <f t="shared" ca="1" si="4157"/>
        <v>6</v>
      </c>
      <c r="Z1337" t="str">
        <f t="shared" si="4158"/>
        <v>BIO_GSF_MED_C   →   C_GAS_STRG   →   H2_T&amp;D_P   →   H2_FC_DCHP_HEAT</v>
      </c>
      <c r="AA1337" t="str">
        <f t="shared" si="4159"/>
        <v>Building heat</v>
      </c>
      <c r="AB1337" t="str">
        <f t="shared" si="4160"/>
        <v>Maturity</v>
      </c>
      <c r="AC1337">
        <f t="shared" ca="1" si="4161"/>
        <v>6</v>
      </c>
      <c r="AD1337">
        <v>1278</v>
      </c>
      <c r="AE1337" t="str">
        <f>IF(AND(ISNUMBER(SEARCH(O1337,4)),ISNUMBER(SEARCH('(4) FCH pathway assessment'!$B$16,AB1337)),ISNUMBER(SEARCH('(4) FCH pathway assessment'!$B$10,AA1337))),AD1337,"")</f>
        <v/>
      </c>
      <c r="AF1337" t="str">
        <f t="shared" si="3923"/>
        <v/>
      </c>
      <c r="AG1337" t="str">
        <f>VLOOKUP(C1337,Assumptions!$B$116:$C$162,2,FALSE)</f>
        <v>BIO_GSF_MED_C</v>
      </c>
      <c r="AH1337" t="str">
        <f>VLOOKUP(D1337,Assumptions!$B$116:$C$162,2,FALSE)</f>
        <v>C_GAS_STRG</v>
      </c>
      <c r="AI1337" t="str">
        <f>VLOOKUP(E1337,Assumptions!$B$116:$C$162,2,FALSE)</f>
        <v>H2_T&amp;D_P</v>
      </c>
      <c r="AJ1337" t="str">
        <f>VLOOKUP(F1337,Assumptions!$B$116:$C$162,2,FALSE)</f>
        <v>H2_FC_DCHP_HEAT</v>
      </c>
    </row>
    <row r="1338" spans="2:36" x14ac:dyDescent="0.25">
      <c r="B1338" t="s">
        <v>117</v>
      </c>
      <c r="C1338" t="s">
        <v>53</v>
      </c>
      <c r="D1338" t="s">
        <v>155</v>
      </c>
      <c r="E1338" t="s">
        <v>116</v>
      </c>
      <c r="F1338" t="s">
        <v>552</v>
      </c>
      <c r="G1338" t="s">
        <v>132</v>
      </c>
      <c r="H1338" t="s">
        <v>434</v>
      </c>
      <c r="I1338" t="s">
        <v>32</v>
      </c>
      <c r="J1338" t="s">
        <v>78</v>
      </c>
      <c r="K1338">
        <f t="shared" si="4148"/>
        <v>0</v>
      </c>
      <c r="L1338">
        <f t="shared" si="4149"/>
        <v>1</v>
      </c>
      <c r="M1338">
        <f t="shared" si="4150"/>
        <v>1</v>
      </c>
      <c r="N1338">
        <f t="shared" si="4151"/>
        <v>1</v>
      </c>
      <c r="O1338">
        <f t="shared" si="4152"/>
        <v>3</v>
      </c>
      <c r="P1338" t="str">
        <f t="shared" si="4153"/>
        <v>Medium centralized biomass gasification-Maturity</v>
      </c>
      <c r="Q1338" t="str">
        <f t="shared" si="4154"/>
        <v>Central gas storage-Maturity</v>
      </c>
      <c r="R1338" t="str">
        <f t="shared" si="4155"/>
        <v>Liquid hydrogen truck-Maturity</v>
      </c>
      <c r="S1338" t="str">
        <f t="shared" si="4156"/>
        <v>District-CHP with H2 fuel cell (heat)-Maturity</v>
      </c>
      <c r="T1338">
        <f ca="1">VLOOKUP($P1338,'TA database'!$I$8:$J$79,2,FALSE)</f>
        <v>6</v>
      </c>
      <c r="U1338">
        <f ca="1">VLOOKUP($Q1338,'TA database'!$I$86:$J$105,2,FALSE)</f>
        <v>9</v>
      </c>
      <c r="V1338">
        <f ca="1">VLOOKUP($R1338,'TA database'!$I$112:$J$139,2,FALSE)</f>
        <v>9</v>
      </c>
      <c r="W1338">
        <f ca="1">IFERROR(VLOOKUP($S1338,'TA database'!$I$146:$J$193,2,FALSE),0)</f>
        <v>9</v>
      </c>
      <c r="X1338">
        <f>IFERROR(VLOOKUP($S1338,'TA database'!$I$200:$J$271,2,FALSE),0)</f>
        <v>0</v>
      </c>
      <c r="Y1338">
        <f t="shared" ca="1" si="4157"/>
        <v>6</v>
      </c>
      <c r="Z1338" t="str">
        <f t="shared" si="4158"/>
        <v>BIO_GSF_MED_C   →   C_GAS_STRG   →   LQ_TRUCK   →   H2_FC_DCHP_HEAT</v>
      </c>
      <c r="AA1338" t="str">
        <f t="shared" si="4159"/>
        <v>Building heat</v>
      </c>
      <c r="AB1338" t="str">
        <f t="shared" si="4160"/>
        <v>Maturity</v>
      </c>
      <c r="AC1338">
        <f t="shared" ca="1" si="4161"/>
        <v>6</v>
      </c>
      <c r="AD1338">
        <v>1279</v>
      </c>
      <c r="AE1338" t="str">
        <f>IF(AND(ISNUMBER(SEARCH(O1338,4)),ISNUMBER(SEARCH('(4) FCH pathway assessment'!$B$16,AB1338)),ISNUMBER(SEARCH('(4) FCH pathway assessment'!$B$10,AA1338))),AD1338,"")</f>
        <v/>
      </c>
      <c r="AF1338" t="str">
        <f t="shared" si="3923"/>
        <v/>
      </c>
      <c r="AG1338" t="str">
        <f>VLOOKUP(C1338,Assumptions!$B$116:$C$162,2,FALSE)</f>
        <v>BIO_GSF_MED_C</v>
      </c>
      <c r="AH1338" t="str">
        <f>VLOOKUP(D1338,Assumptions!$B$116:$C$162,2,FALSE)</f>
        <v>C_GAS_STRG</v>
      </c>
      <c r="AI1338" t="str">
        <f>VLOOKUP(E1338,Assumptions!$B$116:$C$162,2,FALSE)</f>
        <v>LQ_TRUCK</v>
      </c>
      <c r="AJ1338" t="str">
        <f>VLOOKUP(F1338,Assumptions!$B$116:$C$162,2,FALSE)</f>
        <v>H2_FC_DCHP_HEAT</v>
      </c>
    </row>
    <row r="1339" spans="2:36" x14ac:dyDescent="0.25">
      <c r="B1339" t="s">
        <v>117</v>
      </c>
      <c r="C1339" t="s">
        <v>53</v>
      </c>
      <c r="D1339" t="s">
        <v>155</v>
      </c>
      <c r="E1339" t="s">
        <v>66</v>
      </c>
      <c r="F1339" t="s">
        <v>552</v>
      </c>
      <c r="G1339" t="s">
        <v>132</v>
      </c>
      <c r="H1339" t="s">
        <v>434</v>
      </c>
      <c r="I1339" t="s">
        <v>32</v>
      </c>
      <c r="J1339" t="s">
        <v>78</v>
      </c>
      <c r="K1339">
        <f t="shared" si="4148"/>
        <v>0</v>
      </c>
      <c r="L1339">
        <f t="shared" si="4149"/>
        <v>1</v>
      </c>
      <c r="M1339">
        <f t="shared" si="4150"/>
        <v>1</v>
      </c>
      <c r="N1339">
        <f t="shared" si="4151"/>
        <v>1</v>
      </c>
      <c r="O1339">
        <f t="shared" si="4152"/>
        <v>3</v>
      </c>
      <c r="P1339" t="str">
        <f t="shared" si="4153"/>
        <v>Medium centralized biomass gasification-Maturity</v>
      </c>
      <c r="Q1339" t="str">
        <f t="shared" si="4154"/>
        <v>Central gas storage-Maturity</v>
      </c>
      <c r="R1339" t="str">
        <f t="shared" si="4155"/>
        <v>Onsite-Maturity</v>
      </c>
      <c r="S1339" t="str">
        <f t="shared" si="4156"/>
        <v>District-CHP with H2 fuel cell (heat)-Maturity</v>
      </c>
      <c r="T1339">
        <f ca="1">VLOOKUP($P1339,'TA database'!$I$8:$J$79,2,FALSE)</f>
        <v>6</v>
      </c>
      <c r="U1339">
        <f ca="1">VLOOKUP($Q1339,'TA database'!$I$86:$J$105,2,FALSE)</f>
        <v>9</v>
      </c>
      <c r="V1339">
        <f ca="1">VLOOKUP($R1339,'TA database'!$I$112:$J$139,2,FALSE)</f>
        <v>9</v>
      </c>
      <c r="W1339">
        <f ca="1">IFERROR(VLOOKUP($S1339,'TA database'!$I$146:$J$193,2,FALSE),0)</f>
        <v>9</v>
      </c>
      <c r="X1339">
        <f>IFERROR(VLOOKUP($S1339,'TA database'!$I$200:$J$271,2,FALSE),0)</f>
        <v>0</v>
      </c>
      <c r="Y1339">
        <f t="shared" ca="1" si="4157"/>
        <v>6</v>
      </c>
      <c r="Z1339" t="str">
        <f t="shared" si="4158"/>
        <v>BIO_GSF_MED_C   →   C_GAS_STRG   →   ONSITE_USE   →   H2_FC_DCHP_HEAT</v>
      </c>
      <c r="AA1339" t="str">
        <f t="shared" si="4159"/>
        <v>Building heat</v>
      </c>
      <c r="AB1339" t="str">
        <f t="shared" si="4160"/>
        <v>Maturity</v>
      </c>
      <c r="AC1339">
        <f t="shared" ca="1" si="4161"/>
        <v>6</v>
      </c>
      <c r="AD1339">
        <v>1280</v>
      </c>
      <c r="AE1339" t="str">
        <f>IF(AND(ISNUMBER(SEARCH(O1339,4)),ISNUMBER(SEARCH('(4) FCH pathway assessment'!$B$16,AB1339)),ISNUMBER(SEARCH('(4) FCH pathway assessment'!$B$10,AA1339))),AD1339,"")</f>
        <v/>
      </c>
      <c r="AF1339" t="str">
        <f t="shared" si="3923"/>
        <v/>
      </c>
      <c r="AG1339" t="str">
        <f>VLOOKUP(C1339,Assumptions!$B$116:$C$162,2,FALSE)</f>
        <v>BIO_GSF_MED_C</v>
      </c>
      <c r="AH1339" t="str">
        <f>VLOOKUP(D1339,Assumptions!$B$116:$C$162,2,FALSE)</f>
        <v>C_GAS_STRG</v>
      </c>
      <c r="AI1339" t="str">
        <f>VLOOKUP(E1339,Assumptions!$B$116:$C$162,2,FALSE)</f>
        <v>ONSITE_USE</v>
      </c>
      <c r="AJ1339" t="str">
        <f>VLOOKUP(F1339,Assumptions!$B$116:$C$162,2,FALSE)</f>
        <v>H2_FC_DCHP_HEAT</v>
      </c>
    </row>
    <row r="1340" spans="2:36" x14ac:dyDescent="0.25">
      <c r="B1340" t="s">
        <v>117</v>
      </c>
      <c r="C1340" t="s">
        <v>54</v>
      </c>
      <c r="D1340" t="s">
        <v>155</v>
      </c>
      <c r="E1340" t="s">
        <v>157</v>
      </c>
      <c r="F1340" t="s">
        <v>552</v>
      </c>
      <c r="G1340" t="s">
        <v>132</v>
      </c>
      <c r="H1340" t="s">
        <v>434</v>
      </c>
      <c r="I1340" t="s">
        <v>32</v>
      </c>
      <c r="J1340" t="s">
        <v>78</v>
      </c>
      <c r="K1340">
        <f t="shared" si="4148"/>
        <v>0</v>
      </c>
      <c r="L1340">
        <f t="shared" si="4149"/>
        <v>1</v>
      </c>
      <c r="M1340">
        <f t="shared" si="4150"/>
        <v>0</v>
      </c>
      <c r="N1340">
        <f t="shared" si="4151"/>
        <v>1</v>
      </c>
      <c r="O1340">
        <f t="shared" si="4152"/>
        <v>2</v>
      </c>
      <c r="P1340" t="str">
        <f t="shared" si="4153"/>
        <v>Medium centralized biomass gasification w/ CCS-Maturity</v>
      </c>
      <c r="Q1340" t="str">
        <f t="shared" si="4154"/>
        <v>Central gas storage-Maturity</v>
      </c>
      <c r="R1340" t="str">
        <f t="shared" si="4155"/>
        <v>Blending in natural gas pipeline-Maturity</v>
      </c>
      <c r="S1340" t="str">
        <f t="shared" si="4156"/>
        <v>District-CHP with H2 fuel cell (heat)-Maturity</v>
      </c>
      <c r="T1340">
        <f ca="1">VLOOKUP($P1340,'TA database'!$I$8:$J$79,2,FALSE)</f>
        <v>6</v>
      </c>
      <c r="U1340">
        <f ca="1">VLOOKUP($Q1340,'TA database'!$I$86:$J$105,2,FALSE)</f>
        <v>9</v>
      </c>
      <c r="V1340">
        <f ca="1">VLOOKUP($R1340,'TA database'!$I$112:$J$139,2,FALSE)</f>
        <v>7</v>
      </c>
      <c r="W1340">
        <f ca="1">IFERROR(VLOOKUP($S1340,'TA database'!$I$146:$J$193,2,FALSE),0)</f>
        <v>9</v>
      </c>
      <c r="X1340">
        <f>IFERROR(VLOOKUP($S1340,'TA database'!$I$200:$J$271,2,FALSE),0)</f>
        <v>0</v>
      </c>
      <c r="Y1340">
        <f t="shared" ca="1" si="4157"/>
        <v>6</v>
      </c>
      <c r="Z1340" t="str">
        <f t="shared" si="4158"/>
        <v>BIO_GSF_CCS_MED_C   →   C_GAS_STRG   →   H2_BLND_NG_P   →   H2_FC_DCHP_HEAT</v>
      </c>
      <c r="AA1340" t="str">
        <f t="shared" si="4159"/>
        <v>Building heat</v>
      </c>
      <c r="AB1340" t="str">
        <f t="shared" si="4160"/>
        <v>Maturity</v>
      </c>
      <c r="AC1340">
        <f t="shared" ca="1" si="4161"/>
        <v>6</v>
      </c>
      <c r="AD1340">
        <v>1281</v>
      </c>
      <c r="AE1340" t="str">
        <f>IF(AND(ISNUMBER(SEARCH(O1340,4)),ISNUMBER(SEARCH('(4) FCH pathway assessment'!$B$16,AB1340)),ISNUMBER(SEARCH('(4) FCH pathway assessment'!$B$10,AA1340))),AD1340,"")</f>
        <v/>
      </c>
      <c r="AF1340" t="str">
        <f t="shared" ref="AF1340:AF1403" si="4162">IFERROR(SMALL($AE$60:$AE$1991,AD1340),"")</f>
        <v/>
      </c>
      <c r="AG1340" t="str">
        <f>VLOOKUP(C1340,Assumptions!$B$116:$C$162,2,FALSE)</f>
        <v>BIO_GSF_CCS_MED_C</v>
      </c>
      <c r="AH1340" t="str">
        <f>VLOOKUP(D1340,Assumptions!$B$116:$C$162,2,FALSE)</f>
        <v>C_GAS_STRG</v>
      </c>
      <c r="AI1340" t="str">
        <f>VLOOKUP(E1340,Assumptions!$B$116:$C$162,2,FALSE)</f>
        <v>H2_BLND_NG_P</v>
      </c>
      <c r="AJ1340" t="str">
        <f>VLOOKUP(F1340,Assumptions!$B$116:$C$162,2,FALSE)</f>
        <v>H2_FC_DCHP_HEAT</v>
      </c>
    </row>
    <row r="1341" spans="2:36" x14ac:dyDescent="0.25">
      <c r="B1341" t="s">
        <v>117</v>
      </c>
      <c r="C1341" t="s">
        <v>54</v>
      </c>
      <c r="D1341" t="s">
        <v>155</v>
      </c>
      <c r="E1341" t="s">
        <v>122</v>
      </c>
      <c r="F1341" t="s">
        <v>552</v>
      </c>
      <c r="G1341" t="s">
        <v>132</v>
      </c>
      <c r="H1341" t="s">
        <v>434</v>
      </c>
      <c r="I1341" t="s">
        <v>32</v>
      </c>
      <c r="J1341" t="s">
        <v>78</v>
      </c>
      <c r="K1341">
        <f t="shared" si="4148"/>
        <v>0</v>
      </c>
      <c r="L1341">
        <f t="shared" si="4149"/>
        <v>1</v>
      </c>
      <c r="M1341">
        <f t="shared" si="4150"/>
        <v>1</v>
      </c>
      <c r="N1341">
        <f t="shared" si="4151"/>
        <v>1</v>
      </c>
      <c r="O1341">
        <f t="shared" ref="O1341:O1346" si="4163">K1341+L1341+M1341+N1341</f>
        <v>3</v>
      </c>
      <c r="P1341" t="str">
        <f t="shared" si="4153"/>
        <v>Medium centralized biomass gasification w/ CCS-Maturity</v>
      </c>
      <c r="Q1341" t="str">
        <f t="shared" si="4154"/>
        <v>Central gas storage-Maturity</v>
      </c>
      <c r="R1341" t="str">
        <f t="shared" si="4155"/>
        <v>Hydrogen transmission &amp; distribution pipeline-Maturity</v>
      </c>
      <c r="S1341" t="str">
        <f t="shared" si="4156"/>
        <v>District-CHP with H2 fuel cell (heat)-Maturity</v>
      </c>
      <c r="T1341">
        <f ca="1">VLOOKUP($P1341,'TA database'!$I$8:$J$79,2,FALSE)</f>
        <v>6</v>
      </c>
      <c r="U1341">
        <f ca="1">VLOOKUP($Q1341,'TA database'!$I$86:$J$105,2,FALSE)</f>
        <v>9</v>
      </c>
      <c r="V1341">
        <f ca="1">VLOOKUP($R1341,'TA database'!$I$112:$J$139,2,FALSE)</f>
        <v>9</v>
      </c>
      <c r="W1341">
        <f ca="1">IFERROR(VLOOKUP($S1341,'TA database'!$I$146:$J$193,2,FALSE),0)</f>
        <v>9</v>
      </c>
      <c r="X1341">
        <f>IFERROR(VLOOKUP($S1341,'TA database'!$I$200:$J$271,2,FALSE),0)</f>
        <v>0</v>
      </c>
      <c r="Y1341">
        <f t="shared" ca="1" si="4157"/>
        <v>6</v>
      </c>
      <c r="Z1341" t="str">
        <f t="shared" ref="Z1341:Z1346" si="4164">CONCATENATE(AG1341,"   →   ",AH1341,"   →   ",AI1341,"   →   ",AJ1341)</f>
        <v>BIO_GSF_CCS_MED_C   →   C_GAS_STRG   →   H2_T&amp;D_P   →   H2_FC_DCHP_HEAT</v>
      </c>
      <c r="AA1341" t="str">
        <f t="shared" ref="AA1341:AA1346" si="4165">G1341</f>
        <v>Building heat</v>
      </c>
      <c r="AB1341" t="str">
        <f t="shared" ref="AB1341:AB1346" si="4166">J1341</f>
        <v>Maturity</v>
      </c>
      <c r="AC1341">
        <f t="shared" ref="AC1341:AC1346" ca="1" si="4167">Y1341</f>
        <v>6</v>
      </c>
      <c r="AD1341">
        <v>1282</v>
      </c>
      <c r="AE1341" t="str">
        <f>IF(AND(ISNUMBER(SEARCH(O1341,4)),ISNUMBER(SEARCH('(4) FCH pathway assessment'!$B$16,AB1341)),ISNUMBER(SEARCH('(4) FCH pathway assessment'!$B$10,AA1341))),AD1341,"")</f>
        <v/>
      </c>
      <c r="AF1341" t="str">
        <f t="shared" si="4162"/>
        <v/>
      </c>
      <c r="AG1341" t="str">
        <f>VLOOKUP(C1341,Assumptions!$B$116:$C$162,2,FALSE)</f>
        <v>BIO_GSF_CCS_MED_C</v>
      </c>
      <c r="AH1341" t="str">
        <f>VLOOKUP(D1341,Assumptions!$B$116:$C$162,2,FALSE)</f>
        <v>C_GAS_STRG</v>
      </c>
      <c r="AI1341" t="str">
        <f>VLOOKUP(E1341,Assumptions!$B$116:$C$162,2,FALSE)</f>
        <v>H2_T&amp;D_P</v>
      </c>
      <c r="AJ1341" t="str">
        <f>VLOOKUP(F1341,Assumptions!$B$116:$C$162,2,FALSE)</f>
        <v>H2_FC_DCHP_HEAT</v>
      </c>
    </row>
    <row r="1342" spans="2:36" x14ac:dyDescent="0.25">
      <c r="B1342" t="s">
        <v>117</v>
      </c>
      <c r="C1342" t="s">
        <v>54</v>
      </c>
      <c r="D1342" t="s">
        <v>155</v>
      </c>
      <c r="E1342" t="s">
        <v>116</v>
      </c>
      <c r="F1342" t="s">
        <v>552</v>
      </c>
      <c r="G1342" t="s">
        <v>132</v>
      </c>
      <c r="H1342" t="s">
        <v>434</v>
      </c>
      <c r="I1342" t="s">
        <v>32</v>
      </c>
      <c r="J1342" t="s">
        <v>78</v>
      </c>
      <c r="K1342">
        <f t="shared" ref="K1342:K1347" si="4168">SUMPRODUCT(($C$7:$C$18=$C1342)*($D$6:$H$6=$D1342)*($D$7:$H$18))</f>
        <v>0</v>
      </c>
      <c r="L1342">
        <f t="shared" ref="L1342:L1347" si="4169">SUMPRODUCT(($C$19:$C$23=$D1342)*($I$6:$O$6=$E1342)*($I$19:$O$23))</f>
        <v>1</v>
      </c>
      <c r="M1342">
        <f t="shared" ref="M1342:M1347" si="4170">SUMPRODUCT(($C$24:$C$30=$E1342)*($P$6:$AI$6=$F1342)*($P$24:$AI$30))</f>
        <v>1</v>
      </c>
      <c r="N1342">
        <f t="shared" ref="N1342:N1347" si="4171">SUMPRODUCT(($C$31:$C$50=$F1342)*($AJ$6:$AM$6=$G1342)*($AJ$31:$AM$50))</f>
        <v>1</v>
      </c>
      <c r="O1342">
        <f t="shared" si="4163"/>
        <v>3</v>
      </c>
      <c r="P1342" t="str">
        <f t="shared" ref="P1342:P1347" si="4172">CONCATENATE(C1342,"-",J1342)</f>
        <v>Medium centralized biomass gasification w/ CCS-Maturity</v>
      </c>
      <c r="Q1342" t="str">
        <f t="shared" ref="Q1342:Q1347" si="4173">CONCATENATE(D1342,"-",J1342)</f>
        <v>Central gas storage-Maturity</v>
      </c>
      <c r="R1342" t="str">
        <f t="shared" ref="R1342:R1347" si="4174">CONCATENATE(E1342,"-",J1342)</f>
        <v>Liquid hydrogen truck-Maturity</v>
      </c>
      <c r="S1342" t="str">
        <f t="shared" ref="S1342:S1347" si="4175">CONCATENATE(F1342,"-",J1342)</f>
        <v>District-CHP with H2 fuel cell (heat)-Maturity</v>
      </c>
      <c r="T1342">
        <f ca="1">VLOOKUP($P1342,'TA database'!$I$8:$J$79,2,FALSE)</f>
        <v>6</v>
      </c>
      <c r="U1342">
        <f ca="1">VLOOKUP($Q1342,'TA database'!$I$86:$J$105,2,FALSE)</f>
        <v>9</v>
      </c>
      <c r="V1342">
        <f ca="1">VLOOKUP($R1342,'TA database'!$I$112:$J$139,2,FALSE)</f>
        <v>9</v>
      </c>
      <c r="W1342">
        <f ca="1">IFERROR(VLOOKUP($S1342,'TA database'!$I$146:$J$193,2,FALSE),0)</f>
        <v>9</v>
      </c>
      <c r="X1342">
        <f>IFERROR(VLOOKUP($S1342,'TA database'!$I$200:$J$271,2,FALSE),0)</f>
        <v>0</v>
      </c>
      <c r="Y1342">
        <f t="shared" ca="1" si="4157"/>
        <v>6</v>
      </c>
      <c r="Z1342" t="str">
        <f t="shared" si="4164"/>
        <v>BIO_GSF_CCS_MED_C   →   C_GAS_STRG   →   LQ_TRUCK   →   H2_FC_DCHP_HEAT</v>
      </c>
      <c r="AA1342" t="str">
        <f t="shared" si="4165"/>
        <v>Building heat</v>
      </c>
      <c r="AB1342" t="str">
        <f t="shared" si="4166"/>
        <v>Maturity</v>
      </c>
      <c r="AC1342">
        <f t="shared" ca="1" si="4167"/>
        <v>6</v>
      </c>
      <c r="AD1342">
        <v>1283</v>
      </c>
      <c r="AE1342" t="str">
        <f>IF(AND(ISNUMBER(SEARCH(O1342,4)),ISNUMBER(SEARCH('(4) FCH pathway assessment'!$B$16,AB1342)),ISNUMBER(SEARCH('(4) FCH pathway assessment'!$B$10,AA1342))),AD1342,"")</f>
        <v/>
      </c>
      <c r="AF1342" t="str">
        <f t="shared" si="4162"/>
        <v/>
      </c>
      <c r="AG1342" t="str">
        <f>VLOOKUP(C1342,Assumptions!$B$116:$C$162,2,FALSE)</f>
        <v>BIO_GSF_CCS_MED_C</v>
      </c>
      <c r="AH1342" t="str">
        <f>VLOOKUP(D1342,Assumptions!$B$116:$C$162,2,FALSE)</f>
        <v>C_GAS_STRG</v>
      </c>
      <c r="AI1342" t="str">
        <f>VLOOKUP(E1342,Assumptions!$B$116:$C$162,2,FALSE)</f>
        <v>LQ_TRUCK</v>
      </c>
      <c r="AJ1342" t="str">
        <f>VLOOKUP(F1342,Assumptions!$B$116:$C$162,2,FALSE)</f>
        <v>H2_FC_DCHP_HEAT</v>
      </c>
    </row>
    <row r="1343" spans="2:36" x14ac:dyDescent="0.25">
      <c r="B1343" t="s">
        <v>117</v>
      </c>
      <c r="C1343" t="s">
        <v>54</v>
      </c>
      <c r="D1343" t="s">
        <v>155</v>
      </c>
      <c r="E1343" t="s">
        <v>66</v>
      </c>
      <c r="F1343" t="s">
        <v>552</v>
      </c>
      <c r="G1343" t="s">
        <v>132</v>
      </c>
      <c r="H1343" t="s">
        <v>434</v>
      </c>
      <c r="I1343" t="s">
        <v>32</v>
      </c>
      <c r="J1343" t="s">
        <v>78</v>
      </c>
      <c r="K1343">
        <f t="shared" si="4168"/>
        <v>0</v>
      </c>
      <c r="L1343">
        <f t="shared" si="4169"/>
        <v>1</v>
      </c>
      <c r="M1343">
        <f t="shared" si="4170"/>
        <v>1</v>
      </c>
      <c r="N1343">
        <f t="shared" si="4171"/>
        <v>1</v>
      </c>
      <c r="O1343">
        <f t="shared" si="4163"/>
        <v>3</v>
      </c>
      <c r="P1343" t="str">
        <f t="shared" si="4172"/>
        <v>Medium centralized biomass gasification w/ CCS-Maturity</v>
      </c>
      <c r="Q1343" t="str">
        <f t="shared" si="4173"/>
        <v>Central gas storage-Maturity</v>
      </c>
      <c r="R1343" t="str">
        <f t="shared" si="4174"/>
        <v>Onsite-Maturity</v>
      </c>
      <c r="S1343" t="str">
        <f t="shared" si="4175"/>
        <v>District-CHP with H2 fuel cell (heat)-Maturity</v>
      </c>
      <c r="T1343">
        <f ca="1">VLOOKUP($P1343,'TA database'!$I$8:$J$79,2,FALSE)</f>
        <v>6</v>
      </c>
      <c r="U1343">
        <f ca="1">VLOOKUP($Q1343,'TA database'!$I$86:$J$105,2,FALSE)</f>
        <v>9</v>
      </c>
      <c r="V1343">
        <f ca="1">VLOOKUP($R1343,'TA database'!$I$112:$J$139,2,FALSE)</f>
        <v>9</v>
      </c>
      <c r="W1343">
        <f ca="1">IFERROR(VLOOKUP($S1343,'TA database'!$I$146:$J$193,2,FALSE),0)</f>
        <v>9</v>
      </c>
      <c r="X1343">
        <f>IFERROR(VLOOKUP($S1343,'TA database'!$I$200:$J$271,2,FALSE),0)</f>
        <v>0</v>
      </c>
      <c r="Y1343">
        <f t="shared" ca="1" si="4157"/>
        <v>6</v>
      </c>
      <c r="Z1343" t="str">
        <f t="shared" si="4164"/>
        <v>BIO_GSF_CCS_MED_C   →   C_GAS_STRG   →   ONSITE_USE   →   H2_FC_DCHP_HEAT</v>
      </c>
      <c r="AA1343" t="str">
        <f t="shared" si="4165"/>
        <v>Building heat</v>
      </c>
      <c r="AB1343" t="str">
        <f t="shared" si="4166"/>
        <v>Maturity</v>
      </c>
      <c r="AC1343">
        <f t="shared" ca="1" si="4167"/>
        <v>6</v>
      </c>
      <c r="AD1343">
        <v>1284</v>
      </c>
      <c r="AE1343" t="str">
        <f>IF(AND(ISNUMBER(SEARCH(O1343,4)),ISNUMBER(SEARCH('(4) FCH pathway assessment'!$B$16,AB1343)),ISNUMBER(SEARCH('(4) FCH pathway assessment'!$B$10,AA1343))),AD1343,"")</f>
        <v/>
      </c>
      <c r="AF1343" t="str">
        <f t="shared" si="4162"/>
        <v/>
      </c>
      <c r="AG1343" t="str">
        <f>VLOOKUP(C1343,Assumptions!$B$116:$C$162,2,FALSE)</f>
        <v>BIO_GSF_CCS_MED_C</v>
      </c>
      <c r="AH1343" t="str">
        <f>VLOOKUP(D1343,Assumptions!$B$116:$C$162,2,FALSE)</f>
        <v>C_GAS_STRG</v>
      </c>
      <c r="AI1343" t="str">
        <f>VLOOKUP(E1343,Assumptions!$B$116:$C$162,2,FALSE)</f>
        <v>ONSITE_USE</v>
      </c>
      <c r="AJ1343" t="str">
        <f>VLOOKUP(F1343,Assumptions!$B$116:$C$162,2,FALSE)</f>
        <v>H2_FC_DCHP_HEAT</v>
      </c>
    </row>
    <row r="1344" spans="2:36" x14ac:dyDescent="0.25">
      <c r="B1344" t="s">
        <v>117</v>
      </c>
      <c r="C1344" t="s">
        <v>55</v>
      </c>
      <c r="D1344" s="60" t="s">
        <v>130</v>
      </c>
      <c r="E1344" t="s">
        <v>66</v>
      </c>
      <c r="F1344" t="s">
        <v>552</v>
      </c>
      <c r="G1344" t="s">
        <v>132</v>
      </c>
      <c r="H1344" t="s">
        <v>434</v>
      </c>
      <c r="I1344" t="s">
        <v>32</v>
      </c>
      <c r="J1344" t="s">
        <v>78</v>
      </c>
      <c r="K1344">
        <f t="shared" si="4168"/>
        <v>0</v>
      </c>
      <c r="L1344">
        <f t="shared" si="4169"/>
        <v>1</v>
      </c>
      <c r="M1344">
        <f t="shared" si="4170"/>
        <v>1</v>
      </c>
      <c r="N1344">
        <f t="shared" si="4171"/>
        <v>1</v>
      </c>
      <c r="O1344">
        <f t="shared" si="4163"/>
        <v>3</v>
      </c>
      <c r="P1344" t="str">
        <f t="shared" si="4172"/>
        <v>Small decentralized biomass gasification-Maturity</v>
      </c>
      <c r="Q1344" t="str">
        <f t="shared" si="4173"/>
        <v>Distributed gas storage-Maturity</v>
      </c>
      <c r="R1344" t="str">
        <f t="shared" si="4174"/>
        <v>Onsite-Maturity</v>
      </c>
      <c r="S1344" t="str">
        <f t="shared" si="4175"/>
        <v>District-CHP with H2 fuel cell (heat)-Maturity</v>
      </c>
      <c r="T1344">
        <f ca="1">VLOOKUP($P1344,'TA database'!$I$8:$J$79,2,FALSE)</f>
        <v>6</v>
      </c>
      <c r="U1344">
        <f ca="1">VLOOKUP($Q1344,'TA database'!$I$86:$J$105,2,FALSE)</f>
        <v>9</v>
      </c>
      <c r="V1344">
        <f ca="1">VLOOKUP($R1344,'TA database'!$I$112:$J$139,2,FALSE)</f>
        <v>9</v>
      </c>
      <c r="W1344">
        <f ca="1">IFERROR(VLOOKUP($S1344,'TA database'!$I$146:$J$193,2,FALSE),0)</f>
        <v>9</v>
      </c>
      <c r="X1344">
        <f>IFERROR(VLOOKUP($S1344,'TA database'!$I$200:$J$271,2,FALSE),0)</f>
        <v>0</v>
      </c>
      <c r="Y1344">
        <f t="shared" ref="Y1344:Y1348" ca="1" si="4176">IF($W1344=0,MIN($T1344:$V1344,$X1344),MIN($T1344:$W1344))</f>
        <v>6</v>
      </c>
      <c r="Z1344" t="str">
        <f t="shared" si="4164"/>
        <v>BIO_GSF_SML_D   →   D_GAS_STRG   →   ONSITE_USE   →   H2_FC_DCHP_HEAT</v>
      </c>
      <c r="AA1344" t="str">
        <f t="shared" si="4165"/>
        <v>Building heat</v>
      </c>
      <c r="AB1344" t="str">
        <f t="shared" si="4166"/>
        <v>Maturity</v>
      </c>
      <c r="AC1344">
        <f t="shared" ca="1" si="4167"/>
        <v>6</v>
      </c>
      <c r="AD1344">
        <v>1285</v>
      </c>
      <c r="AE1344" t="str">
        <f>IF(AND(ISNUMBER(SEARCH(O1344,4)),ISNUMBER(SEARCH('(4) FCH pathway assessment'!$B$16,AB1344)),ISNUMBER(SEARCH('(4) FCH pathway assessment'!$B$10,AA1344))),AD1344,"")</f>
        <v/>
      </c>
      <c r="AF1344" t="str">
        <f t="shared" si="4162"/>
        <v/>
      </c>
      <c r="AG1344" t="str">
        <f>VLOOKUP(C1344,Assumptions!$B$116:$C$162,2,FALSE)</f>
        <v>BIO_GSF_SML_D</v>
      </c>
      <c r="AH1344" t="str">
        <f>VLOOKUP(D1344,Assumptions!$B$116:$C$162,2,FALSE)</f>
        <v>D_GAS_STRG</v>
      </c>
      <c r="AI1344" t="str">
        <f>VLOOKUP(E1344,Assumptions!$B$116:$C$162,2,FALSE)</f>
        <v>ONSITE_USE</v>
      </c>
      <c r="AJ1344" t="str">
        <f>VLOOKUP(F1344,Assumptions!$B$116:$C$162,2,FALSE)</f>
        <v>H2_FC_DCHP_HEAT</v>
      </c>
    </row>
    <row r="1345" spans="2:36" x14ac:dyDescent="0.25">
      <c r="B1345" t="s">
        <v>117</v>
      </c>
      <c r="C1345" t="s">
        <v>56</v>
      </c>
      <c r="D1345" t="s">
        <v>62</v>
      </c>
      <c r="E1345" t="s">
        <v>157</v>
      </c>
      <c r="F1345" t="s">
        <v>552</v>
      </c>
      <c r="G1345" t="s">
        <v>132</v>
      </c>
      <c r="H1345" t="s">
        <v>434</v>
      </c>
      <c r="I1345" t="s">
        <v>32</v>
      </c>
      <c r="J1345" t="s">
        <v>78</v>
      </c>
      <c r="K1345">
        <f t="shared" si="4168"/>
        <v>0</v>
      </c>
      <c r="L1345">
        <f t="shared" si="4169"/>
        <v>0</v>
      </c>
      <c r="M1345">
        <f t="shared" si="4170"/>
        <v>0</v>
      </c>
      <c r="N1345">
        <f t="shared" si="4171"/>
        <v>1</v>
      </c>
      <c r="O1345">
        <f t="shared" si="4163"/>
        <v>1</v>
      </c>
      <c r="P1345" t="str">
        <f t="shared" si="4172"/>
        <v>Large centralized biomass steam reforming -Maturity</v>
      </c>
      <c r="Q1345" t="str">
        <f t="shared" si="4173"/>
        <v>Underground storage-Maturity</v>
      </c>
      <c r="R1345" t="str">
        <f t="shared" si="4174"/>
        <v>Blending in natural gas pipeline-Maturity</v>
      </c>
      <c r="S1345" t="str">
        <f t="shared" si="4175"/>
        <v>District-CHP with H2 fuel cell (heat)-Maturity</v>
      </c>
      <c r="T1345">
        <f ca="1">VLOOKUP($P1345,'TA database'!$I$8:$J$79,2,FALSE)</f>
        <v>6</v>
      </c>
      <c r="U1345">
        <f ca="1">VLOOKUP($Q1345,'TA database'!$I$86:$J$105,2,FALSE)</f>
        <v>6</v>
      </c>
      <c r="V1345">
        <f ca="1">VLOOKUP($R1345,'TA database'!$I$112:$J$139,2,FALSE)</f>
        <v>7</v>
      </c>
      <c r="W1345">
        <f ca="1">IFERROR(VLOOKUP($S1345,'TA database'!$I$146:$J$193,2,FALSE),0)</f>
        <v>9</v>
      </c>
      <c r="X1345">
        <f>IFERROR(VLOOKUP($S1345,'TA database'!$I$200:$J$271,2,FALSE),0)</f>
        <v>0</v>
      </c>
      <c r="Y1345">
        <f t="shared" ca="1" si="4176"/>
        <v>6</v>
      </c>
      <c r="Z1345" t="str">
        <f t="shared" si="4164"/>
        <v>BIO_SR_LRG_C   →   C_UNDRGRND_STRG   →   H2_BLND_NG_P   →   H2_FC_DCHP_HEAT</v>
      </c>
      <c r="AA1345" t="str">
        <f t="shared" si="4165"/>
        <v>Building heat</v>
      </c>
      <c r="AB1345" t="str">
        <f t="shared" si="4166"/>
        <v>Maturity</v>
      </c>
      <c r="AC1345">
        <f t="shared" ca="1" si="4167"/>
        <v>6</v>
      </c>
      <c r="AD1345">
        <v>1286</v>
      </c>
      <c r="AE1345" t="str">
        <f>IF(AND(ISNUMBER(SEARCH(O1345,4)),ISNUMBER(SEARCH('(4) FCH pathway assessment'!$B$16,AB1345)),ISNUMBER(SEARCH('(4) FCH pathway assessment'!$B$10,AA1345))),AD1345,"")</f>
        <v/>
      </c>
      <c r="AF1345" t="str">
        <f t="shared" si="4162"/>
        <v/>
      </c>
      <c r="AG1345" t="str">
        <f>VLOOKUP(C1345,Assumptions!$B$116:$C$162,2,FALSE)</f>
        <v>BIO_SR_LRG_C</v>
      </c>
      <c r="AH1345" t="str">
        <f>VLOOKUP(D1345,Assumptions!$B$116:$C$162,2,FALSE)</f>
        <v>C_UNDRGRND_STRG</v>
      </c>
      <c r="AI1345" t="str">
        <f>VLOOKUP(E1345,Assumptions!$B$116:$C$162,2,FALSE)</f>
        <v>H2_BLND_NG_P</v>
      </c>
      <c r="AJ1345" t="str">
        <f>VLOOKUP(F1345,Assumptions!$B$116:$C$162,2,FALSE)</f>
        <v>H2_FC_DCHP_HEAT</v>
      </c>
    </row>
    <row r="1346" spans="2:36" x14ac:dyDescent="0.25">
      <c r="B1346" t="s">
        <v>117</v>
      </c>
      <c r="C1346" t="s">
        <v>56</v>
      </c>
      <c r="D1346" t="s">
        <v>62</v>
      </c>
      <c r="E1346" t="s">
        <v>122</v>
      </c>
      <c r="F1346" t="s">
        <v>552</v>
      </c>
      <c r="G1346" t="s">
        <v>132</v>
      </c>
      <c r="H1346" t="s">
        <v>434</v>
      </c>
      <c r="I1346" t="s">
        <v>32</v>
      </c>
      <c r="J1346" t="s">
        <v>78</v>
      </c>
      <c r="K1346">
        <f t="shared" si="4168"/>
        <v>0</v>
      </c>
      <c r="L1346">
        <f t="shared" si="4169"/>
        <v>0</v>
      </c>
      <c r="M1346">
        <f t="shared" si="4170"/>
        <v>1</v>
      </c>
      <c r="N1346">
        <f t="shared" si="4171"/>
        <v>1</v>
      </c>
      <c r="O1346">
        <f t="shared" si="4163"/>
        <v>2</v>
      </c>
      <c r="P1346" t="str">
        <f t="shared" si="4172"/>
        <v>Large centralized biomass steam reforming -Maturity</v>
      </c>
      <c r="Q1346" t="str">
        <f t="shared" si="4173"/>
        <v>Underground storage-Maturity</v>
      </c>
      <c r="R1346" t="str">
        <f t="shared" si="4174"/>
        <v>Hydrogen transmission &amp; distribution pipeline-Maturity</v>
      </c>
      <c r="S1346" t="str">
        <f t="shared" si="4175"/>
        <v>District-CHP with H2 fuel cell (heat)-Maturity</v>
      </c>
      <c r="T1346">
        <f ca="1">VLOOKUP($P1346,'TA database'!$I$8:$J$79,2,FALSE)</f>
        <v>6</v>
      </c>
      <c r="U1346">
        <f ca="1">VLOOKUP($Q1346,'TA database'!$I$86:$J$105,2,FALSE)</f>
        <v>6</v>
      </c>
      <c r="V1346">
        <f ca="1">VLOOKUP($R1346,'TA database'!$I$112:$J$139,2,FALSE)</f>
        <v>9</v>
      </c>
      <c r="W1346">
        <f ca="1">IFERROR(VLOOKUP($S1346,'TA database'!$I$146:$J$193,2,FALSE),0)</f>
        <v>9</v>
      </c>
      <c r="X1346">
        <f>IFERROR(VLOOKUP($S1346,'TA database'!$I$200:$J$271,2,FALSE),0)</f>
        <v>0</v>
      </c>
      <c r="Y1346">
        <f t="shared" ca="1" si="4176"/>
        <v>6</v>
      </c>
      <c r="Z1346" t="str">
        <f t="shared" si="4164"/>
        <v>BIO_SR_LRG_C   →   C_UNDRGRND_STRG   →   H2_T&amp;D_P   →   H2_FC_DCHP_HEAT</v>
      </c>
      <c r="AA1346" t="str">
        <f t="shared" si="4165"/>
        <v>Building heat</v>
      </c>
      <c r="AB1346" t="str">
        <f t="shared" si="4166"/>
        <v>Maturity</v>
      </c>
      <c r="AC1346">
        <f t="shared" ca="1" si="4167"/>
        <v>6</v>
      </c>
      <c r="AD1346">
        <v>1287</v>
      </c>
      <c r="AE1346" t="str">
        <f>IF(AND(ISNUMBER(SEARCH(O1346,4)),ISNUMBER(SEARCH('(4) FCH pathway assessment'!$B$16,AB1346)),ISNUMBER(SEARCH('(4) FCH pathway assessment'!$B$10,AA1346))),AD1346,"")</f>
        <v/>
      </c>
      <c r="AF1346" t="str">
        <f t="shared" si="4162"/>
        <v/>
      </c>
      <c r="AG1346" t="str">
        <f>VLOOKUP(C1346,Assumptions!$B$116:$C$162,2,FALSE)</f>
        <v>BIO_SR_LRG_C</v>
      </c>
      <c r="AH1346" t="str">
        <f>VLOOKUP(D1346,Assumptions!$B$116:$C$162,2,FALSE)</f>
        <v>C_UNDRGRND_STRG</v>
      </c>
      <c r="AI1346" t="str">
        <f>VLOOKUP(E1346,Assumptions!$B$116:$C$162,2,FALSE)</f>
        <v>H2_T&amp;D_P</v>
      </c>
      <c r="AJ1346" t="str">
        <f>VLOOKUP(F1346,Assumptions!$B$116:$C$162,2,FALSE)</f>
        <v>H2_FC_DCHP_HEAT</v>
      </c>
    </row>
    <row r="1347" spans="2:36" x14ac:dyDescent="0.25">
      <c r="B1347" t="s">
        <v>117</v>
      </c>
      <c r="C1347" t="s">
        <v>56</v>
      </c>
      <c r="D1347" t="s">
        <v>62</v>
      </c>
      <c r="E1347" t="s">
        <v>116</v>
      </c>
      <c r="F1347" t="s">
        <v>552</v>
      </c>
      <c r="G1347" t="s">
        <v>132</v>
      </c>
      <c r="H1347" t="s">
        <v>434</v>
      </c>
      <c r="I1347" t="s">
        <v>32</v>
      </c>
      <c r="J1347" t="s">
        <v>78</v>
      </c>
      <c r="K1347">
        <f t="shared" si="4168"/>
        <v>0</v>
      </c>
      <c r="L1347">
        <f t="shared" si="4169"/>
        <v>0</v>
      </c>
      <c r="M1347">
        <f t="shared" si="4170"/>
        <v>1</v>
      </c>
      <c r="N1347">
        <f t="shared" si="4171"/>
        <v>1</v>
      </c>
      <c r="O1347">
        <f t="shared" ref="O1347:O1357" si="4177">K1347+L1347+M1347+N1347</f>
        <v>2</v>
      </c>
      <c r="P1347" t="str">
        <f t="shared" si="4172"/>
        <v>Large centralized biomass steam reforming -Maturity</v>
      </c>
      <c r="Q1347" t="str">
        <f t="shared" si="4173"/>
        <v>Underground storage-Maturity</v>
      </c>
      <c r="R1347" t="str">
        <f t="shared" si="4174"/>
        <v>Liquid hydrogen truck-Maturity</v>
      </c>
      <c r="S1347" t="str">
        <f t="shared" si="4175"/>
        <v>District-CHP with H2 fuel cell (heat)-Maturity</v>
      </c>
      <c r="T1347">
        <f ca="1">VLOOKUP($P1347,'TA database'!$I$8:$J$79,2,FALSE)</f>
        <v>6</v>
      </c>
      <c r="U1347">
        <f ca="1">VLOOKUP($Q1347,'TA database'!$I$86:$J$105,2,FALSE)</f>
        <v>6</v>
      </c>
      <c r="V1347">
        <f ca="1">VLOOKUP($R1347,'TA database'!$I$112:$J$139,2,FALSE)</f>
        <v>9</v>
      </c>
      <c r="W1347">
        <f ca="1">IFERROR(VLOOKUP($S1347,'TA database'!$I$146:$J$193,2,FALSE),0)</f>
        <v>9</v>
      </c>
      <c r="X1347">
        <f>IFERROR(VLOOKUP($S1347,'TA database'!$I$200:$J$271,2,FALSE),0)</f>
        <v>0</v>
      </c>
      <c r="Y1347">
        <f t="shared" ca="1" si="4176"/>
        <v>6</v>
      </c>
      <c r="Z1347" t="str">
        <f t="shared" ref="Z1347:Z1357" si="4178">CONCATENATE(AG1347,"   →   ",AH1347,"   →   ",AI1347,"   →   ",AJ1347)</f>
        <v>BIO_SR_LRG_C   →   C_UNDRGRND_STRG   →   LQ_TRUCK   →   H2_FC_DCHP_HEAT</v>
      </c>
      <c r="AA1347" t="str">
        <f t="shared" ref="AA1347:AA1357" si="4179">G1347</f>
        <v>Building heat</v>
      </c>
      <c r="AB1347" t="str">
        <f t="shared" ref="AB1347:AB1357" si="4180">J1347</f>
        <v>Maturity</v>
      </c>
      <c r="AC1347">
        <f t="shared" ref="AC1347:AC1357" ca="1" si="4181">Y1347</f>
        <v>6</v>
      </c>
      <c r="AD1347">
        <v>1288</v>
      </c>
      <c r="AE1347" t="str">
        <f>IF(AND(ISNUMBER(SEARCH(O1347,4)),ISNUMBER(SEARCH('(4) FCH pathway assessment'!$B$16,AB1347)),ISNUMBER(SEARCH('(4) FCH pathway assessment'!$B$10,AA1347))),AD1347,"")</f>
        <v/>
      </c>
      <c r="AF1347" t="str">
        <f t="shared" si="4162"/>
        <v/>
      </c>
      <c r="AG1347" t="str">
        <f>VLOOKUP(C1347,Assumptions!$B$116:$C$162,2,FALSE)</f>
        <v>BIO_SR_LRG_C</v>
      </c>
      <c r="AH1347" t="str">
        <f>VLOOKUP(D1347,Assumptions!$B$116:$C$162,2,FALSE)</f>
        <v>C_UNDRGRND_STRG</v>
      </c>
      <c r="AI1347" t="str">
        <f>VLOOKUP(E1347,Assumptions!$B$116:$C$162,2,FALSE)</f>
        <v>LQ_TRUCK</v>
      </c>
      <c r="AJ1347" t="str">
        <f>VLOOKUP(F1347,Assumptions!$B$116:$C$162,2,FALSE)</f>
        <v>H2_FC_DCHP_HEAT</v>
      </c>
    </row>
    <row r="1348" spans="2:36" x14ac:dyDescent="0.25">
      <c r="B1348" t="s">
        <v>117</v>
      </c>
      <c r="C1348" t="s">
        <v>56</v>
      </c>
      <c r="D1348" t="s">
        <v>62</v>
      </c>
      <c r="E1348" t="s">
        <v>66</v>
      </c>
      <c r="F1348" t="s">
        <v>552</v>
      </c>
      <c r="G1348" t="s">
        <v>132</v>
      </c>
      <c r="H1348" t="s">
        <v>434</v>
      </c>
      <c r="I1348" t="s">
        <v>32</v>
      </c>
      <c r="J1348" t="s">
        <v>78</v>
      </c>
      <c r="K1348">
        <f t="shared" ref="K1348:K1357" si="4182">SUMPRODUCT(($C$7:$C$18=$C1348)*($D$6:$H$6=$D1348)*($D$7:$H$18))</f>
        <v>0</v>
      </c>
      <c r="L1348">
        <f t="shared" ref="L1348:L1357" si="4183">SUMPRODUCT(($C$19:$C$23=$D1348)*($I$6:$O$6=$E1348)*($I$19:$O$23))</f>
        <v>0</v>
      </c>
      <c r="M1348">
        <f t="shared" ref="M1348:M1357" si="4184">SUMPRODUCT(($C$24:$C$30=$E1348)*($P$6:$AI$6=$F1348)*($P$24:$AI$30))</f>
        <v>1</v>
      </c>
      <c r="N1348">
        <f t="shared" ref="N1348:N1357" si="4185">SUMPRODUCT(($C$31:$C$50=$F1348)*($AJ$6:$AM$6=$G1348)*($AJ$31:$AM$50))</f>
        <v>1</v>
      </c>
      <c r="O1348">
        <f t="shared" si="4177"/>
        <v>2</v>
      </c>
      <c r="P1348" t="str">
        <f t="shared" ref="P1348:P1357" si="4186">CONCATENATE(C1348,"-",J1348)</f>
        <v>Large centralized biomass steam reforming -Maturity</v>
      </c>
      <c r="Q1348" t="str">
        <f t="shared" ref="Q1348:Q1357" si="4187">CONCATENATE(D1348,"-",J1348)</f>
        <v>Underground storage-Maturity</v>
      </c>
      <c r="R1348" t="str">
        <f t="shared" ref="R1348:R1357" si="4188">CONCATENATE(E1348,"-",J1348)</f>
        <v>Onsite-Maturity</v>
      </c>
      <c r="S1348" t="str">
        <f t="shared" ref="S1348:S1357" si="4189">CONCATENATE(F1348,"-",J1348)</f>
        <v>District-CHP with H2 fuel cell (heat)-Maturity</v>
      </c>
      <c r="T1348">
        <f ca="1">VLOOKUP($P1348,'TA database'!$I$8:$J$79,2,FALSE)</f>
        <v>6</v>
      </c>
      <c r="U1348">
        <f ca="1">VLOOKUP($Q1348,'TA database'!$I$86:$J$105,2,FALSE)</f>
        <v>6</v>
      </c>
      <c r="V1348">
        <f ca="1">VLOOKUP($R1348,'TA database'!$I$112:$J$139,2,FALSE)</f>
        <v>9</v>
      </c>
      <c r="W1348">
        <f ca="1">IFERROR(VLOOKUP($S1348,'TA database'!$I$146:$J$193,2,FALSE),0)</f>
        <v>9</v>
      </c>
      <c r="X1348">
        <f>IFERROR(VLOOKUP($S1348,'TA database'!$I$200:$J$271,2,FALSE),0)</f>
        <v>0</v>
      </c>
      <c r="Y1348">
        <f t="shared" ca="1" si="4176"/>
        <v>6</v>
      </c>
      <c r="Z1348" t="str">
        <f t="shared" si="4178"/>
        <v>BIO_SR_LRG_C   →   C_UNDRGRND_STRG   →   ONSITE_USE   →   H2_FC_DCHP_HEAT</v>
      </c>
      <c r="AA1348" t="str">
        <f t="shared" si="4179"/>
        <v>Building heat</v>
      </c>
      <c r="AB1348" t="str">
        <f t="shared" si="4180"/>
        <v>Maturity</v>
      </c>
      <c r="AC1348">
        <f t="shared" ca="1" si="4181"/>
        <v>6</v>
      </c>
      <c r="AD1348">
        <v>1289</v>
      </c>
      <c r="AE1348" t="str">
        <f>IF(AND(ISNUMBER(SEARCH(O1348,4)),ISNUMBER(SEARCH('(4) FCH pathway assessment'!$B$16,AB1348)),ISNUMBER(SEARCH('(4) FCH pathway assessment'!$B$10,AA1348))),AD1348,"")</f>
        <v/>
      </c>
      <c r="AF1348" t="str">
        <f t="shared" si="4162"/>
        <v/>
      </c>
      <c r="AG1348" t="str">
        <f>VLOOKUP(C1348,Assumptions!$B$116:$C$162,2,FALSE)</f>
        <v>BIO_SR_LRG_C</v>
      </c>
      <c r="AH1348" t="str">
        <f>VLOOKUP(D1348,Assumptions!$B$116:$C$162,2,FALSE)</f>
        <v>C_UNDRGRND_STRG</v>
      </c>
      <c r="AI1348" t="str">
        <f>VLOOKUP(E1348,Assumptions!$B$116:$C$162,2,FALSE)</f>
        <v>ONSITE_USE</v>
      </c>
      <c r="AJ1348" t="str">
        <f>VLOOKUP(F1348,Assumptions!$B$116:$C$162,2,FALSE)</f>
        <v>H2_FC_DCHP_HEAT</v>
      </c>
    </row>
    <row r="1349" spans="2:36" x14ac:dyDescent="0.25">
      <c r="B1349" t="s">
        <v>117</v>
      </c>
      <c r="C1349" t="s">
        <v>56</v>
      </c>
      <c r="D1349" s="61" t="s">
        <v>63</v>
      </c>
      <c r="E1349" t="s">
        <v>122</v>
      </c>
      <c r="F1349" t="s">
        <v>552</v>
      </c>
      <c r="G1349" t="s">
        <v>132</v>
      </c>
      <c r="H1349" t="s">
        <v>434</v>
      </c>
      <c r="I1349" t="s">
        <v>32</v>
      </c>
      <c r="J1349" t="s">
        <v>78</v>
      </c>
      <c r="K1349">
        <f t="shared" si="4182"/>
        <v>0</v>
      </c>
      <c r="L1349">
        <f t="shared" si="4183"/>
        <v>1</v>
      </c>
      <c r="M1349">
        <f t="shared" si="4184"/>
        <v>1</v>
      </c>
      <c r="N1349">
        <f t="shared" si="4185"/>
        <v>1</v>
      </c>
      <c r="O1349">
        <f t="shared" si="4177"/>
        <v>3</v>
      </c>
      <c r="P1349" t="str">
        <f t="shared" si="4186"/>
        <v>Large centralized biomass steam reforming -Maturity</v>
      </c>
      <c r="Q1349" t="str">
        <f t="shared" si="4187"/>
        <v>No storage-Maturity</v>
      </c>
      <c r="R1349" t="str">
        <f t="shared" si="4188"/>
        <v>Hydrogen transmission &amp; distribution pipeline-Maturity</v>
      </c>
      <c r="S1349" t="str">
        <f t="shared" si="4189"/>
        <v>District-CHP with H2 fuel cell (heat)-Maturity</v>
      </c>
      <c r="T1349">
        <f ca="1">VLOOKUP($P1349,'TA database'!$I$8:$J$79,2,FALSE)</f>
        <v>6</v>
      </c>
      <c r="U1349">
        <f ca="1">VLOOKUP($Q1349,'TA database'!$I$86:$J$105,2,FALSE)</f>
        <v>9</v>
      </c>
      <c r="V1349">
        <f ca="1">VLOOKUP($R1349,'TA database'!$I$112:$J$139,2,FALSE)</f>
        <v>9</v>
      </c>
      <c r="W1349">
        <f ca="1">IFERROR(VLOOKUP($S1349,'TA database'!$I$146:$J$193,2,FALSE),0)</f>
        <v>9</v>
      </c>
      <c r="X1349">
        <f>IFERROR(VLOOKUP($S1349,'TA database'!$I$200:$J$271,2,FALSE),0)</f>
        <v>0</v>
      </c>
      <c r="Y1349">
        <f t="shared" ref="Y1349:Y1361" ca="1" si="4190">IF($W1349=0,MIN($T1349:$V1349,$X1349),MIN($T1349:$W1349))</f>
        <v>6</v>
      </c>
      <c r="Z1349" t="str">
        <f t="shared" si="4178"/>
        <v>BIO_SR_LRG_C   →   NO_STRG   →   H2_T&amp;D_P   →   H2_FC_DCHP_HEAT</v>
      </c>
      <c r="AA1349" t="str">
        <f t="shared" si="4179"/>
        <v>Building heat</v>
      </c>
      <c r="AB1349" t="str">
        <f t="shared" si="4180"/>
        <v>Maturity</v>
      </c>
      <c r="AC1349">
        <f t="shared" ca="1" si="4181"/>
        <v>6</v>
      </c>
      <c r="AD1349">
        <v>1290</v>
      </c>
      <c r="AE1349" t="str">
        <f>IF(AND(ISNUMBER(SEARCH(O1349,4)),ISNUMBER(SEARCH('(4) FCH pathway assessment'!$B$16,AB1349)),ISNUMBER(SEARCH('(4) FCH pathway assessment'!$B$10,AA1349))),AD1349,"")</f>
        <v/>
      </c>
      <c r="AF1349" t="str">
        <f t="shared" si="4162"/>
        <v/>
      </c>
      <c r="AG1349" t="str">
        <f>VLOOKUP(C1349,Assumptions!$B$116:$C$162,2,FALSE)</f>
        <v>BIO_SR_LRG_C</v>
      </c>
      <c r="AH1349" t="str">
        <f>VLOOKUP(D1349,Assumptions!$B$116:$C$162,2,FALSE)</f>
        <v>NO_STRG</v>
      </c>
      <c r="AI1349" t="str">
        <f>VLOOKUP(E1349,Assumptions!$B$116:$C$162,2,FALSE)</f>
        <v>H2_T&amp;D_P</v>
      </c>
      <c r="AJ1349" t="str">
        <f>VLOOKUP(F1349,Assumptions!$B$116:$C$162,2,FALSE)</f>
        <v>H2_FC_DCHP_HEAT</v>
      </c>
    </row>
    <row r="1350" spans="2:36" x14ac:dyDescent="0.25">
      <c r="B1350" t="s">
        <v>112</v>
      </c>
      <c r="C1350" t="s">
        <v>49</v>
      </c>
      <c r="D1350" t="s">
        <v>62</v>
      </c>
      <c r="E1350" t="s">
        <v>157</v>
      </c>
      <c r="F1350" t="s">
        <v>552</v>
      </c>
      <c r="G1350" t="s">
        <v>132</v>
      </c>
      <c r="H1350" t="s">
        <v>434</v>
      </c>
      <c r="I1350" t="s">
        <v>32</v>
      </c>
      <c r="J1350" t="s">
        <v>78</v>
      </c>
      <c r="K1350">
        <f t="shared" si="4182"/>
        <v>1</v>
      </c>
      <c r="L1350">
        <f t="shared" si="4183"/>
        <v>0</v>
      </c>
      <c r="M1350">
        <f t="shared" si="4184"/>
        <v>0</v>
      </c>
      <c r="N1350">
        <f t="shared" si="4185"/>
        <v>1</v>
      </c>
      <c r="O1350">
        <f t="shared" si="4177"/>
        <v>2</v>
      </c>
      <c r="P1350" t="str">
        <f t="shared" si="4186"/>
        <v>Large centralized electrolysis-Maturity</v>
      </c>
      <c r="Q1350" t="str">
        <f t="shared" si="4187"/>
        <v>Underground storage-Maturity</v>
      </c>
      <c r="R1350" t="str">
        <f t="shared" si="4188"/>
        <v>Blending in natural gas pipeline-Maturity</v>
      </c>
      <c r="S1350" t="str">
        <f t="shared" si="4189"/>
        <v>District-CHP with H2 fuel cell (heat)-Maturity</v>
      </c>
      <c r="T1350">
        <f ca="1">VLOOKUP($P1350,'TA database'!$I$8:$J$79,2,FALSE)</f>
        <v>9</v>
      </c>
      <c r="U1350">
        <f ca="1">VLOOKUP($Q1350,'TA database'!$I$86:$J$105,2,FALSE)</f>
        <v>6</v>
      </c>
      <c r="V1350">
        <f ca="1">VLOOKUP($R1350,'TA database'!$I$112:$J$139,2,FALSE)</f>
        <v>7</v>
      </c>
      <c r="W1350">
        <f ca="1">IFERROR(VLOOKUP($S1350,'TA database'!$I$146:$J$193,2,FALSE),0)</f>
        <v>9</v>
      </c>
      <c r="X1350">
        <f>IFERROR(VLOOKUP($S1350,'TA database'!$I$200:$J$271,2,FALSE),0)</f>
        <v>0</v>
      </c>
      <c r="Y1350">
        <f t="shared" ca="1" si="4190"/>
        <v>6</v>
      </c>
      <c r="Z1350" t="str">
        <f t="shared" si="4178"/>
        <v>ELCTRLYZ_LRG_C   →   C_UNDRGRND_STRG   →   H2_BLND_NG_P   →   H2_FC_DCHP_HEAT</v>
      </c>
      <c r="AA1350" t="str">
        <f t="shared" si="4179"/>
        <v>Building heat</v>
      </c>
      <c r="AB1350" t="str">
        <f t="shared" si="4180"/>
        <v>Maturity</v>
      </c>
      <c r="AC1350">
        <f t="shared" ca="1" si="4181"/>
        <v>6</v>
      </c>
      <c r="AD1350">
        <v>1291</v>
      </c>
      <c r="AE1350" t="str">
        <f>IF(AND(ISNUMBER(SEARCH(O1350,4)),ISNUMBER(SEARCH('(4) FCH pathway assessment'!$B$16,AB1350)),ISNUMBER(SEARCH('(4) FCH pathway assessment'!$B$10,AA1350))),AD1350,"")</f>
        <v/>
      </c>
      <c r="AF1350" t="str">
        <f t="shared" si="4162"/>
        <v/>
      </c>
      <c r="AG1350" t="str">
        <f>VLOOKUP(C1350,Assumptions!$B$116:$C$162,2,FALSE)</f>
        <v>ELCTRLYZ_LRG_C</v>
      </c>
      <c r="AH1350" t="str">
        <f>VLOOKUP(D1350,Assumptions!$B$116:$C$162,2,FALSE)</f>
        <v>C_UNDRGRND_STRG</v>
      </c>
      <c r="AI1350" t="str">
        <f>VLOOKUP(E1350,Assumptions!$B$116:$C$162,2,FALSE)</f>
        <v>H2_BLND_NG_P</v>
      </c>
      <c r="AJ1350" t="str">
        <f>VLOOKUP(F1350,Assumptions!$B$116:$C$162,2,FALSE)</f>
        <v>H2_FC_DCHP_HEAT</v>
      </c>
    </row>
    <row r="1351" spans="2:36" x14ac:dyDescent="0.25">
      <c r="B1351" t="s">
        <v>112</v>
      </c>
      <c r="C1351" t="s">
        <v>49</v>
      </c>
      <c r="D1351" t="s">
        <v>62</v>
      </c>
      <c r="E1351" t="s">
        <v>122</v>
      </c>
      <c r="F1351" t="s">
        <v>552</v>
      </c>
      <c r="G1351" t="s">
        <v>132</v>
      </c>
      <c r="H1351" t="s">
        <v>434</v>
      </c>
      <c r="I1351" t="s">
        <v>32</v>
      </c>
      <c r="J1351" t="s">
        <v>78</v>
      </c>
      <c r="K1351">
        <f t="shared" si="4182"/>
        <v>1</v>
      </c>
      <c r="L1351">
        <f t="shared" si="4183"/>
        <v>0</v>
      </c>
      <c r="M1351">
        <f t="shared" si="4184"/>
        <v>1</v>
      </c>
      <c r="N1351">
        <f t="shared" si="4185"/>
        <v>1</v>
      </c>
      <c r="O1351">
        <f t="shared" si="4177"/>
        <v>3</v>
      </c>
      <c r="P1351" t="str">
        <f t="shared" si="4186"/>
        <v>Large centralized electrolysis-Maturity</v>
      </c>
      <c r="Q1351" t="str">
        <f t="shared" si="4187"/>
        <v>Underground storage-Maturity</v>
      </c>
      <c r="R1351" t="str">
        <f t="shared" si="4188"/>
        <v>Hydrogen transmission &amp; distribution pipeline-Maturity</v>
      </c>
      <c r="S1351" t="str">
        <f t="shared" si="4189"/>
        <v>District-CHP with H2 fuel cell (heat)-Maturity</v>
      </c>
      <c r="T1351">
        <f ca="1">VLOOKUP($P1351,'TA database'!$I$8:$J$79,2,FALSE)</f>
        <v>9</v>
      </c>
      <c r="U1351">
        <f ca="1">VLOOKUP($Q1351,'TA database'!$I$86:$J$105,2,FALSE)</f>
        <v>6</v>
      </c>
      <c r="V1351">
        <f ca="1">VLOOKUP($R1351,'TA database'!$I$112:$J$139,2,FALSE)</f>
        <v>9</v>
      </c>
      <c r="W1351">
        <f ca="1">IFERROR(VLOOKUP($S1351,'TA database'!$I$146:$J$193,2,FALSE),0)</f>
        <v>9</v>
      </c>
      <c r="X1351">
        <f>IFERROR(VLOOKUP($S1351,'TA database'!$I$200:$J$271,2,FALSE),0)</f>
        <v>0</v>
      </c>
      <c r="Y1351">
        <f t="shared" ca="1" si="4190"/>
        <v>6</v>
      </c>
      <c r="Z1351" t="str">
        <f t="shared" si="4178"/>
        <v>ELCTRLYZ_LRG_C   →   C_UNDRGRND_STRG   →   H2_T&amp;D_P   →   H2_FC_DCHP_HEAT</v>
      </c>
      <c r="AA1351" t="str">
        <f t="shared" si="4179"/>
        <v>Building heat</v>
      </c>
      <c r="AB1351" t="str">
        <f t="shared" si="4180"/>
        <v>Maturity</v>
      </c>
      <c r="AC1351">
        <f t="shared" ca="1" si="4181"/>
        <v>6</v>
      </c>
      <c r="AD1351">
        <v>1292</v>
      </c>
      <c r="AE1351" t="str">
        <f>IF(AND(ISNUMBER(SEARCH(O1351,4)),ISNUMBER(SEARCH('(4) FCH pathway assessment'!$B$16,AB1351)),ISNUMBER(SEARCH('(4) FCH pathway assessment'!$B$10,AA1351))),AD1351,"")</f>
        <v/>
      </c>
      <c r="AF1351" t="str">
        <f t="shared" si="4162"/>
        <v/>
      </c>
      <c r="AG1351" t="str">
        <f>VLOOKUP(C1351,Assumptions!$B$116:$C$162,2,FALSE)</f>
        <v>ELCTRLYZ_LRG_C</v>
      </c>
      <c r="AH1351" t="str">
        <f>VLOOKUP(D1351,Assumptions!$B$116:$C$162,2,FALSE)</f>
        <v>C_UNDRGRND_STRG</v>
      </c>
      <c r="AI1351" t="str">
        <f>VLOOKUP(E1351,Assumptions!$B$116:$C$162,2,FALSE)</f>
        <v>H2_T&amp;D_P</v>
      </c>
      <c r="AJ1351" t="str">
        <f>VLOOKUP(F1351,Assumptions!$B$116:$C$162,2,FALSE)</f>
        <v>H2_FC_DCHP_HEAT</v>
      </c>
    </row>
    <row r="1352" spans="2:36" x14ac:dyDescent="0.25">
      <c r="B1352" t="s">
        <v>112</v>
      </c>
      <c r="C1352" t="s">
        <v>49</v>
      </c>
      <c r="D1352" t="s">
        <v>62</v>
      </c>
      <c r="E1352" t="s">
        <v>116</v>
      </c>
      <c r="F1352" t="s">
        <v>552</v>
      </c>
      <c r="G1352" t="s">
        <v>132</v>
      </c>
      <c r="H1352" t="s">
        <v>434</v>
      </c>
      <c r="I1352" t="s">
        <v>32</v>
      </c>
      <c r="J1352" t="s">
        <v>78</v>
      </c>
      <c r="K1352">
        <f t="shared" si="4182"/>
        <v>1</v>
      </c>
      <c r="L1352">
        <f t="shared" si="4183"/>
        <v>0</v>
      </c>
      <c r="M1352">
        <f t="shared" si="4184"/>
        <v>1</v>
      </c>
      <c r="N1352">
        <f t="shared" si="4185"/>
        <v>1</v>
      </c>
      <c r="O1352">
        <f t="shared" si="4177"/>
        <v>3</v>
      </c>
      <c r="P1352" t="str">
        <f t="shared" si="4186"/>
        <v>Large centralized electrolysis-Maturity</v>
      </c>
      <c r="Q1352" t="str">
        <f t="shared" si="4187"/>
        <v>Underground storage-Maturity</v>
      </c>
      <c r="R1352" t="str">
        <f t="shared" si="4188"/>
        <v>Liquid hydrogen truck-Maturity</v>
      </c>
      <c r="S1352" t="str">
        <f t="shared" si="4189"/>
        <v>District-CHP with H2 fuel cell (heat)-Maturity</v>
      </c>
      <c r="T1352">
        <f ca="1">VLOOKUP($P1352,'TA database'!$I$8:$J$79,2,FALSE)</f>
        <v>9</v>
      </c>
      <c r="U1352">
        <f ca="1">VLOOKUP($Q1352,'TA database'!$I$86:$J$105,2,FALSE)</f>
        <v>6</v>
      </c>
      <c r="V1352">
        <f ca="1">VLOOKUP($R1352,'TA database'!$I$112:$J$139,2,FALSE)</f>
        <v>9</v>
      </c>
      <c r="W1352">
        <f ca="1">IFERROR(VLOOKUP($S1352,'TA database'!$I$146:$J$193,2,FALSE),0)</f>
        <v>9</v>
      </c>
      <c r="X1352">
        <f>IFERROR(VLOOKUP($S1352,'TA database'!$I$200:$J$271,2,FALSE),0)</f>
        <v>0</v>
      </c>
      <c r="Y1352">
        <f t="shared" ca="1" si="4190"/>
        <v>6</v>
      </c>
      <c r="Z1352" t="str">
        <f t="shared" si="4178"/>
        <v>ELCTRLYZ_LRG_C   →   C_UNDRGRND_STRG   →   LQ_TRUCK   →   H2_FC_DCHP_HEAT</v>
      </c>
      <c r="AA1352" t="str">
        <f t="shared" si="4179"/>
        <v>Building heat</v>
      </c>
      <c r="AB1352" t="str">
        <f t="shared" si="4180"/>
        <v>Maturity</v>
      </c>
      <c r="AC1352">
        <f t="shared" ca="1" si="4181"/>
        <v>6</v>
      </c>
      <c r="AD1352">
        <v>1293</v>
      </c>
      <c r="AE1352" t="str">
        <f>IF(AND(ISNUMBER(SEARCH(O1352,4)),ISNUMBER(SEARCH('(4) FCH pathway assessment'!$B$16,AB1352)),ISNUMBER(SEARCH('(4) FCH pathway assessment'!$B$10,AA1352))),AD1352,"")</f>
        <v/>
      </c>
      <c r="AF1352" t="str">
        <f t="shared" si="4162"/>
        <v/>
      </c>
      <c r="AG1352" t="str">
        <f>VLOOKUP(C1352,Assumptions!$B$116:$C$162,2,FALSE)</f>
        <v>ELCTRLYZ_LRG_C</v>
      </c>
      <c r="AH1352" t="str">
        <f>VLOOKUP(D1352,Assumptions!$B$116:$C$162,2,FALSE)</f>
        <v>C_UNDRGRND_STRG</v>
      </c>
      <c r="AI1352" t="str">
        <f>VLOOKUP(E1352,Assumptions!$B$116:$C$162,2,FALSE)</f>
        <v>LQ_TRUCK</v>
      </c>
      <c r="AJ1352" t="str">
        <f>VLOOKUP(F1352,Assumptions!$B$116:$C$162,2,FALSE)</f>
        <v>H2_FC_DCHP_HEAT</v>
      </c>
    </row>
    <row r="1353" spans="2:36" x14ac:dyDescent="0.25">
      <c r="B1353" t="s">
        <v>112</v>
      </c>
      <c r="C1353" t="s">
        <v>49</v>
      </c>
      <c r="D1353" t="s">
        <v>62</v>
      </c>
      <c r="E1353" t="s">
        <v>66</v>
      </c>
      <c r="F1353" t="s">
        <v>552</v>
      </c>
      <c r="G1353" t="s">
        <v>132</v>
      </c>
      <c r="H1353" t="s">
        <v>434</v>
      </c>
      <c r="I1353" t="s">
        <v>32</v>
      </c>
      <c r="J1353" t="s">
        <v>78</v>
      </c>
      <c r="K1353">
        <f t="shared" si="4182"/>
        <v>1</v>
      </c>
      <c r="L1353">
        <f t="shared" si="4183"/>
        <v>0</v>
      </c>
      <c r="M1353">
        <f t="shared" si="4184"/>
        <v>1</v>
      </c>
      <c r="N1353">
        <f t="shared" si="4185"/>
        <v>1</v>
      </c>
      <c r="O1353">
        <f t="shared" si="4177"/>
        <v>3</v>
      </c>
      <c r="P1353" t="str">
        <f t="shared" si="4186"/>
        <v>Large centralized electrolysis-Maturity</v>
      </c>
      <c r="Q1353" t="str">
        <f t="shared" si="4187"/>
        <v>Underground storage-Maturity</v>
      </c>
      <c r="R1353" t="str">
        <f t="shared" si="4188"/>
        <v>Onsite-Maturity</v>
      </c>
      <c r="S1353" t="str">
        <f t="shared" si="4189"/>
        <v>District-CHP with H2 fuel cell (heat)-Maturity</v>
      </c>
      <c r="T1353">
        <f ca="1">VLOOKUP($P1353,'TA database'!$I$8:$J$79,2,FALSE)</f>
        <v>9</v>
      </c>
      <c r="U1353">
        <f ca="1">VLOOKUP($Q1353,'TA database'!$I$86:$J$105,2,FALSE)</f>
        <v>6</v>
      </c>
      <c r="V1353">
        <f ca="1">VLOOKUP($R1353,'TA database'!$I$112:$J$139,2,FALSE)</f>
        <v>9</v>
      </c>
      <c r="W1353">
        <f ca="1">IFERROR(VLOOKUP($S1353,'TA database'!$I$146:$J$193,2,FALSE),0)</f>
        <v>9</v>
      </c>
      <c r="X1353">
        <f>IFERROR(VLOOKUP($S1353,'TA database'!$I$200:$J$271,2,FALSE),0)</f>
        <v>0</v>
      </c>
      <c r="Y1353">
        <f t="shared" ca="1" si="4190"/>
        <v>6</v>
      </c>
      <c r="Z1353" t="str">
        <f t="shared" si="4178"/>
        <v>ELCTRLYZ_LRG_C   →   C_UNDRGRND_STRG   →   ONSITE_USE   →   H2_FC_DCHP_HEAT</v>
      </c>
      <c r="AA1353" t="str">
        <f t="shared" si="4179"/>
        <v>Building heat</v>
      </c>
      <c r="AB1353" t="str">
        <f t="shared" si="4180"/>
        <v>Maturity</v>
      </c>
      <c r="AC1353">
        <f t="shared" ca="1" si="4181"/>
        <v>6</v>
      </c>
      <c r="AD1353">
        <v>1294</v>
      </c>
      <c r="AE1353" t="str">
        <f>IF(AND(ISNUMBER(SEARCH(O1353,4)),ISNUMBER(SEARCH('(4) FCH pathway assessment'!$B$16,AB1353)),ISNUMBER(SEARCH('(4) FCH pathway assessment'!$B$10,AA1353))),AD1353,"")</f>
        <v/>
      </c>
      <c r="AF1353" t="str">
        <f t="shared" si="4162"/>
        <v/>
      </c>
      <c r="AG1353" t="str">
        <f>VLOOKUP(C1353,Assumptions!$B$116:$C$162,2,FALSE)</f>
        <v>ELCTRLYZ_LRG_C</v>
      </c>
      <c r="AH1353" t="str">
        <f>VLOOKUP(D1353,Assumptions!$B$116:$C$162,2,FALSE)</f>
        <v>C_UNDRGRND_STRG</v>
      </c>
      <c r="AI1353" t="str">
        <f>VLOOKUP(E1353,Assumptions!$B$116:$C$162,2,FALSE)</f>
        <v>ONSITE_USE</v>
      </c>
      <c r="AJ1353" t="str">
        <f>VLOOKUP(F1353,Assumptions!$B$116:$C$162,2,FALSE)</f>
        <v>H2_FC_DCHP_HEAT</v>
      </c>
    </row>
    <row r="1354" spans="2:36" x14ac:dyDescent="0.25">
      <c r="B1354" t="s">
        <v>112</v>
      </c>
      <c r="C1354" t="s">
        <v>49</v>
      </c>
      <c r="D1354" t="s">
        <v>155</v>
      </c>
      <c r="E1354" t="s">
        <v>157</v>
      </c>
      <c r="F1354" t="s">
        <v>552</v>
      </c>
      <c r="G1354" t="s">
        <v>132</v>
      </c>
      <c r="H1354" t="s">
        <v>434</v>
      </c>
      <c r="I1354" t="s">
        <v>32</v>
      </c>
      <c r="J1354" t="s">
        <v>78</v>
      </c>
      <c r="K1354">
        <f t="shared" si="4182"/>
        <v>1</v>
      </c>
      <c r="L1354">
        <f t="shared" si="4183"/>
        <v>1</v>
      </c>
      <c r="M1354">
        <f t="shared" si="4184"/>
        <v>0</v>
      </c>
      <c r="N1354">
        <f t="shared" si="4185"/>
        <v>1</v>
      </c>
      <c r="O1354">
        <f t="shared" si="4177"/>
        <v>3</v>
      </c>
      <c r="P1354" t="str">
        <f t="shared" si="4186"/>
        <v>Large centralized electrolysis-Maturity</v>
      </c>
      <c r="Q1354" t="str">
        <f t="shared" si="4187"/>
        <v>Central gas storage-Maturity</v>
      </c>
      <c r="R1354" t="str">
        <f t="shared" si="4188"/>
        <v>Blending in natural gas pipeline-Maturity</v>
      </c>
      <c r="S1354" t="str">
        <f t="shared" si="4189"/>
        <v>District-CHP with H2 fuel cell (heat)-Maturity</v>
      </c>
      <c r="T1354">
        <f ca="1">VLOOKUP($P1354,'TA database'!$I$8:$J$79,2,FALSE)</f>
        <v>9</v>
      </c>
      <c r="U1354">
        <f ca="1">VLOOKUP($Q1354,'TA database'!$I$86:$J$105,2,FALSE)</f>
        <v>9</v>
      </c>
      <c r="V1354">
        <f ca="1">VLOOKUP($R1354,'TA database'!$I$112:$J$139,2,FALSE)</f>
        <v>7</v>
      </c>
      <c r="W1354">
        <f ca="1">IFERROR(VLOOKUP($S1354,'TA database'!$I$146:$J$193,2,FALSE),0)</f>
        <v>9</v>
      </c>
      <c r="X1354">
        <f>IFERROR(VLOOKUP($S1354,'TA database'!$I$200:$J$271,2,FALSE),0)</f>
        <v>0</v>
      </c>
      <c r="Y1354">
        <f t="shared" ca="1" si="4190"/>
        <v>7</v>
      </c>
      <c r="Z1354" t="str">
        <f t="shared" si="4178"/>
        <v>ELCTRLYZ_LRG_C   →   C_GAS_STRG   →   H2_BLND_NG_P   →   H2_FC_DCHP_HEAT</v>
      </c>
      <c r="AA1354" t="str">
        <f t="shared" si="4179"/>
        <v>Building heat</v>
      </c>
      <c r="AB1354" t="str">
        <f t="shared" si="4180"/>
        <v>Maturity</v>
      </c>
      <c r="AC1354">
        <f t="shared" ca="1" si="4181"/>
        <v>7</v>
      </c>
      <c r="AD1354">
        <v>1295</v>
      </c>
      <c r="AE1354" t="str">
        <f>IF(AND(ISNUMBER(SEARCH(O1354,4)),ISNUMBER(SEARCH('(4) FCH pathway assessment'!$B$16,AB1354)),ISNUMBER(SEARCH('(4) FCH pathway assessment'!$B$10,AA1354))),AD1354,"")</f>
        <v/>
      </c>
      <c r="AF1354" t="str">
        <f t="shared" si="4162"/>
        <v/>
      </c>
      <c r="AG1354" t="str">
        <f>VLOOKUP(C1354,Assumptions!$B$116:$C$162,2,FALSE)</f>
        <v>ELCTRLYZ_LRG_C</v>
      </c>
      <c r="AH1354" t="str">
        <f>VLOOKUP(D1354,Assumptions!$B$116:$C$162,2,FALSE)</f>
        <v>C_GAS_STRG</v>
      </c>
      <c r="AI1354" t="str">
        <f>VLOOKUP(E1354,Assumptions!$B$116:$C$162,2,FALSE)</f>
        <v>H2_BLND_NG_P</v>
      </c>
      <c r="AJ1354" t="str">
        <f>VLOOKUP(F1354,Assumptions!$B$116:$C$162,2,FALSE)</f>
        <v>H2_FC_DCHP_HEAT</v>
      </c>
    </row>
    <row r="1355" spans="2:36" x14ac:dyDescent="0.25">
      <c r="B1355" t="s">
        <v>112</v>
      </c>
      <c r="C1355" t="s">
        <v>49</v>
      </c>
      <c r="D1355" t="s">
        <v>155</v>
      </c>
      <c r="E1355" t="s">
        <v>122</v>
      </c>
      <c r="F1355" t="s">
        <v>552</v>
      </c>
      <c r="G1355" t="s">
        <v>132</v>
      </c>
      <c r="H1355" t="s">
        <v>434</v>
      </c>
      <c r="I1355" t="s">
        <v>32</v>
      </c>
      <c r="J1355" t="s">
        <v>78</v>
      </c>
      <c r="K1355">
        <f t="shared" si="4182"/>
        <v>1</v>
      </c>
      <c r="L1355">
        <f t="shared" si="4183"/>
        <v>1</v>
      </c>
      <c r="M1355">
        <f t="shared" si="4184"/>
        <v>1</v>
      </c>
      <c r="N1355">
        <f t="shared" si="4185"/>
        <v>1</v>
      </c>
      <c r="O1355">
        <f t="shared" si="4177"/>
        <v>4</v>
      </c>
      <c r="P1355" t="str">
        <f t="shared" si="4186"/>
        <v>Large centralized electrolysis-Maturity</v>
      </c>
      <c r="Q1355" t="str">
        <f t="shared" si="4187"/>
        <v>Central gas storage-Maturity</v>
      </c>
      <c r="R1355" t="str">
        <f t="shared" si="4188"/>
        <v>Hydrogen transmission &amp; distribution pipeline-Maturity</v>
      </c>
      <c r="S1355" t="str">
        <f t="shared" si="4189"/>
        <v>District-CHP with H2 fuel cell (heat)-Maturity</v>
      </c>
      <c r="T1355">
        <f ca="1">VLOOKUP($P1355,'TA database'!$I$8:$J$79,2,FALSE)</f>
        <v>9</v>
      </c>
      <c r="U1355">
        <f ca="1">VLOOKUP($Q1355,'TA database'!$I$86:$J$105,2,FALSE)</f>
        <v>9</v>
      </c>
      <c r="V1355">
        <f ca="1">VLOOKUP($R1355,'TA database'!$I$112:$J$139,2,FALSE)</f>
        <v>9</v>
      </c>
      <c r="W1355">
        <f ca="1">IFERROR(VLOOKUP($S1355,'TA database'!$I$146:$J$193,2,FALSE),0)</f>
        <v>9</v>
      </c>
      <c r="X1355">
        <f>IFERROR(VLOOKUP($S1355,'TA database'!$I$200:$J$271,2,FALSE),0)</f>
        <v>0</v>
      </c>
      <c r="Y1355">
        <f t="shared" ca="1" si="4190"/>
        <v>9</v>
      </c>
      <c r="Z1355" t="str">
        <f t="shared" si="4178"/>
        <v>ELCTRLYZ_LRG_C   →   C_GAS_STRG   →   H2_T&amp;D_P   →   H2_FC_DCHP_HEAT</v>
      </c>
      <c r="AA1355" t="str">
        <f t="shared" si="4179"/>
        <v>Building heat</v>
      </c>
      <c r="AB1355" t="str">
        <f t="shared" si="4180"/>
        <v>Maturity</v>
      </c>
      <c r="AC1355">
        <f t="shared" ca="1" si="4181"/>
        <v>9</v>
      </c>
      <c r="AD1355">
        <v>1296</v>
      </c>
      <c r="AE1355" t="str">
        <f>IF(AND(ISNUMBER(SEARCH(O1355,4)),ISNUMBER(SEARCH('(4) FCH pathway assessment'!$B$16,AB1355)),ISNUMBER(SEARCH('(4) FCH pathway assessment'!$B$10,AA1355))),AD1355,"")</f>
        <v/>
      </c>
      <c r="AF1355" t="str">
        <f t="shared" si="4162"/>
        <v/>
      </c>
      <c r="AG1355" t="str">
        <f>VLOOKUP(C1355,Assumptions!$B$116:$C$162,2,FALSE)</f>
        <v>ELCTRLYZ_LRG_C</v>
      </c>
      <c r="AH1355" t="str">
        <f>VLOOKUP(D1355,Assumptions!$B$116:$C$162,2,FALSE)</f>
        <v>C_GAS_STRG</v>
      </c>
      <c r="AI1355" t="str">
        <f>VLOOKUP(E1355,Assumptions!$B$116:$C$162,2,FALSE)</f>
        <v>H2_T&amp;D_P</v>
      </c>
      <c r="AJ1355" t="str">
        <f>VLOOKUP(F1355,Assumptions!$B$116:$C$162,2,FALSE)</f>
        <v>H2_FC_DCHP_HEAT</v>
      </c>
    </row>
    <row r="1356" spans="2:36" x14ac:dyDescent="0.25">
      <c r="B1356" t="s">
        <v>112</v>
      </c>
      <c r="C1356" t="s">
        <v>49</v>
      </c>
      <c r="D1356" t="s">
        <v>155</v>
      </c>
      <c r="E1356" t="s">
        <v>116</v>
      </c>
      <c r="F1356" t="s">
        <v>552</v>
      </c>
      <c r="G1356" t="s">
        <v>132</v>
      </c>
      <c r="H1356" t="s">
        <v>434</v>
      </c>
      <c r="I1356" t="s">
        <v>32</v>
      </c>
      <c r="J1356" t="s">
        <v>78</v>
      </c>
      <c r="K1356">
        <f t="shared" si="4182"/>
        <v>1</v>
      </c>
      <c r="L1356">
        <f t="shared" si="4183"/>
        <v>1</v>
      </c>
      <c r="M1356">
        <f t="shared" si="4184"/>
        <v>1</v>
      </c>
      <c r="N1356">
        <f t="shared" si="4185"/>
        <v>1</v>
      </c>
      <c r="O1356">
        <f t="shared" si="4177"/>
        <v>4</v>
      </c>
      <c r="P1356" t="str">
        <f t="shared" si="4186"/>
        <v>Large centralized electrolysis-Maturity</v>
      </c>
      <c r="Q1356" t="str">
        <f t="shared" si="4187"/>
        <v>Central gas storage-Maturity</v>
      </c>
      <c r="R1356" t="str">
        <f t="shared" si="4188"/>
        <v>Liquid hydrogen truck-Maturity</v>
      </c>
      <c r="S1356" t="str">
        <f t="shared" si="4189"/>
        <v>District-CHP with H2 fuel cell (heat)-Maturity</v>
      </c>
      <c r="T1356">
        <f ca="1">VLOOKUP($P1356,'TA database'!$I$8:$J$79,2,FALSE)</f>
        <v>9</v>
      </c>
      <c r="U1356">
        <f ca="1">VLOOKUP($Q1356,'TA database'!$I$86:$J$105,2,FALSE)</f>
        <v>9</v>
      </c>
      <c r="V1356">
        <f ca="1">VLOOKUP($R1356,'TA database'!$I$112:$J$139,2,FALSE)</f>
        <v>9</v>
      </c>
      <c r="W1356">
        <f ca="1">IFERROR(VLOOKUP($S1356,'TA database'!$I$146:$J$193,2,FALSE),0)</f>
        <v>9</v>
      </c>
      <c r="X1356">
        <f>IFERROR(VLOOKUP($S1356,'TA database'!$I$200:$J$271,2,FALSE),0)</f>
        <v>0</v>
      </c>
      <c r="Y1356">
        <f t="shared" ca="1" si="4190"/>
        <v>9</v>
      </c>
      <c r="Z1356" t="str">
        <f t="shared" si="4178"/>
        <v>ELCTRLYZ_LRG_C   →   C_GAS_STRG   →   LQ_TRUCK   →   H2_FC_DCHP_HEAT</v>
      </c>
      <c r="AA1356" t="str">
        <f t="shared" si="4179"/>
        <v>Building heat</v>
      </c>
      <c r="AB1356" t="str">
        <f t="shared" si="4180"/>
        <v>Maturity</v>
      </c>
      <c r="AC1356">
        <f t="shared" ca="1" si="4181"/>
        <v>9</v>
      </c>
      <c r="AD1356">
        <v>1297</v>
      </c>
      <c r="AE1356" t="str">
        <f>IF(AND(ISNUMBER(SEARCH(O1356,4)),ISNUMBER(SEARCH('(4) FCH pathway assessment'!$B$16,AB1356)),ISNUMBER(SEARCH('(4) FCH pathway assessment'!$B$10,AA1356))),AD1356,"")</f>
        <v/>
      </c>
      <c r="AF1356" t="str">
        <f t="shared" si="4162"/>
        <v/>
      </c>
      <c r="AG1356" t="str">
        <f>VLOOKUP(C1356,Assumptions!$B$116:$C$162,2,FALSE)</f>
        <v>ELCTRLYZ_LRG_C</v>
      </c>
      <c r="AH1356" t="str">
        <f>VLOOKUP(D1356,Assumptions!$B$116:$C$162,2,FALSE)</f>
        <v>C_GAS_STRG</v>
      </c>
      <c r="AI1356" t="str">
        <f>VLOOKUP(E1356,Assumptions!$B$116:$C$162,2,FALSE)</f>
        <v>LQ_TRUCK</v>
      </c>
      <c r="AJ1356" t="str">
        <f>VLOOKUP(F1356,Assumptions!$B$116:$C$162,2,FALSE)</f>
        <v>H2_FC_DCHP_HEAT</v>
      </c>
    </row>
    <row r="1357" spans="2:36" x14ac:dyDescent="0.25">
      <c r="B1357" t="s">
        <v>112</v>
      </c>
      <c r="C1357" t="s">
        <v>49</v>
      </c>
      <c r="D1357" t="s">
        <v>155</v>
      </c>
      <c r="E1357" t="s">
        <v>66</v>
      </c>
      <c r="F1357" t="s">
        <v>552</v>
      </c>
      <c r="G1357" t="s">
        <v>132</v>
      </c>
      <c r="H1357" t="s">
        <v>434</v>
      </c>
      <c r="I1357" t="s">
        <v>32</v>
      </c>
      <c r="J1357" t="s">
        <v>78</v>
      </c>
      <c r="K1357">
        <f t="shared" si="4182"/>
        <v>1</v>
      </c>
      <c r="L1357">
        <f t="shared" si="4183"/>
        <v>1</v>
      </c>
      <c r="M1357">
        <f t="shared" si="4184"/>
        <v>1</v>
      </c>
      <c r="N1357">
        <f t="shared" si="4185"/>
        <v>1</v>
      </c>
      <c r="O1357">
        <f t="shared" si="4177"/>
        <v>4</v>
      </c>
      <c r="P1357" t="str">
        <f t="shared" si="4186"/>
        <v>Large centralized electrolysis-Maturity</v>
      </c>
      <c r="Q1357" t="str">
        <f t="shared" si="4187"/>
        <v>Central gas storage-Maturity</v>
      </c>
      <c r="R1357" t="str">
        <f t="shared" si="4188"/>
        <v>Onsite-Maturity</v>
      </c>
      <c r="S1357" t="str">
        <f t="shared" si="4189"/>
        <v>District-CHP with H2 fuel cell (heat)-Maturity</v>
      </c>
      <c r="T1357">
        <f ca="1">VLOOKUP($P1357,'TA database'!$I$8:$J$79,2,FALSE)</f>
        <v>9</v>
      </c>
      <c r="U1357">
        <f ca="1">VLOOKUP($Q1357,'TA database'!$I$86:$J$105,2,FALSE)</f>
        <v>9</v>
      </c>
      <c r="V1357">
        <f ca="1">VLOOKUP($R1357,'TA database'!$I$112:$J$139,2,FALSE)</f>
        <v>9</v>
      </c>
      <c r="W1357">
        <f ca="1">IFERROR(VLOOKUP($S1357,'TA database'!$I$146:$J$193,2,FALSE),0)</f>
        <v>9</v>
      </c>
      <c r="X1357">
        <f>IFERROR(VLOOKUP($S1357,'TA database'!$I$200:$J$271,2,FALSE),0)</f>
        <v>0</v>
      </c>
      <c r="Y1357">
        <f t="shared" ca="1" si="4190"/>
        <v>9</v>
      </c>
      <c r="Z1357" t="str">
        <f t="shared" si="4178"/>
        <v>ELCTRLYZ_LRG_C   →   C_GAS_STRG   →   ONSITE_USE   →   H2_FC_DCHP_HEAT</v>
      </c>
      <c r="AA1357" t="str">
        <f t="shared" si="4179"/>
        <v>Building heat</v>
      </c>
      <c r="AB1357" t="str">
        <f t="shared" si="4180"/>
        <v>Maturity</v>
      </c>
      <c r="AC1357">
        <f t="shared" ca="1" si="4181"/>
        <v>9</v>
      </c>
      <c r="AD1357">
        <v>1298</v>
      </c>
      <c r="AE1357" t="str">
        <f>IF(AND(ISNUMBER(SEARCH(O1357,4)),ISNUMBER(SEARCH('(4) FCH pathway assessment'!$B$16,AB1357)),ISNUMBER(SEARCH('(4) FCH pathway assessment'!$B$10,AA1357))),AD1357,"")</f>
        <v/>
      </c>
      <c r="AF1357" t="str">
        <f t="shared" si="4162"/>
        <v/>
      </c>
      <c r="AG1357" t="str">
        <f>VLOOKUP(C1357,Assumptions!$B$116:$C$162,2,FALSE)</f>
        <v>ELCTRLYZ_LRG_C</v>
      </c>
      <c r="AH1357" t="str">
        <f>VLOOKUP(D1357,Assumptions!$B$116:$C$162,2,FALSE)</f>
        <v>C_GAS_STRG</v>
      </c>
      <c r="AI1357" t="str">
        <f>VLOOKUP(E1357,Assumptions!$B$116:$C$162,2,FALSE)</f>
        <v>ONSITE_USE</v>
      </c>
      <c r="AJ1357" t="str">
        <f>VLOOKUP(F1357,Assumptions!$B$116:$C$162,2,FALSE)</f>
        <v>H2_FC_DCHP_HEAT</v>
      </c>
    </row>
    <row r="1358" spans="2:36" x14ac:dyDescent="0.25">
      <c r="B1358" t="s">
        <v>112</v>
      </c>
      <c r="C1358" t="s">
        <v>51</v>
      </c>
      <c r="D1358" t="s">
        <v>155</v>
      </c>
      <c r="E1358" t="s">
        <v>157</v>
      </c>
      <c r="F1358" t="s">
        <v>552</v>
      </c>
      <c r="G1358" t="s">
        <v>132</v>
      </c>
      <c r="H1358" t="s">
        <v>434</v>
      </c>
      <c r="I1358" t="s">
        <v>32</v>
      </c>
      <c r="J1358" t="s">
        <v>78</v>
      </c>
      <c r="K1358">
        <f t="shared" ref="K1358:K1362" si="4191">SUMPRODUCT(($C$7:$C$18=$C1358)*($D$6:$H$6=$D1358)*($D$7:$H$18))</f>
        <v>1</v>
      </c>
      <c r="L1358">
        <f t="shared" ref="L1358:L1362" si="4192">SUMPRODUCT(($C$19:$C$23=$D1358)*($I$6:$O$6=$E1358)*($I$19:$O$23))</f>
        <v>1</v>
      </c>
      <c r="M1358">
        <f t="shared" ref="M1358:M1362" si="4193">SUMPRODUCT(($C$24:$C$30=$E1358)*($P$6:$AI$6=$F1358)*($P$24:$AI$30))</f>
        <v>0</v>
      </c>
      <c r="N1358">
        <f t="shared" ref="N1358:N1362" si="4194">SUMPRODUCT(($C$31:$C$50=$F1358)*($AJ$6:$AM$6=$G1358)*($AJ$31:$AM$50))</f>
        <v>1</v>
      </c>
      <c r="O1358">
        <f t="shared" ref="O1358:O1362" si="4195">K1358+L1358+M1358+N1358</f>
        <v>3</v>
      </c>
      <c r="P1358" t="str">
        <f t="shared" ref="P1358:P1362" si="4196">CONCATENATE(C1358,"-",J1358)</f>
        <v>Medium centralized electrolysis-Maturity</v>
      </c>
      <c r="Q1358" t="str">
        <f t="shared" ref="Q1358:Q1362" si="4197">CONCATENATE(D1358,"-",J1358)</f>
        <v>Central gas storage-Maturity</v>
      </c>
      <c r="R1358" t="str">
        <f t="shared" ref="R1358:R1362" si="4198">CONCATENATE(E1358,"-",J1358)</f>
        <v>Blending in natural gas pipeline-Maturity</v>
      </c>
      <c r="S1358" t="str">
        <f t="shared" ref="S1358:S1362" si="4199">CONCATENATE(F1358,"-",J1358)</f>
        <v>District-CHP with H2 fuel cell (heat)-Maturity</v>
      </c>
      <c r="T1358">
        <f ca="1">VLOOKUP($P1358,'TA database'!$I$8:$J$79,2,FALSE)</f>
        <v>9</v>
      </c>
      <c r="U1358">
        <f ca="1">VLOOKUP($Q1358,'TA database'!$I$86:$J$105,2,FALSE)</f>
        <v>9</v>
      </c>
      <c r="V1358">
        <f ca="1">VLOOKUP($R1358,'TA database'!$I$112:$J$139,2,FALSE)</f>
        <v>7</v>
      </c>
      <c r="W1358">
        <f ca="1">IFERROR(VLOOKUP($S1358,'TA database'!$I$146:$J$193,2,FALSE),0)</f>
        <v>9</v>
      </c>
      <c r="X1358">
        <f>IFERROR(VLOOKUP($S1358,'TA database'!$I$200:$J$271,2,FALSE),0)</f>
        <v>0</v>
      </c>
      <c r="Y1358">
        <f t="shared" ca="1" si="4190"/>
        <v>7</v>
      </c>
      <c r="Z1358" t="str">
        <f t="shared" ref="Z1358:Z1362" si="4200">CONCATENATE(AG1358,"   →   ",AH1358,"   →   ",AI1358,"   →   ",AJ1358)</f>
        <v>ELCTRLYZ_MED_C   →   C_GAS_STRG   →   H2_BLND_NG_P   →   H2_FC_DCHP_HEAT</v>
      </c>
      <c r="AA1358" t="str">
        <f t="shared" ref="AA1358:AA1362" si="4201">G1358</f>
        <v>Building heat</v>
      </c>
      <c r="AB1358" t="str">
        <f t="shared" ref="AB1358:AB1362" si="4202">J1358</f>
        <v>Maturity</v>
      </c>
      <c r="AC1358">
        <f t="shared" ref="AC1358:AC1362" ca="1" si="4203">Y1358</f>
        <v>7</v>
      </c>
      <c r="AD1358">
        <v>1299</v>
      </c>
      <c r="AE1358" t="str">
        <f>IF(AND(ISNUMBER(SEARCH(O1358,4)),ISNUMBER(SEARCH('(4) FCH pathway assessment'!$B$16,AB1358)),ISNUMBER(SEARCH('(4) FCH pathway assessment'!$B$10,AA1358))),AD1358,"")</f>
        <v/>
      </c>
      <c r="AF1358" t="str">
        <f t="shared" si="4162"/>
        <v/>
      </c>
      <c r="AG1358" t="str">
        <f>VLOOKUP(C1358,Assumptions!$B$116:$C$162,2,FALSE)</f>
        <v>ELCTRLYZ_MED_C</v>
      </c>
      <c r="AH1358" t="str">
        <f>VLOOKUP(D1358,Assumptions!$B$116:$C$162,2,FALSE)</f>
        <v>C_GAS_STRG</v>
      </c>
      <c r="AI1358" t="str">
        <f>VLOOKUP(E1358,Assumptions!$B$116:$C$162,2,FALSE)</f>
        <v>H2_BLND_NG_P</v>
      </c>
      <c r="AJ1358" t="str">
        <f>VLOOKUP(F1358,Assumptions!$B$116:$C$162,2,FALSE)</f>
        <v>H2_FC_DCHP_HEAT</v>
      </c>
    </row>
    <row r="1359" spans="2:36" x14ac:dyDescent="0.25">
      <c r="B1359" t="s">
        <v>112</v>
      </c>
      <c r="C1359" t="s">
        <v>51</v>
      </c>
      <c r="D1359" t="s">
        <v>155</v>
      </c>
      <c r="E1359" t="s">
        <v>122</v>
      </c>
      <c r="F1359" t="s">
        <v>552</v>
      </c>
      <c r="G1359" t="s">
        <v>132</v>
      </c>
      <c r="H1359" t="s">
        <v>434</v>
      </c>
      <c r="I1359" t="s">
        <v>32</v>
      </c>
      <c r="J1359" t="s">
        <v>78</v>
      </c>
      <c r="K1359">
        <f t="shared" si="4191"/>
        <v>1</v>
      </c>
      <c r="L1359">
        <f t="shared" si="4192"/>
        <v>1</v>
      </c>
      <c r="M1359">
        <f t="shared" si="4193"/>
        <v>1</v>
      </c>
      <c r="N1359">
        <f t="shared" si="4194"/>
        <v>1</v>
      </c>
      <c r="O1359">
        <f t="shared" si="4195"/>
        <v>4</v>
      </c>
      <c r="P1359" t="str">
        <f t="shared" si="4196"/>
        <v>Medium centralized electrolysis-Maturity</v>
      </c>
      <c r="Q1359" t="str">
        <f t="shared" si="4197"/>
        <v>Central gas storage-Maturity</v>
      </c>
      <c r="R1359" t="str">
        <f t="shared" si="4198"/>
        <v>Hydrogen transmission &amp; distribution pipeline-Maturity</v>
      </c>
      <c r="S1359" t="str">
        <f t="shared" si="4199"/>
        <v>District-CHP with H2 fuel cell (heat)-Maturity</v>
      </c>
      <c r="T1359">
        <f ca="1">VLOOKUP($P1359,'TA database'!$I$8:$J$79,2,FALSE)</f>
        <v>9</v>
      </c>
      <c r="U1359">
        <f ca="1">VLOOKUP($Q1359,'TA database'!$I$86:$J$105,2,FALSE)</f>
        <v>9</v>
      </c>
      <c r="V1359">
        <f ca="1">VLOOKUP($R1359,'TA database'!$I$112:$J$139,2,FALSE)</f>
        <v>9</v>
      </c>
      <c r="W1359">
        <f ca="1">IFERROR(VLOOKUP($S1359,'TA database'!$I$146:$J$193,2,FALSE),0)</f>
        <v>9</v>
      </c>
      <c r="X1359">
        <f>IFERROR(VLOOKUP($S1359,'TA database'!$I$200:$J$271,2,FALSE),0)</f>
        <v>0</v>
      </c>
      <c r="Y1359">
        <f t="shared" ca="1" si="4190"/>
        <v>9</v>
      </c>
      <c r="Z1359" t="str">
        <f t="shared" si="4200"/>
        <v>ELCTRLYZ_MED_C   →   C_GAS_STRG   →   H2_T&amp;D_P   →   H2_FC_DCHP_HEAT</v>
      </c>
      <c r="AA1359" t="str">
        <f t="shared" si="4201"/>
        <v>Building heat</v>
      </c>
      <c r="AB1359" t="str">
        <f t="shared" si="4202"/>
        <v>Maturity</v>
      </c>
      <c r="AC1359">
        <f t="shared" ca="1" si="4203"/>
        <v>9</v>
      </c>
      <c r="AD1359">
        <v>1300</v>
      </c>
      <c r="AE1359" t="str">
        <f>IF(AND(ISNUMBER(SEARCH(O1359,4)),ISNUMBER(SEARCH('(4) FCH pathway assessment'!$B$16,AB1359)),ISNUMBER(SEARCH('(4) FCH pathway assessment'!$B$10,AA1359))),AD1359,"")</f>
        <v/>
      </c>
      <c r="AF1359" t="str">
        <f t="shared" si="4162"/>
        <v/>
      </c>
      <c r="AG1359" t="str">
        <f>VLOOKUP(C1359,Assumptions!$B$116:$C$162,2,FALSE)</f>
        <v>ELCTRLYZ_MED_C</v>
      </c>
      <c r="AH1359" t="str">
        <f>VLOOKUP(D1359,Assumptions!$B$116:$C$162,2,FALSE)</f>
        <v>C_GAS_STRG</v>
      </c>
      <c r="AI1359" t="str">
        <f>VLOOKUP(E1359,Assumptions!$B$116:$C$162,2,FALSE)</f>
        <v>H2_T&amp;D_P</v>
      </c>
      <c r="AJ1359" t="str">
        <f>VLOOKUP(F1359,Assumptions!$B$116:$C$162,2,FALSE)</f>
        <v>H2_FC_DCHP_HEAT</v>
      </c>
    </row>
    <row r="1360" spans="2:36" x14ac:dyDescent="0.25">
      <c r="B1360" t="s">
        <v>112</v>
      </c>
      <c r="C1360" t="s">
        <v>51</v>
      </c>
      <c r="D1360" t="s">
        <v>155</v>
      </c>
      <c r="E1360" t="s">
        <v>116</v>
      </c>
      <c r="F1360" t="s">
        <v>552</v>
      </c>
      <c r="G1360" t="s">
        <v>132</v>
      </c>
      <c r="H1360" t="s">
        <v>434</v>
      </c>
      <c r="I1360" t="s">
        <v>32</v>
      </c>
      <c r="J1360" t="s">
        <v>78</v>
      </c>
      <c r="K1360">
        <f t="shared" si="4191"/>
        <v>1</v>
      </c>
      <c r="L1360">
        <f t="shared" si="4192"/>
        <v>1</v>
      </c>
      <c r="M1360">
        <f t="shared" si="4193"/>
        <v>1</v>
      </c>
      <c r="N1360">
        <f t="shared" si="4194"/>
        <v>1</v>
      </c>
      <c r="O1360">
        <f t="shared" si="4195"/>
        <v>4</v>
      </c>
      <c r="P1360" t="str">
        <f t="shared" si="4196"/>
        <v>Medium centralized electrolysis-Maturity</v>
      </c>
      <c r="Q1360" t="str">
        <f t="shared" si="4197"/>
        <v>Central gas storage-Maturity</v>
      </c>
      <c r="R1360" t="str">
        <f t="shared" si="4198"/>
        <v>Liquid hydrogen truck-Maturity</v>
      </c>
      <c r="S1360" t="str">
        <f t="shared" si="4199"/>
        <v>District-CHP with H2 fuel cell (heat)-Maturity</v>
      </c>
      <c r="T1360">
        <f ca="1">VLOOKUP($P1360,'TA database'!$I$8:$J$79,2,FALSE)</f>
        <v>9</v>
      </c>
      <c r="U1360">
        <f ca="1">VLOOKUP($Q1360,'TA database'!$I$86:$J$105,2,FALSE)</f>
        <v>9</v>
      </c>
      <c r="V1360">
        <f ca="1">VLOOKUP($R1360,'TA database'!$I$112:$J$139,2,FALSE)</f>
        <v>9</v>
      </c>
      <c r="W1360">
        <f ca="1">IFERROR(VLOOKUP($S1360,'TA database'!$I$146:$J$193,2,FALSE),0)</f>
        <v>9</v>
      </c>
      <c r="X1360">
        <f>IFERROR(VLOOKUP($S1360,'TA database'!$I$200:$J$271,2,FALSE),0)</f>
        <v>0</v>
      </c>
      <c r="Y1360">
        <f t="shared" ca="1" si="4190"/>
        <v>9</v>
      </c>
      <c r="Z1360" t="str">
        <f t="shared" si="4200"/>
        <v>ELCTRLYZ_MED_C   →   C_GAS_STRG   →   LQ_TRUCK   →   H2_FC_DCHP_HEAT</v>
      </c>
      <c r="AA1360" t="str">
        <f t="shared" si="4201"/>
        <v>Building heat</v>
      </c>
      <c r="AB1360" t="str">
        <f t="shared" si="4202"/>
        <v>Maturity</v>
      </c>
      <c r="AC1360">
        <f t="shared" ca="1" si="4203"/>
        <v>9</v>
      </c>
      <c r="AD1360">
        <v>1301</v>
      </c>
      <c r="AE1360" t="str">
        <f>IF(AND(ISNUMBER(SEARCH(O1360,4)),ISNUMBER(SEARCH('(4) FCH pathway assessment'!$B$16,AB1360)),ISNUMBER(SEARCH('(4) FCH pathway assessment'!$B$10,AA1360))),AD1360,"")</f>
        <v/>
      </c>
      <c r="AF1360" t="str">
        <f t="shared" si="4162"/>
        <v/>
      </c>
      <c r="AG1360" t="str">
        <f>VLOOKUP(C1360,Assumptions!$B$116:$C$162,2,FALSE)</f>
        <v>ELCTRLYZ_MED_C</v>
      </c>
      <c r="AH1360" t="str">
        <f>VLOOKUP(D1360,Assumptions!$B$116:$C$162,2,FALSE)</f>
        <v>C_GAS_STRG</v>
      </c>
      <c r="AI1360" t="str">
        <f>VLOOKUP(E1360,Assumptions!$B$116:$C$162,2,FALSE)</f>
        <v>LQ_TRUCK</v>
      </c>
      <c r="AJ1360" t="str">
        <f>VLOOKUP(F1360,Assumptions!$B$116:$C$162,2,FALSE)</f>
        <v>H2_FC_DCHP_HEAT</v>
      </c>
    </row>
    <row r="1361" spans="2:36" x14ac:dyDescent="0.25">
      <c r="B1361" t="s">
        <v>112</v>
      </c>
      <c r="C1361" t="s">
        <v>51</v>
      </c>
      <c r="D1361" t="s">
        <v>155</v>
      </c>
      <c r="E1361" t="s">
        <v>66</v>
      </c>
      <c r="F1361" t="s">
        <v>552</v>
      </c>
      <c r="G1361" t="s">
        <v>132</v>
      </c>
      <c r="H1361" t="s">
        <v>434</v>
      </c>
      <c r="I1361" t="s">
        <v>32</v>
      </c>
      <c r="J1361" t="s">
        <v>78</v>
      </c>
      <c r="K1361">
        <f t="shared" si="4191"/>
        <v>1</v>
      </c>
      <c r="L1361">
        <f t="shared" si="4192"/>
        <v>1</v>
      </c>
      <c r="M1361">
        <f t="shared" si="4193"/>
        <v>1</v>
      </c>
      <c r="N1361">
        <f t="shared" si="4194"/>
        <v>1</v>
      </c>
      <c r="O1361">
        <f t="shared" si="4195"/>
        <v>4</v>
      </c>
      <c r="P1361" t="str">
        <f t="shared" si="4196"/>
        <v>Medium centralized electrolysis-Maturity</v>
      </c>
      <c r="Q1361" t="str">
        <f t="shared" si="4197"/>
        <v>Central gas storage-Maturity</v>
      </c>
      <c r="R1361" t="str">
        <f t="shared" si="4198"/>
        <v>Onsite-Maturity</v>
      </c>
      <c r="S1361" t="str">
        <f t="shared" si="4199"/>
        <v>District-CHP with H2 fuel cell (heat)-Maturity</v>
      </c>
      <c r="T1361">
        <f ca="1">VLOOKUP($P1361,'TA database'!$I$8:$J$79,2,FALSE)</f>
        <v>9</v>
      </c>
      <c r="U1361">
        <f ca="1">VLOOKUP($Q1361,'TA database'!$I$86:$J$105,2,FALSE)</f>
        <v>9</v>
      </c>
      <c r="V1361">
        <f ca="1">VLOOKUP($R1361,'TA database'!$I$112:$J$139,2,FALSE)</f>
        <v>9</v>
      </c>
      <c r="W1361">
        <f ca="1">IFERROR(VLOOKUP($S1361,'TA database'!$I$146:$J$193,2,FALSE),0)</f>
        <v>9</v>
      </c>
      <c r="X1361">
        <f>IFERROR(VLOOKUP($S1361,'TA database'!$I$200:$J$271,2,FALSE),0)</f>
        <v>0</v>
      </c>
      <c r="Y1361">
        <f t="shared" ca="1" si="4190"/>
        <v>9</v>
      </c>
      <c r="Z1361" t="str">
        <f t="shared" si="4200"/>
        <v>ELCTRLYZ_MED_C   →   C_GAS_STRG   →   ONSITE_USE   →   H2_FC_DCHP_HEAT</v>
      </c>
      <c r="AA1361" t="str">
        <f t="shared" si="4201"/>
        <v>Building heat</v>
      </c>
      <c r="AB1361" t="str">
        <f t="shared" si="4202"/>
        <v>Maturity</v>
      </c>
      <c r="AC1361">
        <f t="shared" ca="1" si="4203"/>
        <v>9</v>
      </c>
      <c r="AD1361">
        <v>1302</v>
      </c>
      <c r="AE1361" t="str">
        <f>IF(AND(ISNUMBER(SEARCH(O1361,4)),ISNUMBER(SEARCH('(4) FCH pathway assessment'!$B$16,AB1361)),ISNUMBER(SEARCH('(4) FCH pathway assessment'!$B$10,AA1361))),AD1361,"")</f>
        <v/>
      </c>
      <c r="AF1361" t="str">
        <f t="shared" si="4162"/>
        <v/>
      </c>
      <c r="AG1361" t="str">
        <f>VLOOKUP(C1361,Assumptions!$B$116:$C$162,2,FALSE)</f>
        <v>ELCTRLYZ_MED_C</v>
      </c>
      <c r="AH1361" t="str">
        <f>VLOOKUP(D1361,Assumptions!$B$116:$C$162,2,FALSE)</f>
        <v>C_GAS_STRG</v>
      </c>
      <c r="AI1361" t="str">
        <f>VLOOKUP(E1361,Assumptions!$B$116:$C$162,2,FALSE)</f>
        <v>ONSITE_USE</v>
      </c>
      <c r="AJ1361" t="str">
        <f>VLOOKUP(F1361,Assumptions!$B$116:$C$162,2,FALSE)</f>
        <v>H2_FC_DCHP_HEAT</v>
      </c>
    </row>
    <row r="1362" spans="2:36" x14ac:dyDescent="0.25">
      <c r="B1362" t="s">
        <v>112</v>
      </c>
      <c r="C1362" t="s">
        <v>52</v>
      </c>
      <c r="D1362" s="60" t="s">
        <v>130</v>
      </c>
      <c r="E1362" t="s">
        <v>66</v>
      </c>
      <c r="F1362" t="s">
        <v>552</v>
      </c>
      <c r="G1362" t="s">
        <v>132</v>
      </c>
      <c r="H1362" t="s">
        <v>434</v>
      </c>
      <c r="I1362" t="s">
        <v>32</v>
      </c>
      <c r="J1362" t="s">
        <v>78</v>
      </c>
      <c r="K1362">
        <f t="shared" si="4191"/>
        <v>1</v>
      </c>
      <c r="L1362">
        <f t="shared" si="4192"/>
        <v>1</v>
      </c>
      <c r="M1362">
        <f t="shared" si="4193"/>
        <v>1</v>
      </c>
      <c r="N1362">
        <f t="shared" si="4194"/>
        <v>1</v>
      </c>
      <c r="O1362">
        <f t="shared" si="4195"/>
        <v>4</v>
      </c>
      <c r="P1362" t="str">
        <f t="shared" si="4196"/>
        <v>Small decentralized electrolysis-Maturity</v>
      </c>
      <c r="Q1362" t="str">
        <f t="shared" si="4197"/>
        <v>Distributed gas storage-Maturity</v>
      </c>
      <c r="R1362" t="str">
        <f t="shared" si="4198"/>
        <v>Onsite-Maturity</v>
      </c>
      <c r="S1362" t="str">
        <f t="shared" si="4199"/>
        <v>District-CHP with H2 fuel cell (heat)-Maturity</v>
      </c>
      <c r="T1362">
        <f ca="1">VLOOKUP($P1362,'TA database'!$I$8:$J$79,2,FALSE)</f>
        <v>9</v>
      </c>
      <c r="U1362">
        <f ca="1">VLOOKUP($Q1362,'TA database'!$I$86:$J$105,2,FALSE)</f>
        <v>9</v>
      </c>
      <c r="V1362">
        <f ca="1">VLOOKUP($R1362,'TA database'!$I$112:$J$139,2,FALSE)</f>
        <v>9</v>
      </c>
      <c r="W1362">
        <f ca="1">IFERROR(VLOOKUP($S1362,'TA database'!$I$146:$J$193,2,FALSE),0)</f>
        <v>9</v>
      </c>
      <c r="X1362">
        <f>IFERROR(VLOOKUP($S1362,'TA database'!$I$200:$J$271,2,FALSE),0)</f>
        <v>0</v>
      </c>
      <c r="Y1362">
        <f t="shared" ref="Y1362:Y1366" ca="1" si="4204">IF($W1362=0,MIN($T1362:$V1362,$X1362),MIN($T1362:$W1362))</f>
        <v>9</v>
      </c>
      <c r="Z1362" t="str">
        <f t="shared" si="4200"/>
        <v>ELCTRLYZ_SML_D   →   D_GAS_STRG   →   ONSITE_USE   →   H2_FC_DCHP_HEAT</v>
      </c>
      <c r="AA1362" t="str">
        <f t="shared" si="4201"/>
        <v>Building heat</v>
      </c>
      <c r="AB1362" t="str">
        <f t="shared" si="4202"/>
        <v>Maturity</v>
      </c>
      <c r="AC1362">
        <f t="shared" ca="1" si="4203"/>
        <v>9</v>
      </c>
      <c r="AD1362">
        <v>1303</v>
      </c>
      <c r="AE1362" t="str">
        <f>IF(AND(ISNUMBER(SEARCH(O1362,4)),ISNUMBER(SEARCH('(4) FCH pathway assessment'!$B$16,AB1362)),ISNUMBER(SEARCH('(4) FCH pathway assessment'!$B$10,AA1362))),AD1362,"")</f>
        <v/>
      </c>
      <c r="AF1362" t="str">
        <f t="shared" si="4162"/>
        <v/>
      </c>
      <c r="AG1362" t="str">
        <f>VLOOKUP(C1362,Assumptions!$B$116:$C$162,2,FALSE)</f>
        <v>ELCTRLYZ_SML_D</v>
      </c>
      <c r="AH1362" t="str">
        <f>VLOOKUP(D1362,Assumptions!$B$116:$C$162,2,FALSE)</f>
        <v>D_GAS_STRG</v>
      </c>
      <c r="AI1362" t="str">
        <f>VLOOKUP(E1362,Assumptions!$B$116:$C$162,2,FALSE)</f>
        <v>ONSITE_USE</v>
      </c>
      <c r="AJ1362" t="str">
        <f>VLOOKUP(F1362,Assumptions!$B$116:$C$162,2,FALSE)</f>
        <v>H2_FC_DCHP_HEAT</v>
      </c>
    </row>
    <row r="1363" spans="2:36" x14ac:dyDescent="0.25">
      <c r="B1363" t="s">
        <v>127</v>
      </c>
      <c r="C1363" t="s">
        <v>57</v>
      </c>
      <c r="D1363" t="s">
        <v>62</v>
      </c>
      <c r="E1363" t="s">
        <v>157</v>
      </c>
      <c r="F1363" t="s">
        <v>552</v>
      </c>
      <c r="G1363" t="s">
        <v>132</v>
      </c>
      <c r="H1363" t="s">
        <v>434</v>
      </c>
      <c r="I1363" t="s">
        <v>32</v>
      </c>
      <c r="J1363" t="s">
        <v>78</v>
      </c>
      <c r="K1363">
        <f t="shared" ref="K1363:K1371" si="4205">SUMPRODUCT(($C$7:$C$18=$C1363)*($D$6:$H$6=$D1363)*($D$7:$H$18))</f>
        <v>1</v>
      </c>
      <c r="L1363">
        <f t="shared" ref="L1363:L1371" si="4206">SUMPRODUCT(($C$19:$C$23=$D1363)*($I$6:$O$6=$E1363)*($I$19:$O$23))</f>
        <v>0</v>
      </c>
      <c r="M1363">
        <f t="shared" ref="M1363:M1371" si="4207">SUMPRODUCT(($C$24:$C$30=$E1363)*($P$6:$AI$6=$F1363)*($P$24:$AI$30))</f>
        <v>0</v>
      </c>
      <c r="N1363">
        <f t="shared" ref="N1363:N1371" si="4208">SUMPRODUCT(($C$31:$C$50=$F1363)*($AJ$6:$AM$6=$G1363)*($AJ$31:$AM$50))</f>
        <v>1</v>
      </c>
      <c r="O1363">
        <f t="shared" ref="O1363:O1371" si="4209">K1363+L1363+M1363+N1363</f>
        <v>2</v>
      </c>
      <c r="P1363" t="str">
        <f t="shared" ref="P1363:P1371" si="4210">CONCATENATE(C1363,"-",J1363)</f>
        <v>Large centralized natural gas steam reforming-Maturity</v>
      </c>
      <c r="Q1363" t="str">
        <f t="shared" ref="Q1363:Q1371" si="4211">CONCATENATE(D1363,"-",J1363)</f>
        <v>Underground storage-Maturity</v>
      </c>
      <c r="R1363" t="str">
        <f t="shared" ref="R1363:R1371" si="4212">CONCATENATE(E1363,"-",J1363)</f>
        <v>Blending in natural gas pipeline-Maturity</v>
      </c>
      <c r="S1363" t="str">
        <f t="shared" ref="S1363:S1371" si="4213">CONCATENATE(F1363,"-",J1363)</f>
        <v>District-CHP with H2 fuel cell (heat)-Maturity</v>
      </c>
      <c r="T1363">
        <f ca="1">VLOOKUP($P1363,'TA database'!$I$8:$J$79,2,FALSE)</f>
        <v>9</v>
      </c>
      <c r="U1363">
        <f ca="1">VLOOKUP($Q1363,'TA database'!$I$86:$J$105,2,FALSE)</f>
        <v>6</v>
      </c>
      <c r="V1363">
        <f ca="1">VLOOKUP($R1363,'TA database'!$I$112:$J$139,2,FALSE)</f>
        <v>7</v>
      </c>
      <c r="W1363">
        <f ca="1">IFERROR(VLOOKUP($S1363,'TA database'!$I$146:$J$193,2,FALSE),0)</f>
        <v>9</v>
      </c>
      <c r="X1363">
        <f>IFERROR(VLOOKUP($S1363,'TA database'!$I$200:$J$271,2,FALSE),0)</f>
        <v>0</v>
      </c>
      <c r="Y1363">
        <f t="shared" ca="1" si="4204"/>
        <v>6</v>
      </c>
      <c r="Z1363" t="str">
        <f t="shared" ref="Z1363:Z1371" si="4214">CONCATENATE(AG1363,"   →   ",AH1363,"   →   ",AI1363,"   →   ",AJ1363)</f>
        <v>NG_SR_LRG_C   →   C_UNDRGRND_STRG   →   H2_BLND_NG_P   →   H2_FC_DCHP_HEAT</v>
      </c>
      <c r="AA1363" t="str">
        <f t="shared" ref="AA1363:AA1371" si="4215">G1363</f>
        <v>Building heat</v>
      </c>
      <c r="AB1363" t="str">
        <f t="shared" ref="AB1363:AB1371" si="4216">J1363</f>
        <v>Maturity</v>
      </c>
      <c r="AC1363">
        <f t="shared" ref="AC1363:AC1371" ca="1" si="4217">Y1363</f>
        <v>6</v>
      </c>
      <c r="AD1363">
        <v>1304</v>
      </c>
      <c r="AE1363" t="str">
        <f>IF(AND(ISNUMBER(SEARCH(O1363,4)),ISNUMBER(SEARCH('(4) FCH pathway assessment'!$B$16,AB1363)),ISNUMBER(SEARCH('(4) FCH pathway assessment'!$B$10,AA1363))),AD1363,"")</f>
        <v/>
      </c>
      <c r="AF1363" t="str">
        <f t="shared" si="4162"/>
        <v/>
      </c>
      <c r="AG1363" t="str">
        <f>VLOOKUP(C1363,Assumptions!$B$116:$C$162,2,FALSE)</f>
        <v>NG_SR_LRG_C</v>
      </c>
      <c r="AH1363" t="str">
        <f>VLOOKUP(D1363,Assumptions!$B$116:$C$162,2,FALSE)</f>
        <v>C_UNDRGRND_STRG</v>
      </c>
      <c r="AI1363" t="str">
        <f>VLOOKUP(E1363,Assumptions!$B$116:$C$162,2,FALSE)</f>
        <v>H2_BLND_NG_P</v>
      </c>
      <c r="AJ1363" t="str">
        <f>VLOOKUP(F1363,Assumptions!$B$116:$C$162,2,FALSE)</f>
        <v>H2_FC_DCHP_HEAT</v>
      </c>
    </row>
    <row r="1364" spans="2:36" x14ac:dyDescent="0.25">
      <c r="B1364" t="s">
        <v>127</v>
      </c>
      <c r="C1364" t="s">
        <v>57</v>
      </c>
      <c r="D1364" t="s">
        <v>62</v>
      </c>
      <c r="E1364" t="s">
        <v>122</v>
      </c>
      <c r="F1364" t="s">
        <v>552</v>
      </c>
      <c r="G1364" t="s">
        <v>132</v>
      </c>
      <c r="H1364" t="s">
        <v>434</v>
      </c>
      <c r="I1364" t="s">
        <v>32</v>
      </c>
      <c r="J1364" t="s">
        <v>78</v>
      </c>
      <c r="K1364">
        <f t="shared" si="4205"/>
        <v>1</v>
      </c>
      <c r="L1364">
        <f t="shared" si="4206"/>
        <v>0</v>
      </c>
      <c r="M1364">
        <f t="shared" si="4207"/>
        <v>1</v>
      </c>
      <c r="N1364">
        <f t="shared" si="4208"/>
        <v>1</v>
      </c>
      <c r="O1364">
        <f t="shared" si="4209"/>
        <v>3</v>
      </c>
      <c r="P1364" t="str">
        <f t="shared" si="4210"/>
        <v>Large centralized natural gas steam reforming-Maturity</v>
      </c>
      <c r="Q1364" t="str">
        <f t="shared" si="4211"/>
        <v>Underground storage-Maturity</v>
      </c>
      <c r="R1364" t="str">
        <f t="shared" si="4212"/>
        <v>Hydrogen transmission &amp; distribution pipeline-Maturity</v>
      </c>
      <c r="S1364" t="str">
        <f t="shared" si="4213"/>
        <v>District-CHP with H2 fuel cell (heat)-Maturity</v>
      </c>
      <c r="T1364">
        <f ca="1">VLOOKUP($P1364,'TA database'!$I$8:$J$79,2,FALSE)</f>
        <v>9</v>
      </c>
      <c r="U1364">
        <f ca="1">VLOOKUP($Q1364,'TA database'!$I$86:$J$105,2,FALSE)</f>
        <v>6</v>
      </c>
      <c r="V1364">
        <f ca="1">VLOOKUP($R1364,'TA database'!$I$112:$J$139,2,FALSE)</f>
        <v>9</v>
      </c>
      <c r="W1364">
        <f ca="1">IFERROR(VLOOKUP($S1364,'TA database'!$I$146:$J$193,2,FALSE),0)</f>
        <v>9</v>
      </c>
      <c r="X1364">
        <f>IFERROR(VLOOKUP($S1364,'TA database'!$I$200:$J$271,2,FALSE),0)</f>
        <v>0</v>
      </c>
      <c r="Y1364">
        <f t="shared" ca="1" si="4204"/>
        <v>6</v>
      </c>
      <c r="Z1364" t="str">
        <f t="shared" si="4214"/>
        <v>NG_SR_LRG_C   →   C_UNDRGRND_STRG   →   H2_T&amp;D_P   →   H2_FC_DCHP_HEAT</v>
      </c>
      <c r="AA1364" t="str">
        <f t="shared" si="4215"/>
        <v>Building heat</v>
      </c>
      <c r="AB1364" t="str">
        <f t="shared" si="4216"/>
        <v>Maturity</v>
      </c>
      <c r="AC1364">
        <f t="shared" ca="1" si="4217"/>
        <v>6</v>
      </c>
      <c r="AD1364">
        <v>1305</v>
      </c>
      <c r="AE1364" t="str">
        <f>IF(AND(ISNUMBER(SEARCH(O1364,4)),ISNUMBER(SEARCH('(4) FCH pathway assessment'!$B$16,AB1364)),ISNUMBER(SEARCH('(4) FCH pathway assessment'!$B$10,AA1364))),AD1364,"")</f>
        <v/>
      </c>
      <c r="AF1364" t="str">
        <f t="shared" si="4162"/>
        <v/>
      </c>
      <c r="AG1364" t="str">
        <f>VLOOKUP(C1364,Assumptions!$B$116:$C$162,2,FALSE)</f>
        <v>NG_SR_LRG_C</v>
      </c>
      <c r="AH1364" t="str">
        <f>VLOOKUP(D1364,Assumptions!$B$116:$C$162,2,FALSE)</f>
        <v>C_UNDRGRND_STRG</v>
      </c>
      <c r="AI1364" t="str">
        <f>VLOOKUP(E1364,Assumptions!$B$116:$C$162,2,FALSE)</f>
        <v>H2_T&amp;D_P</v>
      </c>
      <c r="AJ1364" t="str">
        <f>VLOOKUP(F1364,Assumptions!$B$116:$C$162,2,FALSE)</f>
        <v>H2_FC_DCHP_HEAT</v>
      </c>
    </row>
    <row r="1365" spans="2:36" x14ac:dyDescent="0.25">
      <c r="B1365" t="s">
        <v>127</v>
      </c>
      <c r="C1365" t="s">
        <v>57</v>
      </c>
      <c r="D1365" t="s">
        <v>62</v>
      </c>
      <c r="E1365" t="s">
        <v>116</v>
      </c>
      <c r="F1365" t="s">
        <v>552</v>
      </c>
      <c r="G1365" t="s">
        <v>132</v>
      </c>
      <c r="H1365" t="s">
        <v>434</v>
      </c>
      <c r="I1365" t="s">
        <v>32</v>
      </c>
      <c r="J1365" t="s">
        <v>78</v>
      </c>
      <c r="K1365">
        <f t="shared" si="4205"/>
        <v>1</v>
      </c>
      <c r="L1365">
        <f t="shared" si="4206"/>
        <v>0</v>
      </c>
      <c r="M1365">
        <f t="shared" si="4207"/>
        <v>1</v>
      </c>
      <c r="N1365">
        <f t="shared" si="4208"/>
        <v>1</v>
      </c>
      <c r="O1365">
        <f t="shared" si="4209"/>
        <v>3</v>
      </c>
      <c r="P1365" t="str">
        <f t="shared" si="4210"/>
        <v>Large centralized natural gas steam reforming-Maturity</v>
      </c>
      <c r="Q1365" t="str">
        <f t="shared" si="4211"/>
        <v>Underground storage-Maturity</v>
      </c>
      <c r="R1365" t="str">
        <f t="shared" si="4212"/>
        <v>Liquid hydrogen truck-Maturity</v>
      </c>
      <c r="S1365" t="str">
        <f t="shared" si="4213"/>
        <v>District-CHP with H2 fuel cell (heat)-Maturity</v>
      </c>
      <c r="T1365">
        <f ca="1">VLOOKUP($P1365,'TA database'!$I$8:$J$79,2,FALSE)</f>
        <v>9</v>
      </c>
      <c r="U1365">
        <f ca="1">VLOOKUP($Q1365,'TA database'!$I$86:$J$105,2,FALSE)</f>
        <v>6</v>
      </c>
      <c r="V1365">
        <f ca="1">VLOOKUP($R1365,'TA database'!$I$112:$J$139,2,FALSE)</f>
        <v>9</v>
      </c>
      <c r="W1365">
        <f ca="1">IFERROR(VLOOKUP($S1365,'TA database'!$I$146:$J$193,2,FALSE),0)</f>
        <v>9</v>
      </c>
      <c r="X1365">
        <f>IFERROR(VLOOKUP($S1365,'TA database'!$I$200:$J$271,2,FALSE),0)</f>
        <v>0</v>
      </c>
      <c r="Y1365">
        <f t="shared" ca="1" si="4204"/>
        <v>6</v>
      </c>
      <c r="Z1365" t="str">
        <f t="shared" si="4214"/>
        <v>NG_SR_LRG_C   →   C_UNDRGRND_STRG   →   LQ_TRUCK   →   H2_FC_DCHP_HEAT</v>
      </c>
      <c r="AA1365" t="str">
        <f t="shared" si="4215"/>
        <v>Building heat</v>
      </c>
      <c r="AB1365" t="str">
        <f t="shared" si="4216"/>
        <v>Maturity</v>
      </c>
      <c r="AC1365">
        <f t="shared" ca="1" si="4217"/>
        <v>6</v>
      </c>
      <c r="AD1365">
        <v>1306</v>
      </c>
      <c r="AE1365" t="str">
        <f>IF(AND(ISNUMBER(SEARCH(O1365,4)),ISNUMBER(SEARCH('(4) FCH pathway assessment'!$B$16,AB1365)),ISNUMBER(SEARCH('(4) FCH pathway assessment'!$B$10,AA1365))),AD1365,"")</f>
        <v/>
      </c>
      <c r="AF1365" t="str">
        <f t="shared" si="4162"/>
        <v/>
      </c>
      <c r="AG1365" t="str">
        <f>VLOOKUP(C1365,Assumptions!$B$116:$C$162,2,FALSE)</f>
        <v>NG_SR_LRG_C</v>
      </c>
      <c r="AH1365" t="str">
        <f>VLOOKUP(D1365,Assumptions!$B$116:$C$162,2,FALSE)</f>
        <v>C_UNDRGRND_STRG</v>
      </c>
      <c r="AI1365" t="str">
        <f>VLOOKUP(E1365,Assumptions!$B$116:$C$162,2,FALSE)</f>
        <v>LQ_TRUCK</v>
      </c>
      <c r="AJ1365" t="str">
        <f>VLOOKUP(F1365,Assumptions!$B$116:$C$162,2,FALSE)</f>
        <v>H2_FC_DCHP_HEAT</v>
      </c>
    </row>
    <row r="1366" spans="2:36" x14ac:dyDescent="0.25">
      <c r="B1366" t="s">
        <v>127</v>
      </c>
      <c r="C1366" t="s">
        <v>57</v>
      </c>
      <c r="D1366" t="s">
        <v>62</v>
      </c>
      <c r="E1366" t="s">
        <v>66</v>
      </c>
      <c r="F1366" t="s">
        <v>552</v>
      </c>
      <c r="G1366" t="s">
        <v>132</v>
      </c>
      <c r="H1366" t="s">
        <v>434</v>
      </c>
      <c r="I1366" t="s">
        <v>32</v>
      </c>
      <c r="J1366" t="s">
        <v>78</v>
      </c>
      <c r="K1366">
        <f t="shared" si="4205"/>
        <v>1</v>
      </c>
      <c r="L1366">
        <f t="shared" si="4206"/>
        <v>0</v>
      </c>
      <c r="M1366">
        <f t="shared" si="4207"/>
        <v>1</v>
      </c>
      <c r="N1366">
        <f t="shared" si="4208"/>
        <v>1</v>
      </c>
      <c r="O1366">
        <f t="shared" si="4209"/>
        <v>3</v>
      </c>
      <c r="P1366" t="str">
        <f t="shared" si="4210"/>
        <v>Large centralized natural gas steam reforming-Maturity</v>
      </c>
      <c r="Q1366" t="str">
        <f t="shared" si="4211"/>
        <v>Underground storage-Maturity</v>
      </c>
      <c r="R1366" t="str">
        <f t="shared" si="4212"/>
        <v>Onsite-Maturity</v>
      </c>
      <c r="S1366" t="str">
        <f t="shared" si="4213"/>
        <v>District-CHP with H2 fuel cell (heat)-Maturity</v>
      </c>
      <c r="T1366">
        <f ca="1">VLOOKUP($P1366,'TA database'!$I$8:$J$79,2,FALSE)</f>
        <v>9</v>
      </c>
      <c r="U1366">
        <f ca="1">VLOOKUP($Q1366,'TA database'!$I$86:$J$105,2,FALSE)</f>
        <v>6</v>
      </c>
      <c r="V1366">
        <f ca="1">VLOOKUP($R1366,'TA database'!$I$112:$J$139,2,FALSE)</f>
        <v>9</v>
      </c>
      <c r="W1366">
        <f ca="1">IFERROR(VLOOKUP($S1366,'TA database'!$I$146:$J$193,2,FALSE),0)</f>
        <v>9</v>
      </c>
      <c r="X1366">
        <f>IFERROR(VLOOKUP($S1366,'TA database'!$I$200:$J$271,2,FALSE),0)</f>
        <v>0</v>
      </c>
      <c r="Y1366">
        <f t="shared" ca="1" si="4204"/>
        <v>6</v>
      </c>
      <c r="Z1366" t="str">
        <f t="shared" si="4214"/>
        <v>NG_SR_LRG_C   →   C_UNDRGRND_STRG   →   ONSITE_USE   →   H2_FC_DCHP_HEAT</v>
      </c>
      <c r="AA1366" t="str">
        <f t="shared" si="4215"/>
        <v>Building heat</v>
      </c>
      <c r="AB1366" t="str">
        <f t="shared" si="4216"/>
        <v>Maturity</v>
      </c>
      <c r="AC1366">
        <f t="shared" ca="1" si="4217"/>
        <v>6</v>
      </c>
      <c r="AD1366">
        <v>1307</v>
      </c>
      <c r="AE1366" t="str">
        <f>IF(AND(ISNUMBER(SEARCH(O1366,4)),ISNUMBER(SEARCH('(4) FCH pathway assessment'!$B$16,AB1366)),ISNUMBER(SEARCH('(4) FCH pathway assessment'!$B$10,AA1366))),AD1366,"")</f>
        <v/>
      </c>
      <c r="AF1366" t="str">
        <f t="shared" si="4162"/>
        <v/>
      </c>
      <c r="AG1366" t="str">
        <f>VLOOKUP(C1366,Assumptions!$B$116:$C$162,2,FALSE)</f>
        <v>NG_SR_LRG_C</v>
      </c>
      <c r="AH1366" t="str">
        <f>VLOOKUP(D1366,Assumptions!$B$116:$C$162,2,FALSE)</f>
        <v>C_UNDRGRND_STRG</v>
      </c>
      <c r="AI1366" t="str">
        <f>VLOOKUP(E1366,Assumptions!$B$116:$C$162,2,FALSE)</f>
        <v>ONSITE_USE</v>
      </c>
      <c r="AJ1366" t="str">
        <f>VLOOKUP(F1366,Assumptions!$B$116:$C$162,2,FALSE)</f>
        <v>H2_FC_DCHP_HEAT</v>
      </c>
    </row>
    <row r="1367" spans="2:36" x14ac:dyDescent="0.25">
      <c r="B1367" t="s">
        <v>127</v>
      </c>
      <c r="C1367" t="s">
        <v>57</v>
      </c>
      <c r="D1367" s="61" t="s">
        <v>63</v>
      </c>
      <c r="E1367" t="s">
        <v>122</v>
      </c>
      <c r="F1367" t="s">
        <v>552</v>
      </c>
      <c r="G1367" t="s">
        <v>132</v>
      </c>
      <c r="H1367" t="s">
        <v>434</v>
      </c>
      <c r="I1367" t="s">
        <v>32</v>
      </c>
      <c r="J1367" t="s">
        <v>78</v>
      </c>
      <c r="K1367">
        <f t="shared" si="4205"/>
        <v>1</v>
      </c>
      <c r="L1367">
        <f t="shared" si="4206"/>
        <v>1</v>
      </c>
      <c r="M1367">
        <f t="shared" si="4207"/>
        <v>1</v>
      </c>
      <c r="N1367">
        <f t="shared" si="4208"/>
        <v>1</v>
      </c>
      <c r="O1367">
        <f t="shared" si="4209"/>
        <v>4</v>
      </c>
      <c r="P1367" t="str">
        <f t="shared" si="4210"/>
        <v>Large centralized natural gas steam reforming-Maturity</v>
      </c>
      <c r="Q1367" t="str">
        <f t="shared" si="4211"/>
        <v>No storage-Maturity</v>
      </c>
      <c r="R1367" t="str">
        <f t="shared" si="4212"/>
        <v>Hydrogen transmission &amp; distribution pipeline-Maturity</v>
      </c>
      <c r="S1367" t="str">
        <f t="shared" si="4213"/>
        <v>District-CHP with H2 fuel cell (heat)-Maturity</v>
      </c>
      <c r="T1367">
        <f ca="1">VLOOKUP($P1367,'TA database'!$I$8:$J$79,2,FALSE)</f>
        <v>9</v>
      </c>
      <c r="U1367">
        <f ca="1">VLOOKUP($Q1367,'TA database'!$I$86:$J$105,2,FALSE)</f>
        <v>9</v>
      </c>
      <c r="V1367">
        <f ca="1">VLOOKUP($R1367,'TA database'!$I$112:$J$139,2,FALSE)</f>
        <v>9</v>
      </c>
      <c r="W1367">
        <f ca="1">IFERROR(VLOOKUP($S1367,'TA database'!$I$146:$J$193,2,FALSE),0)</f>
        <v>9</v>
      </c>
      <c r="X1367">
        <f>IFERROR(VLOOKUP($S1367,'TA database'!$I$200:$J$271,2,FALSE),0)</f>
        <v>0</v>
      </c>
      <c r="Y1367">
        <f t="shared" ref="Y1367:Y1371" ca="1" si="4218">IF($W1367=0,MIN($T1367:$V1367,$X1367),MIN($T1367:$W1367))</f>
        <v>9</v>
      </c>
      <c r="Z1367" t="str">
        <f t="shared" si="4214"/>
        <v>NG_SR_LRG_C   →   NO_STRG   →   H2_T&amp;D_P   →   H2_FC_DCHP_HEAT</v>
      </c>
      <c r="AA1367" t="str">
        <f t="shared" si="4215"/>
        <v>Building heat</v>
      </c>
      <c r="AB1367" t="str">
        <f t="shared" si="4216"/>
        <v>Maturity</v>
      </c>
      <c r="AC1367">
        <f t="shared" ca="1" si="4217"/>
        <v>9</v>
      </c>
      <c r="AD1367">
        <v>1308</v>
      </c>
      <c r="AE1367" t="str">
        <f>IF(AND(ISNUMBER(SEARCH(O1367,4)),ISNUMBER(SEARCH('(4) FCH pathway assessment'!$B$16,AB1367)),ISNUMBER(SEARCH('(4) FCH pathway assessment'!$B$10,AA1367))),AD1367,"")</f>
        <v/>
      </c>
      <c r="AF1367" t="str">
        <f t="shared" si="4162"/>
        <v/>
      </c>
      <c r="AG1367" t="str">
        <f>VLOOKUP(C1367,Assumptions!$B$116:$C$162,2,FALSE)</f>
        <v>NG_SR_LRG_C</v>
      </c>
      <c r="AH1367" t="str">
        <f>VLOOKUP(D1367,Assumptions!$B$116:$C$162,2,FALSE)</f>
        <v>NO_STRG</v>
      </c>
      <c r="AI1367" t="str">
        <f>VLOOKUP(E1367,Assumptions!$B$116:$C$162,2,FALSE)</f>
        <v>H2_T&amp;D_P</v>
      </c>
      <c r="AJ1367" t="str">
        <f>VLOOKUP(F1367,Assumptions!$B$116:$C$162,2,FALSE)</f>
        <v>H2_FC_DCHP_HEAT</v>
      </c>
    </row>
    <row r="1368" spans="2:36" x14ac:dyDescent="0.25">
      <c r="B1368" t="s">
        <v>127</v>
      </c>
      <c r="C1368" t="s">
        <v>58</v>
      </c>
      <c r="D1368" t="s">
        <v>155</v>
      </c>
      <c r="E1368" t="s">
        <v>157</v>
      </c>
      <c r="F1368" t="s">
        <v>552</v>
      </c>
      <c r="G1368" t="s">
        <v>132</v>
      </c>
      <c r="H1368" t="s">
        <v>434</v>
      </c>
      <c r="I1368" t="s">
        <v>32</v>
      </c>
      <c r="J1368" t="s">
        <v>78</v>
      </c>
      <c r="K1368">
        <f t="shared" si="4205"/>
        <v>1</v>
      </c>
      <c r="L1368">
        <f t="shared" si="4206"/>
        <v>1</v>
      </c>
      <c r="M1368">
        <f t="shared" si="4207"/>
        <v>0</v>
      </c>
      <c r="N1368">
        <f t="shared" si="4208"/>
        <v>1</v>
      </c>
      <c r="O1368">
        <f t="shared" si="4209"/>
        <v>3</v>
      </c>
      <c r="P1368" t="str">
        <f t="shared" si="4210"/>
        <v>Small centralized natural gas steam reforming-Maturity</v>
      </c>
      <c r="Q1368" t="str">
        <f t="shared" si="4211"/>
        <v>Central gas storage-Maturity</v>
      </c>
      <c r="R1368" t="str">
        <f t="shared" si="4212"/>
        <v>Blending in natural gas pipeline-Maturity</v>
      </c>
      <c r="S1368" t="str">
        <f t="shared" si="4213"/>
        <v>District-CHP with H2 fuel cell (heat)-Maturity</v>
      </c>
      <c r="T1368">
        <f ca="1">VLOOKUP($P1368,'TA database'!$I$8:$J$79,2,FALSE)</f>
        <v>9</v>
      </c>
      <c r="U1368">
        <f ca="1">VLOOKUP($Q1368,'TA database'!$I$86:$J$105,2,FALSE)</f>
        <v>9</v>
      </c>
      <c r="V1368">
        <f ca="1">VLOOKUP($R1368,'TA database'!$I$112:$J$139,2,FALSE)</f>
        <v>7</v>
      </c>
      <c r="W1368">
        <f ca="1">IFERROR(VLOOKUP($S1368,'TA database'!$I$146:$J$193,2,FALSE),0)</f>
        <v>9</v>
      </c>
      <c r="X1368">
        <f>IFERROR(VLOOKUP($S1368,'TA database'!$I$200:$J$271,2,FALSE),0)</f>
        <v>0</v>
      </c>
      <c r="Y1368">
        <f t="shared" ca="1" si="4218"/>
        <v>7</v>
      </c>
      <c r="Z1368" t="str">
        <f t="shared" si="4214"/>
        <v>NG_SR_SML_C   →   C_GAS_STRG   →   H2_BLND_NG_P   →   H2_FC_DCHP_HEAT</v>
      </c>
      <c r="AA1368" t="str">
        <f t="shared" si="4215"/>
        <v>Building heat</v>
      </c>
      <c r="AB1368" t="str">
        <f t="shared" si="4216"/>
        <v>Maturity</v>
      </c>
      <c r="AC1368">
        <f t="shared" ca="1" si="4217"/>
        <v>7</v>
      </c>
      <c r="AD1368">
        <v>1309</v>
      </c>
      <c r="AE1368" t="str">
        <f>IF(AND(ISNUMBER(SEARCH(O1368,4)),ISNUMBER(SEARCH('(4) FCH pathway assessment'!$B$16,AB1368)),ISNUMBER(SEARCH('(4) FCH pathway assessment'!$B$10,AA1368))),AD1368,"")</f>
        <v/>
      </c>
      <c r="AF1368" t="str">
        <f t="shared" si="4162"/>
        <v/>
      </c>
      <c r="AG1368" t="str">
        <f>VLOOKUP(C1368,Assumptions!$B$116:$C$162,2,FALSE)</f>
        <v>NG_SR_SML_C</v>
      </c>
      <c r="AH1368" t="str">
        <f>VLOOKUP(D1368,Assumptions!$B$116:$C$162,2,FALSE)</f>
        <v>C_GAS_STRG</v>
      </c>
      <c r="AI1368" t="str">
        <f>VLOOKUP(E1368,Assumptions!$B$116:$C$162,2,FALSE)</f>
        <v>H2_BLND_NG_P</v>
      </c>
      <c r="AJ1368" t="str">
        <f>VLOOKUP(F1368,Assumptions!$B$116:$C$162,2,FALSE)</f>
        <v>H2_FC_DCHP_HEAT</v>
      </c>
    </row>
    <row r="1369" spans="2:36" x14ac:dyDescent="0.25">
      <c r="B1369" t="s">
        <v>127</v>
      </c>
      <c r="C1369" t="s">
        <v>58</v>
      </c>
      <c r="D1369" t="s">
        <v>155</v>
      </c>
      <c r="E1369" t="s">
        <v>122</v>
      </c>
      <c r="F1369" t="s">
        <v>552</v>
      </c>
      <c r="G1369" t="s">
        <v>132</v>
      </c>
      <c r="H1369" t="s">
        <v>434</v>
      </c>
      <c r="I1369" t="s">
        <v>32</v>
      </c>
      <c r="J1369" t="s">
        <v>78</v>
      </c>
      <c r="K1369">
        <f t="shared" si="4205"/>
        <v>1</v>
      </c>
      <c r="L1369">
        <f t="shared" si="4206"/>
        <v>1</v>
      </c>
      <c r="M1369">
        <f t="shared" si="4207"/>
        <v>1</v>
      </c>
      <c r="N1369">
        <f t="shared" si="4208"/>
        <v>1</v>
      </c>
      <c r="O1369">
        <f t="shared" si="4209"/>
        <v>4</v>
      </c>
      <c r="P1369" t="str">
        <f t="shared" si="4210"/>
        <v>Small centralized natural gas steam reforming-Maturity</v>
      </c>
      <c r="Q1369" t="str">
        <f t="shared" si="4211"/>
        <v>Central gas storage-Maturity</v>
      </c>
      <c r="R1369" t="str">
        <f t="shared" si="4212"/>
        <v>Hydrogen transmission &amp; distribution pipeline-Maturity</v>
      </c>
      <c r="S1369" t="str">
        <f t="shared" si="4213"/>
        <v>District-CHP with H2 fuel cell (heat)-Maturity</v>
      </c>
      <c r="T1369">
        <f ca="1">VLOOKUP($P1369,'TA database'!$I$8:$J$79,2,FALSE)</f>
        <v>9</v>
      </c>
      <c r="U1369">
        <f ca="1">VLOOKUP($Q1369,'TA database'!$I$86:$J$105,2,FALSE)</f>
        <v>9</v>
      </c>
      <c r="V1369">
        <f ca="1">VLOOKUP($R1369,'TA database'!$I$112:$J$139,2,FALSE)</f>
        <v>9</v>
      </c>
      <c r="W1369">
        <f ca="1">IFERROR(VLOOKUP($S1369,'TA database'!$I$146:$J$193,2,FALSE),0)</f>
        <v>9</v>
      </c>
      <c r="X1369">
        <f>IFERROR(VLOOKUP($S1369,'TA database'!$I$200:$J$271,2,FALSE),0)</f>
        <v>0</v>
      </c>
      <c r="Y1369">
        <f t="shared" ca="1" si="4218"/>
        <v>9</v>
      </c>
      <c r="Z1369" t="str">
        <f t="shared" si="4214"/>
        <v>NG_SR_SML_C   →   C_GAS_STRG   →   H2_T&amp;D_P   →   H2_FC_DCHP_HEAT</v>
      </c>
      <c r="AA1369" t="str">
        <f t="shared" si="4215"/>
        <v>Building heat</v>
      </c>
      <c r="AB1369" t="str">
        <f t="shared" si="4216"/>
        <v>Maturity</v>
      </c>
      <c r="AC1369">
        <f t="shared" ca="1" si="4217"/>
        <v>9</v>
      </c>
      <c r="AD1369">
        <v>1310</v>
      </c>
      <c r="AE1369" t="str">
        <f>IF(AND(ISNUMBER(SEARCH(O1369,4)),ISNUMBER(SEARCH('(4) FCH pathway assessment'!$B$16,AB1369)),ISNUMBER(SEARCH('(4) FCH pathway assessment'!$B$10,AA1369))),AD1369,"")</f>
        <v/>
      </c>
      <c r="AF1369" t="str">
        <f t="shared" si="4162"/>
        <v/>
      </c>
      <c r="AG1369" t="str">
        <f>VLOOKUP(C1369,Assumptions!$B$116:$C$162,2,FALSE)</f>
        <v>NG_SR_SML_C</v>
      </c>
      <c r="AH1369" t="str">
        <f>VLOOKUP(D1369,Assumptions!$B$116:$C$162,2,FALSE)</f>
        <v>C_GAS_STRG</v>
      </c>
      <c r="AI1369" t="str">
        <f>VLOOKUP(E1369,Assumptions!$B$116:$C$162,2,FALSE)</f>
        <v>H2_T&amp;D_P</v>
      </c>
      <c r="AJ1369" t="str">
        <f>VLOOKUP(F1369,Assumptions!$B$116:$C$162,2,FALSE)</f>
        <v>H2_FC_DCHP_HEAT</v>
      </c>
    </row>
    <row r="1370" spans="2:36" x14ac:dyDescent="0.25">
      <c r="B1370" t="s">
        <v>127</v>
      </c>
      <c r="C1370" t="s">
        <v>58</v>
      </c>
      <c r="D1370" t="s">
        <v>155</v>
      </c>
      <c r="E1370" t="s">
        <v>116</v>
      </c>
      <c r="F1370" t="s">
        <v>552</v>
      </c>
      <c r="G1370" t="s">
        <v>132</v>
      </c>
      <c r="H1370" t="s">
        <v>434</v>
      </c>
      <c r="I1370" t="s">
        <v>32</v>
      </c>
      <c r="J1370" t="s">
        <v>78</v>
      </c>
      <c r="K1370">
        <f t="shared" si="4205"/>
        <v>1</v>
      </c>
      <c r="L1370">
        <f t="shared" si="4206"/>
        <v>1</v>
      </c>
      <c r="M1370">
        <f t="shared" si="4207"/>
        <v>1</v>
      </c>
      <c r="N1370">
        <f t="shared" si="4208"/>
        <v>1</v>
      </c>
      <c r="O1370">
        <f t="shared" si="4209"/>
        <v>4</v>
      </c>
      <c r="P1370" t="str">
        <f t="shared" si="4210"/>
        <v>Small centralized natural gas steam reforming-Maturity</v>
      </c>
      <c r="Q1370" t="str">
        <f t="shared" si="4211"/>
        <v>Central gas storage-Maturity</v>
      </c>
      <c r="R1370" t="str">
        <f t="shared" si="4212"/>
        <v>Liquid hydrogen truck-Maturity</v>
      </c>
      <c r="S1370" t="str">
        <f t="shared" si="4213"/>
        <v>District-CHP with H2 fuel cell (heat)-Maturity</v>
      </c>
      <c r="T1370">
        <f ca="1">VLOOKUP($P1370,'TA database'!$I$8:$J$79,2,FALSE)</f>
        <v>9</v>
      </c>
      <c r="U1370">
        <f ca="1">VLOOKUP($Q1370,'TA database'!$I$86:$J$105,2,FALSE)</f>
        <v>9</v>
      </c>
      <c r="V1370">
        <f ca="1">VLOOKUP($R1370,'TA database'!$I$112:$J$139,2,FALSE)</f>
        <v>9</v>
      </c>
      <c r="W1370">
        <f ca="1">IFERROR(VLOOKUP($S1370,'TA database'!$I$146:$J$193,2,FALSE),0)</f>
        <v>9</v>
      </c>
      <c r="X1370">
        <f>IFERROR(VLOOKUP($S1370,'TA database'!$I$200:$J$271,2,FALSE),0)</f>
        <v>0</v>
      </c>
      <c r="Y1370">
        <f t="shared" ca="1" si="4218"/>
        <v>9</v>
      </c>
      <c r="Z1370" t="str">
        <f t="shared" si="4214"/>
        <v>NG_SR_SML_C   →   C_GAS_STRG   →   LQ_TRUCK   →   H2_FC_DCHP_HEAT</v>
      </c>
      <c r="AA1370" t="str">
        <f t="shared" si="4215"/>
        <v>Building heat</v>
      </c>
      <c r="AB1370" t="str">
        <f t="shared" si="4216"/>
        <v>Maturity</v>
      </c>
      <c r="AC1370">
        <f t="shared" ca="1" si="4217"/>
        <v>9</v>
      </c>
      <c r="AD1370">
        <v>1311</v>
      </c>
      <c r="AE1370" t="str">
        <f>IF(AND(ISNUMBER(SEARCH(O1370,4)),ISNUMBER(SEARCH('(4) FCH pathway assessment'!$B$16,AB1370)),ISNUMBER(SEARCH('(4) FCH pathway assessment'!$B$10,AA1370))),AD1370,"")</f>
        <v/>
      </c>
      <c r="AF1370" t="str">
        <f t="shared" si="4162"/>
        <v/>
      </c>
      <c r="AG1370" t="str">
        <f>VLOOKUP(C1370,Assumptions!$B$116:$C$162,2,FALSE)</f>
        <v>NG_SR_SML_C</v>
      </c>
      <c r="AH1370" t="str">
        <f>VLOOKUP(D1370,Assumptions!$B$116:$C$162,2,FALSE)</f>
        <v>C_GAS_STRG</v>
      </c>
      <c r="AI1370" t="str">
        <f>VLOOKUP(E1370,Assumptions!$B$116:$C$162,2,FALSE)</f>
        <v>LQ_TRUCK</v>
      </c>
      <c r="AJ1370" t="str">
        <f>VLOOKUP(F1370,Assumptions!$B$116:$C$162,2,FALSE)</f>
        <v>H2_FC_DCHP_HEAT</v>
      </c>
    </row>
    <row r="1371" spans="2:36" x14ac:dyDescent="0.25">
      <c r="B1371" t="s">
        <v>127</v>
      </c>
      <c r="C1371" t="s">
        <v>58</v>
      </c>
      <c r="D1371" t="s">
        <v>155</v>
      </c>
      <c r="E1371" t="s">
        <v>66</v>
      </c>
      <c r="F1371" t="s">
        <v>552</v>
      </c>
      <c r="G1371" t="s">
        <v>132</v>
      </c>
      <c r="H1371" t="s">
        <v>434</v>
      </c>
      <c r="I1371" t="s">
        <v>32</v>
      </c>
      <c r="J1371" t="s">
        <v>78</v>
      </c>
      <c r="K1371">
        <f t="shared" si="4205"/>
        <v>1</v>
      </c>
      <c r="L1371">
        <f t="shared" si="4206"/>
        <v>1</v>
      </c>
      <c r="M1371">
        <f t="shared" si="4207"/>
        <v>1</v>
      </c>
      <c r="N1371">
        <f t="shared" si="4208"/>
        <v>1</v>
      </c>
      <c r="O1371">
        <f t="shared" si="4209"/>
        <v>4</v>
      </c>
      <c r="P1371" t="str">
        <f t="shared" si="4210"/>
        <v>Small centralized natural gas steam reforming-Maturity</v>
      </c>
      <c r="Q1371" t="str">
        <f t="shared" si="4211"/>
        <v>Central gas storage-Maturity</v>
      </c>
      <c r="R1371" t="str">
        <f t="shared" si="4212"/>
        <v>Onsite-Maturity</v>
      </c>
      <c r="S1371" t="str">
        <f t="shared" si="4213"/>
        <v>District-CHP with H2 fuel cell (heat)-Maturity</v>
      </c>
      <c r="T1371">
        <f ca="1">VLOOKUP($P1371,'TA database'!$I$8:$J$79,2,FALSE)</f>
        <v>9</v>
      </c>
      <c r="U1371">
        <f ca="1">VLOOKUP($Q1371,'TA database'!$I$86:$J$105,2,FALSE)</f>
        <v>9</v>
      </c>
      <c r="V1371">
        <f ca="1">VLOOKUP($R1371,'TA database'!$I$112:$J$139,2,FALSE)</f>
        <v>9</v>
      </c>
      <c r="W1371">
        <f ca="1">IFERROR(VLOOKUP($S1371,'TA database'!$I$146:$J$193,2,FALSE),0)</f>
        <v>9</v>
      </c>
      <c r="X1371">
        <f>IFERROR(VLOOKUP($S1371,'TA database'!$I$200:$J$271,2,FALSE),0)</f>
        <v>0</v>
      </c>
      <c r="Y1371">
        <f t="shared" ca="1" si="4218"/>
        <v>9</v>
      </c>
      <c r="Z1371" t="str">
        <f t="shared" si="4214"/>
        <v>NG_SR_SML_C   →   C_GAS_STRG   →   ONSITE_USE   →   H2_FC_DCHP_HEAT</v>
      </c>
      <c r="AA1371" t="str">
        <f t="shared" si="4215"/>
        <v>Building heat</v>
      </c>
      <c r="AB1371" t="str">
        <f t="shared" si="4216"/>
        <v>Maturity</v>
      </c>
      <c r="AC1371">
        <f t="shared" ca="1" si="4217"/>
        <v>9</v>
      </c>
      <c r="AD1371">
        <v>1312</v>
      </c>
      <c r="AE1371" t="str">
        <f>IF(AND(ISNUMBER(SEARCH(O1371,4)),ISNUMBER(SEARCH('(4) FCH pathway assessment'!$B$16,AB1371)),ISNUMBER(SEARCH('(4) FCH pathway assessment'!$B$10,AA1371))),AD1371,"")</f>
        <v/>
      </c>
      <c r="AF1371" t="str">
        <f t="shared" si="4162"/>
        <v/>
      </c>
      <c r="AG1371" t="str">
        <f>VLOOKUP(C1371,Assumptions!$B$116:$C$162,2,FALSE)</f>
        <v>NG_SR_SML_C</v>
      </c>
      <c r="AH1371" t="str">
        <f>VLOOKUP(D1371,Assumptions!$B$116:$C$162,2,FALSE)</f>
        <v>C_GAS_STRG</v>
      </c>
      <c r="AI1371" t="str">
        <f>VLOOKUP(E1371,Assumptions!$B$116:$C$162,2,FALSE)</f>
        <v>ONSITE_USE</v>
      </c>
      <c r="AJ1371" t="str">
        <f>VLOOKUP(F1371,Assumptions!$B$116:$C$162,2,FALSE)</f>
        <v>H2_FC_DCHP_HEAT</v>
      </c>
    </row>
    <row r="1372" spans="2:36" x14ac:dyDescent="0.25">
      <c r="B1372" t="s">
        <v>127</v>
      </c>
      <c r="C1372" t="s">
        <v>59</v>
      </c>
      <c r="D1372" s="60" t="s">
        <v>130</v>
      </c>
      <c r="E1372" t="s">
        <v>66</v>
      </c>
      <c r="F1372" t="s">
        <v>552</v>
      </c>
      <c r="G1372" t="s">
        <v>132</v>
      </c>
      <c r="H1372" t="s">
        <v>434</v>
      </c>
      <c r="I1372" t="s">
        <v>32</v>
      </c>
      <c r="J1372" t="s">
        <v>78</v>
      </c>
      <c r="K1372">
        <f t="shared" ref="K1372" si="4219">SUMPRODUCT(($C$7:$C$18=$C1372)*($D$6:$H$6=$D1372)*($D$7:$H$18))</f>
        <v>1</v>
      </c>
      <c r="L1372">
        <f t="shared" ref="L1372" si="4220">SUMPRODUCT(($C$19:$C$23=$D1372)*($I$6:$O$6=$E1372)*($I$19:$O$23))</f>
        <v>1</v>
      </c>
      <c r="M1372">
        <f t="shared" ref="M1372" si="4221">SUMPRODUCT(($C$24:$C$30=$E1372)*($P$6:$AI$6=$F1372)*($P$24:$AI$30))</f>
        <v>1</v>
      </c>
      <c r="N1372">
        <f t="shared" ref="N1372" si="4222">SUMPRODUCT(($C$31:$C$50=$F1372)*($AJ$6:$AM$6=$G1372)*($AJ$31:$AM$50))</f>
        <v>1</v>
      </c>
      <c r="O1372">
        <f t="shared" ref="O1372" si="4223">K1372+L1372+M1372+N1372</f>
        <v>4</v>
      </c>
      <c r="P1372" t="str">
        <f t="shared" ref="P1372" si="4224">CONCATENATE(C1372,"-",J1372)</f>
        <v>Medium decentralized natural gas steam reforming-Maturity</v>
      </c>
      <c r="Q1372" t="str">
        <f t="shared" ref="Q1372" si="4225">CONCATENATE(D1372,"-",J1372)</f>
        <v>Distributed gas storage-Maturity</v>
      </c>
      <c r="R1372" t="str">
        <f t="shared" ref="R1372" si="4226">CONCATENATE(E1372,"-",J1372)</f>
        <v>Onsite-Maturity</v>
      </c>
      <c r="S1372" t="str">
        <f t="shared" ref="S1372" si="4227">CONCATENATE(F1372,"-",J1372)</f>
        <v>District-CHP with H2 fuel cell (heat)-Maturity</v>
      </c>
      <c r="T1372">
        <f ca="1">VLOOKUP($P1372,'TA database'!$I$8:$J$79,2,FALSE)</f>
        <v>9</v>
      </c>
      <c r="U1372">
        <f ca="1">VLOOKUP($Q1372,'TA database'!$I$86:$J$105,2,FALSE)</f>
        <v>9</v>
      </c>
      <c r="V1372">
        <f ca="1">VLOOKUP($R1372,'TA database'!$I$112:$J$139,2,FALSE)</f>
        <v>9</v>
      </c>
      <c r="W1372">
        <f ca="1">IFERROR(VLOOKUP($S1372,'TA database'!$I$146:$J$193,2,FALSE),0)</f>
        <v>9</v>
      </c>
      <c r="X1372">
        <f>IFERROR(VLOOKUP($S1372,'TA database'!$I$200:$J$271,2,FALSE),0)</f>
        <v>0</v>
      </c>
      <c r="Y1372">
        <f t="shared" ref="Y1372:Y1373" ca="1" si="4228">IF($W1372=0,MIN($T1372:$V1372,$X1372),MIN($T1372:$W1372))</f>
        <v>9</v>
      </c>
      <c r="Z1372" t="str">
        <f t="shared" ref="Z1372" si="4229">CONCATENATE(AG1372,"   →   ",AH1372,"   →   ",AI1372,"   →   ",AJ1372)</f>
        <v>NG_SR_MED_D   →   D_GAS_STRG   →   ONSITE_USE   →   H2_FC_DCHP_HEAT</v>
      </c>
      <c r="AA1372" t="str">
        <f t="shared" ref="AA1372" si="4230">G1372</f>
        <v>Building heat</v>
      </c>
      <c r="AB1372" t="str">
        <f t="shared" ref="AB1372" si="4231">J1372</f>
        <v>Maturity</v>
      </c>
      <c r="AC1372">
        <f t="shared" ref="AC1372" ca="1" si="4232">Y1372</f>
        <v>9</v>
      </c>
      <c r="AD1372">
        <v>1313</v>
      </c>
      <c r="AE1372" t="str">
        <f>IF(AND(ISNUMBER(SEARCH(O1372,4)),ISNUMBER(SEARCH('(4) FCH pathway assessment'!$B$16,AB1372)),ISNUMBER(SEARCH('(4) FCH pathway assessment'!$B$10,AA1372))),AD1372,"")</f>
        <v/>
      </c>
      <c r="AF1372" t="str">
        <f t="shared" si="4162"/>
        <v/>
      </c>
      <c r="AG1372" t="str">
        <f>VLOOKUP(C1372,Assumptions!$B$116:$C$162,2,FALSE)</f>
        <v>NG_SR_MED_D</v>
      </c>
      <c r="AH1372" t="str">
        <f>VLOOKUP(D1372,Assumptions!$B$116:$C$162,2,FALSE)</f>
        <v>D_GAS_STRG</v>
      </c>
      <c r="AI1372" t="str">
        <f>VLOOKUP(E1372,Assumptions!$B$116:$C$162,2,FALSE)</f>
        <v>ONSITE_USE</v>
      </c>
      <c r="AJ1372" t="str">
        <f>VLOOKUP(F1372,Assumptions!$B$116:$C$162,2,FALSE)</f>
        <v>H2_FC_DCHP_HEAT</v>
      </c>
    </row>
    <row r="1373" spans="2:36" x14ac:dyDescent="0.25">
      <c r="B1373" t="s">
        <v>127</v>
      </c>
      <c r="C1373" t="s">
        <v>60</v>
      </c>
      <c r="D1373" s="60" t="s">
        <v>130</v>
      </c>
      <c r="E1373" t="s">
        <v>66</v>
      </c>
      <c r="F1373" t="s">
        <v>552</v>
      </c>
      <c r="G1373" t="s">
        <v>132</v>
      </c>
      <c r="H1373" t="s">
        <v>434</v>
      </c>
      <c r="I1373" t="s">
        <v>32</v>
      </c>
      <c r="J1373" t="s">
        <v>78</v>
      </c>
      <c r="K1373">
        <f t="shared" ref="K1373" si="4233">SUMPRODUCT(($C$7:$C$18=$C1373)*($D$6:$H$6=$D1373)*($D$7:$H$18))</f>
        <v>1</v>
      </c>
      <c r="L1373">
        <f t="shared" ref="L1373" si="4234">SUMPRODUCT(($C$19:$C$23=$D1373)*($I$6:$O$6=$E1373)*($I$19:$O$23))</f>
        <v>1</v>
      </c>
      <c r="M1373">
        <f t="shared" ref="M1373" si="4235">SUMPRODUCT(($C$24:$C$30=$E1373)*($P$6:$AI$6=$F1373)*($P$24:$AI$30))</f>
        <v>1</v>
      </c>
      <c r="N1373">
        <f t="shared" ref="N1373" si="4236">SUMPRODUCT(($C$31:$C$50=$F1373)*($AJ$6:$AM$6=$G1373)*($AJ$31:$AM$50))</f>
        <v>1</v>
      </c>
      <c r="O1373">
        <f t="shared" ref="O1373" si="4237">K1373+L1373+M1373+N1373</f>
        <v>4</v>
      </c>
      <c r="P1373" t="str">
        <f t="shared" ref="P1373" si="4238">CONCATENATE(C1373,"-",J1373)</f>
        <v>Small decentralized natural gas steam reforming-Maturity</v>
      </c>
      <c r="Q1373" t="str">
        <f t="shared" ref="Q1373" si="4239">CONCATENATE(D1373,"-",J1373)</f>
        <v>Distributed gas storage-Maturity</v>
      </c>
      <c r="R1373" t="str">
        <f t="shared" ref="R1373" si="4240">CONCATENATE(E1373,"-",J1373)</f>
        <v>Onsite-Maturity</v>
      </c>
      <c r="S1373" t="str">
        <f t="shared" ref="S1373" si="4241">CONCATENATE(F1373,"-",J1373)</f>
        <v>District-CHP with H2 fuel cell (heat)-Maturity</v>
      </c>
      <c r="T1373">
        <f ca="1">VLOOKUP($P1373,'TA database'!$I$8:$J$79,2,FALSE)</f>
        <v>9</v>
      </c>
      <c r="U1373">
        <f ca="1">VLOOKUP($Q1373,'TA database'!$I$86:$J$105,2,FALSE)</f>
        <v>9</v>
      </c>
      <c r="V1373">
        <f ca="1">VLOOKUP($R1373,'TA database'!$I$112:$J$139,2,FALSE)</f>
        <v>9</v>
      </c>
      <c r="W1373">
        <f ca="1">IFERROR(VLOOKUP($S1373,'TA database'!$I$146:$J$193,2,FALSE),0)</f>
        <v>9</v>
      </c>
      <c r="X1373">
        <f>IFERROR(VLOOKUP($S1373,'TA database'!$I$200:$J$271,2,FALSE),0)</f>
        <v>0</v>
      </c>
      <c r="Y1373">
        <f t="shared" ca="1" si="4228"/>
        <v>9</v>
      </c>
      <c r="Z1373" t="str">
        <f t="shared" ref="Z1373" si="4242">CONCATENATE(AG1373,"   →   ",AH1373,"   →   ",AI1373,"   →   ",AJ1373)</f>
        <v>NG_SR_SML_D   →   D_GAS_STRG   →   ONSITE_USE   →   H2_FC_DCHP_HEAT</v>
      </c>
      <c r="AA1373" t="str">
        <f t="shared" ref="AA1373" si="4243">G1373</f>
        <v>Building heat</v>
      </c>
      <c r="AB1373" t="str">
        <f t="shared" ref="AB1373" si="4244">J1373</f>
        <v>Maturity</v>
      </c>
      <c r="AC1373">
        <f t="shared" ref="AC1373" ca="1" si="4245">Y1373</f>
        <v>9</v>
      </c>
      <c r="AD1373">
        <v>1314</v>
      </c>
      <c r="AE1373" t="str">
        <f>IF(AND(ISNUMBER(SEARCH(O1373,4)),ISNUMBER(SEARCH('(4) FCH pathway assessment'!$B$16,AB1373)),ISNUMBER(SEARCH('(4) FCH pathway assessment'!$B$10,AA1373))),AD1373,"")</f>
        <v/>
      </c>
      <c r="AF1373" t="str">
        <f t="shared" si="4162"/>
        <v/>
      </c>
      <c r="AG1373" t="str">
        <f>VLOOKUP(C1373,Assumptions!$B$116:$C$162,2,FALSE)</f>
        <v>NG_SR_SML_D</v>
      </c>
      <c r="AH1373" t="str">
        <f>VLOOKUP(D1373,Assumptions!$B$116:$C$162,2,FALSE)</f>
        <v>D_GAS_STRG</v>
      </c>
      <c r="AI1373" t="str">
        <f>VLOOKUP(E1373,Assumptions!$B$116:$C$162,2,FALSE)</f>
        <v>ONSITE_USE</v>
      </c>
      <c r="AJ1373" t="str">
        <f>VLOOKUP(F1373,Assumptions!$B$116:$C$162,2,FALSE)</f>
        <v>H2_FC_DCHP_HEAT</v>
      </c>
    </row>
    <row r="1374" spans="2:36" x14ac:dyDescent="0.25">
      <c r="B1374" t="s">
        <v>117</v>
      </c>
      <c r="C1374" t="s">
        <v>53</v>
      </c>
      <c r="D1374" t="s">
        <v>155</v>
      </c>
      <c r="E1374" t="s">
        <v>157</v>
      </c>
      <c r="F1374" t="s">
        <v>543</v>
      </c>
      <c r="G1374" t="s">
        <v>132</v>
      </c>
      <c r="H1374" t="s">
        <v>434</v>
      </c>
      <c r="I1374" t="s">
        <v>32</v>
      </c>
      <c r="J1374" t="s">
        <v>78</v>
      </c>
      <c r="K1374">
        <f t="shared" ref="K1374:K1375" si="4246">SUMPRODUCT(($C$7:$C$18=$C1374)*($D$6:$H$6=$D1374)*($D$7:$H$18))</f>
        <v>0</v>
      </c>
      <c r="L1374">
        <f t="shared" ref="L1374:L1375" si="4247">SUMPRODUCT(($C$19:$C$23=$D1374)*($I$6:$O$6=$E1374)*($I$19:$O$23))</f>
        <v>1</v>
      </c>
      <c r="M1374">
        <f t="shared" ref="M1374:M1375" si="4248">SUMPRODUCT(($C$24:$C$30=$E1374)*($P$6:$AI$6=$F1374)*($P$24:$AI$30))</f>
        <v>0</v>
      </c>
      <c r="N1374">
        <f t="shared" ref="N1374:N1375" si="4249">SUMPRODUCT(($C$31:$C$50=$F1374)*($AJ$6:$AM$6=$G1374)*($AJ$31:$AM$50))</f>
        <v>0</v>
      </c>
      <c r="O1374">
        <f t="shared" ref="O1374:O1375" si="4250">K1374+L1374+M1374+N1374</f>
        <v>1</v>
      </c>
      <c r="P1374" t="str">
        <f t="shared" ref="P1374:P1375" si="4251">CONCATENATE(C1374,"-",J1374)</f>
        <v>Medium centralized biomass gasification-Maturity</v>
      </c>
      <c r="Q1374" t="str">
        <f t="shared" ref="Q1374:Q1375" si="4252">CONCATENATE(D1374,"-",J1374)</f>
        <v>Central gas storage-Maturity</v>
      </c>
      <c r="R1374" t="str">
        <f t="shared" ref="R1374:R1375" si="4253">CONCATENATE(E1374,"-",J1374)</f>
        <v>Blending in natural gas pipeline-Maturity</v>
      </c>
      <c r="S1374" t="str">
        <f t="shared" ref="S1374:S1375" si="4254">CONCATENATE(F1374,"-",J1374)</f>
        <v>Micro-CHP with H2 fuel cell (heat)-Maturity</v>
      </c>
      <c r="T1374">
        <f ca="1">VLOOKUP($P1374,'TA database'!$I$8:$J$79,2,FALSE)</f>
        <v>6</v>
      </c>
      <c r="U1374">
        <f ca="1">VLOOKUP($Q1374,'TA database'!$I$86:$J$105,2,FALSE)</f>
        <v>9</v>
      </c>
      <c r="V1374">
        <f ca="1">VLOOKUP($R1374,'TA database'!$I$112:$J$139,2,FALSE)</f>
        <v>7</v>
      </c>
      <c r="W1374">
        <f ca="1">IFERROR(VLOOKUP($S1374,'TA database'!$I$146:$J$193,2,FALSE),0)</f>
        <v>7</v>
      </c>
      <c r="X1374">
        <f>IFERROR(VLOOKUP($S1374,'TA database'!$I$200:$J$271,2,FALSE),0)</f>
        <v>0</v>
      </c>
      <c r="Y1374">
        <f t="shared" ref="Y1374:Y1377" ca="1" si="4255">IF($W1374=0,MIN($T1374:$V1374,$X1374),MIN($T1374:$W1374))</f>
        <v>6</v>
      </c>
      <c r="Z1374" t="str">
        <f t="shared" ref="Z1374:Z1375" si="4256">CONCATENATE(AG1374,"   →   ",AH1374,"   →   ",AI1374,"   →   ",AJ1374)</f>
        <v>BIO_GSF_MED_C   →   C_GAS_STRG   →   H2_BLND_NG_P   →   H2_FC_mCHP_HEAT</v>
      </c>
      <c r="AA1374" t="str">
        <f t="shared" ref="AA1374:AA1375" si="4257">G1374</f>
        <v>Building heat</v>
      </c>
      <c r="AB1374" t="str">
        <f t="shared" ref="AB1374:AB1375" si="4258">J1374</f>
        <v>Maturity</v>
      </c>
      <c r="AC1374">
        <f t="shared" ref="AC1374:AC1375" ca="1" si="4259">Y1374</f>
        <v>6</v>
      </c>
      <c r="AD1374">
        <v>1315</v>
      </c>
      <c r="AE1374" t="str">
        <f>IF(AND(ISNUMBER(SEARCH(O1374,4)),ISNUMBER(SEARCH('(4) FCH pathway assessment'!$B$16,AB1374)),ISNUMBER(SEARCH('(4) FCH pathway assessment'!$B$10,AA1374))),AD1374,"")</f>
        <v/>
      </c>
      <c r="AF1374" t="str">
        <f t="shared" si="4162"/>
        <v/>
      </c>
      <c r="AG1374" t="str">
        <f>VLOOKUP(C1374,Assumptions!$B$116:$C$162,2,FALSE)</f>
        <v>BIO_GSF_MED_C</v>
      </c>
      <c r="AH1374" t="str">
        <f>VLOOKUP(D1374,Assumptions!$B$116:$C$162,2,FALSE)</f>
        <v>C_GAS_STRG</v>
      </c>
      <c r="AI1374" t="str">
        <f>VLOOKUP(E1374,Assumptions!$B$116:$C$162,2,FALSE)</f>
        <v>H2_BLND_NG_P</v>
      </c>
      <c r="AJ1374" t="str">
        <f>VLOOKUP(F1374,Assumptions!$B$116:$C$162,2,FALSE)</f>
        <v>H2_FC_mCHP_HEAT</v>
      </c>
    </row>
    <row r="1375" spans="2:36" x14ac:dyDescent="0.25">
      <c r="B1375" t="s">
        <v>117</v>
      </c>
      <c r="C1375" t="s">
        <v>53</v>
      </c>
      <c r="D1375" t="s">
        <v>155</v>
      </c>
      <c r="E1375" t="s">
        <v>122</v>
      </c>
      <c r="F1375" t="s">
        <v>543</v>
      </c>
      <c r="G1375" t="s">
        <v>132</v>
      </c>
      <c r="H1375" t="s">
        <v>434</v>
      </c>
      <c r="I1375" t="s">
        <v>32</v>
      </c>
      <c r="J1375" t="s">
        <v>78</v>
      </c>
      <c r="K1375">
        <f t="shared" si="4246"/>
        <v>0</v>
      </c>
      <c r="L1375">
        <f t="shared" si="4247"/>
        <v>1</v>
      </c>
      <c r="M1375">
        <f t="shared" si="4248"/>
        <v>1</v>
      </c>
      <c r="N1375">
        <f t="shared" si="4249"/>
        <v>0</v>
      </c>
      <c r="O1375">
        <f t="shared" si="4250"/>
        <v>2</v>
      </c>
      <c r="P1375" t="str">
        <f t="shared" si="4251"/>
        <v>Medium centralized biomass gasification-Maturity</v>
      </c>
      <c r="Q1375" t="str">
        <f t="shared" si="4252"/>
        <v>Central gas storage-Maturity</v>
      </c>
      <c r="R1375" t="str">
        <f t="shared" si="4253"/>
        <v>Hydrogen transmission &amp; distribution pipeline-Maturity</v>
      </c>
      <c r="S1375" t="str">
        <f t="shared" si="4254"/>
        <v>Micro-CHP with H2 fuel cell (heat)-Maturity</v>
      </c>
      <c r="T1375">
        <f ca="1">VLOOKUP($P1375,'TA database'!$I$8:$J$79,2,FALSE)</f>
        <v>6</v>
      </c>
      <c r="U1375">
        <f ca="1">VLOOKUP($Q1375,'TA database'!$I$86:$J$105,2,FALSE)</f>
        <v>9</v>
      </c>
      <c r="V1375">
        <f ca="1">VLOOKUP($R1375,'TA database'!$I$112:$J$139,2,FALSE)</f>
        <v>9</v>
      </c>
      <c r="W1375">
        <f ca="1">IFERROR(VLOOKUP($S1375,'TA database'!$I$146:$J$193,2,FALSE),0)</f>
        <v>7</v>
      </c>
      <c r="X1375">
        <f>IFERROR(VLOOKUP($S1375,'TA database'!$I$200:$J$271,2,FALSE),0)</f>
        <v>0</v>
      </c>
      <c r="Y1375">
        <f t="shared" ca="1" si="4255"/>
        <v>6</v>
      </c>
      <c r="Z1375" t="str">
        <f t="shared" si="4256"/>
        <v>BIO_GSF_MED_C   →   C_GAS_STRG   →   H2_T&amp;D_P   →   H2_FC_mCHP_HEAT</v>
      </c>
      <c r="AA1375" t="str">
        <f t="shared" si="4257"/>
        <v>Building heat</v>
      </c>
      <c r="AB1375" t="str">
        <f t="shared" si="4258"/>
        <v>Maturity</v>
      </c>
      <c r="AC1375">
        <f t="shared" ca="1" si="4259"/>
        <v>6</v>
      </c>
      <c r="AD1375">
        <v>1316</v>
      </c>
      <c r="AE1375" t="str">
        <f>IF(AND(ISNUMBER(SEARCH(O1375,4)),ISNUMBER(SEARCH('(4) FCH pathway assessment'!$B$16,AB1375)),ISNUMBER(SEARCH('(4) FCH pathway assessment'!$B$10,AA1375))),AD1375,"")</f>
        <v/>
      </c>
      <c r="AF1375" t="str">
        <f t="shared" si="4162"/>
        <v/>
      </c>
      <c r="AG1375" t="str">
        <f>VLOOKUP(C1375,Assumptions!$B$116:$C$162,2,FALSE)</f>
        <v>BIO_GSF_MED_C</v>
      </c>
      <c r="AH1375" t="str">
        <f>VLOOKUP(D1375,Assumptions!$B$116:$C$162,2,FALSE)</f>
        <v>C_GAS_STRG</v>
      </c>
      <c r="AI1375" t="str">
        <f>VLOOKUP(E1375,Assumptions!$B$116:$C$162,2,FALSE)</f>
        <v>H2_T&amp;D_P</v>
      </c>
      <c r="AJ1375" t="str">
        <f>VLOOKUP(F1375,Assumptions!$B$116:$C$162,2,FALSE)</f>
        <v>H2_FC_mCHP_HEAT</v>
      </c>
    </row>
    <row r="1376" spans="2:36" x14ac:dyDescent="0.25">
      <c r="B1376" t="s">
        <v>117</v>
      </c>
      <c r="C1376" t="s">
        <v>54</v>
      </c>
      <c r="D1376" t="s">
        <v>155</v>
      </c>
      <c r="E1376" t="s">
        <v>157</v>
      </c>
      <c r="F1376" t="s">
        <v>543</v>
      </c>
      <c r="G1376" t="s">
        <v>132</v>
      </c>
      <c r="H1376" t="s">
        <v>434</v>
      </c>
      <c r="I1376" t="s">
        <v>32</v>
      </c>
      <c r="J1376" t="s">
        <v>78</v>
      </c>
      <c r="K1376">
        <f t="shared" ref="K1376:K1378" si="4260">SUMPRODUCT(($C$7:$C$18=$C1376)*($D$6:$H$6=$D1376)*($D$7:$H$18))</f>
        <v>0</v>
      </c>
      <c r="L1376">
        <f t="shared" ref="L1376:L1378" si="4261">SUMPRODUCT(($C$19:$C$23=$D1376)*($I$6:$O$6=$E1376)*($I$19:$O$23))</f>
        <v>1</v>
      </c>
      <c r="M1376">
        <f t="shared" ref="M1376:M1378" si="4262">SUMPRODUCT(($C$24:$C$30=$E1376)*($P$6:$AI$6=$F1376)*($P$24:$AI$30))</f>
        <v>0</v>
      </c>
      <c r="N1376">
        <f t="shared" ref="N1376:N1378" si="4263">SUMPRODUCT(($C$31:$C$50=$F1376)*($AJ$6:$AM$6=$G1376)*($AJ$31:$AM$50))</f>
        <v>0</v>
      </c>
      <c r="O1376">
        <f t="shared" ref="O1376:O1378" si="4264">K1376+L1376+M1376+N1376</f>
        <v>1</v>
      </c>
      <c r="P1376" t="str">
        <f t="shared" ref="P1376:P1378" si="4265">CONCATENATE(C1376,"-",J1376)</f>
        <v>Medium centralized biomass gasification w/ CCS-Maturity</v>
      </c>
      <c r="Q1376" t="str">
        <f t="shared" ref="Q1376:Q1378" si="4266">CONCATENATE(D1376,"-",J1376)</f>
        <v>Central gas storage-Maturity</v>
      </c>
      <c r="R1376" t="str">
        <f t="shared" ref="R1376:R1378" si="4267">CONCATENATE(E1376,"-",J1376)</f>
        <v>Blending in natural gas pipeline-Maturity</v>
      </c>
      <c r="S1376" t="str">
        <f t="shared" ref="S1376:S1378" si="4268">CONCATENATE(F1376,"-",J1376)</f>
        <v>Micro-CHP with H2 fuel cell (heat)-Maturity</v>
      </c>
      <c r="T1376">
        <f ca="1">VLOOKUP($P1376,'TA database'!$I$8:$J$79,2,FALSE)</f>
        <v>6</v>
      </c>
      <c r="U1376">
        <f ca="1">VLOOKUP($Q1376,'TA database'!$I$86:$J$105,2,FALSE)</f>
        <v>9</v>
      </c>
      <c r="V1376">
        <f ca="1">VLOOKUP($R1376,'TA database'!$I$112:$J$139,2,FALSE)</f>
        <v>7</v>
      </c>
      <c r="W1376">
        <f ca="1">IFERROR(VLOOKUP($S1376,'TA database'!$I$146:$J$193,2,FALSE),0)</f>
        <v>7</v>
      </c>
      <c r="X1376">
        <f>IFERROR(VLOOKUP($S1376,'TA database'!$I$200:$J$271,2,FALSE),0)</f>
        <v>0</v>
      </c>
      <c r="Y1376">
        <f t="shared" ca="1" si="4255"/>
        <v>6</v>
      </c>
      <c r="Z1376" t="str">
        <f t="shared" ref="Z1376:Z1378" si="4269">CONCATENATE(AG1376,"   →   ",AH1376,"   →   ",AI1376,"   →   ",AJ1376)</f>
        <v>BIO_GSF_CCS_MED_C   →   C_GAS_STRG   →   H2_BLND_NG_P   →   H2_FC_mCHP_HEAT</v>
      </c>
      <c r="AA1376" t="str">
        <f t="shared" ref="AA1376:AA1378" si="4270">G1376</f>
        <v>Building heat</v>
      </c>
      <c r="AB1376" t="str">
        <f t="shared" ref="AB1376:AB1378" si="4271">J1376</f>
        <v>Maturity</v>
      </c>
      <c r="AC1376">
        <f t="shared" ref="AC1376:AC1378" ca="1" si="4272">Y1376</f>
        <v>6</v>
      </c>
      <c r="AD1376">
        <v>1317</v>
      </c>
      <c r="AE1376" t="str">
        <f>IF(AND(ISNUMBER(SEARCH(O1376,4)),ISNUMBER(SEARCH('(4) FCH pathway assessment'!$B$16,AB1376)),ISNUMBER(SEARCH('(4) FCH pathway assessment'!$B$10,AA1376))),AD1376,"")</f>
        <v/>
      </c>
      <c r="AF1376" t="str">
        <f t="shared" si="4162"/>
        <v/>
      </c>
      <c r="AG1376" t="str">
        <f>VLOOKUP(C1376,Assumptions!$B$116:$C$162,2,FALSE)</f>
        <v>BIO_GSF_CCS_MED_C</v>
      </c>
      <c r="AH1376" t="str">
        <f>VLOOKUP(D1376,Assumptions!$B$116:$C$162,2,FALSE)</f>
        <v>C_GAS_STRG</v>
      </c>
      <c r="AI1376" t="str">
        <f>VLOOKUP(E1376,Assumptions!$B$116:$C$162,2,FALSE)</f>
        <v>H2_BLND_NG_P</v>
      </c>
      <c r="AJ1376" t="str">
        <f>VLOOKUP(F1376,Assumptions!$B$116:$C$162,2,FALSE)</f>
        <v>H2_FC_mCHP_HEAT</v>
      </c>
    </row>
    <row r="1377" spans="2:36" x14ac:dyDescent="0.25">
      <c r="B1377" t="s">
        <v>117</v>
      </c>
      <c r="C1377" t="s">
        <v>54</v>
      </c>
      <c r="D1377" t="s">
        <v>155</v>
      </c>
      <c r="E1377" t="s">
        <v>122</v>
      </c>
      <c r="F1377" t="s">
        <v>543</v>
      </c>
      <c r="G1377" t="s">
        <v>132</v>
      </c>
      <c r="H1377" t="s">
        <v>434</v>
      </c>
      <c r="I1377" t="s">
        <v>32</v>
      </c>
      <c r="J1377" t="s">
        <v>78</v>
      </c>
      <c r="K1377">
        <f t="shared" si="4260"/>
        <v>0</v>
      </c>
      <c r="L1377">
        <f t="shared" si="4261"/>
        <v>1</v>
      </c>
      <c r="M1377">
        <f t="shared" si="4262"/>
        <v>1</v>
      </c>
      <c r="N1377">
        <f t="shared" si="4263"/>
        <v>0</v>
      </c>
      <c r="O1377">
        <f t="shared" si="4264"/>
        <v>2</v>
      </c>
      <c r="P1377" t="str">
        <f t="shared" si="4265"/>
        <v>Medium centralized biomass gasification w/ CCS-Maturity</v>
      </c>
      <c r="Q1377" t="str">
        <f t="shared" si="4266"/>
        <v>Central gas storage-Maturity</v>
      </c>
      <c r="R1377" t="str">
        <f t="shared" si="4267"/>
        <v>Hydrogen transmission &amp; distribution pipeline-Maturity</v>
      </c>
      <c r="S1377" t="str">
        <f t="shared" si="4268"/>
        <v>Micro-CHP with H2 fuel cell (heat)-Maturity</v>
      </c>
      <c r="T1377">
        <f ca="1">VLOOKUP($P1377,'TA database'!$I$8:$J$79,2,FALSE)</f>
        <v>6</v>
      </c>
      <c r="U1377">
        <f ca="1">VLOOKUP($Q1377,'TA database'!$I$86:$J$105,2,FALSE)</f>
        <v>9</v>
      </c>
      <c r="V1377">
        <f ca="1">VLOOKUP($R1377,'TA database'!$I$112:$J$139,2,FALSE)</f>
        <v>9</v>
      </c>
      <c r="W1377">
        <f ca="1">IFERROR(VLOOKUP($S1377,'TA database'!$I$146:$J$193,2,FALSE),0)</f>
        <v>7</v>
      </c>
      <c r="X1377">
        <f>IFERROR(VLOOKUP($S1377,'TA database'!$I$200:$J$271,2,FALSE),0)</f>
        <v>0</v>
      </c>
      <c r="Y1377">
        <f t="shared" ca="1" si="4255"/>
        <v>6</v>
      </c>
      <c r="Z1377" t="str">
        <f t="shared" si="4269"/>
        <v>BIO_GSF_CCS_MED_C   →   C_GAS_STRG   →   H2_T&amp;D_P   →   H2_FC_mCHP_HEAT</v>
      </c>
      <c r="AA1377" t="str">
        <f t="shared" si="4270"/>
        <v>Building heat</v>
      </c>
      <c r="AB1377" t="str">
        <f t="shared" si="4271"/>
        <v>Maturity</v>
      </c>
      <c r="AC1377">
        <f t="shared" ca="1" si="4272"/>
        <v>6</v>
      </c>
      <c r="AD1377">
        <v>1318</v>
      </c>
      <c r="AE1377" t="str">
        <f>IF(AND(ISNUMBER(SEARCH(O1377,4)),ISNUMBER(SEARCH('(4) FCH pathway assessment'!$B$16,AB1377)),ISNUMBER(SEARCH('(4) FCH pathway assessment'!$B$10,AA1377))),AD1377,"")</f>
        <v/>
      </c>
      <c r="AF1377" t="str">
        <f t="shared" si="4162"/>
        <v/>
      </c>
      <c r="AG1377" t="str">
        <f>VLOOKUP(C1377,Assumptions!$B$116:$C$162,2,FALSE)</f>
        <v>BIO_GSF_CCS_MED_C</v>
      </c>
      <c r="AH1377" t="str">
        <f>VLOOKUP(D1377,Assumptions!$B$116:$C$162,2,FALSE)</f>
        <v>C_GAS_STRG</v>
      </c>
      <c r="AI1377" t="str">
        <f>VLOOKUP(E1377,Assumptions!$B$116:$C$162,2,FALSE)</f>
        <v>H2_T&amp;D_P</v>
      </c>
      <c r="AJ1377" t="str">
        <f>VLOOKUP(F1377,Assumptions!$B$116:$C$162,2,FALSE)</f>
        <v>H2_FC_mCHP_HEAT</v>
      </c>
    </row>
    <row r="1378" spans="2:36" x14ac:dyDescent="0.25">
      <c r="B1378" t="s">
        <v>117</v>
      </c>
      <c r="C1378" t="s">
        <v>55</v>
      </c>
      <c r="D1378" s="60" t="s">
        <v>130</v>
      </c>
      <c r="E1378" t="s">
        <v>128</v>
      </c>
      <c r="F1378" t="s">
        <v>543</v>
      </c>
      <c r="G1378" t="s">
        <v>132</v>
      </c>
      <c r="H1378" t="s">
        <v>434</v>
      </c>
      <c r="I1378" t="s">
        <v>32</v>
      </c>
      <c r="J1378" t="s">
        <v>78</v>
      </c>
      <c r="K1378">
        <f t="shared" si="4260"/>
        <v>0</v>
      </c>
      <c r="L1378">
        <f t="shared" si="4261"/>
        <v>1</v>
      </c>
      <c r="M1378">
        <f t="shared" si="4262"/>
        <v>1</v>
      </c>
      <c r="N1378">
        <f t="shared" si="4263"/>
        <v>0</v>
      </c>
      <c r="O1378">
        <f t="shared" si="4264"/>
        <v>2</v>
      </c>
      <c r="P1378" t="str">
        <f t="shared" si="4265"/>
        <v>Small decentralized biomass gasification-Maturity</v>
      </c>
      <c r="Q1378" t="str">
        <f t="shared" si="4266"/>
        <v>Distributed gas storage-Maturity</v>
      </c>
      <c r="R1378" t="str">
        <f t="shared" si="4267"/>
        <v>Hydrogen distribution pipeline-Maturity</v>
      </c>
      <c r="S1378" t="str">
        <f t="shared" si="4268"/>
        <v>Micro-CHP with H2 fuel cell (heat)-Maturity</v>
      </c>
      <c r="T1378">
        <f ca="1">VLOOKUP($P1378,'TA database'!$I$8:$J$79,2,FALSE)</f>
        <v>6</v>
      </c>
      <c r="U1378">
        <f ca="1">VLOOKUP($Q1378,'TA database'!$I$86:$J$105,2,FALSE)</f>
        <v>9</v>
      </c>
      <c r="V1378">
        <f ca="1">VLOOKUP($R1378,'TA database'!$I$112:$J$139,2,FALSE)</f>
        <v>9</v>
      </c>
      <c r="W1378">
        <f ca="1">IFERROR(VLOOKUP($S1378,'TA database'!$I$146:$J$193,2,FALSE),0)</f>
        <v>7</v>
      </c>
      <c r="X1378">
        <f>IFERROR(VLOOKUP($S1378,'TA database'!$I$200:$J$271,2,FALSE),0)</f>
        <v>0</v>
      </c>
      <c r="Y1378">
        <f t="shared" ref="Y1378:Y1380" ca="1" si="4273">IF($W1378=0,MIN($T1378:$V1378,$X1378),MIN($T1378:$W1378))</f>
        <v>6</v>
      </c>
      <c r="Z1378" t="str">
        <f t="shared" si="4269"/>
        <v>BIO_GSF_SML_D   →   D_GAS_STRG   →   H2_DSTRB_P   →   H2_FC_mCHP_HEAT</v>
      </c>
      <c r="AA1378" t="str">
        <f t="shared" si="4270"/>
        <v>Building heat</v>
      </c>
      <c r="AB1378" t="str">
        <f t="shared" si="4271"/>
        <v>Maturity</v>
      </c>
      <c r="AC1378">
        <f t="shared" ca="1" si="4272"/>
        <v>6</v>
      </c>
      <c r="AD1378">
        <v>1319</v>
      </c>
      <c r="AE1378" t="str">
        <f>IF(AND(ISNUMBER(SEARCH(O1378,4)),ISNUMBER(SEARCH('(4) FCH pathway assessment'!$B$16,AB1378)),ISNUMBER(SEARCH('(4) FCH pathway assessment'!$B$10,AA1378))),AD1378,"")</f>
        <v/>
      </c>
      <c r="AF1378" t="str">
        <f t="shared" si="4162"/>
        <v/>
      </c>
      <c r="AG1378" t="str">
        <f>VLOOKUP(C1378,Assumptions!$B$116:$C$162,2,FALSE)</f>
        <v>BIO_GSF_SML_D</v>
      </c>
      <c r="AH1378" t="str">
        <f>VLOOKUP(D1378,Assumptions!$B$116:$C$162,2,FALSE)</f>
        <v>D_GAS_STRG</v>
      </c>
      <c r="AI1378" t="str">
        <f>VLOOKUP(E1378,Assumptions!$B$116:$C$162,2,FALSE)</f>
        <v>H2_DSTRB_P</v>
      </c>
      <c r="AJ1378" t="str">
        <f>VLOOKUP(F1378,Assumptions!$B$116:$C$162,2,FALSE)</f>
        <v>H2_FC_mCHP_HEAT</v>
      </c>
    </row>
    <row r="1379" spans="2:36" x14ac:dyDescent="0.25">
      <c r="B1379" t="s">
        <v>117</v>
      </c>
      <c r="C1379" t="s">
        <v>56</v>
      </c>
      <c r="D1379" t="s">
        <v>62</v>
      </c>
      <c r="E1379" t="s">
        <v>157</v>
      </c>
      <c r="F1379" t="s">
        <v>543</v>
      </c>
      <c r="G1379" t="s">
        <v>132</v>
      </c>
      <c r="H1379" t="s">
        <v>434</v>
      </c>
      <c r="I1379" t="s">
        <v>32</v>
      </c>
      <c r="J1379" t="s">
        <v>78</v>
      </c>
      <c r="K1379">
        <f t="shared" ref="K1379:K1385" si="4274">SUMPRODUCT(($C$7:$C$18=$C1379)*($D$6:$H$6=$D1379)*($D$7:$H$18))</f>
        <v>0</v>
      </c>
      <c r="L1379">
        <f t="shared" ref="L1379:L1385" si="4275">SUMPRODUCT(($C$19:$C$23=$D1379)*($I$6:$O$6=$E1379)*($I$19:$O$23))</f>
        <v>0</v>
      </c>
      <c r="M1379">
        <f t="shared" ref="M1379:M1385" si="4276">SUMPRODUCT(($C$24:$C$30=$E1379)*($P$6:$AI$6=$F1379)*($P$24:$AI$30))</f>
        <v>0</v>
      </c>
      <c r="N1379">
        <f t="shared" ref="N1379:N1385" si="4277">SUMPRODUCT(($C$31:$C$50=$F1379)*($AJ$6:$AM$6=$G1379)*($AJ$31:$AM$50))</f>
        <v>0</v>
      </c>
      <c r="O1379">
        <f t="shared" ref="O1379:O1385" si="4278">K1379+L1379+M1379+N1379</f>
        <v>0</v>
      </c>
      <c r="P1379" t="str">
        <f t="shared" ref="P1379:P1385" si="4279">CONCATENATE(C1379,"-",J1379)</f>
        <v>Large centralized biomass steam reforming -Maturity</v>
      </c>
      <c r="Q1379" t="str">
        <f t="shared" ref="Q1379:Q1385" si="4280">CONCATENATE(D1379,"-",J1379)</f>
        <v>Underground storage-Maturity</v>
      </c>
      <c r="R1379" t="str">
        <f t="shared" ref="R1379:R1385" si="4281">CONCATENATE(E1379,"-",J1379)</f>
        <v>Blending in natural gas pipeline-Maturity</v>
      </c>
      <c r="S1379" t="str">
        <f t="shared" ref="S1379:S1385" si="4282">CONCATENATE(F1379,"-",J1379)</f>
        <v>Micro-CHP with H2 fuel cell (heat)-Maturity</v>
      </c>
      <c r="T1379">
        <f ca="1">VLOOKUP($P1379,'TA database'!$I$8:$J$79,2,FALSE)</f>
        <v>6</v>
      </c>
      <c r="U1379">
        <f ca="1">VLOOKUP($Q1379,'TA database'!$I$86:$J$105,2,FALSE)</f>
        <v>6</v>
      </c>
      <c r="V1379">
        <f ca="1">VLOOKUP($R1379,'TA database'!$I$112:$J$139,2,FALSE)</f>
        <v>7</v>
      </c>
      <c r="W1379">
        <f ca="1">IFERROR(VLOOKUP($S1379,'TA database'!$I$146:$J$193,2,FALSE),0)</f>
        <v>7</v>
      </c>
      <c r="X1379">
        <f>IFERROR(VLOOKUP($S1379,'TA database'!$I$200:$J$271,2,FALSE),0)</f>
        <v>0</v>
      </c>
      <c r="Y1379">
        <f t="shared" ca="1" si="4273"/>
        <v>6</v>
      </c>
      <c r="Z1379" t="str">
        <f t="shared" ref="Z1379:Z1385" si="4283">CONCATENATE(AG1379,"   →   ",AH1379,"   →   ",AI1379,"   →   ",AJ1379)</f>
        <v>BIO_SR_LRG_C   →   C_UNDRGRND_STRG   →   H2_BLND_NG_P   →   H2_FC_mCHP_HEAT</v>
      </c>
      <c r="AA1379" t="str">
        <f t="shared" ref="AA1379:AA1385" si="4284">G1379</f>
        <v>Building heat</v>
      </c>
      <c r="AB1379" t="str">
        <f t="shared" ref="AB1379:AB1385" si="4285">J1379</f>
        <v>Maturity</v>
      </c>
      <c r="AC1379">
        <f t="shared" ref="AC1379:AC1385" ca="1" si="4286">Y1379</f>
        <v>6</v>
      </c>
      <c r="AD1379">
        <v>1320</v>
      </c>
      <c r="AE1379" t="str">
        <f>IF(AND(ISNUMBER(SEARCH(O1379,4)),ISNUMBER(SEARCH('(4) FCH pathway assessment'!$B$16,AB1379)),ISNUMBER(SEARCH('(4) FCH pathway assessment'!$B$10,AA1379))),AD1379,"")</f>
        <v/>
      </c>
      <c r="AF1379" t="str">
        <f t="shared" si="4162"/>
        <v/>
      </c>
      <c r="AG1379" t="str">
        <f>VLOOKUP(C1379,Assumptions!$B$116:$C$162,2,FALSE)</f>
        <v>BIO_SR_LRG_C</v>
      </c>
      <c r="AH1379" t="str">
        <f>VLOOKUP(D1379,Assumptions!$B$116:$C$162,2,FALSE)</f>
        <v>C_UNDRGRND_STRG</v>
      </c>
      <c r="AI1379" t="str">
        <f>VLOOKUP(E1379,Assumptions!$B$116:$C$162,2,FALSE)</f>
        <v>H2_BLND_NG_P</v>
      </c>
      <c r="AJ1379" t="str">
        <f>VLOOKUP(F1379,Assumptions!$B$116:$C$162,2,FALSE)</f>
        <v>H2_FC_mCHP_HEAT</v>
      </c>
    </row>
    <row r="1380" spans="2:36" x14ac:dyDescent="0.25">
      <c r="B1380" t="s">
        <v>117</v>
      </c>
      <c r="C1380" t="s">
        <v>56</v>
      </c>
      <c r="D1380" t="s">
        <v>62</v>
      </c>
      <c r="E1380" t="s">
        <v>122</v>
      </c>
      <c r="F1380" t="s">
        <v>543</v>
      </c>
      <c r="G1380" t="s">
        <v>132</v>
      </c>
      <c r="H1380" t="s">
        <v>434</v>
      </c>
      <c r="I1380" t="s">
        <v>32</v>
      </c>
      <c r="J1380" t="s">
        <v>78</v>
      </c>
      <c r="K1380">
        <f t="shared" si="4274"/>
        <v>0</v>
      </c>
      <c r="L1380">
        <f t="shared" si="4275"/>
        <v>0</v>
      </c>
      <c r="M1380">
        <f t="shared" si="4276"/>
        <v>1</v>
      </c>
      <c r="N1380">
        <f t="shared" si="4277"/>
        <v>0</v>
      </c>
      <c r="O1380">
        <f t="shared" si="4278"/>
        <v>1</v>
      </c>
      <c r="P1380" t="str">
        <f t="shared" si="4279"/>
        <v>Large centralized biomass steam reforming -Maturity</v>
      </c>
      <c r="Q1380" t="str">
        <f t="shared" si="4280"/>
        <v>Underground storage-Maturity</v>
      </c>
      <c r="R1380" t="str">
        <f t="shared" si="4281"/>
        <v>Hydrogen transmission &amp; distribution pipeline-Maturity</v>
      </c>
      <c r="S1380" t="str">
        <f t="shared" si="4282"/>
        <v>Micro-CHP with H2 fuel cell (heat)-Maturity</v>
      </c>
      <c r="T1380">
        <f ca="1">VLOOKUP($P1380,'TA database'!$I$8:$J$79,2,FALSE)</f>
        <v>6</v>
      </c>
      <c r="U1380">
        <f ca="1">VLOOKUP($Q1380,'TA database'!$I$86:$J$105,2,FALSE)</f>
        <v>6</v>
      </c>
      <c r="V1380">
        <f ca="1">VLOOKUP($R1380,'TA database'!$I$112:$J$139,2,FALSE)</f>
        <v>9</v>
      </c>
      <c r="W1380">
        <f ca="1">IFERROR(VLOOKUP($S1380,'TA database'!$I$146:$J$193,2,FALSE),0)</f>
        <v>7</v>
      </c>
      <c r="X1380">
        <f>IFERROR(VLOOKUP($S1380,'TA database'!$I$200:$J$271,2,FALSE),0)</f>
        <v>0</v>
      </c>
      <c r="Y1380">
        <f t="shared" ca="1" si="4273"/>
        <v>6</v>
      </c>
      <c r="Z1380" t="str">
        <f t="shared" si="4283"/>
        <v>BIO_SR_LRG_C   →   C_UNDRGRND_STRG   →   H2_T&amp;D_P   →   H2_FC_mCHP_HEAT</v>
      </c>
      <c r="AA1380" t="str">
        <f t="shared" si="4284"/>
        <v>Building heat</v>
      </c>
      <c r="AB1380" t="str">
        <f t="shared" si="4285"/>
        <v>Maturity</v>
      </c>
      <c r="AC1380">
        <f t="shared" ca="1" si="4286"/>
        <v>6</v>
      </c>
      <c r="AD1380">
        <v>1321</v>
      </c>
      <c r="AE1380" t="str">
        <f>IF(AND(ISNUMBER(SEARCH(O1380,4)),ISNUMBER(SEARCH('(4) FCH pathway assessment'!$B$16,AB1380)),ISNUMBER(SEARCH('(4) FCH pathway assessment'!$B$10,AA1380))),AD1380,"")</f>
        <v/>
      </c>
      <c r="AF1380" t="str">
        <f t="shared" si="4162"/>
        <v/>
      </c>
      <c r="AG1380" t="str">
        <f>VLOOKUP(C1380,Assumptions!$B$116:$C$162,2,FALSE)</f>
        <v>BIO_SR_LRG_C</v>
      </c>
      <c r="AH1380" t="str">
        <f>VLOOKUP(D1380,Assumptions!$B$116:$C$162,2,FALSE)</f>
        <v>C_UNDRGRND_STRG</v>
      </c>
      <c r="AI1380" t="str">
        <f>VLOOKUP(E1380,Assumptions!$B$116:$C$162,2,FALSE)</f>
        <v>H2_T&amp;D_P</v>
      </c>
      <c r="AJ1380" t="str">
        <f>VLOOKUP(F1380,Assumptions!$B$116:$C$162,2,FALSE)</f>
        <v>H2_FC_mCHP_HEAT</v>
      </c>
    </row>
    <row r="1381" spans="2:36" x14ac:dyDescent="0.25">
      <c r="B1381" t="s">
        <v>117</v>
      </c>
      <c r="C1381" t="s">
        <v>56</v>
      </c>
      <c r="D1381" s="61" t="s">
        <v>63</v>
      </c>
      <c r="E1381" t="s">
        <v>122</v>
      </c>
      <c r="F1381" t="s">
        <v>543</v>
      </c>
      <c r="G1381" t="s">
        <v>132</v>
      </c>
      <c r="H1381" t="s">
        <v>434</v>
      </c>
      <c r="I1381" t="s">
        <v>32</v>
      </c>
      <c r="J1381" t="s">
        <v>78</v>
      </c>
      <c r="K1381">
        <f t="shared" si="4274"/>
        <v>0</v>
      </c>
      <c r="L1381">
        <f t="shared" si="4275"/>
        <v>1</v>
      </c>
      <c r="M1381">
        <f t="shared" si="4276"/>
        <v>1</v>
      </c>
      <c r="N1381">
        <f t="shared" si="4277"/>
        <v>0</v>
      </c>
      <c r="O1381">
        <f t="shared" si="4278"/>
        <v>2</v>
      </c>
      <c r="P1381" t="str">
        <f t="shared" si="4279"/>
        <v>Large centralized biomass steam reforming -Maturity</v>
      </c>
      <c r="Q1381" t="str">
        <f t="shared" si="4280"/>
        <v>No storage-Maturity</v>
      </c>
      <c r="R1381" t="str">
        <f t="shared" si="4281"/>
        <v>Hydrogen transmission &amp; distribution pipeline-Maturity</v>
      </c>
      <c r="S1381" t="str">
        <f t="shared" si="4282"/>
        <v>Micro-CHP with H2 fuel cell (heat)-Maturity</v>
      </c>
      <c r="T1381">
        <f ca="1">VLOOKUP($P1381,'TA database'!$I$8:$J$79,2,FALSE)</f>
        <v>6</v>
      </c>
      <c r="U1381">
        <f ca="1">VLOOKUP($Q1381,'TA database'!$I$86:$J$105,2,FALSE)</f>
        <v>9</v>
      </c>
      <c r="V1381">
        <f ca="1">VLOOKUP($R1381,'TA database'!$I$112:$J$139,2,FALSE)</f>
        <v>9</v>
      </c>
      <c r="W1381">
        <f ca="1">IFERROR(VLOOKUP($S1381,'TA database'!$I$146:$J$193,2,FALSE),0)</f>
        <v>7</v>
      </c>
      <c r="X1381">
        <f>IFERROR(VLOOKUP($S1381,'TA database'!$I$200:$J$271,2,FALSE),0)</f>
        <v>0</v>
      </c>
      <c r="Y1381">
        <f t="shared" ref="Y1381:Y1385" ca="1" si="4287">IF($W1381=0,MIN($T1381:$V1381,$X1381),MIN($T1381:$W1381))</f>
        <v>6</v>
      </c>
      <c r="Z1381" t="str">
        <f t="shared" si="4283"/>
        <v>BIO_SR_LRG_C   →   NO_STRG   →   H2_T&amp;D_P   →   H2_FC_mCHP_HEAT</v>
      </c>
      <c r="AA1381" t="str">
        <f t="shared" si="4284"/>
        <v>Building heat</v>
      </c>
      <c r="AB1381" t="str">
        <f t="shared" si="4285"/>
        <v>Maturity</v>
      </c>
      <c r="AC1381">
        <f t="shared" ca="1" si="4286"/>
        <v>6</v>
      </c>
      <c r="AD1381">
        <v>1322</v>
      </c>
      <c r="AE1381" t="str">
        <f>IF(AND(ISNUMBER(SEARCH(O1381,4)),ISNUMBER(SEARCH('(4) FCH pathway assessment'!$B$16,AB1381)),ISNUMBER(SEARCH('(4) FCH pathway assessment'!$B$10,AA1381))),AD1381,"")</f>
        <v/>
      </c>
      <c r="AF1381" t="str">
        <f t="shared" si="4162"/>
        <v/>
      </c>
      <c r="AG1381" t="str">
        <f>VLOOKUP(C1381,Assumptions!$B$116:$C$162,2,FALSE)</f>
        <v>BIO_SR_LRG_C</v>
      </c>
      <c r="AH1381" t="str">
        <f>VLOOKUP(D1381,Assumptions!$B$116:$C$162,2,FALSE)</f>
        <v>NO_STRG</v>
      </c>
      <c r="AI1381" t="str">
        <f>VLOOKUP(E1381,Assumptions!$B$116:$C$162,2,FALSE)</f>
        <v>H2_T&amp;D_P</v>
      </c>
      <c r="AJ1381" t="str">
        <f>VLOOKUP(F1381,Assumptions!$B$116:$C$162,2,FALSE)</f>
        <v>H2_FC_mCHP_HEAT</v>
      </c>
    </row>
    <row r="1382" spans="2:36" x14ac:dyDescent="0.25">
      <c r="B1382" t="s">
        <v>112</v>
      </c>
      <c r="C1382" t="s">
        <v>49</v>
      </c>
      <c r="D1382" t="s">
        <v>62</v>
      </c>
      <c r="E1382" t="s">
        <v>157</v>
      </c>
      <c r="F1382" t="s">
        <v>543</v>
      </c>
      <c r="G1382" t="s">
        <v>132</v>
      </c>
      <c r="H1382" t="s">
        <v>434</v>
      </c>
      <c r="I1382" t="s">
        <v>32</v>
      </c>
      <c r="J1382" t="s">
        <v>78</v>
      </c>
      <c r="K1382">
        <f t="shared" si="4274"/>
        <v>1</v>
      </c>
      <c r="L1382">
        <f t="shared" si="4275"/>
        <v>0</v>
      </c>
      <c r="M1382">
        <f t="shared" si="4276"/>
        <v>0</v>
      </c>
      <c r="N1382">
        <f t="shared" si="4277"/>
        <v>0</v>
      </c>
      <c r="O1382">
        <f t="shared" si="4278"/>
        <v>1</v>
      </c>
      <c r="P1382" t="str">
        <f t="shared" si="4279"/>
        <v>Large centralized electrolysis-Maturity</v>
      </c>
      <c r="Q1382" t="str">
        <f t="shared" si="4280"/>
        <v>Underground storage-Maturity</v>
      </c>
      <c r="R1382" t="str">
        <f t="shared" si="4281"/>
        <v>Blending in natural gas pipeline-Maturity</v>
      </c>
      <c r="S1382" t="str">
        <f t="shared" si="4282"/>
        <v>Micro-CHP with H2 fuel cell (heat)-Maturity</v>
      </c>
      <c r="T1382">
        <f ca="1">VLOOKUP($P1382,'TA database'!$I$8:$J$79,2,FALSE)</f>
        <v>9</v>
      </c>
      <c r="U1382">
        <f ca="1">VLOOKUP($Q1382,'TA database'!$I$86:$J$105,2,FALSE)</f>
        <v>6</v>
      </c>
      <c r="V1382">
        <f ca="1">VLOOKUP($R1382,'TA database'!$I$112:$J$139,2,FALSE)</f>
        <v>7</v>
      </c>
      <c r="W1382">
        <f ca="1">IFERROR(VLOOKUP($S1382,'TA database'!$I$146:$J$193,2,FALSE),0)</f>
        <v>7</v>
      </c>
      <c r="X1382">
        <f>IFERROR(VLOOKUP($S1382,'TA database'!$I$200:$J$271,2,FALSE),0)</f>
        <v>0</v>
      </c>
      <c r="Y1382">
        <f t="shared" ca="1" si="4287"/>
        <v>6</v>
      </c>
      <c r="Z1382" t="str">
        <f t="shared" si="4283"/>
        <v>ELCTRLYZ_LRG_C   →   C_UNDRGRND_STRG   →   H2_BLND_NG_P   →   H2_FC_mCHP_HEAT</v>
      </c>
      <c r="AA1382" t="str">
        <f t="shared" si="4284"/>
        <v>Building heat</v>
      </c>
      <c r="AB1382" t="str">
        <f t="shared" si="4285"/>
        <v>Maturity</v>
      </c>
      <c r="AC1382">
        <f t="shared" ca="1" si="4286"/>
        <v>6</v>
      </c>
      <c r="AD1382">
        <v>1323</v>
      </c>
      <c r="AE1382" t="str">
        <f>IF(AND(ISNUMBER(SEARCH(O1382,4)),ISNUMBER(SEARCH('(4) FCH pathway assessment'!$B$16,AB1382)),ISNUMBER(SEARCH('(4) FCH pathway assessment'!$B$10,AA1382))),AD1382,"")</f>
        <v/>
      </c>
      <c r="AF1382" t="str">
        <f t="shared" si="4162"/>
        <v/>
      </c>
      <c r="AG1382" t="str">
        <f>VLOOKUP(C1382,Assumptions!$B$116:$C$162,2,FALSE)</f>
        <v>ELCTRLYZ_LRG_C</v>
      </c>
      <c r="AH1382" t="str">
        <f>VLOOKUP(D1382,Assumptions!$B$116:$C$162,2,FALSE)</f>
        <v>C_UNDRGRND_STRG</v>
      </c>
      <c r="AI1382" t="str">
        <f>VLOOKUP(E1382,Assumptions!$B$116:$C$162,2,FALSE)</f>
        <v>H2_BLND_NG_P</v>
      </c>
      <c r="AJ1382" t="str">
        <f>VLOOKUP(F1382,Assumptions!$B$116:$C$162,2,FALSE)</f>
        <v>H2_FC_mCHP_HEAT</v>
      </c>
    </row>
    <row r="1383" spans="2:36" x14ac:dyDescent="0.25">
      <c r="B1383" t="s">
        <v>112</v>
      </c>
      <c r="C1383" t="s">
        <v>49</v>
      </c>
      <c r="D1383" t="s">
        <v>62</v>
      </c>
      <c r="E1383" t="s">
        <v>122</v>
      </c>
      <c r="F1383" t="s">
        <v>543</v>
      </c>
      <c r="G1383" t="s">
        <v>132</v>
      </c>
      <c r="H1383" t="s">
        <v>434</v>
      </c>
      <c r="I1383" t="s">
        <v>32</v>
      </c>
      <c r="J1383" t="s">
        <v>78</v>
      </c>
      <c r="K1383">
        <f t="shared" si="4274"/>
        <v>1</v>
      </c>
      <c r="L1383">
        <f t="shared" si="4275"/>
        <v>0</v>
      </c>
      <c r="M1383">
        <f t="shared" si="4276"/>
        <v>1</v>
      </c>
      <c r="N1383">
        <f t="shared" si="4277"/>
        <v>0</v>
      </c>
      <c r="O1383">
        <f t="shared" si="4278"/>
        <v>2</v>
      </c>
      <c r="P1383" t="str">
        <f t="shared" si="4279"/>
        <v>Large centralized electrolysis-Maturity</v>
      </c>
      <c r="Q1383" t="str">
        <f t="shared" si="4280"/>
        <v>Underground storage-Maturity</v>
      </c>
      <c r="R1383" t="str">
        <f t="shared" si="4281"/>
        <v>Hydrogen transmission &amp; distribution pipeline-Maturity</v>
      </c>
      <c r="S1383" t="str">
        <f t="shared" si="4282"/>
        <v>Micro-CHP with H2 fuel cell (heat)-Maturity</v>
      </c>
      <c r="T1383">
        <f ca="1">VLOOKUP($P1383,'TA database'!$I$8:$J$79,2,FALSE)</f>
        <v>9</v>
      </c>
      <c r="U1383">
        <f ca="1">VLOOKUP($Q1383,'TA database'!$I$86:$J$105,2,FALSE)</f>
        <v>6</v>
      </c>
      <c r="V1383">
        <f ca="1">VLOOKUP($R1383,'TA database'!$I$112:$J$139,2,FALSE)</f>
        <v>9</v>
      </c>
      <c r="W1383">
        <f ca="1">IFERROR(VLOOKUP($S1383,'TA database'!$I$146:$J$193,2,FALSE),0)</f>
        <v>7</v>
      </c>
      <c r="X1383">
        <f>IFERROR(VLOOKUP($S1383,'TA database'!$I$200:$J$271,2,FALSE),0)</f>
        <v>0</v>
      </c>
      <c r="Y1383">
        <f t="shared" ca="1" si="4287"/>
        <v>6</v>
      </c>
      <c r="Z1383" t="str">
        <f t="shared" si="4283"/>
        <v>ELCTRLYZ_LRG_C   →   C_UNDRGRND_STRG   →   H2_T&amp;D_P   →   H2_FC_mCHP_HEAT</v>
      </c>
      <c r="AA1383" t="str">
        <f t="shared" si="4284"/>
        <v>Building heat</v>
      </c>
      <c r="AB1383" t="str">
        <f t="shared" si="4285"/>
        <v>Maturity</v>
      </c>
      <c r="AC1383">
        <f t="shared" ca="1" si="4286"/>
        <v>6</v>
      </c>
      <c r="AD1383">
        <v>1324</v>
      </c>
      <c r="AE1383" t="str">
        <f>IF(AND(ISNUMBER(SEARCH(O1383,4)),ISNUMBER(SEARCH('(4) FCH pathway assessment'!$B$16,AB1383)),ISNUMBER(SEARCH('(4) FCH pathway assessment'!$B$10,AA1383))),AD1383,"")</f>
        <v/>
      </c>
      <c r="AF1383" t="str">
        <f t="shared" si="4162"/>
        <v/>
      </c>
      <c r="AG1383" t="str">
        <f>VLOOKUP(C1383,Assumptions!$B$116:$C$162,2,FALSE)</f>
        <v>ELCTRLYZ_LRG_C</v>
      </c>
      <c r="AH1383" t="str">
        <f>VLOOKUP(D1383,Assumptions!$B$116:$C$162,2,FALSE)</f>
        <v>C_UNDRGRND_STRG</v>
      </c>
      <c r="AI1383" t="str">
        <f>VLOOKUP(E1383,Assumptions!$B$116:$C$162,2,FALSE)</f>
        <v>H2_T&amp;D_P</v>
      </c>
      <c r="AJ1383" t="str">
        <f>VLOOKUP(F1383,Assumptions!$B$116:$C$162,2,FALSE)</f>
        <v>H2_FC_mCHP_HEAT</v>
      </c>
    </row>
    <row r="1384" spans="2:36" x14ac:dyDescent="0.25">
      <c r="B1384" t="s">
        <v>112</v>
      </c>
      <c r="C1384" t="s">
        <v>49</v>
      </c>
      <c r="D1384" t="s">
        <v>155</v>
      </c>
      <c r="E1384" t="s">
        <v>157</v>
      </c>
      <c r="F1384" t="s">
        <v>543</v>
      </c>
      <c r="G1384" t="s">
        <v>132</v>
      </c>
      <c r="H1384" t="s">
        <v>434</v>
      </c>
      <c r="I1384" t="s">
        <v>32</v>
      </c>
      <c r="J1384" t="s">
        <v>78</v>
      </c>
      <c r="K1384">
        <f t="shared" si="4274"/>
        <v>1</v>
      </c>
      <c r="L1384">
        <f t="shared" si="4275"/>
        <v>1</v>
      </c>
      <c r="M1384">
        <f t="shared" si="4276"/>
        <v>0</v>
      </c>
      <c r="N1384">
        <f t="shared" si="4277"/>
        <v>0</v>
      </c>
      <c r="O1384">
        <f t="shared" si="4278"/>
        <v>2</v>
      </c>
      <c r="P1384" t="str">
        <f t="shared" si="4279"/>
        <v>Large centralized electrolysis-Maturity</v>
      </c>
      <c r="Q1384" t="str">
        <f t="shared" si="4280"/>
        <v>Central gas storage-Maturity</v>
      </c>
      <c r="R1384" t="str">
        <f t="shared" si="4281"/>
        <v>Blending in natural gas pipeline-Maturity</v>
      </c>
      <c r="S1384" t="str">
        <f t="shared" si="4282"/>
        <v>Micro-CHP with H2 fuel cell (heat)-Maturity</v>
      </c>
      <c r="T1384">
        <f ca="1">VLOOKUP($P1384,'TA database'!$I$8:$J$79,2,FALSE)</f>
        <v>9</v>
      </c>
      <c r="U1384">
        <f ca="1">VLOOKUP($Q1384,'TA database'!$I$86:$J$105,2,FALSE)</f>
        <v>9</v>
      </c>
      <c r="V1384">
        <f ca="1">VLOOKUP($R1384,'TA database'!$I$112:$J$139,2,FALSE)</f>
        <v>7</v>
      </c>
      <c r="W1384">
        <f ca="1">IFERROR(VLOOKUP($S1384,'TA database'!$I$146:$J$193,2,FALSE),0)</f>
        <v>7</v>
      </c>
      <c r="X1384">
        <f>IFERROR(VLOOKUP($S1384,'TA database'!$I$200:$J$271,2,FALSE),0)</f>
        <v>0</v>
      </c>
      <c r="Y1384">
        <f t="shared" ca="1" si="4287"/>
        <v>7</v>
      </c>
      <c r="Z1384" t="str">
        <f t="shared" si="4283"/>
        <v>ELCTRLYZ_LRG_C   →   C_GAS_STRG   →   H2_BLND_NG_P   →   H2_FC_mCHP_HEAT</v>
      </c>
      <c r="AA1384" t="str">
        <f t="shared" si="4284"/>
        <v>Building heat</v>
      </c>
      <c r="AB1384" t="str">
        <f t="shared" si="4285"/>
        <v>Maturity</v>
      </c>
      <c r="AC1384">
        <f t="shared" ca="1" si="4286"/>
        <v>7</v>
      </c>
      <c r="AD1384">
        <v>1325</v>
      </c>
      <c r="AE1384" t="str">
        <f>IF(AND(ISNUMBER(SEARCH(O1384,4)),ISNUMBER(SEARCH('(4) FCH pathway assessment'!$B$16,AB1384)),ISNUMBER(SEARCH('(4) FCH pathway assessment'!$B$10,AA1384))),AD1384,"")</f>
        <v/>
      </c>
      <c r="AF1384" t="str">
        <f t="shared" si="4162"/>
        <v/>
      </c>
      <c r="AG1384" t="str">
        <f>VLOOKUP(C1384,Assumptions!$B$116:$C$162,2,FALSE)</f>
        <v>ELCTRLYZ_LRG_C</v>
      </c>
      <c r="AH1384" t="str">
        <f>VLOOKUP(D1384,Assumptions!$B$116:$C$162,2,FALSE)</f>
        <v>C_GAS_STRG</v>
      </c>
      <c r="AI1384" t="str">
        <f>VLOOKUP(E1384,Assumptions!$B$116:$C$162,2,FALSE)</f>
        <v>H2_BLND_NG_P</v>
      </c>
      <c r="AJ1384" t="str">
        <f>VLOOKUP(F1384,Assumptions!$B$116:$C$162,2,FALSE)</f>
        <v>H2_FC_mCHP_HEAT</v>
      </c>
    </row>
    <row r="1385" spans="2:36" x14ac:dyDescent="0.25">
      <c r="B1385" t="s">
        <v>112</v>
      </c>
      <c r="C1385" t="s">
        <v>49</v>
      </c>
      <c r="D1385" t="s">
        <v>155</v>
      </c>
      <c r="E1385" t="s">
        <v>122</v>
      </c>
      <c r="F1385" t="s">
        <v>543</v>
      </c>
      <c r="G1385" t="s">
        <v>132</v>
      </c>
      <c r="H1385" t="s">
        <v>434</v>
      </c>
      <c r="I1385" t="s">
        <v>32</v>
      </c>
      <c r="J1385" t="s">
        <v>78</v>
      </c>
      <c r="K1385">
        <f t="shared" si="4274"/>
        <v>1</v>
      </c>
      <c r="L1385">
        <f t="shared" si="4275"/>
        <v>1</v>
      </c>
      <c r="M1385">
        <f t="shared" si="4276"/>
        <v>1</v>
      </c>
      <c r="N1385">
        <f t="shared" si="4277"/>
        <v>0</v>
      </c>
      <c r="O1385">
        <f t="shared" si="4278"/>
        <v>3</v>
      </c>
      <c r="P1385" t="str">
        <f t="shared" si="4279"/>
        <v>Large centralized electrolysis-Maturity</v>
      </c>
      <c r="Q1385" t="str">
        <f t="shared" si="4280"/>
        <v>Central gas storage-Maturity</v>
      </c>
      <c r="R1385" t="str">
        <f t="shared" si="4281"/>
        <v>Hydrogen transmission &amp; distribution pipeline-Maturity</v>
      </c>
      <c r="S1385" t="str">
        <f t="shared" si="4282"/>
        <v>Micro-CHP with H2 fuel cell (heat)-Maturity</v>
      </c>
      <c r="T1385">
        <f ca="1">VLOOKUP($P1385,'TA database'!$I$8:$J$79,2,FALSE)</f>
        <v>9</v>
      </c>
      <c r="U1385">
        <f ca="1">VLOOKUP($Q1385,'TA database'!$I$86:$J$105,2,FALSE)</f>
        <v>9</v>
      </c>
      <c r="V1385">
        <f ca="1">VLOOKUP($R1385,'TA database'!$I$112:$J$139,2,FALSE)</f>
        <v>9</v>
      </c>
      <c r="W1385">
        <f ca="1">IFERROR(VLOOKUP($S1385,'TA database'!$I$146:$J$193,2,FALSE),0)</f>
        <v>7</v>
      </c>
      <c r="X1385">
        <f>IFERROR(VLOOKUP($S1385,'TA database'!$I$200:$J$271,2,FALSE),0)</f>
        <v>0</v>
      </c>
      <c r="Y1385">
        <f t="shared" ca="1" si="4287"/>
        <v>7</v>
      </c>
      <c r="Z1385" t="str">
        <f t="shared" si="4283"/>
        <v>ELCTRLYZ_LRG_C   →   C_GAS_STRG   →   H2_T&amp;D_P   →   H2_FC_mCHP_HEAT</v>
      </c>
      <c r="AA1385" t="str">
        <f t="shared" si="4284"/>
        <v>Building heat</v>
      </c>
      <c r="AB1385" t="str">
        <f t="shared" si="4285"/>
        <v>Maturity</v>
      </c>
      <c r="AC1385">
        <f t="shared" ca="1" si="4286"/>
        <v>7</v>
      </c>
      <c r="AD1385">
        <v>1326</v>
      </c>
      <c r="AE1385" t="str">
        <f>IF(AND(ISNUMBER(SEARCH(O1385,4)),ISNUMBER(SEARCH('(4) FCH pathway assessment'!$B$16,AB1385)),ISNUMBER(SEARCH('(4) FCH pathway assessment'!$B$10,AA1385))),AD1385,"")</f>
        <v/>
      </c>
      <c r="AF1385" t="str">
        <f t="shared" si="4162"/>
        <v/>
      </c>
      <c r="AG1385" t="str">
        <f>VLOOKUP(C1385,Assumptions!$B$116:$C$162,2,FALSE)</f>
        <v>ELCTRLYZ_LRG_C</v>
      </c>
      <c r="AH1385" t="str">
        <f>VLOOKUP(D1385,Assumptions!$B$116:$C$162,2,FALSE)</f>
        <v>C_GAS_STRG</v>
      </c>
      <c r="AI1385" t="str">
        <f>VLOOKUP(E1385,Assumptions!$B$116:$C$162,2,FALSE)</f>
        <v>H2_T&amp;D_P</v>
      </c>
      <c r="AJ1385" t="str">
        <f>VLOOKUP(F1385,Assumptions!$B$116:$C$162,2,FALSE)</f>
        <v>H2_FC_mCHP_HEAT</v>
      </c>
    </row>
    <row r="1386" spans="2:36" x14ac:dyDescent="0.25">
      <c r="B1386" t="s">
        <v>112</v>
      </c>
      <c r="C1386" t="s">
        <v>51</v>
      </c>
      <c r="D1386" t="s">
        <v>155</v>
      </c>
      <c r="E1386" t="s">
        <v>157</v>
      </c>
      <c r="F1386" t="s">
        <v>543</v>
      </c>
      <c r="G1386" t="s">
        <v>132</v>
      </c>
      <c r="H1386" t="s">
        <v>434</v>
      </c>
      <c r="I1386" t="s">
        <v>32</v>
      </c>
      <c r="J1386" t="s">
        <v>78</v>
      </c>
      <c r="K1386">
        <f t="shared" ref="K1386:K1388" si="4288">SUMPRODUCT(($C$7:$C$18=$C1386)*($D$6:$H$6=$D1386)*($D$7:$H$18))</f>
        <v>1</v>
      </c>
      <c r="L1386">
        <f t="shared" ref="L1386:L1388" si="4289">SUMPRODUCT(($C$19:$C$23=$D1386)*($I$6:$O$6=$E1386)*($I$19:$O$23))</f>
        <v>1</v>
      </c>
      <c r="M1386">
        <f t="shared" ref="M1386:M1388" si="4290">SUMPRODUCT(($C$24:$C$30=$E1386)*($P$6:$AI$6=$F1386)*($P$24:$AI$30))</f>
        <v>0</v>
      </c>
      <c r="N1386">
        <f t="shared" ref="N1386:N1388" si="4291">SUMPRODUCT(($C$31:$C$50=$F1386)*($AJ$6:$AM$6=$G1386)*($AJ$31:$AM$50))</f>
        <v>0</v>
      </c>
      <c r="O1386">
        <f t="shared" ref="O1386:O1388" si="4292">K1386+L1386+M1386+N1386</f>
        <v>2</v>
      </c>
      <c r="P1386" t="str">
        <f t="shared" ref="P1386:P1388" si="4293">CONCATENATE(C1386,"-",J1386)</f>
        <v>Medium centralized electrolysis-Maturity</v>
      </c>
      <c r="Q1386" t="str">
        <f t="shared" ref="Q1386:Q1388" si="4294">CONCATENATE(D1386,"-",J1386)</f>
        <v>Central gas storage-Maturity</v>
      </c>
      <c r="R1386" t="str">
        <f t="shared" ref="R1386:R1388" si="4295">CONCATENATE(E1386,"-",J1386)</f>
        <v>Blending in natural gas pipeline-Maturity</v>
      </c>
      <c r="S1386" t="str">
        <f t="shared" ref="S1386:S1388" si="4296">CONCATENATE(F1386,"-",J1386)</f>
        <v>Micro-CHP with H2 fuel cell (heat)-Maturity</v>
      </c>
      <c r="T1386">
        <f ca="1">VLOOKUP($P1386,'TA database'!$I$8:$J$79,2,FALSE)</f>
        <v>9</v>
      </c>
      <c r="U1386">
        <f ca="1">VLOOKUP($Q1386,'TA database'!$I$86:$J$105,2,FALSE)</f>
        <v>9</v>
      </c>
      <c r="V1386">
        <f ca="1">VLOOKUP($R1386,'TA database'!$I$112:$J$139,2,FALSE)</f>
        <v>7</v>
      </c>
      <c r="W1386">
        <f ca="1">IFERROR(VLOOKUP($S1386,'TA database'!$I$146:$J$193,2,FALSE),0)</f>
        <v>7</v>
      </c>
      <c r="X1386">
        <f>IFERROR(VLOOKUP($S1386,'TA database'!$I$200:$J$271,2,FALSE),0)</f>
        <v>0</v>
      </c>
      <c r="Y1386">
        <f t="shared" ref="Y1386:Y1388" ca="1" si="4297">IF($W1386=0,MIN($T1386:$V1386,$X1386),MIN($T1386:$W1386))</f>
        <v>7</v>
      </c>
      <c r="Z1386" t="str">
        <f t="shared" ref="Z1386:Z1388" si="4298">CONCATENATE(AG1386,"   →   ",AH1386,"   →   ",AI1386,"   →   ",AJ1386)</f>
        <v>ELCTRLYZ_MED_C   →   C_GAS_STRG   →   H2_BLND_NG_P   →   H2_FC_mCHP_HEAT</v>
      </c>
      <c r="AA1386" t="str">
        <f t="shared" ref="AA1386:AA1388" si="4299">G1386</f>
        <v>Building heat</v>
      </c>
      <c r="AB1386" t="str">
        <f t="shared" ref="AB1386:AB1388" si="4300">J1386</f>
        <v>Maturity</v>
      </c>
      <c r="AC1386">
        <f t="shared" ref="AC1386:AC1388" ca="1" si="4301">Y1386</f>
        <v>7</v>
      </c>
      <c r="AD1386">
        <v>1327</v>
      </c>
      <c r="AE1386" t="str">
        <f>IF(AND(ISNUMBER(SEARCH(O1386,4)),ISNUMBER(SEARCH('(4) FCH pathway assessment'!$B$16,AB1386)),ISNUMBER(SEARCH('(4) FCH pathway assessment'!$B$10,AA1386))),AD1386,"")</f>
        <v/>
      </c>
      <c r="AF1386" t="str">
        <f t="shared" si="4162"/>
        <v/>
      </c>
      <c r="AG1386" t="str">
        <f>VLOOKUP(C1386,Assumptions!$B$116:$C$162,2,FALSE)</f>
        <v>ELCTRLYZ_MED_C</v>
      </c>
      <c r="AH1386" t="str">
        <f>VLOOKUP(D1386,Assumptions!$B$116:$C$162,2,FALSE)</f>
        <v>C_GAS_STRG</v>
      </c>
      <c r="AI1386" t="str">
        <f>VLOOKUP(E1386,Assumptions!$B$116:$C$162,2,FALSE)</f>
        <v>H2_BLND_NG_P</v>
      </c>
      <c r="AJ1386" t="str">
        <f>VLOOKUP(F1386,Assumptions!$B$116:$C$162,2,FALSE)</f>
        <v>H2_FC_mCHP_HEAT</v>
      </c>
    </row>
    <row r="1387" spans="2:36" x14ac:dyDescent="0.25">
      <c r="B1387" t="s">
        <v>112</v>
      </c>
      <c r="C1387" t="s">
        <v>51</v>
      </c>
      <c r="D1387" t="s">
        <v>155</v>
      </c>
      <c r="E1387" t="s">
        <v>122</v>
      </c>
      <c r="F1387" t="s">
        <v>543</v>
      </c>
      <c r="G1387" t="s">
        <v>132</v>
      </c>
      <c r="H1387" t="s">
        <v>434</v>
      </c>
      <c r="I1387" t="s">
        <v>32</v>
      </c>
      <c r="J1387" t="s">
        <v>78</v>
      </c>
      <c r="K1387">
        <f t="shared" si="4288"/>
        <v>1</v>
      </c>
      <c r="L1387">
        <f t="shared" si="4289"/>
        <v>1</v>
      </c>
      <c r="M1387">
        <f t="shared" si="4290"/>
        <v>1</v>
      </c>
      <c r="N1387">
        <f t="shared" si="4291"/>
        <v>0</v>
      </c>
      <c r="O1387">
        <f t="shared" si="4292"/>
        <v>3</v>
      </c>
      <c r="P1387" t="str">
        <f t="shared" si="4293"/>
        <v>Medium centralized electrolysis-Maturity</v>
      </c>
      <c r="Q1387" t="str">
        <f t="shared" si="4294"/>
        <v>Central gas storage-Maturity</v>
      </c>
      <c r="R1387" t="str">
        <f t="shared" si="4295"/>
        <v>Hydrogen transmission &amp; distribution pipeline-Maturity</v>
      </c>
      <c r="S1387" t="str">
        <f t="shared" si="4296"/>
        <v>Micro-CHP with H2 fuel cell (heat)-Maturity</v>
      </c>
      <c r="T1387">
        <f ca="1">VLOOKUP($P1387,'TA database'!$I$8:$J$79,2,FALSE)</f>
        <v>9</v>
      </c>
      <c r="U1387">
        <f ca="1">VLOOKUP($Q1387,'TA database'!$I$86:$J$105,2,FALSE)</f>
        <v>9</v>
      </c>
      <c r="V1387">
        <f ca="1">VLOOKUP($R1387,'TA database'!$I$112:$J$139,2,FALSE)</f>
        <v>9</v>
      </c>
      <c r="W1387">
        <f ca="1">IFERROR(VLOOKUP($S1387,'TA database'!$I$146:$J$193,2,FALSE),0)</f>
        <v>7</v>
      </c>
      <c r="X1387">
        <f>IFERROR(VLOOKUP($S1387,'TA database'!$I$200:$J$271,2,FALSE),0)</f>
        <v>0</v>
      </c>
      <c r="Y1387">
        <f t="shared" ca="1" si="4297"/>
        <v>7</v>
      </c>
      <c r="Z1387" t="str">
        <f t="shared" si="4298"/>
        <v>ELCTRLYZ_MED_C   →   C_GAS_STRG   →   H2_T&amp;D_P   →   H2_FC_mCHP_HEAT</v>
      </c>
      <c r="AA1387" t="str">
        <f t="shared" si="4299"/>
        <v>Building heat</v>
      </c>
      <c r="AB1387" t="str">
        <f t="shared" si="4300"/>
        <v>Maturity</v>
      </c>
      <c r="AC1387">
        <f t="shared" ca="1" si="4301"/>
        <v>7</v>
      </c>
      <c r="AD1387">
        <v>1328</v>
      </c>
      <c r="AE1387" t="str">
        <f>IF(AND(ISNUMBER(SEARCH(O1387,4)),ISNUMBER(SEARCH('(4) FCH pathway assessment'!$B$16,AB1387)),ISNUMBER(SEARCH('(4) FCH pathway assessment'!$B$10,AA1387))),AD1387,"")</f>
        <v/>
      </c>
      <c r="AF1387" t="str">
        <f t="shared" si="4162"/>
        <v/>
      </c>
      <c r="AG1387" t="str">
        <f>VLOOKUP(C1387,Assumptions!$B$116:$C$162,2,FALSE)</f>
        <v>ELCTRLYZ_MED_C</v>
      </c>
      <c r="AH1387" t="str">
        <f>VLOOKUP(D1387,Assumptions!$B$116:$C$162,2,FALSE)</f>
        <v>C_GAS_STRG</v>
      </c>
      <c r="AI1387" t="str">
        <f>VLOOKUP(E1387,Assumptions!$B$116:$C$162,2,FALSE)</f>
        <v>H2_T&amp;D_P</v>
      </c>
      <c r="AJ1387" t="str">
        <f>VLOOKUP(F1387,Assumptions!$B$116:$C$162,2,FALSE)</f>
        <v>H2_FC_mCHP_HEAT</v>
      </c>
    </row>
    <row r="1388" spans="2:36" x14ac:dyDescent="0.25">
      <c r="B1388" t="s">
        <v>112</v>
      </c>
      <c r="C1388" t="s">
        <v>52</v>
      </c>
      <c r="D1388" s="60" t="s">
        <v>130</v>
      </c>
      <c r="E1388" t="s">
        <v>128</v>
      </c>
      <c r="F1388" t="s">
        <v>543</v>
      </c>
      <c r="G1388" t="s">
        <v>132</v>
      </c>
      <c r="H1388" t="s">
        <v>434</v>
      </c>
      <c r="I1388" t="s">
        <v>32</v>
      </c>
      <c r="J1388" t="s">
        <v>78</v>
      </c>
      <c r="K1388">
        <f t="shared" si="4288"/>
        <v>1</v>
      </c>
      <c r="L1388">
        <f t="shared" si="4289"/>
        <v>1</v>
      </c>
      <c r="M1388">
        <f t="shared" si="4290"/>
        <v>1</v>
      </c>
      <c r="N1388">
        <f t="shared" si="4291"/>
        <v>0</v>
      </c>
      <c r="O1388">
        <f t="shared" si="4292"/>
        <v>3</v>
      </c>
      <c r="P1388" t="str">
        <f t="shared" si="4293"/>
        <v>Small decentralized electrolysis-Maturity</v>
      </c>
      <c r="Q1388" t="str">
        <f t="shared" si="4294"/>
        <v>Distributed gas storage-Maturity</v>
      </c>
      <c r="R1388" t="str">
        <f t="shared" si="4295"/>
        <v>Hydrogen distribution pipeline-Maturity</v>
      </c>
      <c r="S1388" t="str">
        <f t="shared" si="4296"/>
        <v>Micro-CHP with H2 fuel cell (heat)-Maturity</v>
      </c>
      <c r="T1388">
        <f ca="1">VLOOKUP($P1388,'TA database'!$I$8:$J$79,2,FALSE)</f>
        <v>9</v>
      </c>
      <c r="U1388">
        <f ca="1">VLOOKUP($Q1388,'TA database'!$I$86:$J$105,2,FALSE)</f>
        <v>9</v>
      </c>
      <c r="V1388">
        <f ca="1">VLOOKUP($R1388,'TA database'!$I$112:$J$139,2,FALSE)</f>
        <v>9</v>
      </c>
      <c r="W1388">
        <f ca="1">IFERROR(VLOOKUP($S1388,'TA database'!$I$146:$J$193,2,FALSE),0)</f>
        <v>7</v>
      </c>
      <c r="X1388">
        <f>IFERROR(VLOOKUP($S1388,'TA database'!$I$200:$J$271,2,FALSE),0)</f>
        <v>0</v>
      </c>
      <c r="Y1388">
        <f t="shared" ca="1" si="4297"/>
        <v>7</v>
      </c>
      <c r="Z1388" t="str">
        <f t="shared" si="4298"/>
        <v>ELCTRLYZ_SML_D   →   D_GAS_STRG   →   H2_DSTRB_P   →   H2_FC_mCHP_HEAT</v>
      </c>
      <c r="AA1388" t="str">
        <f t="shared" si="4299"/>
        <v>Building heat</v>
      </c>
      <c r="AB1388" t="str">
        <f t="shared" si="4300"/>
        <v>Maturity</v>
      </c>
      <c r="AC1388">
        <f t="shared" ca="1" si="4301"/>
        <v>7</v>
      </c>
      <c r="AD1388">
        <v>1329</v>
      </c>
      <c r="AE1388" t="str">
        <f>IF(AND(ISNUMBER(SEARCH(O1388,4)),ISNUMBER(SEARCH('(4) FCH pathway assessment'!$B$16,AB1388)),ISNUMBER(SEARCH('(4) FCH pathway assessment'!$B$10,AA1388))),AD1388,"")</f>
        <v/>
      </c>
      <c r="AF1388" t="str">
        <f t="shared" si="4162"/>
        <v/>
      </c>
      <c r="AG1388" t="str">
        <f>VLOOKUP(C1388,Assumptions!$B$116:$C$162,2,FALSE)</f>
        <v>ELCTRLYZ_SML_D</v>
      </c>
      <c r="AH1388" t="str">
        <f>VLOOKUP(D1388,Assumptions!$B$116:$C$162,2,FALSE)</f>
        <v>D_GAS_STRG</v>
      </c>
      <c r="AI1388" t="str">
        <f>VLOOKUP(E1388,Assumptions!$B$116:$C$162,2,FALSE)</f>
        <v>H2_DSTRB_P</v>
      </c>
      <c r="AJ1388" t="str">
        <f>VLOOKUP(F1388,Assumptions!$B$116:$C$162,2,FALSE)</f>
        <v>H2_FC_mCHP_HEAT</v>
      </c>
    </row>
    <row r="1389" spans="2:36" x14ac:dyDescent="0.25">
      <c r="B1389" t="s">
        <v>127</v>
      </c>
      <c r="C1389" t="s">
        <v>57</v>
      </c>
      <c r="D1389" t="s">
        <v>62</v>
      </c>
      <c r="E1389" t="s">
        <v>157</v>
      </c>
      <c r="F1389" t="s">
        <v>543</v>
      </c>
      <c r="G1389" t="s">
        <v>132</v>
      </c>
      <c r="H1389" t="s">
        <v>434</v>
      </c>
      <c r="I1389" t="s">
        <v>32</v>
      </c>
      <c r="J1389" t="s">
        <v>78</v>
      </c>
      <c r="K1389">
        <f t="shared" ref="K1389:K1393" si="4302">SUMPRODUCT(($C$7:$C$18=$C1389)*($D$6:$H$6=$D1389)*($D$7:$H$18))</f>
        <v>1</v>
      </c>
      <c r="L1389">
        <f t="shared" ref="L1389:L1393" si="4303">SUMPRODUCT(($C$19:$C$23=$D1389)*($I$6:$O$6=$E1389)*($I$19:$O$23))</f>
        <v>0</v>
      </c>
      <c r="M1389">
        <f t="shared" ref="M1389:M1393" si="4304">SUMPRODUCT(($C$24:$C$30=$E1389)*($P$6:$AI$6=$F1389)*($P$24:$AI$30))</f>
        <v>0</v>
      </c>
      <c r="N1389">
        <f t="shared" ref="N1389:N1393" si="4305">SUMPRODUCT(($C$31:$C$50=$F1389)*($AJ$6:$AM$6=$G1389)*($AJ$31:$AM$50))</f>
        <v>0</v>
      </c>
      <c r="O1389">
        <f t="shared" ref="O1389:O1393" si="4306">K1389+L1389+M1389+N1389</f>
        <v>1</v>
      </c>
      <c r="P1389" t="str">
        <f t="shared" ref="P1389:P1393" si="4307">CONCATENATE(C1389,"-",J1389)</f>
        <v>Large centralized natural gas steam reforming-Maturity</v>
      </c>
      <c r="Q1389" t="str">
        <f t="shared" ref="Q1389:Q1393" si="4308">CONCATENATE(D1389,"-",J1389)</f>
        <v>Underground storage-Maturity</v>
      </c>
      <c r="R1389" t="str">
        <f t="shared" ref="R1389:R1393" si="4309">CONCATENATE(E1389,"-",J1389)</f>
        <v>Blending in natural gas pipeline-Maturity</v>
      </c>
      <c r="S1389" t="str">
        <f t="shared" ref="S1389:S1393" si="4310">CONCATENATE(F1389,"-",J1389)</f>
        <v>Micro-CHP with H2 fuel cell (heat)-Maturity</v>
      </c>
      <c r="T1389">
        <f ca="1">VLOOKUP($P1389,'TA database'!$I$8:$J$79,2,FALSE)</f>
        <v>9</v>
      </c>
      <c r="U1389">
        <f ca="1">VLOOKUP($Q1389,'TA database'!$I$86:$J$105,2,FALSE)</f>
        <v>6</v>
      </c>
      <c r="V1389">
        <f ca="1">VLOOKUP($R1389,'TA database'!$I$112:$J$139,2,FALSE)</f>
        <v>7</v>
      </c>
      <c r="W1389">
        <f ca="1">IFERROR(VLOOKUP($S1389,'TA database'!$I$146:$J$193,2,FALSE),0)</f>
        <v>7</v>
      </c>
      <c r="X1389">
        <f>IFERROR(VLOOKUP($S1389,'TA database'!$I$200:$J$271,2,FALSE),0)</f>
        <v>0</v>
      </c>
      <c r="Y1389">
        <f t="shared" ref="Y1389:Y1393" ca="1" si="4311">IF($W1389=0,MIN($T1389:$V1389,$X1389),MIN($T1389:$W1389))</f>
        <v>6</v>
      </c>
      <c r="Z1389" t="str">
        <f t="shared" ref="Z1389:Z1393" si="4312">CONCATENATE(AG1389,"   →   ",AH1389,"   →   ",AI1389,"   →   ",AJ1389)</f>
        <v>NG_SR_LRG_C   →   C_UNDRGRND_STRG   →   H2_BLND_NG_P   →   H2_FC_mCHP_HEAT</v>
      </c>
      <c r="AA1389" t="str">
        <f t="shared" ref="AA1389:AA1393" si="4313">G1389</f>
        <v>Building heat</v>
      </c>
      <c r="AB1389" t="str">
        <f t="shared" ref="AB1389:AB1393" si="4314">J1389</f>
        <v>Maturity</v>
      </c>
      <c r="AC1389">
        <f t="shared" ref="AC1389:AC1393" ca="1" si="4315">Y1389</f>
        <v>6</v>
      </c>
      <c r="AD1389">
        <v>1330</v>
      </c>
      <c r="AE1389" t="str">
        <f>IF(AND(ISNUMBER(SEARCH(O1389,4)),ISNUMBER(SEARCH('(4) FCH pathway assessment'!$B$16,AB1389)),ISNUMBER(SEARCH('(4) FCH pathway assessment'!$B$10,AA1389))),AD1389,"")</f>
        <v/>
      </c>
      <c r="AF1389" t="str">
        <f t="shared" si="4162"/>
        <v/>
      </c>
      <c r="AG1389" t="str">
        <f>VLOOKUP(C1389,Assumptions!$B$116:$C$162,2,FALSE)</f>
        <v>NG_SR_LRG_C</v>
      </c>
      <c r="AH1389" t="str">
        <f>VLOOKUP(D1389,Assumptions!$B$116:$C$162,2,FALSE)</f>
        <v>C_UNDRGRND_STRG</v>
      </c>
      <c r="AI1389" t="str">
        <f>VLOOKUP(E1389,Assumptions!$B$116:$C$162,2,FALSE)</f>
        <v>H2_BLND_NG_P</v>
      </c>
      <c r="AJ1389" t="str">
        <f>VLOOKUP(F1389,Assumptions!$B$116:$C$162,2,FALSE)</f>
        <v>H2_FC_mCHP_HEAT</v>
      </c>
    </row>
    <row r="1390" spans="2:36" x14ac:dyDescent="0.25">
      <c r="B1390" t="s">
        <v>127</v>
      </c>
      <c r="C1390" t="s">
        <v>57</v>
      </c>
      <c r="D1390" t="s">
        <v>62</v>
      </c>
      <c r="E1390" t="s">
        <v>122</v>
      </c>
      <c r="F1390" t="s">
        <v>543</v>
      </c>
      <c r="G1390" t="s">
        <v>132</v>
      </c>
      <c r="H1390" t="s">
        <v>434</v>
      </c>
      <c r="I1390" t="s">
        <v>32</v>
      </c>
      <c r="J1390" t="s">
        <v>78</v>
      </c>
      <c r="K1390">
        <f t="shared" si="4302"/>
        <v>1</v>
      </c>
      <c r="L1390">
        <f t="shared" si="4303"/>
        <v>0</v>
      </c>
      <c r="M1390">
        <f t="shared" si="4304"/>
        <v>1</v>
      </c>
      <c r="N1390">
        <f t="shared" si="4305"/>
        <v>0</v>
      </c>
      <c r="O1390">
        <f t="shared" si="4306"/>
        <v>2</v>
      </c>
      <c r="P1390" t="str">
        <f t="shared" si="4307"/>
        <v>Large centralized natural gas steam reforming-Maturity</v>
      </c>
      <c r="Q1390" t="str">
        <f t="shared" si="4308"/>
        <v>Underground storage-Maturity</v>
      </c>
      <c r="R1390" t="str">
        <f t="shared" si="4309"/>
        <v>Hydrogen transmission &amp; distribution pipeline-Maturity</v>
      </c>
      <c r="S1390" t="str">
        <f t="shared" si="4310"/>
        <v>Micro-CHP with H2 fuel cell (heat)-Maturity</v>
      </c>
      <c r="T1390">
        <f ca="1">VLOOKUP($P1390,'TA database'!$I$8:$J$79,2,FALSE)</f>
        <v>9</v>
      </c>
      <c r="U1390">
        <f ca="1">VLOOKUP($Q1390,'TA database'!$I$86:$J$105,2,FALSE)</f>
        <v>6</v>
      </c>
      <c r="V1390">
        <f ca="1">VLOOKUP($R1390,'TA database'!$I$112:$J$139,2,FALSE)</f>
        <v>9</v>
      </c>
      <c r="W1390">
        <f ca="1">IFERROR(VLOOKUP($S1390,'TA database'!$I$146:$J$193,2,FALSE),0)</f>
        <v>7</v>
      </c>
      <c r="X1390">
        <f>IFERROR(VLOOKUP($S1390,'TA database'!$I$200:$J$271,2,FALSE),0)</f>
        <v>0</v>
      </c>
      <c r="Y1390">
        <f t="shared" ca="1" si="4311"/>
        <v>6</v>
      </c>
      <c r="Z1390" t="str">
        <f t="shared" si="4312"/>
        <v>NG_SR_LRG_C   →   C_UNDRGRND_STRG   →   H2_T&amp;D_P   →   H2_FC_mCHP_HEAT</v>
      </c>
      <c r="AA1390" t="str">
        <f t="shared" si="4313"/>
        <v>Building heat</v>
      </c>
      <c r="AB1390" t="str">
        <f t="shared" si="4314"/>
        <v>Maturity</v>
      </c>
      <c r="AC1390">
        <f t="shared" ca="1" si="4315"/>
        <v>6</v>
      </c>
      <c r="AD1390">
        <v>1331</v>
      </c>
      <c r="AE1390" t="str">
        <f>IF(AND(ISNUMBER(SEARCH(O1390,4)),ISNUMBER(SEARCH('(4) FCH pathway assessment'!$B$16,AB1390)),ISNUMBER(SEARCH('(4) FCH pathway assessment'!$B$10,AA1390))),AD1390,"")</f>
        <v/>
      </c>
      <c r="AF1390" t="str">
        <f t="shared" si="4162"/>
        <v/>
      </c>
      <c r="AG1390" t="str">
        <f>VLOOKUP(C1390,Assumptions!$B$116:$C$162,2,FALSE)</f>
        <v>NG_SR_LRG_C</v>
      </c>
      <c r="AH1390" t="str">
        <f>VLOOKUP(D1390,Assumptions!$B$116:$C$162,2,FALSE)</f>
        <v>C_UNDRGRND_STRG</v>
      </c>
      <c r="AI1390" t="str">
        <f>VLOOKUP(E1390,Assumptions!$B$116:$C$162,2,FALSE)</f>
        <v>H2_T&amp;D_P</v>
      </c>
      <c r="AJ1390" t="str">
        <f>VLOOKUP(F1390,Assumptions!$B$116:$C$162,2,FALSE)</f>
        <v>H2_FC_mCHP_HEAT</v>
      </c>
    </row>
    <row r="1391" spans="2:36" x14ac:dyDescent="0.25">
      <c r="B1391" t="s">
        <v>127</v>
      </c>
      <c r="C1391" t="s">
        <v>57</v>
      </c>
      <c r="D1391" s="61" t="s">
        <v>63</v>
      </c>
      <c r="E1391" t="s">
        <v>122</v>
      </c>
      <c r="F1391" t="s">
        <v>543</v>
      </c>
      <c r="G1391" t="s">
        <v>132</v>
      </c>
      <c r="H1391" t="s">
        <v>434</v>
      </c>
      <c r="I1391" t="s">
        <v>32</v>
      </c>
      <c r="J1391" t="s">
        <v>78</v>
      </c>
      <c r="K1391">
        <f t="shared" si="4302"/>
        <v>1</v>
      </c>
      <c r="L1391">
        <f t="shared" si="4303"/>
        <v>1</v>
      </c>
      <c r="M1391">
        <f t="shared" si="4304"/>
        <v>1</v>
      </c>
      <c r="N1391">
        <f t="shared" si="4305"/>
        <v>0</v>
      </c>
      <c r="O1391">
        <f t="shared" si="4306"/>
        <v>3</v>
      </c>
      <c r="P1391" t="str">
        <f t="shared" si="4307"/>
        <v>Large centralized natural gas steam reforming-Maturity</v>
      </c>
      <c r="Q1391" t="str">
        <f t="shared" si="4308"/>
        <v>No storage-Maturity</v>
      </c>
      <c r="R1391" t="str">
        <f t="shared" si="4309"/>
        <v>Hydrogen transmission &amp; distribution pipeline-Maturity</v>
      </c>
      <c r="S1391" t="str">
        <f t="shared" si="4310"/>
        <v>Micro-CHP with H2 fuel cell (heat)-Maturity</v>
      </c>
      <c r="T1391">
        <f ca="1">VLOOKUP($P1391,'TA database'!$I$8:$J$79,2,FALSE)</f>
        <v>9</v>
      </c>
      <c r="U1391">
        <f ca="1">VLOOKUP($Q1391,'TA database'!$I$86:$J$105,2,FALSE)</f>
        <v>9</v>
      </c>
      <c r="V1391">
        <f ca="1">VLOOKUP($R1391,'TA database'!$I$112:$J$139,2,FALSE)</f>
        <v>9</v>
      </c>
      <c r="W1391">
        <f ca="1">IFERROR(VLOOKUP($S1391,'TA database'!$I$146:$J$193,2,FALSE),0)</f>
        <v>7</v>
      </c>
      <c r="X1391">
        <f>IFERROR(VLOOKUP($S1391,'TA database'!$I$200:$J$271,2,FALSE),0)</f>
        <v>0</v>
      </c>
      <c r="Y1391">
        <f t="shared" ca="1" si="4311"/>
        <v>7</v>
      </c>
      <c r="Z1391" t="str">
        <f t="shared" si="4312"/>
        <v>NG_SR_LRG_C   →   NO_STRG   →   H2_T&amp;D_P   →   H2_FC_mCHP_HEAT</v>
      </c>
      <c r="AA1391" t="str">
        <f t="shared" si="4313"/>
        <v>Building heat</v>
      </c>
      <c r="AB1391" t="str">
        <f t="shared" si="4314"/>
        <v>Maturity</v>
      </c>
      <c r="AC1391">
        <f t="shared" ca="1" si="4315"/>
        <v>7</v>
      </c>
      <c r="AD1391">
        <v>1332</v>
      </c>
      <c r="AE1391" t="str">
        <f>IF(AND(ISNUMBER(SEARCH(O1391,4)),ISNUMBER(SEARCH('(4) FCH pathway assessment'!$B$16,AB1391)),ISNUMBER(SEARCH('(4) FCH pathway assessment'!$B$10,AA1391))),AD1391,"")</f>
        <v/>
      </c>
      <c r="AF1391" t="str">
        <f t="shared" si="4162"/>
        <v/>
      </c>
      <c r="AG1391" t="str">
        <f>VLOOKUP(C1391,Assumptions!$B$116:$C$162,2,FALSE)</f>
        <v>NG_SR_LRG_C</v>
      </c>
      <c r="AH1391" t="str">
        <f>VLOOKUP(D1391,Assumptions!$B$116:$C$162,2,FALSE)</f>
        <v>NO_STRG</v>
      </c>
      <c r="AI1391" t="str">
        <f>VLOOKUP(E1391,Assumptions!$B$116:$C$162,2,FALSE)</f>
        <v>H2_T&amp;D_P</v>
      </c>
      <c r="AJ1391" t="str">
        <f>VLOOKUP(F1391,Assumptions!$B$116:$C$162,2,FALSE)</f>
        <v>H2_FC_mCHP_HEAT</v>
      </c>
    </row>
    <row r="1392" spans="2:36" x14ac:dyDescent="0.25">
      <c r="B1392" t="s">
        <v>127</v>
      </c>
      <c r="C1392" t="s">
        <v>58</v>
      </c>
      <c r="D1392" t="s">
        <v>155</v>
      </c>
      <c r="E1392" t="s">
        <v>157</v>
      </c>
      <c r="F1392" t="s">
        <v>543</v>
      </c>
      <c r="G1392" t="s">
        <v>132</v>
      </c>
      <c r="H1392" t="s">
        <v>434</v>
      </c>
      <c r="I1392" t="s">
        <v>32</v>
      </c>
      <c r="J1392" t="s">
        <v>78</v>
      </c>
      <c r="K1392">
        <f t="shared" si="4302"/>
        <v>1</v>
      </c>
      <c r="L1392">
        <f t="shared" si="4303"/>
        <v>1</v>
      </c>
      <c r="M1392">
        <f t="shared" si="4304"/>
        <v>0</v>
      </c>
      <c r="N1392">
        <f t="shared" si="4305"/>
        <v>0</v>
      </c>
      <c r="O1392">
        <f t="shared" si="4306"/>
        <v>2</v>
      </c>
      <c r="P1392" t="str">
        <f t="shared" si="4307"/>
        <v>Small centralized natural gas steam reforming-Maturity</v>
      </c>
      <c r="Q1392" t="str">
        <f t="shared" si="4308"/>
        <v>Central gas storage-Maturity</v>
      </c>
      <c r="R1392" t="str">
        <f t="shared" si="4309"/>
        <v>Blending in natural gas pipeline-Maturity</v>
      </c>
      <c r="S1392" t="str">
        <f t="shared" si="4310"/>
        <v>Micro-CHP with H2 fuel cell (heat)-Maturity</v>
      </c>
      <c r="T1392">
        <f ca="1">VLOOKUP($P1392,'TA database'!$I$8:$J$79,2,FALSE)</f>
        <v>9</v>
      </c>
      <c r="U1392">
        <f ca="1">VLOOKUP($Q1392,'TA database'!$I$86:$J$105,2,FALSE)</f>
        <v>9</v>
      </c>
      <c r="V1392">
        <f ca="1">VLOOKUP($R1392,'TA database'!$I$112:$J$139,2,FALSE)</f>
        <v>7</v>
      </c>
      <c r="W1392">
        <f ca="1">IFERROR(VLOOKUP($S1392,'TA database'!$I$146:$J$193,2,FALSE),0)</f>
        <v>7</v>
      </c>
      <c r="X1392">
        <f>IFERROR(VLOOKUP($S1392,'TA database'!$I$200:$J$271,2,FALSE),0)</f>
        <v>0</v>
      </c>
      <c r="Y1392">
        <f t="shared" ca="1" si="4311"/>
        <v>7</v>
      </c>
      <c r="Z1392" t="str">
        <f t="shared" si="4312"/>
        <v>NG_SR_SML_C   →   C_GAS_STRG   →   H2_BLND_NG_P   →   H2_FC_mCHP_HEAT</v>
      </c>
      <c r="AA1392" t="str">
        <f t="shared" si="4313"/>
        <v>Building heat</v>
      </c>
      <c r="AB1392" t="str">
        <f t="shared" si="4314"/>
        <v>Maturity</v>
      </c>
      <c r="AC1392">
        <f t="shared" ca="1" si="4315"/>
        <v>7</v>
      </c>
      <c r="AD1392">
        <v>1333</v>
      </c>
      <c r="AE1392" t="str">
        <f>IF(AND(ISNUMBER(SEARCH(O1392,4)),ISNUMBER(SEARCH('(4) FCH pathway assessment'!$B$16,AB1392)),ISNUMBER(SEARCH('(4) FCH pathway assessment'!$B$10,AA1392))),AD1392,"")</f>
        <v/>
      </c>
      <c r="AF1392" t="str">
        <f t="shared" si="4162"/>
        <v/>
      </c>
      <c r="AG1392" t="str">
        <f>VLOOKUP(C1392,Assumptions!$B$116:$C$162,2,FALSE)</f>
        <v>NG_SR_SML_C</v>
      </c>
      <c r="AH1392" t="str">
        <f>VLOOKUP(D1392,Assumptions!$B$116:$C$162,2,FALSE)</f>
        <v>C_GAS_STRG</v>
      </c>
      <c r="AI1392" t="str">
        <f>VLOOKUP(E1392,Assumptions!$B$116:$C$162,2,FALSE)</f>
        <v>H2_BLND_NG_P</v>
      </c>
      <c r="AJ1392" t="str">
        <f>VLOOKUP(F1392,Assumptions!$B$116:$C$162,2,FALSE)</f>
        <v>H2_FC_mCHP_HEAT</v>
      </c>
    </row>
    <row r="1393" spans="2:36" x14ac:dyDescent="0.25">
      <c r="B1393" t="s">
        <v>127</v>
      </c>
      <c r="C1393" t="s">
        <v>58</v>
      </c>
      <c r="D1393" t="s">
        <v>155</v>
      </c>
      <c r="E1393" t="s">
        <v>122</v>
      </c>
      <c r="F1393" t="s">
        <v>543</v>
      </c>
      <c r="G1393" t="s">
        <v>132</v>
      </c>
      <c r="H1393" t="s">
        <v>434</v>
      </c>
      <c r="I1393" t="s">
        <v>32</v>
      </c>
      <c r="J1393" t="s">
        <v>78</v>
      </c>
      <c r="K1393">
        <f t="shared" si="4302"/>
        <v>1</v>
      </c>
      <c r="L1393">
        <f t="shared" si="4303"/>
        <v>1</v>
      </c>
      <c r="M1393">
        <f t="shared" si="4304"/>
        <v>1</v>
      </c>
      <c r="N1393">
        <f t="shared" si="4305"/>
        <v>0</v>
      </c>
      <c r="O1393">
        <f t="shared" si="4306"/>
        <v>3</v>
      </c>
      <c r="P1393" t="str">
        <f t="shared" si="4307"/>
        <v>Small centralized natural gas steam reforming-Maturity</v>
      </c>
      <c r="Q1393" t="str">
        <f t="shared" si="4308"/>
        <v>Central gas storage-Maturity</v>
      </c>
      <c r="R1393" t="str">
        <f t="shared" si="4309"/>
        <v>Hydrogen transmission &amp; distribution pipeline-Maturity</v>
      </c>
      <c r="S1393" t="str">
        <f t="shared" si="4310"/>
        <v>Micro-CHP with H2 fuel cell (heat)-Maturity</v>
      </c>
      <c r="T1393">
        <f ca="1">VLOOKUP($P1393,'TA database'!$I$8:$J$79,2,FALSE)</f>
        <v>9</v>
      </c>
      <c r="U1393">
        <f ca="1">VLOOKUP($Q1393,'TA database'!$I$86:$J$105,2,FALSE)</f>
        <v>9</v>
      </c>
      <c r="V1393">
        <f ca="1">VLOOKUP($R1393,'TA database'!$I$112:$J$139,2,FALSE)</f>
        <v>9</v>
      </c>
      <c r="W1393">
        <f ca="1">IFERROR(VLOOKUP($S1393,'TA database'!$I$146:$J$193,2,FALSE),0)</f>
        <v>7</v>
      </c>
      <c r="X1393">
        <f>IFERROR(VLOOKUP($S1393,'TA database'!$I$200:$J$271,2,FALSE),0)</f>
        <v>0</v>
      </c>
      <c r="Y1393">
        <f t="shared" ca="1" si="4311"/>
        <v>7</v>
      </c>
      <c r="Z1393" t="str">
        <f t="shared" si="4312"/>
        <v>NG_SR_SML_C   →   C_GAS_STRG   →   H2_T&amp;D_P   →   H2_FC_mCHP_HEAT</v>
      </c>
      <c r="AA1393" t="str">
        <f t="shared" si="4313"/>
        <v>Building heat</v>
      </c>
      <c r="AB1393" t="str">
        <f t="shared" si="4314"/>
        <v>Maturity</v>
      </c>
      <c r="AC1393">
        <f t="shared" ca="1" si="4315"/>
        <v>7</v>
      </c>
      <c r="AD1393">
        <v>1334</v>
      </c>
      <c r="AE1393" t="str">
        <f>IF(AND(ISNUMBER(SEARCH(O1393,4)),ISNUMBER(SEARCH('(4) FCH pathway assessment'!$B$16,AB1393)),ISNUMBER(SEARCH('(4) FCH pathway assessment'!$B$10,AA1393))),AD1393,"")</f>
        <v/>
      </c>
      <c r="AF1393" t="str">
        <f t="shared" si="4162"/>
        <v/>
      </c>
      <c r="AG1393" t="str">
        <f>VLOOKUP(C1393,Assumptions!$B$116:$C$162,2,FALSE)</f>
        <v>NG_SR_SML_C</v>
      </c>
      <c r="AH1393" t="str">
        <f>VLOOKUP(D1393,Assumptions!$B$116:$C$162,2,FALSE)</f>
        <v>C_GAS_STRG</v>
      </c>
      <c r="AI1393" t="str">
        <f>VLOOKUP(E1393,Assumptions!$B$116:$C$162,2,FALSE)</f>
        <v>H2_T&amp;D_P</v>
      </c>
      <c r="AJ1393" t="str">
        <f>VLOOKUP(F1393,Assumptions!$B$116:$C$162,2,FALSE)</f>
        <v>H2_FC_mCHP_HEAT</v>
      </c>
    </row>
    <row r="1394" spans="2:36" x14ac:dyDescent="0.25">
      <c r="B1394" t="s">
        <v>127</v>
      </c>
      <c r="C1394" t="s">
        <v>59</v>
      </c>
      <c r="D1394" s="60" t="s">
        <v>130</v>
      </c>
      <c r="E1394" t="s">
        <v>128</v>
      </c>
      <c r="F1394" t="s">
        <v>543</v>
      </c>
      <c r="G1394" t="s">
        <v>132</v>
      </c>
      <c r="H1394" t="s">
        <v>434</v>
      </c>
      <c r="I1394" t="s">
        <v>32</v>
      </c>
      <c r="J1394" t="s">
        <v>78</v>
      </c>
      <c r="K1394">
        <f t="shared" ref="K1394" si="4316">SUMPRODUCT(($C$7:$C$18=$C1394)*($D$6:$H$6=$D1394)*($D$7:$H$18))</f>
        <v>1</v>
      </c>
      <c r="L1394">
        <f t="shared" ref="L1394" si="4317">SUMPRODUCT(($C$19:$C$23=$D1394)*($I$6:$O$6=$E1394)*($I$19:$O$23))</f>
        <v>1</v>
      </c>
      <c r="M1394">
        <f t="shared" ref="M1394" si="4318">SUMPRODUCT(($C$24:$C$30=$E1394)*($P$6:$AI$6=$F1394)*($P$24:$AI$30))</f>
        <v>1</v>
      </c>
      <c r="N1394">
        <f t="shared" ref="N1394" si="4319">SUMPRODUCT(($C$31:$C$50=$F1394)*($AJ$6:$AM$6=$G1394)*($AJ$31:$AM$50))</f>
        <v>0</v>
      </c>
      <c r="O1394">
        <f t="shared" ref="O1394" si="4320">K1394+L1394+M1394+N1394</f>
        <v>3</v>
      </c>
      <c r="P1394" t="str">
        <f t="shared" ref="P1394" si="4321">CONCATENATE(C1394,"-",J1394)</f>
        <v>Medium decentralized natural gas steam reforming-Maturity</v>
      </c>
      <c r="Q1394" t="str">
        <f t="shared" ref="Q1394" si="4322">CONCATENATE(D1394,"-",J1394)</f>
        <v>Distributed gas storage-Maturity</v>
      </c>
      <c r="R1394" t="str">
        <f t="shared" ref="R1394" si="4323">CONCATENATE(E1394,"-",J1394)</f>
        <v>Hydrogen distribution pipeline-Maturity</v>
      </c>
      <c r="S1394" t="str">
        <f t="shared" ref="S1394" si="4324">CONCATENATE(F1394,"-",J1394)</f>
        <v>Micro-CHP with H2 fuel cell (heat)-Maturity</v>
      </c>
      <c r="T1394">
        <f ca="1">VLOOKUP($P1394,'TA database'!$I$8:$J$79,2,FALSE)</f>
        <v>9</v>
      </c>
      <c r="U1394">
        <f ca="1">VLOOKUP($Q1394,'TA database'!$I$86:$J$105,2,FALSE)</f>
        <v>9</v>
      </c>
      <c r="V1394">
        <f ca="1">VLOOKUP($R1394,'TA database'!$I$112:$J$139,2,FALSE)</f>
        <v>9</v>
      </c>
      <c r="W1394">
        <f ca="1">IFERROR(VLOOKUP($S1394,'TA database'!$I$146:$J$193,2,FALSE),0)</f>
        <v>7</v>
      </c>
      <c r="X1394">
        <f>IFERROR(VLOOKUP($S1394,'TA database'!$I$200:$J$271,2,FALSE),0)</f>
        <v>0</v>
      </c>
      <c r="Y1394">
        <f t="shared" ref="Y1394:Y1395" ca="1" si="4325">IF($W1394=0,MIN($T1394:$V1394,$X1394),MIN($T1394:$W1394))</f>
        <v>7</v>
      </c>
      <c r="Z1394" t="str">
        <f t="shared" ref="Z1394" si="4326">CONCATENATE(AG1394,"   →   ",AH1394,"   →   ",AI1394,"   →   ",AJ1394)</f>
        <v>NG_SR_MED_D   →   D_GAS_STRG   →   H2_DSTRB_P   →   H2_FC_mCHP_HEAT</v>
      </c>
      <c r="AA1394" t="str">
        <f t="shared" ref="AA1394" si="4327">G1394</f>
        <v>Building heat</v>
      </c>
      <c r="AB1394" t="str">
        <f t="shared" ref="AB1394" si="4328">J1394</f>
        <v>Maturity</v>
      </c>
      <c r="AC1394">
        <f t="shared" ref="AC1394" ca="1" si="4329">Y1394</f>
        <v>7</v>
      </c>
      <c r="AD1394">
        <v>1335</v>
      </c>
      <c r="AE1394" t="str">
        <f>IF(AND(ISNUMBER(SEARCH(O1394,4)),ISNUMBER(SEARCH('(4) FCH pathway assessment'!$B$16,AB1394)),ISNUMBER(SEARCH('(4) FCH pathway assessment'!$B$10,AA1394))),AD1394,"")</f>
        <v/>
      </c>
      <c r="AF1394" t="str">
        <f t="shared" si="4162"/>
        <v/>
      </c>
      <c r="AG1394" t="str">
        <f>VLOOKUP(C1394,Assumptions!$B$116:$C$162,2,FALSE)</f>
        <v>NG_SR_MED_D</v>
      </c>
      <c r="AH1394" t="str">
        <f>VLOOKUP(D1394,Assumptions!$B$116:$C$162,2,FALSE)</f>
        <v>D_GAS_STRG</v>
      </c>
      <c r="AI1394" t="str">
        <f>VLOOKUP(E1394,Assumptions!$B$116:$C$162,2,FALSE)</f>
        <v>H2_DSTRB_P</v>
      </c>
      <c r="AJ1394" t="str">
        <f>VLOOKUP(F1394,Assumptions!$B$116:$C$162,2,FALSE)</f>
        <v>H2_FC_mCHP_HEAT</v>
      </c>
    </row>
    <row r="1395" spans="2:36" x14ac:dyDescent="0.25">
      <c r="B1395" t="s">
        <v>127</v>
      </c>
      <c r="C1395" t="s">
        <v>60</v>
      </c>
      <c r="D1395" s="60" t="s">
        <v>130</v>
      </c>
      <c r="E1395" t="s">
        <v>128</v>
      </c>
      <c r="F1395" t="s">
        <v>543</v>
      </c>
      <c r="G1395" t="s">
        <v>132</v>
      </c>
      <c r="H1395" t="s">
        <v>434</v>
      </c>
      <c r="I1395" t="s">
        <v>32</v>
      </c>
      <c r="J1395" t="s">
        <v>78</v>
      </c>
      <c r="K1395">
        <f t="shared" ref="K1395" si="4330">SUMPRODUCT(($C$7:$C$18=$C1395)*($D$6:$H$6=$D1395)*($D$7:$H$18))</f>
        <v>1</v>
      </c>
      <c r="L1395">
        <f t="shared" ref="L1395" si="4331">SUMPRODUCT(($C$19:$C$23=$D1395)*($I$6:$O$6=$E1395)*($I$19:$O$23))</f>
        <v>1</v>
      </c>
      <c r="M1395">
        <f t="shared" ref="M1395" si="4332">SUMPRODUCT(($C$24:$C$30=$E1395)*($P$6:$AI$6=$F1395)*($P$24:$AI$30))</f>
        <v>1</v>
      </c>
      <c r="N1395">
        <f t="shared" ref="N1395" si="4333">SUMPRODUCT(($C$31:$C$50=$F1395)*($AJ$6:$AM$6=$G1395)*($AJ$31:$AM$50))</f>
        <v>0</v>
      </c>
      <c r="O1395">
        <f t="shared" ref="O1395" si="4334">K1395+L1395+M1395+N1395</f>
        <v>3</v>
      </c>
      <c r="P1395" t="str">
        <f t="shared" ref="P1395" si="4335">CONCATENATE(C1395,"-",J1395)</f>
        <v>Small decentralized natural gas steam reforming-Maturity</v>
      </c>
      <c r="Q1395" t="str">
        <f t="shared" ref="Q1395" si="4336">CONCATENATE(D1395,"-",J1395)</f>
        <v>Distributed gas storage-Maturity</v>
      </c>
      <c r="R1395" t="str">
        <f t="shared" ref="R1395" si="4337">CONCATENATE(E1395,"-",J1395)</f>
        <v>Hydrogen distribution pipeline-Maturity</v>
      </c>
      <c r="S1395" t="str">
        <f t="shared" ref="S1395" si="4338">CONCATENATE(F1395,"-",J1395)</f>
        <v>Micro-CHP with H2 fuel cell (heat)-Maturity</v>
      </c>
      <c r="T1395">
        <f ca="1">VLOOKUP($P1395,'TA database'!$I$8:$J$79,2,FALSE)</f>
        <v>9</v>
      </c>
      <c r="U1395">
        <f ca="1">VLOOKUP($Q1395,'TA database'!$I$86:$J$105,2,FALSE)</f>
        <v>9</v>
      </c>
      <c r="V1395">
        <f ca="1">VLOOKUP($R1395,'TA database'!$I$112:$J$139,2,FALSE)</f>
        <v>9</v>
      </c>
      <c r="W1395">
        <f ca="1">IFERROR(VLOOKUP($S1395,'TA database'!$I$146:$J$193,2,FALSE),0)</f>
        <v>7</v>
      </c>
      <c r="X1395">
        <f>IFERROR(VLOOKUP($S1395,'TA database'!$I$200:$J$271,2,FALSE),0)</f>
        <v>0</v>
      </c>
      <c r="Y1395">
        <f t="shared" ca="1" si="4325"/>
        <v>7</v>
      </c>
      <c r="Z1395" t="str">
        <f t="shared" ref="Z1395" si="4339">CONCATENATE(AG1395,"   →   ",AH1395,"   →   ",AI1395,"   →   ",AJ1395)</f>
        <v>NG_SR_SML_D   →   D_GAS_STRG   →   H2_DSTRB_P   →   H2_FC_mCHP_HEAT</v>
      </c>
      <c r="AA1395" t="str">
        <f t="shared" ref="AA1395" si="4340">G1395</f>
        <v>Building heat</v>
      </c>
      <c r="AB1395" t="str">
        <f t="shared" ref="AB1395" si="4341">J1395</f>
        <v>Maturity</v>
      </c>
      <c r="AC1395">
        <f t="shared" ref="AC1395" ca="1" si="4342">Y1395</f>
        <v>7</v>
      </c>
      <c r="AD1395">
        <v>1336</v>
      </c>
      <c r="AE1395" t="str">
        <f>IF(AND(ISNUMBER(SEARCH(O1395,4)),ISNUMBER(SEARCH('(4) FCH pathway assessment'!$B$16,AB1395)),ISNUMBER(SEARCH('(4) FCH pathway assessment'!$B$10,AA1395))),AD1395,"")</f>
        <v/>
      </c>
      <c r="AF1395" t="str">
        <f t="shared" si="4162"/>
        <v/>
      </c>
      <c r="AG1395" t="str">
        <f>VLOOKUP(C1395,Assumptions!$B$116:$C$162,2,FALSE)</f>
        <v>NG_SR_SML_D</v>
      </c>
      <c r="AH1395" t="str">
        <f>VLOOKUP(D1395,Assumptions!$B$116:$C$162,2,FALSE)</f>
        <v>D_GAS_STRG</v>
      </c>
      <c r="AI1395" t="str">
        <f>VLOOKUP(E1395,Assumptions!$B$116:$C$162,2,FALSE)</f>
        <v>H2_DSTRB_P</v>
      </c>
      <c r="AJ1395" t="str">
        <f>VLOOKUP(F1395,Assumptions!$B$116:$C$162,2,FALSE)</f>
        <v>H2_FC_mCHP_HEAT</v>
      </c>
    </row>
    <row r="1396" spans="2:36" x14ac:dyDescent="0.25">
      <c r="B1396" t="s">
        <v>117</v>
      </c>
      <c r="C1396" t="s">
        <v>53</v>
      </c>
      <c r="D1396" t="s">
        <v>155</v>
      </c>
      <c r="E1396" t="s">
        <v>65</v>
      </c>
      <c r="F1396" t="s">
        <v>553</v>
      </c>
      <c r="G1396" t="s">
        <v>132</v>
      </c>
      <c r="H1396" t="s">
        <v>434</v>
      </c>
      <c r="I1396" t="s">
        <v>32</v>
      </c>
      <c r="J1396" t="s">
        <v>78</v>
      </c>
      <c r="K1396">
        <f t="shared" ref="K1396:K1397" si="4343">SUMPRODUCT(($C$7:$C$18=$C1396)*($D$6:$H$6=$D1396)*($D$7:$H$18))</f>
        <v>0</v>
      </c>
      <c r="L1396">
        <f t="shared" ref="L1396:L1397" si="4344">SUMPRODUCT(($C$19:$C$23=$D1396)*($I$6:$O$6=$E1396)*($I$19:$O$23))</f>
        <v>1</v>
      </c>
      <c r="M1396">
        <f t="shared" ref="M1396:M1397" si="4345">SUMPRODUCT(($C$24:$C$30=$E1396)*($P$6:$AI$6=$F1396)*($P$24:$AI$30))</f>
        <v>0</v>
      </c>
      <c r="N1396">
        <f t="shared" ref="N1396:N1397" si="4346">SUMPRODUCT(($C$31:$C$50=$F1396)*($AJ$6:$AM$6=$G1396)*($AJ$31:$AM$50))</f>
        <v>1</v>
      </c>
      <c r="O1396">
        <f t="shared" ref="O1396:O1397" si="4347">K1396+L1396+M1396+N1396</f>
        <v>2</v>
      </c>
      <c r="P1396" t="str">
        <f t="shared" ref="P1396:P1397" si="4348">CONCATENATE(C1396,"-",J1396)</f>
        <v>Medium centralized biomass gasification-Maturity</v>
      </c>
      <c r="Q1396" t="str">
        <f t="shared" ref="Q1396:Q1397" si="4349">CONCATENATE(D1396,"-",J1396)</f>
        <v>Central gas storage-Maturity</v>
      </c>
      <c r="R1396" t="str">
        <f t="shared" ref="R1396:R1397" si="4350">CONCATENATE(E1396,"-",J1396)</f>
        <v>Methanation-Maturity</v>
      </c>
      <c r="S1396" t="str">
        <f t="shared" ref="S1396:S1397" si="4351">CONCATENATE(F1396,"-",J1396)</f>
        <v>Micro-CHP with natural gas fuel cell (heat)-Maturity</v>
      </c>
      <c r="T1396">
        <f ca="1">VLOOKUP($P1396,'TA database'!$I$8:$J$79,2,FALSE)</f>
        <v>6</v>
      </c>
      <c r="U1396">
        <f ca="1">VLOOKUP($Q1396,'TA database'!$I$86:$J$105,2,FALSE)</f>
        <v>9</v>
      </c>
      <c r="V1396">
        <f ca="1">VLOOKUP($R1396,'TA database'!$I$112:$J$139,2,FALSE)</f>
        <v>6</v>
      </c>
      <c r="W1396">
        <f ca="1">IFERROR(VLOOKUP($S1396,'TA database'!$I$146:$J$193,2,FALSE),0)</f>
        <v>9</v>
      </c>
      <c r="X1396">
        <f>IFERROR(VLOOKUP($S1396,'TA database'!$I$200:$J$271,2,FALSE),0)</f>
        <v>0</v>
      </c>
      <c r="Y1396">
        <f t="shared" ref="Y1396" ca="1" si="4352">IF($W1396=0,MIN($T1396:$V1396,$X1396),MIN($T1396:$W1396))</f>
        <v>6</v>
      </c>
      <c r="Z1396" t="str">
        <f t="shared" ref="Z1396:Z1397" si="4353">CONCATENATE(AG1396,"   →   ",AH1396,"   →   ",AI1396,"   →   ",AJ1396)</f>
        <v>BIO_GSF_MED_C   →   C_GAS_STRG   →   METHANATION   →   NG_FC_mCHP_HEAT</v>
      </c>
      <c r="AA1396" t="str">
        <f t="shared" ref="AA1396:AA1397" si="4354">G1396</f>
        <v>Building heat</v>
      </c>
      <c r="AB1396" t="str">
        <f t="shared" ref="AB1396:AB1397" si="4355">J1396</f>
        <v>Maturity</v>
      </c>
      <c r="AC1396">
        <f t="shared" ref="AC1396:AC1397" ca="1" si="4356">Y1396</f>
        <v>6</v>
      </c>
      <c r="AD1396">
        <v>1337</v>
      </c>
      <c r="AE1396" t="str">
        <f>IF(AND(ISNUMBER(SEARCH(O1396,4)),ISNUMBER(SEARCH('(4) FCH pathway assessment'!$B$16,AB1396)),ISNUMBER(SEARCH('(4) FCH pathway assessment'!$B$10,AA1396))),AD1396,"")</f>
        <v/>
      </c>
      <c r="AF1396" t="str">
        <f t="shared" si="4162"/>
        <v/>
      </c>
      <c r="AG1396" t="str">
        <f>VLOOKUP(C1396,Assumptions!$B$116:$C$162,2,FALSE)</f>
        <v>BIO_GSF_MED_C</v>
      </c>
      <c r="AH1396" t="str">
        <f>VLOOKUP(D1396,Assumptions!$B$116:$C$162,2,FALSE)</f>
        <v>C_GAS_STRG</v>
      </c>
      <c r="AI1396" t="str">
        <f>VLOOKUP(E1396,Assumptions!$B$116:$C$162,2,FALSE)</f>
        <v>METHANATION</v>
      </c>
      <c r="AJ1396" t="str">
        <f>VLOOKUP(F1396,Assumptions!$B$116:$C$162,2,FALSE)</f>
        <v>NG_FC_mCHP_HEAT</v>
      </c>
    </row>
    <row r="1397" spans="2:36" x14ac:dyDescent="0.25">
      <c r="B1397" t="s">
        <v>117</v>
      </c>
      <c r="C1397" t="s">
        <v>54</v>
      </c>
      <c r="D1397" t="s">
        <v>155</v>
      </c>
      <c r="E1397" t="s">
        <v>65</v>
      </c>
      <c r="F1397" t="s">
        <v>553</v>
      </c>
      <c r="G1397" t="s">
        <v>132</v>
      </c>
      <c r="H1397" t="s">
        <v>434</v>
      </c>
      <c r="I1397" t="s">
        <v>32</v>
      </c>
      <c r="J1397" t="s">
        <v>78</v>
      </c>
      <c r="K1397">
        <f t="shared" si="4343"/>
        <v>0</v>
      </c>
      <c r="L1397">
        <f t="shared" si="4344"/>
        <v>1</v>
      </c>
      <c r="M1397">
        <f t="shared" si="4345"/>
        <v>0</v>
      </c>
      <c r="N1397">
        <f t="shared" si="4346"/>
        <v>1</v>
      </c>
      <c r="O1397">
        <f t="shared" si="4347"/>
        <v>2</v>
      </c>
      <c r="P1397" t="str">
        <f t="shared" si="4348"/>
        <v>Medium centralized biomass gasification w/ CCS-Maturity</v>
      </c>
      <c r="Q1397" t="str">
        <f t="shared" si="4349"/>
        <v>Central gas storage-Maturity</v>
      </c>
      <c r="R1397" t="str">
        <f t="shared" si="4350"/>
        <v>Methanation-Maturity</v>
      </c>
      <c r="S1397" t="str">
        <f t="shared" si="4351"/>
        <v>Micro-CHP with natural gas fuel cell (heat)-Maturity</v>
      </c>
      <c r="T1397">
        <f ca="1">VLOOKUP($P1397,'TA database'!$I$8:$J$79,2,FALSE)</f>
        <v>6</v>
      </c>
      <c r="U1397">
        <f ca="1">VLOOKUP($Q1397,'TA database'!$I$86:$J$105,2,FALSE)</f>
        <v>9</v>
      </c>
      <c r="V1397">
        <f ca="1">VLOOKUP($R1397,'TA database'!$I$112:$J$139,2,FALSE)</f>
        <v>6</v>
      </c>
      <c r="W1397">
        <f ca="1">IFERROR(VLOOKUP($S1397,'TA database'!$I$146:$J$193,2,FALSE),0)</f>
        <v>9</v>
      </c>
      <c r="X1397">
        <f>IFERROR(VLOOKUP($S1397,'TA database'!$I$200:$J$271,2,FALSE),0)</f>
        <v>0</v>
      </c>
      <c r="Y1397">
        <f t="shared" ref="Y1397" ca="1" si="4357">IF($W1397=0,MIN($T1397:$V1397,$X1397),MIN($T1397:$W1397))</f>
        <v>6</v>
      </c>
      <c r="Z1397" t="str">
        <f t="shared" si="4353"/>
        <v>BIO_GSF_CCS_MED_C   →   C_GAS_STRG   →   METHANATION   →   NG_FC_mCHP_HEAT</v>
      </c>
      <c r="AA1397" t="str">
        <f t="shared" si="4354"/>
        <v>Building heat</v>
      </c>
      <c r="AB1397" t="str">
        <f t="shared" si="4355"/>
        <v>Maturity</v>
      </c>
      <c r="AC1397">
        <f t="shared" ca="1" si="4356"/>
        <v>6</v>
      </c>
      <c r="AD1397">
        <v>1338</v>
      </c>
      <c r="AE1397" t="str">
        <f>IF(AND(ISNUMBER(SEARCH(O1397,4)),ISNUMBER(SEARCH('(4) FCH pathway assessment'!$B$16,AB1397)),ISNUMBER(SEARCH('(4) FCH pathway assessment'!$B$10,AA1397))),AD1397,"")</f>
        <v/>
      </c>
      <c r="AF1397" t="str">
        <f t="shared" si="4162"/>
        <v/>
      </c>
      <c r="AG1397" t="str">
        <f>VLOOKUP(C1397,Assumptions!$B$116:$C$162,2,FALSE)</f>
        <v>BIO_GSF_CCS_MED_C</v>
      </c>
      <c r="AH1397" t="str">
        <f>VLOOKUP(D1397,Assumptions!$B$116:$C$162,2,FALSE)</f>
        <v>C_GAS_STRG</v>
      </c>
      <c r="AI1397" t="str">
        <f>VLOOKUP(E1397,Assumptions!$B$116:$C$162,2,FALSE)</f>
        <v>METHANATION</v>
      </c>
      <c r="AJ1397" t="str">
        <f>VLOOKUP(F1397,Assumptions!$B$116:$C$162,2,FALSE)</f>
        <v>NG_FC_mCHP_HEAT</v>
      </c>
    </row>
    <row r="1398" spans="2:36" x14ac:dyDescent="0.25">
      <c r="B1398" t="s">
        <v>117</v>
      </c>
      <c r="C1398" t="s">
        <v>56</v>
      </c>
      <c r="D1398" t="s">
        <v>62</v>
      </c>
      <c r="E1398" t="s">
        <v>65</v>
      </c>
      <c r="F1398" t="s">
        <v>553</v>
      </c>
      <c r="G1398" t="s">
        <v>132</v>
      </c>
      <c r="H1398" t="s">
        <v>434</v>
      </c>
      <c r="I1398" t="s">
        <v>32</v>
      </c>
      <c r="J1398" t="s">
        <v>78</v>
      </c>
      <c r="K1398">
        <f t="shared" ref="K1398" si="4358">SUMPRODUCT(($C$7:$C$18=$C1398)*($D$6:$H$6=$D1398)*($D$7:$H$18))</f>
        <v>0</v>
      </c>
      <c r="L1398">
        <f t="shared" ref="L1398" si="4359">SUMPRODUCT(($C$19:$C$23=$D1398)*($I$6:$O$6=$E1398)*($I$19:$O$23))</f>
        <v>0</v>
      </c>
      <c r="M1398">
        <f t="shared" ref="M1398" si="4360">SUMPRODUCT(($C$24:$C$30=$E1398)*($P$6:$AI$6=$F1398)*($P$24:$AI$30))</f>
        <v>0</v>
      </c>
      <c r="N1398">
        <f t="shared" ref="N1398" si="4361">SUMPRODUCT(($C$31:$C$50=$F1398)*($AJ$6:$AM$6=$G1398)*($AJ$31:$AM$50))</f>
        <v>1</v>
      </c>
      <c r="O1398">
        <f t="shared" ref="O1398" si="4362">K1398+L1398+M1398+N1398</f>
        <v>1</v>
      </c>
      <c r="P1398" t="str">
        <f t="shared" ref="P1398" si="4363">CONCATENATE(C1398,"-",J1398)</f>
        <v>Large centralized biomass steam reforming -Maturity</v>
      </c>
      <c r="Q1398" t="str">
        <f t="shared" ref="Q1398" si="4364">CONCATENATE(D1398,"-",J1398)</f>
        <v>Underground storage-Maturity</v>
      </c>
      <c r="R1398" t="str">
        <f t="shared" ref="R1398" si="4365">CONCATENATE(E1398,"-",J1398)</f>
        <v>Methanation-Maturity</v>
      </c>
      <c r="S1398" t="str">
        <f t="shared" ref="S1398" si="4366">CONCATENATE(F1398,"-",J1398)</f>
        <v>Micro-CHP with natural gas fuel cell (heat)-Maturity</v>
      </c>
      <c r="T1398">
        <f ca="1">VLOOKUP($P1398,'TA database'!$I$8:$J$79,2,FALSE)</f>
        <v>6</v>
      </c>
      <c r="U1398">
        <f ca="1">VLOOKUP($Q1398,'TA database'!$I$86:$J$105,2,FALSE)</f>
        <v>6</v>
      </c>
      <c r="V1398">
        <f ca="1">VLOOKUP($R1398,'TA database'!$I$112:$J$139,2,FALSE)</f>
        <v>6</v>
      </c>
      <c r="W1398">
        <f ca="1">IFERROR(VLOOKUP($S1398,'TA database'!$I$146:$J$193,2,FALSE),0)</f>
        <v>9</v>
      </c>
      <c r="X1398">
        <f>IFERROR(VLOOKUP($S1398,'TA database'!$I$200:$J$271,2,FALSE),0)</f>
        <v>0</v>
      </c>
      <c r="Y1398">
        <f t="shared" ref="Y1398" ca="1" si="4367">IF($W1398=0,MIN($T1398:$V1398,$X1398),MIN($T1398:$W1398))</f>
        <v>6</v>
      </c>
      <c r="Z1398" t="str">
        <f t="shared" ref="Z1398" si="4368">CONCATENATE(AG1398,"   →   ",AH1398,"   →   ",AI1398,"   →   ",AJ1398)</f>
        <v>BIO_SR_LRG_C   →   C_UNDRGRND_STRG   →   METHANATION   →   NG_FC_mCHP_HEAT</v>
      </c>
      <c r="AA1398" t="str">
        <f t="shared" ref="AA1398" si="4369">G1398</f>
        <v>Building heat</v>
      </c>
      <c r="AB1398" t="str">
        <f t="shared" ref="AB1398" si="4370">J1398</f>
        <v>Maturity</v>
      </c>
      <c r="AC1398">
        <f t="shared" ref="AC1398" ca="1" si="4371">Y1398</f>
        <v>6</v>
      </c>
      <c r="AD1398">
        <v>1339</v>
      </c>
      <c r="AE1398" t="str">
        <f>IF(AND(ISNUMBER(SEARCH(O1398,4)),ISNUMBER(SEARCH('(4) FCH pathway assessment'!$B$16,AB1398)),ISNUMBER(SEARCH('(4) FCH pathway assessment'!$B$10,AA1398))),AD1398,"")</f>
        <v/>
      </c>
      <c r="AF1398" t="str">
        <f t="shared" si="4162"/>
        <v/>
      </c>
      <c r="AG1398" t="str">
        <f>VLOOKUP(C1398,Assumptions!$B$116:$C$162,2,FALSE)</f>
        <v>BIO_SR_LRG_C</v>
      </c>
      <c r="AH1398" t="str">
        <f>VLOOKUP(D1398,Assumptions!$B$116:$C$162,2,FALSE)</f>
        <v>C_UNDRGRND_STRG</v>
      </c>
      <c r="AI1398" t="str">
        <f>VLOOKUP(E1398,Assumptions!$B$116:$C$162,2,FALSE)</f>
        <v>METHANATION</v>
      </c>
      <c r="AJ1398" t="str">
        <f>VLOOKUP(F1398,Assumptions!$B$116:$C$162,2,FALSE)</f>
        <v>NG_FC_mCHP_HEAT</v>
      </c>
    </row>
    <row r="1399" spans="2:36" x14ac:dyDescent="0.25">
      <c r="B1399" t="s">
        <v>112</v>
      </c>
      <c r="C1399" t="s">
        <v>49</v>
      </c>
      <c r="D1399" t="s">
        <v>62</v>
      </c>
      <c r="E1399" t="s">
        <v>65</v>
      </c>
      <c r="F1399" t="s">
        <v>553</v>
      </c>
      <c r="G1399" t="s">
        <v>132</v>
      </c>
      <c r="H1399" t="s">
        <v>434</v>
      </c>
      <c r="I1399" t="s">
        <v>32</v>
      </c>
      <c r="J1399" t="s">
        <v>78</v>
      </c>
      <c r="K1399">
        <f t="shared" ref="K1399:K1401" si="4372">SUMPRODUCT(($C$7:$C$18=$C1399)*($D$6:$H$6=$D1399)*($D$7:$H$18))</f>
        <v>1</v>
      </c>
      <c r="L1399">
        <f t="shared" ref="L1399:L1401" si="4373">SUMPRODUCT(($C$19:$C$23=$D1399)*($I$6:$O$6=$E1399)*($I$19:$O$23))</f>
        <v>0</v>
      </c>
      <c r="M1399">
        <f t="shared" ref="M1399:M1401" si="4374">SUMPRODUCT(($C$24:$C$30=$E1399)*($P$6:$AI$6=$F1399)*($P$24:$AI$30))</f>
        <v>0</v>
      </c>
      <c r="N1399">
        <f t="shared" ref="N1399:N1401" si="4375">SUMPRODUCT(($C$31:$C$50=$F1399)*($AJ$6:$AM$6=$G1399)*($AJ$31:$AM$50))</f>
        <v>1</v>
      </c>
      <c r="O1399">
        <f t="shared" ref="O1399:O1401" si="4376">K1399+L1399+M1399+N1399</f>
        <v>2</v>
      </c>
      <c r="P1399" t="str">
        <f t="shared" ref="P1399:P1401" si="4377">CONCATENATE(C1399,"-",J1399)</f>
        <v>Large centralized electrolysis-Maturity</v>
      </c>
      <c r="Q1399" t="str">
        <f t="shared" ref="Q1399:Q1401" si="4378">CONCATENATE(D1399,"-",J1399)</f>
        <v>Underground storage-Maturity</v>
      </c>
      <c r="R1399" t="str">
        <f t="shared" ref="R1399:R1401" si="4379">CONCATENATE(E1399,"-",J1399)</f>
        <v>Methanation-Maturity</v>
      </c>
      <c r="S1399" t="str">
        <f t="shared" ref="S1399:S1401" si="4380">CONCATENATE(F1399,"-",J1399)</f>
        <v>Micro-CHP with natural gas fuel cell (heat)-Maturity</v>
      </c>
      <c r="T1399">
        <f ca="1">VLOOKUP($P1399,'TA database'!$I$8:$J$79,2,FALSE)</f>
        <v>9</v>
      </c>
      <c r="U1399">
        <f ca="1">VLOOKUP($Q1399,'TA database'!$I$86:$J$105,2,FALSE)</f>
        <v>6</v>
      </c>
      <c r="V1399">
        <f ca="1">VLOOKUP($R1399,'TA database'!$I$112:$J$139,2,FALSE)</f>
        <v>6</v>
      </c>
      <c r="W1399">
        <f ca="1">IFERROR(VLOOKUP($S1399,'TA database'!$I$146:$J$193,2,FALSE),0)</f>
        <v>9</v>
      </c>
      <c r="X1399">
        <f>IFERROR(VLOOKUP($S1399,'TA database'!$I$200:$J$271,2,FALSE),0)</f>
        <v>0</v>
      </c>
      <c r="Y1399">
        <f t="shared" ref="Y1399:Y1401" ca="1" si="4381">IF($W1399=0,MIN($T1399:$V1399,$X1399),MIN($T1399:$W1399))</f>
        <v>6</v>
      </c>
      <c r="Z1399" t="str">
        <f t="shared" ref="Z1399:Z1401" si="4382">CONCATENATE(AG1399,"   →   ",AH1399,"   →   ",AI1399,"   →   ",AJ1399)</f>
        <v>ELCTRLYZ_LRG_C   →   C_UNDRGRND_STRG   →   METHANATION   →   NG_FC_mCHP_HEAT</v>
      </c>
      <c r="AA1399" t="str">
        <f t="shared" ref="AA1399:AA1401" si="4383">G1399</f>
        <v>Building heat</v>
      </c>
      <c r="AB1399" t="str">
        <f t="shared" ref="AB1399:AB1401" si="4384">J1399</f>
        <v>Maturity</v>
      </c>
      <c r="AC1399">
        <f t="shared" ref="AC1399:AC1401" ca="1" si="4385">Y1399</f>
        <v>6</v>
      </c>
      <c r="AD1399">
        <v>1340</v>
      </c>
      <c r="AE1399" t="str">
        <f>IF(AND(ISNUMBER(SEARCH(O1399,4)),ISNUMBER(SEARCH('(4) FCH pathway assessment'!$B$16,AB1399)),ISNUMBER(SEARCH('(4) FCH pathway assessment'!$B$10,AA1399))),AD1399,"")</f>
        <v/>
      </c>
      <c r="AF1399" t="str">
        <f t="shared" si="4162"/>
        <v/>
      </c>
      <c r="AG1399" t="str">
        <f>VLOOKUP(C1399,Assumptions!$B$116:$C$162,2,FALSE)</f>
        <v>ELCTRLYZ_LRG_C</v>
      </c>
      <c r="AH1399" t="str">
        <f>VLOOKUP(D1399,Assumptions!$B$116:$C$162,2,FALSE)</f>
        <v>C_UNDRGRND_STRG</v>
      </c>
      <c r="AI1399" t="str">
        <f>VLOOKUP(E1399,Assumptions!$B$116:$C$162,2,FALSE)</f>
        <v>METHANATION</v>
      </c>
      <c r="AJ1399" t="str">
        <f>VLOOKUP(F1399,Assumptions!$B$116:$C$162,2,FALSE)</f>
        <v>NG_FC_mCHP_HEAT</v>
      </c>
    </row>
    <row r="1400" spans="2:36" x14ac:dyDescent="0.25">
      <c r="B1400" t="s">
        <v>112</v>
      </c>
      <c r="C1400" t="s">
        <v>49</v>
      </c>
      <c r="D1400" t="s">
        <v>155</v>
      </c>
      <c r="E1400" t="s">
        <v>65</v>
      </c>
      <c r="F1400" t="s">
        <v>553</v>
      </c>
      <c r="G1400" t="s">
        <v>132</v>
      </c>
      <c r="H1400" t="s">
        <v>434</v>
      </c>
      <c r="I1400" t="s">
        <v>32</v>
      </c>
      <c r="J1400" t="s">
        <v>78</v>
      </c>
      <c r="K1400">
        <f t="shared" si="4372"/>
        <v>1</v>
      </c>
      <c r="L1400">
        <f t="shared" si="4373"/>
        <v>1</v>
      </c>
      <c r="M1400">
        <f t="shared" si="4374"/>
        <v>0</v>
      </c>
      <c r="N1400">
        <f t="shared" si="4375"/>
        <v>1</v>
      </c>
      <c r="O1400">
        <f t="shared" si="4376"/>
        <v>3</v>
      </c>
      <c r="P1400" t="str">
        <f t="shared" si="4377"/>
        <v>Large centralized electrolysis-Maturity</v>
      </c>
      <c r="Q1400" t="str">
        <f t="shared" si="4378"/>
        <v>Central gas storage-Maturity</v>
      </c>
      <c r="R1400" t="str">
        <f t="shared" si="4379"/>
        <v>Methanation-Maturity</v>
      </c>
      <c r="S1400" t="str">
        <f t="shared" si="4380"/>
        <v>Micro-CHP with natural gas fuel cell (heat)-Maturity</v>
      </c>
      <c r="T1400">
        <f ca="1">VLOOKUP($P1400,'TA database'!$I$8:$J$79,2,FALSE)</f>
        <v>9</v>
      </c>
      <c r="U1400">
        <f ca="1">VLOOKUP($Q1400,'TA database'!$I$86:$J$105,2,FALSE)</f>
        <v>9</v>
      </c>
      <c r="V1400">
        <f ca="1">VLOOKUP($R1400,'TA database'!$I$112:$J$139,2,FALSE)</f>
        <v>6</v>
      </c>
      <c r="W1400">
        <f ca="1">IFERROR(VLOOKUP($S1400,'TA database'!$I$146:$J$193,2,FALSE),0)</f>
        <v>9</v>
      </c>
      <c r="X1400">
        <f>IFERROR(VLOOKUP($S1400,'TA database'!$I$200:$J$271,2,FALSE),0)</f>
        <v>0</v>
      </c>
      <c r="Y1400">
        <f t="shared" ca="1" si="4381"/>
        <v>6</v>
      </c>
      <c r="Z1400" t="str">
        <f t="shared" si="4382"/>
        <v>ELCTRLYZ_LRG_C   →   C_GAS_STRG   →   METHANATION   →   NG_FC_mCHP_HEAT</v>
      </c>
      <c r="AA1400" t="str">
        <f t="shared" si="4383"/>
        <v>Building heat</v>
      </c>
      <c r="AB1400" t="str">
        <f t="shared" si="4384"/>
        <v>Maturity</v>
      </c>
      <c r="AC1400">
        <f t="shared" ca="1" si="4385"/>
        <v>6</v>
      </c>
      <c r="AD1400">
        <v>1341</v>
      </c>
      <c r="AE1400" t="str">
        <f>IF(AND(ISNUMBER(SEARCH(O1400,4)),ISNUMBER(SEARCH('(4) FCH pathway assessment'!$B$16,AB1400)),ISNUMBER(SEARCH('(4) FCH pathway assessment'!$B$10,AA1400))),AD1400,"")</f>
        <v/>
      </c>
      <c r="AF1400" t="str">
        <f t="shared" si="4162"/>
        <v/>
      </c>
      <c r="AG1400" t="str">
        <f>VLOOKUP(C1400,Assumptions!$B$116:$C$162,2,FALSE)</f>
        <v>ELCTRLYZ_LRG_C</v>
      </c>
      <c r="AH1400" t="str">
        <f>VLOOKUP(D1400,Assumptions!$B$116:$C$162,2,FALSE)</f>
        <v>C_GAS_STRG</v>
      </c>
      <c r="AI1400" t="str">
        <f>VLOOKUP(E1400,Assumptions!$B$116:$C$162,2,FALSE)</f>
        <v>METHANATION</v>
      </c>
      <c r="AJ1400" t="str">
        <f>VLOOKUP(F1400,Assumptions!$B$116:$C$162,2,FALSE)</f>
        <v>NG_FC_mCHP_HEAT</v>
      </c>
    </row>
    <row r="1401" spans="2:36" x14ac:dyDescent="0.25">
      <c r="B1401" t="s">
        <v>112</v>
      </c>
      <c r="C1401" t="s">
        <v>51</v>
      </c>
      <c r="D1401" t="s">
        <v>155</v>
      </c>
      <c r="E1401" t="s">
        <v>65</v>
      </c>
      <c r="F1401" t="s">
        <v>553</v>
      </c>
      <c r="G1401" t="s">
        <v>132</v>
      </c>
      <c r="H1401" t="s">
        <v>434</v>
      </c>
      <c r="I1401" t="s">
        <v>32</v>
      </c>
      <c r="J1401" t="s">
        <v>78</v>
      </c>
      <c r="K1401">
        <f t="shared" si="4372"/>
        <v>1</v>
      </c>
      <c r="L1401">
        <f t="shared" si="4373"/>
        <v>1</v>
      </c>
      <c r="M1401">
        <f t="shared" si="4374"/>
        <v>0</v>
      </c>
      <c r="N1401">
        <f t="shared" si="4375"/>
        <v>1</v>
      </c>
      <c r="O1401">
        <f t="shared" si="4376"/>
        <v>3</v>
      </c>
      <c r="P1401" t="str">
        <f t="shared" si="4377"/>
        <v>Medium centralized electrolysis-Maturity</v>
      </c>
      <c r="Q1401" t="str">
        <f t="shared" si="4378"/>
        <v>Central gas storage-Maturity</v>
      </c>
      <c r="R1401" t="str">
        <f t="shared" si="4379"/>
        <v>Methanation-Maturity</v>
      </c>
      <c r="S1401" t="str">
        <f t="shared" si="4380"/>
        <v>Micro-CHP with natural gas fuel cell (heat)-Maturity</v>
      </c>
      <c r="T1401">
        <f ca="1">VLOOKUP($P1401,'TA database'!$I$8:$J$79,2,FALSE)</f>
        <v>9</v>
      </c>
      <c r="U1401">
        <f ca="1">VLOOKUP($Q1401,'TA database'!$I$86:$J$105,2,FALSE)</f>
        <v>9</v>
      </c>
      <c r="V1401">
        <f ca="1">VLOOKUP($R1401,'TA database'!$I$112:$J$139,2,FALSE)</f>
        <v>6</v>
      </c>
      <c r="W1401">
        <f ca="1">IFERROR(VLOOKUP($S1401,'TA database'!$I$146:$J$193,2,FALSE),0)</f>
        <v>9</v>
      </c>
      <c r="X1401">
        <f>IFERROR(VLOOKUP($S1401,'TA database'!$I$200:$J$271,2,FALSE),0)</f>
        <v>0</v>
      </c>
      <c r="Y1401">
        <f t="shared" ca="1" si="4381"/>
        <v>6</v>
      </c>
      <c r="Z1401" t="str">
        <f t="shared" si="4382"/>
        <v>ELCTRLYZ_MED_C   →   C_GAS_STRG   →   METHANATION   →   NG_FC_mCHP_HEAT</v>
      </c>
      <c r="AA1401" t="str">
        <f t="shared" si="4383"/>
        <v>Building heat</v>
      </c>
      <c r="AB1401" t="str">
        <f t="shared" si="4384"/>
        <v>Maturity</v>
      </c>
      <c r="AC1401">
        <f t="shared" ca="1" si="4385"/>
        <v>6</v>
      </c>
      <c r="AD1401">
        <v>1342</v>
      </c>
      <c r="AE1401" t="str">
        <f>IF(AND(ISNUMBER(SEARCH(O1401,4)),ISNUMBER(SEARCH('(4) FCH pathway assessment'!$B$16,AB1401)),ISNUMBER(SEARCH('(4) FCH pathway assessment'!$B$10,AA1401))),AD1401,"")</f>
        <v/>
      </c>
      <c r="AF1401" t="str">
        <f t="shared" si="4162"/>
        <v/>
      </c>
      <c r="AG1401" t="str">
        <f>VLOOKUP(C1401,Assumptions!$B$116:$C$162,2,FALSE)</f>
        <v>ELCTRLYZ_MED_C</v>
      </c>
      <c r="AH1401" t="str">
        <f>VLOOKUP(D1401,Assumptions!$B$116:$C$162,2,FALSE)</f>
        <v>C_GAS_STRG</v>
      </c>
      <c r="AI1401" t="str">
        <f>VLOOKUP(E1401,Assumptions!$B$116:$C$162,2,FALSE)</f>
        <v>METHANATION</v>
      </c>
      <c r="AJ1401" t="str">
        <f>VLOOKUP(F1401,Assumptions!$B$116:$C$162,2,FALSE)</f>
        <v>NG_FC_mCHP_HEAT</v>
      </c>
    </row>
    <row r="1402" spans="2:36" x14ac:dyDescent="0.25">
      <c r="B1402" t="s">
        <v>127</v>
      </c>
      <c r="C1402" t="s">
        <v>57</v>
      </c>
      <c r="D1402" t="s">
        <v>62</v>
      </c>
      <c r="E1402" t="s">
        <v>65</v>
      </c>
      <c r="F1402" t="s">
        <v>553</v>
      </c>
      <c r="G1402" t="s">
        <v>132</v>
      </c>
      <c r="H1402" t="s">
        <v>434</v>
      </c>
      <c r="I1402" t="s">
        <v>32</v>
      </c>
      <c r="J1402" t="s">
        <v>78</v>
      </c>
      <c r="K1402">
        <f t="shared" ref="K1402" si="4386">SUMPRODUCT(($C$7:$C$18=$C1402)*($D$6:$H$6=$D1402)*($D$7:$H$18))</f>
        <v>1</v>
      </c>
      <c r="L1402">
        <f t="shared" ref="L1402" si="4387">SUMPRODUCT(($C$19:$C$23=$D1402)*($I$6:$O$6=$E1402)*($I$19:$O$23))</f>
        <v>0</v>
      </c>
      <c r="M1402">
        <f t="shared" ref="M1402" si="4388">SUMPRODUCT(($C$24:$C$30=$E1402)*($P$6:$AI$6=$F1402)*($P$24:$AI$30))</f>
        <v>0</v>
      </c>
      <c r="N1402">
        <f t="shared" ref="N1402" si="4389">SUMPRODUCT(($C$31:$C$50=$F1402)*($AJ$6:$AM$6=$G1402)*($AJ$31:$AM$50))</f>
        <v>1</v>
      </c>
      <c r="O1402">
        <f t="shared" ref="O1402" si="4390">K1402+L1402+M1402+N1402</f>
        <v>2</v>
      </c>
      <c r="P1402" t="str">
        <f t="shared" ref="P1402" si="4391">CONCATENATE(C1402,"-",J1402)</f>
        <v>Large centralized natural gas steam reforming-Maturity</v>
      </c>
      <c r="Q1402" t="str">
        <f t="shared" ref="Q1402" si="4392">CONCATENATE(D1402,"-",J1402)</f>
        <v>Underground storage-Maturity</v>
      </c>
      <c r="R1402" t="str">
        <f t="shared" ref="R1402" si="4393">CONCATENATE(E1402,"-",J1402)</f>
        <v>Methanation-Maturity</v>
      </c>
      <c r="S1402" t="str">
        <f t="shared" ref="S1402" si="4394">CONCATENATE(F1402,"-",J1402)</f>
        <v>Micro-CHP with natural gas fuel cell (heat)-Maturity</v>
      </c>
      <c r="T1402">
        <f ca="1">VLOOKUP($P1402,'TA database'!$I$8:$J$79,2,FALSE)</f>
        <v>9</v>
      </c>
      <c r="U1402">
        <f ca="1">VLOOKUP($Q1402,'TA database'!$I$86:$J$105,2,FALSE)</f>
        <v>6</v>
      </c>
      <c r="V1402">
        <f ca="1">VLOOKUP($R1402,'TA database'!$I$112:$J$139,2,FALSE)</f>
        <v>6</v>
      </c>
      <c r="W1402">
        <f ca="1">IFERROR(VLOOKUP($S1402,'TA database'!$I$146:$J$193,2,FALSE),0)</f>
        <v>9</v>
      </c>
      <c r="X1402">
        <f>IFERROR(VLOOKUP($S1402,'TA database'!$I$200:$J$271,2,FALSE),0)</f>
        <v>0</v>
      </c>
      <c r="Y1402">
        <f t="shared" ref="Y1402" ca="1" si="4395">IF($W1402=0,MIN($T1402:$V1402,$X1402),MIN($T1402:$W1402))</f>
        <v>6</v>
      </c>
      <c r="Z1402" t="str">
        <f t="shared" ref="Z1402" si="4396">CONCATENATE(AG1402,"   →   ",AH1402,"   →   ",AI1402,"   →   ",AJ1402)</f>
        <v>NG_SR_LRG_C   →   C_UNDRGRND_STRG   →   METHANATION   →   NG_FC_mCHP_HEAT</v>
      </c>
      <c r="AA1402" t="str">
        <f t="shared" ref="AA1402" si="4397">G1402</f>
        <v>Building heat</v>
      </c>
      <c r="AB1402" t="str">
        <f t="shared" ref="AB1402" si="4398">J1402</f>
        <v>Maturity</v>
      </c>
      <c r="AC1402">
        <f t="shared" ref="AC1402" ca="1" si="4399">Y1402</f>
        <v>6</v>
      </c>
      <c r="AD1402">
        <v>1343</v>
      </c>
      <c r="AE1402" t="str">
        <f>IF(AND(ISNUMBER(SEARCH(O1402,4)),ISNUMBER(SEARCH('(4) FCH pathway assessment'!$B$16,AB1402)),ISNUMBER(SEARCH('(4) FCH pathway assessment'!$B$10,AA1402))),AD1402,"")</f>
        <v/>
      </c>
      <c r="AF1402" t="str">
        <f t="shared" si="4162"/>
        <v/>
      </c>
      <c r="AG1402" t="str">
        <f>VLOOKUP(C1402,Assumptions!$B$116:$C$162,2,FALSE)</f>
        <v>NG_SR_LRG_C</v>
      </c>
      <c r="AH1402" t="str">
        <f>VLOOKUP(D1402,Assumptions!$B$116:$C$162,2,FALSE)</f>
        <v>C_UNDRGRND_STRG</v>
      </c>
      <c r="AI1402" t="str">
        <f>VLOOKUP(E1402,Assumptions!$B$116:$C$162,2,FALSE)</f>
        <v>METHANATION</v>
      </c>
      <c r="AJ1402" t="str">
        <f>VLOOKUP(F1402,Assumptions!$B$116:$C$162,2,FALSE)</f>
        <v>NG_FC_mCHP_HEAT</v>
      </c>
    </row>
    <row r="1403" spans="2:36" x14ac:dyDescent="0.25">
      <c r="B1403" t="s">
        <v>127</v>
      </c>
      <c r="C1403" t="s">
        <v>58</v>
      </c>
      <c r="D1403" t="s">
        <v>155</v>
      </c>
      <c r="E1403" t="s">
        <v>65</v>
      </c>
      <c r="F1403" t="s">
        <v>553</v>
      </c>
      <c r="G1403" t="s">
        <v>132</v>
      </c>
      <c r="H1403" t="s">
        <v>434</v>
      </c>
      <c r="I1403" t="s">
        <v>32</v>
      </c>
      <c r="J1403" t="s">
        <v>78</v>
      </c>
      <c r="K1403">
        <f t="shared" ref="K1403" si="4400">SUMPRODUCT(($C$7:$C$18=$C1403)*($D$6:$H$6=$D1403)*($D$7:$H$18))</f>
        <v>1</v>
      </c>
      <c r="L1403">
        <f t="shared" ref="L1403" si="4401">SUMPRODUCT(($C$19:$C$23=$D1403)*($I$6:$O$6=$E1403)*($I$19:$O$23))</f>
        <v>1</v>
      </c>
      <c r="M1403">
        <f t="shared" ref="M1403" si="4402">SUMPRODUCT(($C$24:$C$30=$E1403)*($P$6:$AI$6=$F1403)*($P$24:$AI$30))</f>
        <v>0</v>
      </c>
      <c r="N1403">
        <f t="shared" ref="N1403" si="4403">SUMPRODUCT(($C$31:$C$50=$F1403)*($AJ$6:$AM$6=$G1403)*($AJ$31:$AM$50))</f>
        <v>1</v>
      </c>
      <c r="O1403">
        <f t="shared" ref="O1403" si="4404">K1403+L1403+M1403+N1403</f>
        <v>3</v>
      </c>
      <c r="P1403" t="str">
        <f t="shared" ref="P1403" si="4405">CONCATENATE(C1403,"-",J1403)</f>
        <v>Small centralized natural gas steam reforming-Maturity</v>
      </c>
      <c r="Q1403" t="str">
        <f t="shared" ref="Q1403" si="4406">CONCATENATE(D1403,"-",J1403)</f>
        <v>Central gas storage-Maturity</v>
      </c>
      <c r="R1403" t="str">
        <f t="shared" ref="R1403" si="4407">CONCATENATE(E1403,"-",J1403)</f>
        <v>Methanation-Maturity</v>
      </c>
      <c r="S1403" t="str">
        <f t="shared" ref="S1403" si="4408">CONCATENATE(F1403,"-",J1403)</f>
        <v>Micro-CHP with natural gas fuel cell (heat)-Maturity</v>
      </c>
      <c r="T1403">
        <f ca="1">VLOOKUP($P1403,'TA database'!$I$8:$J$79,2,FALSE)</f>
        <v>9</v>
      </c>
      <c r="U1403">
        <f ca="1">VLOOKUP($Q1403,'TA database'!$I$86:$J$105,2,FALSE)</f>
        <v>9</v>
      </c>
      <c r="V1403">
        <f ca="1">VLOOKUP($R1403,'TA database'!$I$112:$J$139,2,FALSE)</f>
        <v>6</v>
      </c>
      <c r="W1403">
        <f ca="1">IFERROR(VLOOKUP($S1403,'TA database'!$I$146:$J$193,2,FALSE),0)</f>
        <v>9</v>
      </c>
      <c r="X1403">
        <f>IFERROR(VLOOKUP($S1403,'TA database'!$I$200:$J$271,2,FALSE),0)</f>
        <v>0</v>
      </c>
      <c r="Y1403">
        <f t="shared" ref="Y1403" ca="1" si="4409">IF($W1403=0,MIN($T1403:$V1403,$X1403),MIN($T1403:$W1403))</f>
        <v>6</v>
      </c>
      <c r="Z1403" t="str">
        <f t="shared" ref="Z1403" si="4410">CONCATENATE(AG1403,"   →   ",AH1403,"   →   ",AI1403,"   →   ",AJ1403)</f>
        <v>NG_SR_SML_C   →   C_GAS_STRG   →   METHANATION   →   NG_FC_mCHP_HEAT</v>
      </c>
      <c r="AA1403" t="str">
        <f t="shared" ref="AA1403" si="4411">G1403</f>
        <v>Building heat</v>
      </c>
      <c r="AB1403" t="str">
        <f t="shared" ref="AB1403" si="4412">J1403</f>
        <v>Maturity</v>
      </c>
      <c r="AC1403">
        <f t="shared" ref="AC1403" ca="1" si="4413">Y1403</f>
        <v>6</v>
      </c>
      <c r="AD1403">
        <v>1344</v>
      </c>
      <c r="AE1403" t="str">
        <f>IF(AND(ISNUMBER(SEARCH(O1403,4)),ISNUMBER(SEARCH('(4) FCH pathway assessment'!$B$16,AB1403)),ISNUMBER(SEARCH('(4) FCH pathway assessment'!$B$10,AA1403))),AD1403,"")</f>
        <v/>
      </c>
      <c r="AF1403" t="str">
        <f t="shared" si="4162"/>
        <v/>
      </c>
      <c r="AG1403" t="str">
        <f>VLOOKUP(C1403,Assumptions!$B$116:$C$162,2,FALSE)</f>
        <v>NG_SR_SML_C</v>
      </c>
      <c r="AH1403" t="str">
        <f>VLOOKUP(D1403,Assumptions!$B$116:$C$162,2,FALSE)</f>
        <v>C_GAS_STRG</v>
      </c>
      <c r="AI1403" t="str">
        <f>VLOOKUP(E1403,Assumptions!$B$116:$C$162,2,FALSE)</f>
        <v>METHANATION</v>
      </c>
      <c r="AJ1403" t="str">
        <f>VLOOKUP(F1403,Assumptions!$B$116:$C$162,2,FALSE)</f>
        <v>NG_FC_mCHP_HEAT</v>
      </c>
    </row>
    <row r="1404" spans="2:36" x14ac:dyDescent="0.25">
      <c r="B1404" t="s">
        <v>127</v>
      </c>
      <c r="C1404" t="s">
        <v>174</v>
      </c>
      <c r="D1404" s="61" t="s">
        <v>177</v>
      </c>
      <c r="E1404" t="s">
        <v>180</v>
      </c>
      <c r="F1404" t="s">
        <v>553</v>
      </c>
      <c r="G1404" t="s">
        <v>132</v>
      </c>
      <c r="H1404" t="s">
        <v>434</v>
      </c>
      <c r="I1404" t="s">
        <v>32</v>
      </c>
      <c r="J1404" t="s">
        <v>78</v>
      </c>
      <c r="K1404">
        <f t="shared" ref="K1404:K1408" si="4414">SUMPRODUCT(($C$7:$C$18=$C1404)*($D$6:$H$6=$D1404)*($D$7:$H$18))</f>
        <v>1</v>
      </c>
      <c r="L1404">
        <f t="shared" ref="L1404:L1408" si="4415">SUMPRODUCT(($C$19:$C$23=$D1404)*($I$6:$O$6=$E1404)*($I$19:$O$23))</f>
        <v>1</v>
      </c>
      <c r="M1404">
        <f t="shared" ref="M1404:M1408" si="4416">SUMPRODUCT(($C$24:$C$30=$E1404)*($P$6:$AI$6=$F1404)*($P$24:$AI$30))</f>
        <v>1</v>
      </c>
      <c r="N1404">
        <f t="shared" ref="N1404:N1408" si="4417">SUMPRODUCT(($C$31:$C$50=$F1404)*($AJ$6:$AM$6=$G1404)*($AJ$31:$AM$50))</f>
        <v>1</v>
      </c>
      <c r="O1404">
        <f t="shared" ref="O1404:O1408" si="4418">K1404+L1404+M1404+N1404</f>
        <v>4</v>
      </c>
      <c r="P1404" t="str">
        <f t="shared" ref="P1404:P1408" si="4419">CONCATENATE(C1404,"-",J1404)</f>
        <v>Natural gas production-Maturity</v>
      </c>
      <c r="Q1404" t="str">
        <f t="shared" ref="Q1404:Q1408" si="4420">CONCATENATE(D1404,"-",J1404)</f>
        <v>Natural gas storage-Maturity</v>
      </c>
      <c r="R1404" t="str">
        <f t="shared" ref="R1404:R1408" si="4421">CONCATENATE(E1404,"-",J1404)</f>
        <v>Natural gas transport-Maturity</v>
      </c>
      <c r="S1404" t="str">
        <f t="shared" ref="S1404:S1408" si="4422">CONCATENATE(F1404,"-",J1404)</f>
        <v>Micro-CHP with natural gas fuel cell (heat)-Maturity</v>
      </c>
      <c r="T1404">
        <f ca="1">VLOOKUP($P1404,'TA database'!$I$8:$J$79,2,FALSE)</f>
        <v>9</v>
      </c>
      <c r="U1404">
        <f ca="1">VLOOKUP($Q1404,'TA database'!$I$86:$J$105,2,FALSE)</f>
        <v>9</v>
      </c>
      <c r="V1404">
        <f ca="1">VLOOKUP($R1404,'TA database'!$I$112:$J$139,2,FALSE)</f>
        <v>9</v>
      </c>
      <c r="W1404">
        <f ca="1">IFERROR(VLOOKUP($S1404,'TA database'!$I$146:$J$193,2,FALSE),0)</f>
        <v>9</v>
      </c>
      <c r="X1404">
        <f>IFERROR(VLOOKUP($S1404,'TA database'!$I$200:$J$271,2,FALSE),0)</f>
        <v>0</v>
      </c>
      <c r="Y1404">
        <f t="shared" ref="Y1404" ca="1" si="4423">IF($W1404=0,MIN($T1404:$V1404,$X1404),MIN($T1404:$W1404))</f>
        <v>9</v>
      </c>
      <c r="Z1404" t="str">
        <f t="shared" ref="Z1404:Z1408" si="4424">CONCATENATE(AG1404,"   →   ",AH1404,"   →   ",AI1404,"   →   ",AJ1404)</f>
        <v>[NG_PROD]   →   [NG_STRG]   →   [NG_TRNSP]   →   NG_FC_mCHP_HEAT</v>
      </c>
      <c r="AA1404" t="str">
        <f t="shared" ref="AA1404:AA1408" si="4425">G1404</f>
        <v>Building heat</v>
      </c>
      <c r="AB1404" t="str">
        <f t="shared" ref="AB1404:AB1408" si="4426">J1404</f>
        <v>Maturity</v>
      </c>
      <c r="AC1404">
        <f t="shared" ref="AC1404:AC1408" ca="1" si="4427">Y1404</f>
        <v>9</v>
      </c>
      <c r="AD1404">
        <v>1345</v>
      </c>
      <c r="AE1404" t="str">
        <f>IF(AND(ISNUMBER(SEARCH(O1404,4)),ISNUMBER(SEARCH('(4) FCH pathway assessment'!$B$16,AB1404)),ISNUMBER(SEARCH('(4) FCH pathway assessment'!$B$10,AA1404))),AD1404,"")</f>
        <v/>
      </c>
      <c r="AF1404" t="str">
        <f t="shared" ref="AF1404:AF1467" si="4428">IFERROR(SMALL($AE$60:$AE$1991,AD1404),"")</f>
        <v/>
      </c>
      <c r="AG1404" t="str">
        <f>VLOOKUP(C1404,Assumptions!$B$116:$C$162,2,FALSE)</f>
        <v>[NG_PROD]</v>
      </c>
      <c r="AH1404" t="str">
        <f>VLOOKUP(D1404,Assumptions!$B$116:$C$162,2,FALSE)</f>
        <v>[NG_STRG]</v>
      </c>
      <c r="AI1404" t="str">
        <f>VLOOKUP(E1404,Assumptions!$B$116:$C$162,2,FALSE)</f>
        <v>[NG_TRNSP]</v>
      </c>
      <c r="AJ1404" t="str">
        <f>VLOOKUP(F1404,Assumptions!$B$116:$C$162,2,FALSE)</f>
        <v>NG_FC_mCHP_HEAT</v>
      </c>
    </row>
    <row r="1405" spans="2:36" x14ac:dyDescent="0.25">
      <c r="B1405" t="s">
        <v>117</v>
      </c>
      <c r="C1405" t="s">
        <v>53</v>
      </c>
      <c r="D1405" t="s">
        <v>155</v>
      </c>
      <c r="E1405" t="s">
        <v>157</v>
      </c>
      <c r="F1405" t="s">
        <v>570</v>
      </c>
      <c r="G1405" t="s">
        <v>120</v>
      </c>
      <c r="H1405" t="s">
        <v>432</v>
      </c>
      <c r="I1405" t="s">
        <v>32</v>
      </c>
      <c r="J1405" t="s">
        <v>82</v>
      </c>
      <c r="K1405">
        <f t="shared" si="4414"/>
        <v>0</v>
      </c>
      <c r="L1405">
        <f t="shared" si="4415"/>
        <v>1</v>
      </c>
      <c r="M1405">
        <f t="shared" si="4416"/>
        <v>0</v>
      </c>
      <c r="N1405">
        <f t="shared" si="4417"/>
        <v>1</v>
      </c>
      <c r="O1405">
        <f t="shared" si="4418"/>
        <v>2</v>
      </c>
      <c r="P1405" t="str">
        <f t="shared" si="4419"/>
        <v>Medium centralized biomass gasification-Public acceptability</v>
      </c>
      <c r="Q1405" t="str">
        <f t="shared" si="4420"/>
        <v>Central gas storage-Public acceptability</v>
      </c>
      <c r="R1405" t="str">
        <f t="shared" si="4421"/>
        <v>Blending in natural gas pipeline-Public acceptability</v>
      </c>
      <c r="S1405" t="str">
        <f t="shared" si="4422"/>
        <v>Industrial H2 boiler-Public acceptability</v>
      </c>
      <c r="T1405" s="54">
        <f ca="1">VLOOKUP($P1405,'TA database'!$I$8:$J$79,2,FALSE)</f>
        <v>70</v>
      </c>
      <c r="U1405" s="54">
        <f ca="1">VLOOKUP($Q1405,'TA database'!$I$86:$J$105,2,FALSE)</f>
        <v>60</v>
      </c>
      <c r="V1405" s="54">
        <f ca="1">VLOOKUP($R1405,'TA database'!$I$112:$J$139,2,FALSE)</f>
        <v>90</v>
      </c>
      <c r="W1405" s="54">
        <f ca="1">IFERROR(VLOOKUP($S1405,'TA database'!$I$146:$J$193,2,FALSE),0)</f>
        <v>80</v>
      </c>
      <c r="X1405" s="54">
        <f>IFERROR(VLOOKUP($S1405,'TA database'!$I$200:$J$271,2,FALSE),0)</f>
        <v>0</v>
      </c>
      <c r="Y1405" s="59">
        <f t="shared" ref="Y1405:Y1412" ca="1" si="4429">IF($W1405=0,(PRODUCT($T1405:$V1405,$X1405))/1000000,(PRODUCT($T1405:$W1405))/1000000)</f>
        <v>30.24</v>
      </c>
      <c r="Z1405" t="str">
        <f t="shared" si="4424"/>
        <v>BIO_GSF_MED_C   →   C_GAS_STRG   →   H2_BLND_NG_P   →   H2_IND_BOIL_HEAT</v>
      </c>
      <c r="AA1405" t="str">
        <f t="shared" si="4425"/>
        <v>Industrial heat</v>
      </c>
      <c r="AB1405" t="str">
        <f t="shared" si="4426"/>
        <v>Public acceptability</v>
      </c>
      <c r="AC1405">
        <f t="shared" ca="1" si="4427"/>
        <v>30.24</v>
      </c>
      <c r="AD1405">
        <v>1346</v>
      </c>
      <c r="AE1405" t="str">
        <f>IF(AND(ISNUMBER(SEARCH(O1405,4)),ISNUMBER(SEARCH('(4) FCH pathway assessment'!$B$16,AB1405)),ISNUMBER(SEARCH('(4) FCH pathway assessment'!$B$10,AA1405))),AD1405,"")</f>
        <v/>
      </c>
      <c r="AF1405" t="str">
        <f t="shared" si="4428"/>
        <v/>
      </c>
      <c r="AG1405" t="str">
        <f>VLOOKUP(C1405,Assumptions!$B$116:$C$162,2,FALSE)</f>
        <v>BIO_GSF_MED_C</v>
      </c>
      <c r="AH1405" t="str">
        <f>VLOOKUP(D1405,Assumptions!$B$116:$C$162,2,FALSE)</f>
        <v>C_GAS_STRG</v>
      </c>
      <c r="AI1405" t="str">
        <f>VLOOKUP(E1405,Assumptions!$B$116:$C$162,2,FALSE)</f>
        <v>H2_BLND_NG_P</v>
      </c>
      <c r="AJ1405" t="str">
        <f>VLOOKUP(F1405,Assumptions!$B$116:$C$162,2,FALSE)</f>
        <v>H2_IND_BOIL_HEAT</v>
      </c>
    </row>
    <row r="1406" spans="2:36" x14ac:dyDescent="0.25">
      <c r="B1406" t="s">
        <v>117</v>
      </c>
      <c r="C1406" t="s">
        <v>53</v>
      </c>
      <c r="D1406" t="s">
        <v>155</v>
      </c>
      <c r="E1406" t="s">
        <v>122</v>
      </c>
      <c r="F1406" t="s">
        <v>570</v>
      </c>
      <c r="G1406" t="s">
        <v>120</v>
      </c>
      <c r="H1406" t="s">
        <v>432</v>
      </c>
      <c r="I1406" t="s">
        <v>32</v>
      </c>
      <c r="J1406" t="s">
        <v>82</v>
      </c>
      <c r="K1406">
        <f t="shared" si="4414"/>
        <v>0</v>
      </c>
      <c r="L1406">
        <f t="shared" si="4415"/>
        <v>1</v>
      </c>
      <c r="M1406">
        <f t="shared" si="4416"/>
        <v>1</v>
      </c>
      <c r="N1406">
        <f t="shared" si="4417"/>
        <v>1</v>
      </c>
      <c r="O1406">
        <f t="shared" si="4418"/>
        <v>3</v>
      </c>
      <c r="P1406" t="str">
        <f t="shared" si="4419"/>
        <v>Medium centralized biomass gasification-Public acceptability</v>
      </c>
      <c r="Q1406" t="str">
        <f t="shared" si="4420"/>
        <v>Central gas storage-Public acceptability</v>
      </c>
      <c r="R1406" t="str">
        <f t="shared" si="4421"/>
        <v>Hydrogen transmission &amp; distribution pipeline-Public acceptability</v>
      </c>
      <c r="S1406" t="str">
        <f t="shared" si="4422"/>
        <v>Industrial H2 boiler-Public acceptability</v>
      </c>
      <c r="T1406" s="54">
        <f ca="1">VLOOKUP($P1406,'TA database'!$I$8:$J$79,2,FALSE)</f>
        <v>70</v>
      </c>
      <c r="U1406" s="54">
        <f ca="1">VLOOKUP($Q1406,'TA database'!$I$86:$J$105,2,FALSE)</f>
        <v>60</v>
      </c>
      <c r="V1406" s="54">
        <f ca="1">VLOOKUP($R1406,'TA database'!$I$112:$J$139,2,FALSE)</f>
        <v>70</v>
      </c>
      <c r="W1406" s="54">
        <f ca="1">IFERROR(VLOOKUP($S1406,'TA database'!$I$146:$J$193,2,FALSE),0)</f>
        <v>80</v>
      </c>
      <c r="X1406" s="54">
        <f>IFERROR(VLOOKUP($S1406,'TA database'!$I$200:$J$271,2,FALSE),0)</f>
        <v>0</v>
      </c>
      <c r="Y1406" s="59">
        <f t="shared" ca="1" si="4429"/>
        <v>23.52</v>
      </c>
      <c r="Z1406" t="str">
        <f t="shared" si="4424"/>
        <v>BIO_GSF_MED_C   →   C_GAS_STRG   →   H2_T&amp;D_P   →   H2_IND_BOIL_HEAT</v>
      </c>
      <c r="AA1406" t="str">
        <f t="shared" si="4425"/>
        <v>Industrial heat</v>
      </c>
      <c r="AB1406" t="str">
        <f t="shared" si="4426"/>
        <v>Public acceptability</v>
      </c>
      <c r="AC1406">
        <f t="shared" ca="1" si="4427"/>
        <v>23.52</v>
      </c>
      <c r="AD1406">
        <v>1347</v>
      </c>
      <c r="AE1406" t="str">
        <f>IF(AND(ISNUMBER(SEARCH(O1406,4)),ISNUMBER(SEARCH('(4) FCH pathway assessment'!$B$16,AB1406)),ISNUMBER(SEARCH('(4) FCH pathway assessment'!$B$10,AA1406))),AD1406,"")</f>
        <v/>
      </c>
      <c r="AF1406" t="str">
        <f t="shared" si="4428"/>
        <v/>
      </c>
      <c r="AG1406" t="str">
        <f>VLOOKUP(C1406,Assumptions!$B$116:$C$162,2,FALSE)</f>
        <v>BIO_GSF_MED_C</v>
      </c>
      <c r="AH1406" t="str">
        <f>VLOOKUP(D1406,Assumptions!$B$116:$C$162,2,FALSE)</f>
        <v>C_GAS_STRG</v>
      </c>
      <c r="AI1406" t="str">
        <f>VLOOKUP(E1406,Assumptions!$B$116:$C$162,2,FALSE)</f>
        <v>H2_T&amp;D_P</v>
      </c>
      <c r="AJ1406" t="str">
        <f>VLOOKUP(F1406,Assumptions!$B$116:$C$162,2,FALSE)</f>
        <v>H2_IND_BOIL_HEAT</v>
      </c>
    </row>
    <row r="1407" spans="2:36" x14ac:dyDescent="0.25">
      <c r="B1407" t="s">
        <v>117</v>
      </c>
      <c r="C1407" t="s">
        <v>53</v>
      </c>
      <c r="D1407" t="s">
        <v>155</v>
      </c>
      <c r="E1407" t="s">
        <v>116</v>
      </c>
      <c r="F1407" t="s">
        <v>570</v>
      </c>
      <c r="G1407" t="s">
        <v>120</v>
      </c>
      <c r="H1407" t="s">
        <v>432</v>
      </c>
      <c r="I1407" t="s">
        <v>32</v>
      </c>
      <c r="J1407" t="s">
        <v>82</v>
      </c>
      <c r="K1407">
        <f t="shared" si="4414"/>
        <v>0</v>
      </c>
      <c r="L1407">
        <f t="shared" si="4415"/>
        <v>1</v>
      </c>
      <c r="M1407">
        <f t="shared" si="4416"/>
        <v>1</v>
      </c>
      <c r="N1407">
        <f t="shared" si="4417"/>
        <v>1</v>
      </c>
      <c r="O1407">
        <f t="shared" si="4418"/>
        <v>3</v>
      </c>
      <c r="P1407" t="str">
        <f t="shared" si="4419"/>
        <v>Medium centralized biomass gasification-Public acceptability</v>
      </c>
      <c r="Q1407" t="str">
        <f t="shared" si="4420"/>
        <v>Central gas storage-Public acceptability</v>
      </c>
      <c r="R1407" t="str">
        <f t="shared" si="4421"/>
        <v>Liquid hydrogen truck-Public acceptability</v>
      </c>
      <c r="S1407" t="str">
        <f t="shared" si="4422"/>
        <v>Industrial H2 boiler-Public acceptability</v>
      </c>
      <c r="T1407" s="54">
        <f ca="1">VLOOKUP($P1407,'TA database'!$I$8:$J$79,2,FALSE)</f>
        <v>70</v>
      </c>
      <c r="U1407" s="54">
        <f ca="1">VLOOKUP($Q1407,'TA database'!$I$86:$J$105,2,FALSE)</f>
        <v>60</v>
      </c>
      <c r="V1407" s="54">
        <f ca="1">VLOOKUP($R1407,'TA database'!$I$112:$J$139,2,FALSE)</f>
        <v>100</v>
      </c>
      <c r="W1407" s="54">
        <f ca="1">IFERROR(VLOOKUP($S1407,'TA database'!$I$146:$J$193,2,FALSE),0)</f>
        <v>80</v>
      </c>
      <c r="X1407" s="54">
        <f>IFERROR(VLOOKUP($S1407,'TA database'!$I$200:$J$271,2,FALSE),0)</f>
        <v>0</v>
      </c>
      <c r="Y1407" s="59">
        <f t="shared" ca="1" si="4429"/>
        <v>33.6</v>
      </c>
      <c r="Z1407" t="str">
        <f t="shared" si="4424"/>
        <v>BIO_GSF_MED_C   →   C_GAS_STRG   →   LQ_TRUCK   →   H2_IND_BOIL_HEAT</v>
      </c>
      <c r="AA1407" t="str">
        <f t="shared" si="4425"/>
        <v>Industrial heat</v>
      </c>
      <c r="AB1407" t="str">
        <f t="shared" si="4426"/>
        <v>Public acceptability</v>
      </c>
      <c r="AC1407">
        <f t="shared" ca="1" si="4427"/>
        <v>33.6</v>
      </c>
      <c r="AD1407">
        <v>1348</v>
      </c>
      <c r="AE1407" t="str">
        <f>IF(AND(ISNUMBER(SEARCH(O1407,4)),ISNUMBER(SEARCH('(4) FCH pathway assessment'!$B$16,AB1407)),ISNUMBER(SEARCH('(4) FCH pathway assessment'!$B$10,AA1407))),AD1407,"")</f>
        <v/>
      </c>
      <c r="AF1407" t="str">
        <f t="shared" si="4428"/>
        <v/>
      </c>
      <c r="AG1407" t="str">
        <f>VLOOKUP(C1407,Assumptions!$B$116:$C$162,2,FALSE)</f>
        <v>BIO_GSF_MED_C</v>
      </c>
      <c r="AH1407" t="str">
        <f>VLOOKUP(D1407,Assumptions!$B$116:$C$162,2,FALSE)</f>
        <v>C_GAS_STRG</v>
      </c>
      <c r="AI1407" t="str">
        <f>VLOOKUP(E1407,Assumptions!$B$116:$C$162,2,FALSE)</f>
        <v>LQ_TRUCK</v>
      </c>
      <c r="AJ1407" t="str">
        <f>VLOOKUP(F1407,Assumptions!$B$116:$C$162,2,FALSE)</f>
        <v>H2_IND_BOIL_HEAT</v>
      </c>
    </row>
    <row r="1408" spans="2:36" x14ac:dyDescent="0.25">
      <c r="B1408" t="s">
        <v>117</v>
      </c>
      <c r="C1408" t="s">
        <v>53</v>
      </c>
      <c r="D1408" t="s">
        <v>155</v>
      </c>
      <c r="E1408" t="s">
        <v>66</v>
      </c>
      <c r="F1408" t="s">
        <v>570</v>
      </c>
      <c r="G1408" t="s">
        <v>120</v>
      </c>
      <c r="H1408" t="s">
        <v>432</v>
      </c>
      <c r="I1408" t="s">
        <v>32</v>
      </c>
      <c r="J1408" t="s">
        <v>82</v>
      </c>
      <c r="K1408">
        <f t="shared" si="4414"/>
        <v>0</v>
      </c>
      <c r="L1408">
        <f t="shared" si="4415"/>
        <v>1</v>
      </c>
      <c r="M1408">
        <f t="shared" si="4416"/>
        <v>1</v>
      </c>
      <c r="N1408">
        <f t="shared" si="4417"/>
        <v>1</v>
      </c>
      <c r="O1408">
        <f t="shared" si="4418"/>
        <v>3</v>
      </c>
      <c r="P1408" t="str">
        <f t="shared" si="4419"/>
        <v>Medium centralized biomass gasification-Public acceptability</v>
      </c>
      <c r="Q1408" t="str">
        <f t="shared" si="4420"/>
        <v>Central gas storage-Public acceptability</v>
      </c>
      <c r="R1408" t="str">
        <f t="shared" si="4421"/>
        <v>Onsite-Public acceptability</v>
      </c>
      <c r="S1408" t="str">
        <f t="shared" si="4422"/>
        <v>Industrial H2 boiler-Public acceptability</v>
      </c>
      <c r="T1408" s="54">
        <f ca="1">VLOOKUP($P1408,'TA database'!$I$8:$J$79,2,FALSE)</f>
        <v>70</v>
      </c>
      <c r="U1408" s="54">
        <f ca="1">VLOOKUP($Q1408,'TA database'!$I$86:$J$105,2,FALSE)</f>
        <v>60</v>
      </c>
      <c r="V1408" s="54">
        <f ca="1">VLOOKUP($R1408,'TA database'!$I$112:$J$139,2,FALSE)</f>
        <v>90</v>
      </c>
      <c r="W1408" s="54">
        <f ca="1">IFERROR(VLOOKUP($S1408,'TA database'!$I$146:$J$193,2,FALSE),0)</f>
        <v>80</v>
      </c>
      <c r="X1408" s="54">
        <f>IFERROR(VLOOKUP($S1408,'TA database'!$I$200:$J$271,2,FALSE),0)</f>
        <v>0</v>
      </c>
      <c r="Y1408" s="59">
        <f t="shared" ca="1" si="4429"/>
        <v>30.24</v>
      </c>
      <c r="Z1408" t="str">
        <f t="shared" si="4424"/>
        <v>BIO_GSF_MED_C   →   C_GAS_STRG   →   ONSITE_USE   →   H2_IND_BOIL_HEAT</v>
      </c>
      <c r="AA1408" t="str">
        <f t="shared" si="4425"/>
        <v>Industrial heat</v>
      </c>
      <c r="AB1408" t="str">
        <f t="shared" si="4426"/>
        <v>Public acceptability</v>
      </c>
      <c r="AC1408">
        <f t="shared" ca="1" si="4427"/>
        <v>30.24</v>
      </c>
      <c r="AD1408">
        <v>1349</v>
      </c>
      <c r="AE1408" t="str">
        <f>IF(AND(ISNUMBER(SEARCH(O1408,4)),ISNUMBER(SEARCH('(4) FCH pathway assessment'!$B$16,AB1408)),ISNUMBER(SEARCH('(4) FCH pathway assessment'!$B$10,AA1408))),AD1408,"")</f>
        <v/>
      </c>
      <c r="AF1408" t="str">
        <f t="shared" si="4428"/>
        <v/>
      </c>
      <c r="AG1408" t="str">
        <f>VLOOKUP(C1408,Assumptions!$B$116:$C$162,2,FALSE)</f>
        <v>BIO_GSF_MED_C</v>
      </c>
      <c r="AH1408" t="str">
        <f>VLOOKUP(D1408,Assumptions!$B$116:$C$162,2,FALSE)</f>
        <v>C_GAS_STRG</v>
      </c>
      <c r="AI1408" t="str">
        <f>VLOOKUP(E1408,Assumptions!$B$116:$C$162,2,FALSE)</f>
        <v>ONSITE_USE</v>
      </c>
      <c r="AJ1408" t="str">
        <f>VLOOKUP(F1408,Assumptions!$B$116:$C$162,2,FALSE)</f>
        <v>H2_IND_BOIL_HEAT</v>
      </c>
    </row>
    <row r="1409" spans="2:36" x14ac:dyDescent="0.25">
      <c r="B1409" t="s">
        <v>117</v>
      </c>
      <c r="C1409" t="s">
        <v>54</v>
      </c>
      <c r="D1409" t="s">
        <v>155</v>
      </c>
      <c r="E1409" t="s">
        <v>157</v>
      </c>
      <c r="F1409" t="s">
        <v>570</v>
      </c>
      <c r="G1409" t="s">
        <v>120</v>
      </c>
      <c r="H1409" t="s">
        <v>432</v>
      </c>
      <c r="I1409" t="s">
        <v>32</v>
      </c>
      <c r="J1409" t="s">
        <v>82</v>
      </c>
      <c r="K1409">
        <f t="shared" ref="K1409:K1413" si="4430">SUMPRODUCT(($C$7:$C$18=$C1409)*($D$6:$H$6=$D1409)*($D$7:$H$18))</f>
        <v>0</v>
      </c>
      <c r="L1409">
        <f t="shared" ref="L1409:L1413" si="4431">SUMPRODUCT(($C$19:$C$23=$D1409)*($I$6:$O$6=$E1409)*($I$19:$O$23))</f>
        <v>1</v>
      </c>
      <c r="M1409">
        <f t="shared" ref="M1409:M1413" si="4432">SUMPRODUCT(($C$24:$C$30=$E1409)*($P$6:$AI$6=$F1409)*($P$24:$AI$30))</f>
        <v>0</v>
      </c>
      <c r="N1409">
        <f t="shared" ref="N1409:N1413" si="4433">SUMPRODUCT(($C$31:$C$50=$F1409)*($AJ$6:$AM$6=$G1409)*($AJ$31:$AM$50))</f>
        <v>1</v>
      </c>
      <c r="O1409">
        <f t="shared" ref="O1409:O1413" si="4434">K1409+L1409+M1409+N1409</f>
        <v>2</v>
      </c>
      <c r="P1409" t="str">
        <f t="shared" ref="P1409:P1413" si="4435">CONCATENATE(C1409,"-",J1409)</f>
        <v>Medium centralized biomass gasification w/ CCS-Public acceptability</v>
      </c>
      <c r="Q1409" t="str">
        <f t="shared" ref="Q1409:Q1413" si="4436">CONCATENATE(D1409,"-",J1409)</f>
        <v>Central gas storage-Public acceptability</v>
      </c>
      <c r="R1409" t="str">
        <f t="shared" ref="R1409:R1413" si="4437">CONCATENATE(E1409,"-",J1409)</f>
        <v>Blending in natural gas pipeline-Public acceptability</v>
      </c>
      <c r="S1409" t="str">
        <f t="shared" ref="S1409:S1413" si="4438">CONCATENATE(F1409,"-",J1409)</f>
        <v>Industrial H2 boiler-Public acceptability</v>
      </c>
      <c r="T1409" s="54">
        <f ca="1">VLOOKUP($P1409,'TA database'!$I$8:$J$79,2,FALSE)</f>
        <v>60</v>
      </c>
      <c r="U1409" s="54">
        <f ca="1">VLOOKUP($Q1409,'TA database'!$I$86:$J$105,2,FALSE)</f>
        <v>60</v>
      </c>
      <c r="V1409" s="54">
        <f ca="1">VLOOKUP($R1409,'TA database'!$I$112:$J$139,2,FALSE)</f>
        <v>90</v>
      </c>
      <c r="W1409" s="54">
        <f ca="1">IFERROR(VLOOKUP($S1409,'TA database'!$I$146:$J$193,2,FALSE),0)</f>
        <v>80</v>
      </c>
      <c r="X1409" s="54">
        <f>IFERROR(VLOOKUP($S1409,'TA database'!$I$200:$J$271,2,FALSE),0)</f>
        <v>0</v>
      </c>
      <c r="Y1409" s="59">
        <f t="shared" ca="1" si="4429"/>
        <v>25.92</v>
      </c>
      <c r="Z1409" t="str">
        <f t="shared" ref="Z1409:Z1413" si="4439">CONCATENATE(AG1409,"   →   ",AH1409,"   →   ",AI1409,"   →   ",AJ1409)</f>
        <v>BIO_GSF_CCS_MED_C   →   C_GAS_STRG   →   H2_BLND_NG_P   →   H2_IND_BOIL_HEAT</v>
      </c>
      <c r="AA1409" t="str">
        <f t="shared" ref="AA1409:AA1413" si="4440">G1409</f>
        <v>Industrial heat</v>
      </c>
      <c r="AB1409" t="str">
        <f t="shared" ref="AB1409:AB1413" si="4441">J1409</f>
        <v>Public acceptability</v>
      </c>
      <c r="AC1409">
        <f t="shared" ref="AC1409:AC1413" ca="1" si="4442">Y1409</f>
        <v>25.92</v>
      </c>
      <c r="AD1409">
        <v>1350</v>
      </c>
      <c r="AE1409" t="str">
        <f>IF(AND(ISNUMBER(SEARCH(O1409,4)),ISNUMBER(SEARCH('(4) FCH pathway assessment'!$B$16,AB1409)),ISNUMBER(SEARCH('(4) FCH pathway assessment'!$B$10,AA1409))),AD1409,"")</f>
        <v/>
      </c>
      <c r="AF1409" t="str">
        <f t="shared" si="4428"/>
        <v/>
      </c>
      <c r="AG1409" t="str">
        <f>VLOOKUP(C1409,Assumptions!$B$116:$C$162,2,FALSE)</f>
        <v>BIO_GSF_CCS_MED_C</v>
      </c>
      <c r="AH1409" t="str">
        <f>VLOOKUP(D1409,Assumptions!$B$116:$C$162,2,FALSE)</f>
        <v>C_GAS_STRG</v>
      </c>
      <c r="AI1409" t="str">
        <f>VLOOKUP(E1409,Assumptions!$B$116:$C$162,2,FALSE)</f>
        <v>H2_BLND_NG_P</v>
      </c>
      <c r="AJ1409" t="str">
        <f>VLOOKUP(F1409,Assumptions!$B$116:$C$162,2,FALSE)</f>
        <v>H2_IND_BOIL_HEAT</v>
      </c>
    </row>
    <row r="1410" spans="2:36" x14ac:dyDescent="0.25">
      <c r="B1410" t="s">
        <v>117</v>
      </c>
      <c r="C1410" t="s">
        <v>54</v>
      </c>
      <c r="D1410" t="s">
        <v>155</v>
      </c>
      <c r="E1410" t="s">
        <v>122</v>
      </c>
      <c r="F1410" t="s">
        <v>570</v>
      </c>
      <c r="G1410" t="s">
        <v>120</v>
      </c>
      <c r="H1410" t="s">
        <v>432</v>
      </c>
      <c r="I1410" t="s">
        <v>32</v>
      </c>
      <c r="J1410" t="s">
        <v>82</v>
      </c>
      <c r="K1410">
        <f t="shared" si="4430"/>
        <v>0</v>
      </c>
      <c r="L1410">
        <f t="shared" si="4431"/>
        <v>1</v>
      </c>
      <c r="M1410">
        <f t="shared" si="4432"/>
        <v>1</v>
      </c>
      <c r="N1410">
        <f t="shared" si="4433"/>
        <v>1</v>
      </c>
      <c r="O1410">
        <f t="shared" si="4434"/>
        <v>3</v>
      </c>
      <c r="P1410" t="str">
        <f t="shared" si="4435"/>
        <v>Medium centralized biomass gasification w/ CCS-Public acceptability</v>
      </c>
      <c r="Q1410" t="str">
        <f t="shared" si="4436"/>
        <v>Central gas storage-Public acceptability</v>
      </c>
      <c r="R1410" t="str">
        <f t="shared" si="4437"/>
        <v>Hydrogen transmission &amp; distribution pipeline-Public acceptability</v>
      </c>
      <c r="S1410" t="str">
        <f t="shared" si="4438"/>
        <v>Industrial H2 boiler-Public acceptability</v>
      </c>
      <c r="T1410" s="54">
        <f ca="1">VLOOKUP($P1410,'TA database'!$I$8:$J$79,2,FALSE)</f>
        <v>60</v>
      </c>
      <c r="U1410" s="54">
        <f ca="1">VLOOKUP($Q1410,'TA database'!$I$86:$J$105,2,FALSE)</f>
        <v>60</v>
      </c>
      <c r="V1410" s="54">
        <f ca="1">VLOOKUP($R1410,'TA database'!$I$112:$J$139,2,FALSE)</f>
        <v>70</v>
      </c>
      <c r="W1410" s="54">
        <f ca="1">IFERROR(VLOOKUP($S1410,'TA database'!$I$146:$J$193,2,FALSE),0)</f>
        <v>80</v>
      </c>
      <c r="X1410" s="54">
        <f>IFERROR(VLOOKUP($S1410,'TA database'!$I$200:$J$271,2,FALSE),0)</f>
        <v>0</v>
      </c>
      <c r="Y1410" s="59">
        <f t="shared" ca="1" si="4429"/>
        <v>20.16</v>
      </c>
      <c r="Z1410" t="str">
        <f t="shared" si="4439"/>
        <v>BIO_GSF_CCS_MED_C   →   C_GAS_STRG   →   H2_T&amp;D_P   →   H2_IND_BOIL_HEAT</v>
      </c>
      <c r="AA1410" t="str">
        <f t="shared" si="4440"/>
        <v>Industrial heat</v>
      </c>
      <c r="AB1410" t="str">
        <f t="shared" si="4441"/>
        <v>Public acceptability</v>
      </c>
      <c r="AC1410">
        <f t="shared" ca="1" si="4442"/>
        <v>20.16</v>
      </c>
      <c r="AD1410">
        <v>1351</v>
      </c>
      <c r="AE1410" t="str">
        <f>IF(AND(ISNUMBER(SEARCH(O1410,4)),ISNUMBER(SEARCH('(4) FCH pathway assessment'!$B$16,AB1410)),ISNUMBER(SEARCH('(4) FCH pathway assessment'!$B$10,AA1410))),AD1410,"")</f>
        <v/>
      </c>
      <c r="AF1410" t="str">
        <f t="shared" si="4428"/>
        <v/>
      </c>
      <c r="AG1410" t="str">
        <f>VLOOKUP(C1410,Assumptions!$B$116:$C$162,2,FALSE)</f>
        <v>BIO_GSF_CCS_MED_C</v>
      </c>
      <c r="AH1410" t="str">
        <f>VLOOKUP(D1410,Assumptions!$B$116:$C$162,2,FALSE)</f>
        <v>C_GAS_STRG</v>
      </c>
      <c r="AI1410" t="str">
        <f>VLOOKUP(E1410,Assumptions!$B$116:$C$162,2,FALSE)</f>
        <v>H2_T&amp;D_P</v>
      </c>
      <c r="AJ1410" t="str">
        <f>VLOOKUP(F1410,Assumptions!$B$116:$C$162,2,FALSE)</f>
        <v>H2_IND_BOIL_HEAT</v>
      </c>
    </row>
    <row r="1411" spans="2:36" x14ac:dyDescent="0.25">
      <c r="B1411" t="s">
        <v>117</v>
      </c>
      <c r="C1411" t="s">
        <v>54</v>
      </c>
      <c r="D1411" t="s">
        <v>155</v>
      </c>
      <c r="E1411" t="s">
        <v>116</v>
      </c>
      <c r="F1411" t="s">
        <v>570</v>
      </c>
      <c r="G1411" t="s">
        <v>120</v>
      </c>
      <c r="H1411" t="s">
        <v>432</v>
      </c>
      <c r="I1411" t="s">
        <v>32</v>
      </c>
      <c r="J1411" t="s">
        <v>82</v>
      </c>
      <c r="K1411">
        <f t="shared" si="4430"/>
        <v>0</v>
      </c>
      <c r="L1411">
        <f t="shared" si="4431"/>
        <v>1</v>
      </c>
      <c r="M1411">
        <f t="shared" si="4432"/>
        <v>1</v>
      </c>
      <c r="N1411">
        <f t="shared" si="4433"/>
        <v>1</v>
      </c>
      <c r="O1411">
        <f t="shared" si="4434"/>
        <v>3</v>
      </c>
      <c r="P1411" t="str">
        <f t="shared" si="4435"/>
        <v>Medium centralized biomass gasification w/ CCS-Public acceptability</v>
      </c>
      <c r="Q1411" t="str">
        <f t="shared" si="4436"/>
        <v>Central gas storage-Public acceptability</v>
      </c>
      <c r="R1411" t="str">
        <f t="shared" si="4437"/>
        <v>Liquid hydrogen truck-Public acceptability</v>
      </c>
      <c r="S1411" t="str">
        <f t="shared" si="4438"/>
        <v>Industrial H2 boiler-Public acceptability</v>
      </c>
      <c r="T1411" s="54">
        <f ca="1">VLOOKUP($P1411,'TA database'!$I$8:$J$79,2,FALSE)</f>
        <v>60</v>
      </c>
      <c r="U1411" s="54">
        <f ca="1">VLOOKUP($Q1411,'TA database'!$I$86:$J$105,2,FALSE)</f>
        <v>60</v>
      </c>
      <c r="V1411" s="54">
        <f ca="1">VLOOKUP($R1411,'TA database'!$I$112:$J$139,2,FALSE)</f>
        <v>100</v>
      </c>
      <c r="W1411" s="54">
        <f ca="1">IFERROR(VLOOKUP($S1411,'TA database'!$I$146:$J$193,2,FALSE),0)</f>
        <v>80</v>
      </c>
      <c r="X1411" s="54">
        <f>IFERROR(VLOOKUP($S1411,'TA database'!$I$200:$J$271,2,FALSE),0)</f>
        <v>0</v>
      </c>
      <c r="Y1411" s="59">
        <f t="shared" ca="1" si="4429"/>
        <v>28.8</v>
      </c>
      <c r="Z1411" t="str">
        <f t="shared" si="4439"/>
        <v>BIO_GSF_CCS_MED_C   →   C_GAS_STRG   →   LQ_TRUCK   →   H2_IND_BOIL_HEAT</v>
      </c>
      <c r="AA1411" t="str">
        <f t="shared" si="4440"/>
        <v>Industrial heat</v>
      </c>
      <c r="AB1411" t="str">
        <f t="shared" si="4441"/>
        <v>Public acceptability</v>
      </c>
      <c r="AC1411">
        <f t="shared" ca="1" si="4442"/>
        <v>28.8</v>
      </c>
      <c r="AD1411">
        <v>1352</v>
      </c>
      <c r="AE1411" t="str">
        <f>IF(AND(ISNUMBER(SEARCH(O1411,4)),ISNUMBER(SEARCH('(4) FCH pathway assessment'!$B$16,AB1411)),ISNUMBER(SEARCH('(4) FCH pathway assessment'!$B$10,AA1411))),AD1411,"")</f>
        <v/>
      </c>
      <c r="AF1411" t="str">
        <f t="shared" si="4428"/>
        <v/>
      </c>
      <c r="AG1411" t="str">
        <f>VLOOKUP(C1411,Assumptions!$B$116:$C$162,2,FALSE)</f>
        <v>BIO_GSF_CCS_MED_C</v>
      </c>
      <c r="AH1411" t="str">
        <f>VLOOKUP(D1411,Assumptions!$B$116:$C$162,2,FALSE)</f>
        <v>C_GAS_STRG</v>
      </c>
      <c r="AI1411" t="str">
        <f>VLOOKUP(E1411,Assumptions!$B$116:$C$162,2,FALSE)</f>
        <v>LQ_TRUCK</v>
      </c>
      <c r="AJ1411" t="str">
        <f>VLOOKUP(F1411,Assumptions!$B$116:$C$162,2,FALSE)</f>
        <v>H2_IND_BOIL_HEAT</v>
      </c>
    </row>
    <row r="1412" spans="2:36" x14ac:dyDescent="0.25">
      <c r="B1412" t="s">
        <v>117</v>
      </c>
      <c r="C1412" t="s">
        <v>54</v>
      </c>
      <c r="D1412" t="s">
        <v>155</v>
      </c>
      <c r="E1412" t="s">
        <v>66</v>
      </c>
      <c r="F1412" t="s">
        <v>570</v>
      </c>
      <c r="G1412" t="s">
        <v>120</v>
      </c>
      <c r="H1412" t="s">
        <v>432</v>
      </c>
      <c r="I1412" t="s">
        <v>32</v>
      </c>
      <c r="J1412" t="s">
        <v>82</v>
      </c>
      <c r="K1412">
        <f t="shared" si="4430"/>
        <v>0</v>
      </c>
      <c r="L1412">
        <f t="shared" si="4431"/>
        <v>1</v>
      </c>
      <c r="M1412">
        <f t="shared" si="4432"/>
        <v>1</v>
      </c>
      <c r="N1412">
        <f t="shared" si="4433"/>
        <v>1</v>
      </c>
      <c r="O1412">
        <f t="shared" si="4434"/>
        <v>3</v>
      </c>
      <c r="P1412" t="str">
        <f t="shared" si="4435"/>
        <v>Medium centralized biomass gasification w/ CCS-Public acceptability</v>
      </c>
      <c r="Q1412" t="str">
        <f t="shared" si="4436"/>
        <v>Central gas storage-Public acceptability</v>
      </c>
      <c r="R1412" t="str">
        <f t="shared" si="4437"/>
        <v>Onsite-Public acceptability</v>
      </c>
      <c r="S1412" t="str">
        <f t="shared" si="4438"/>
        <v>Industrial H2 boiler-Public acceptability</v>
      </c>
      <c r="T1412" s="54">
        <f ca="1">VLOOKUP($P1412,'TA database'!$I$8:$J$79,2,FALSE)</f>
        <v>60</v>
      </c>
      <c r="U1412" s="54">
        <f ca="1">VLOOKUP($Q1412,'TA database'!$I$86:$J$105,2,FALSE)</f>
        <v>60</v>
      </c>
      <c r="V1412" s="54">
        <f ca="1">VLOOKUP($R1412,'TA database'!$I$112:$J$139,2,FALSE)</f>
        <v>90</v>
      </c>
      <c r="W1412" s="54">
        <f ca="1">IFERROR(VLOOKUP($S1412,'TA database'!$I$146:$J$193,2,FALSE),0)</f>
        <v>80</v>
      </c>
      <c r="X1412" s="54">
        <f>IFERROR(VLOOKUP($S1412,'TA database'!$I$200:$J$271,2,FALSE),0)</f>
        <v>0</v>
      </c>
      <c r="Y1412" s="59">
        <f t="shared" ca="1" si="4429"/>
        <v>25.92</v>
      </c>
      <c r="Z1412" t="str">
        <f t="shared" si="4439"/>
        <v>BIO_GSF_CCS_MED_C   →   C_GAS_STRG   →   ONSITE_USE   →   H2_IND_BOIL_HEAT</v>
      </c>
      <c r="AA1412" t="str">
        <f t="shared" si="4440"/>
        <v>Industrial heat</v>
      </c>
      <c r="AB1412" t="str">
        <f t="shared" si="4441"/>
        <v>Public acceptability</v>
      </c>
      <c r="AC1412">
        <f t="shared" ca="1" si="4442"/>
        <v>25.92</v>
      </c>
      <c r="AD1412">
        <v>1353</v>
      </c>
      <c r="AE1412" t="str">
        <f>IF(AND(ISNUMBER(SEARCH(O1412,4)),ISNUMBER(SEARCH('(4) FCH pathway assessment'!$B$16,AB1412)),ISNUMBER(SEARCH('(4) FCH pathway assessment'!$B$10,AA1412))),AD1412,"")</f>
        <v/>
      </c>
      <c r="AF1412" t="str">
        <f t="shared" si="4428"/>
        <v/>
      </c>
      <c r="AG1412" t="str">
        <f>VLOOKUP(C1412,Assumptions!$B$116:$C$162,2,FALSE)</f>
        <v>BIO_GSF_CCS_MED_C</v>
      </c>
      <c r="AH1412" t="str">
        <f>VLOOKUP(D1412,Assumptions!$B$116:$C$162,2,FALSE)</f>
        <v>C_GAS_STRG</v>
      </c>
      <c r="AI1412" t="str">
        <f>VLOOKUP(E1412,Assumptions!$B$116:$C$162,2,FALSE)</f>
        <v>ONSITE_USE</v>
      </c>
      <c r="AJ1412" t="str">
        <f>VLOOKUP(F1412,Assumptions!$B$116:$C$162,2,FALSE)</f>
        <v>H2_IND_BOIL_HEAT</v>
      </c>
    </row>
    <row r="1413" spans="2:36" x14ac:dyDescent="0.25">
      <c r="B1413" t="s">
        <v>117</v>
      </c>
      <c r="C1413" t="s">
        <v>55</v>
      </c>
      <c r="D1413" s="60" t="s">
        <v>130</v>
      </c>
      <c r="E1413" t="s">
        <v>66</v>
      </c>
      <c r="F1413" t="s">
        <v>570</v>
      </c>
      <c r="G1413" t="s">
        <v>120</v>
      </c>
      <c r="H1413" t="s">
        <v>432</v>
      </c>
      <c r="I1413" t="s">
        <v>32</v>
      </c>
      <c r="J1413" t="s">
        <v>82</v>
      </c>
      <c r="K1413">
        <f t="shared" si="4430"/>
        <v>0</v>
      </c>
      <c r="L1413">
        <f t="shared" si="4431"/>
        <v>1</v>
      </c>
      <c r="M1413">
        <f t="shared" si="4432"/>
        <v>1</v>
      </c>
      <c r="N1413">
        <f t="shared" si="4433"/>
        <v>1</v>
      </c>
      <c r="O1413">
        <f t="shared" si="4434"/>
        <v>3</v>
      </c>
      <c r="P1413" t="str">
        <f t="shared" si="4435"/>
        <v>Small decentralized biomass gasification-Public acceptability</v>
      </c>
      <c r="Q1413" t="str">
        <f t="shared" si="4436"/>
        <v>Distributed gas storage-Public acceptability</v>
      </c>
      <c r="R1413" t="str">
        <f t="shared" si="4437"/>
        <v>Onsite-Public acceptability</v>
      </c>
      <c r="S1413" t="str">
        <f t="shared" si="4438"/>
        <v>Industrial H2 boiler-Public acceptability</v>
      </c>
      <c r="T1413" s="54">
        <f ca="1">VLOOKUP($P1413,'TA database'!$I$8:$J$79,2,FALSE)</f>
        <v>70</v>
      </c>
      <c r="U1413" s="54">
        <f ca="1">VLOOKUP($Q1413,'TA database'!$I$86:$J$105,2,FALSE)</f>
        <v>60</v>
      </c>
      <c r="V1413" s="54">
        <f ca="1">VLOOKUP($R1413,'TA database'!$I$112:$J$139,2,FALSE)</f>
        <v>90</v>
      </c>
      <c r="W1413" s="54">
        <f ca="1">IFERROR(VLOOKUP($S1413,'TA database'!$I$146:$J$193,2,FALSE),0)</f>
        <v>80</v>
      </c>
      <c r="X1413" s="54">
        <f>IFERROR(VLOOKUP($S1413,'TA database'!$I$200:$J$271,2,FALSE),0)</f>
        <v>0</v>
      </c>
      <c r="Y1413" s="59">
        <f t="shared" ref="Y1413:Y1418" ca="1" si="4443">IF($W1413=0,(PRODUCT($T1413:$V1413,$X1413))/1000000,(PRODUCT($T1413:$W1413))/1000000)</f>
        <v>30.24</v>
      </c>
      <c r="Z1413" t="str">
        <f t="shared" si="4439"/>
        <v>BIO_GSF_SML_D   →   D_GAS_STRG   →   ONSITE_USE   →   H2_IND_BOIL_HEAT</v>
      </c>
      <c r="AA1413" t="str">
        <f t="shared" si="4440"/>
        <v>Industrial heat</v>
      </c>
      <c r="AB1413" t="str">
        <f t="shared" si="4441"/>
        <v>Public acceptability</v>
      </c>
      <c r="AC1413">
        <f t="shared" ca="1" si="4442"/>
        <v>30.24</v>
      </c>
      <c r="AD1413">
        <v>1354</v>
      </c>
      <c r="AE1413" t="str">
        <f>IF(AND(ISNUMBER(SEARCH(O1413,4)),ISNUMBER(SEARCH('(4) FCH pathway assessment'!$B$16,AB1413)),ISNUMBER(SEARCH('(4) FCH pathway assessment'!$B$10,AA1413))),AD1413,"")</f>
        <v/>
      </c>
      <c r="AF1413" t="str">
        <f t="shared" si="4428"/>
        <v/>
      </c>
      <c r="AG1413" t="str">
        <f>VLOOKUP(C1413,Assumptions!$B$116:$C$162,2,FALSE)</f>
        <v>BIO_GSF_SML_D</v>
      </c>
      <c r="AH1413" t="str">
        <f>VLOOKUP(D1413,Assumptions!$B$116:$C$162,2,FALSE)</f>
        <v>D_GAS_STRG</v>
      </c>
      <c r="AI1413" t="str">
        <f>VLOOKUP(E1413,Assumptions!$B$116:$C$162,2,FALSE)</f>
        <v>ONSITE_USE</v>
      </c>
      <c r="AJ1413" t="str">
        <f>VLOOKUP(F1413,Assumptions!$B$116:$C$162,2,FALSE)</f>
        <v>H2_IND_BOIL_HEAT</v>
      </c>
    </row>
    <row r="1414" spans="2:36" x14ac:dyDescent="0.25">
      <c r="B1414" t="s">
        <v>117</v>
      </c>
      <c r="C1414" t="s">
        <v>56</v>
      </c>
      <c r="D1414" t="s">
        <v>62</v>
      </c>
      <c r="E1414" t="s">
        <v>157</v>
      </c>
      <c r="F1414" t="s">
        <v>570</v>
      </c>
      <c r="G1414" t="s">
        <v>120</v>
      </c>
      <c r="H1414" t="s">
        <v>432</v>
      </c>
      <c r="I1414" t="s">
        <v>32</v>
      </c>
      <c r="J1414" t="s">
        <v>82</v>
      </c>
      <c r="K1414">
        <f t="shared" ref="K1414:K1426" si="4444">SUMPRODUCT(($C$7:$C$18=$C1414)*($D$6:$H$6=$D1414)*($D$7:$H$18))</f>
        <v>0</v>
      </c>
      <c r="L1414">
        <f t="shared" ref="L1414:L1426" si="4445">SUMPRODUCT(($C$19:$C$23=$D1414)*($I$6:$O$6=$E1414)*($I$19:$O$23))</f>
        <v>0</v>
      </c>
      <c r="M1414">
        <f t="shared" ref="M1414:M1426" si="4446">SUMPRODUCT(($C$24:$C$30=$E1414)*($P$6:$AI$6=$F1414)*($P$24:$AI$30))</f>
        <v>0</v>
      </c>
      <c r="N1414">
        <f t="shared" ref="N1414:N1426" si="4447">SUMPRODUCT(($C$31:$C$50=$F1414)*($AJ$6:$AM$6=$G1414)*($AJ$31:$AM$50))</f>
        <v>1</v>
      </c>
      <c r="O1414">
        <f t="shared" ref="O1414:O1426" si="4448">K1414+L1414+M1414+N1414</f>
        <v>1</v>
      </c>
      <c r="P1414" t="str">
        <f t="shared" ref="P1414:P1426" si="4449">CONCATENATE(C1414,"-",J1414)</f>
        <v>Large centralized biomass steam reforming -Public acceptability</v>
      </c>
      <c r="Q1414" t="str">
        <f t="shared" ref="Q1414:Q1426" si="4450">CONCATENATE(D1414,"-",J1414)</f>
        <v>Underground storage-Public acceptability</v>
      </c>
      <c r="R1414" t="str">
        <f t="shared" ref="R1414:R1426" si="4451">CONCATENATE(E1414,"-",J1414)</f>
        <v>Blending in natural gas pipeline-Public acceptability</v>
      </c>
      <c r="S1414" t="str">
        <f t="shared" ref="S1414:S1426" si="4452">CONCATENATE(F1414,"-",J1414)</f>
        <v>Industrial H2 boiler-Public acceptability</v>
      </c>
      <c r="T1414" s="54">
        <f ca="1">VLOOKUP($P1414,'TA database'!$I$8:$J$79,2,FALSE)</f>
        <v>80</v>
      </c>
      <c r="U1414" s="54">
        <f ca="1">VLOOKUP($Q1414,'TA database'!$I$86:$J$105,2,FALSE)</f>
        <v>60</v>
      </c>
      <c r="V1414" s="54">
        <f ca="1">VLOOKUP($R1414,'TA database'!$I$112:$J$139,2,FALSE)</f>
        <v>90</v>
      </c>
      <c r="W1414" s="54">
        <f ca="1">IFERROR(VLOOKUP($S1414,'TA database'!$I$146:$J$193,2,FALSE),0)</f>
        <v>80</v>
      </c>
      <c r="X1414" s="54">
        <f>IFERROR(VLOOKUP($S1414,'TA database'!$I$200:$J$271,2,FALSE),0)</f>
        <v>0</v>
      </c>
      <c r="Y1414" s="59">
        <f t="shared" ca="1" si="4443"/>
        <v>34.56</v>
      </c>
      <c r="Z1414" t="str">
        <f t="shared" ref="Z1414:Z1426" si="4453">CONCATENATE(AG1414,"   →   ",AH1414,"   →   ",AI1414,"   →   ",AJ1414)</f>
        <v>BIO_SR_LRG_C   →   C_UNDRGRND_STRG   →   H2_BLND_NG_P   →   H2_IND_BOIL_HEAT</v>
      </c>
      <c r="AA1414" t="str">
        <f t="shared" ref="AA1414:AA1426" si="4454">G1414</f>
        <v>Industrial heat</v>
      </c>
      <c r="AB1414" t="str">
        <f t="shared" ref="AB1414:AB1426" si="4455">J1414</f>
        <v>Public acceptability</v>
      </c>
      <c r="AC1414">
        <f t="shared" ref="AC1414:AC1426" ca="1" si="4456">Y1414</f>
        <v>34.56</v>
      </c>
      <c r="AD1414">
        <v>1355</v>
      </c>
      <c r="AE1414" t="str">
        <f>IF(AND(ISNUMBER(SEARCH(O1414,4)),ISNUMBER(SEARCH('(4) FCH pathway assessment'!$B$16,AB1414)),ISNUMBER(SEARCH('(4) FCH pathway assessment'!$B$10,AA1414))),AD1414,"")</f>
        <v/>
      </c>
      <c r="AF1414" t="str">
        <f t="shared" si="4428"/>
        <v/>
      </c>
      <c r="AG1414" t="str">
        <f>VLOOKUP(C1414,Assumptions!$B$116:$C$162,2,FALSE)</f>
        <v>BIO_SR_LRG_C</v>
      </c>
      <c r="AH1414" t="str">
        <f>VLOOKUP(D1414,Assumptions!$B$116:$C$162,2,FALSE)</f>
        <v>C_UNDRGRND_STRG</v>
      </c>
      <c r="AI1414" t="str">
        <f>VLOOKUP(E1414,Assumptions!$B$116:$C$162,2,FALSE)</f>
        <v>H2_BLND_NG_P</v>
      </c>
      <c r="AJ1414" t="str">
        <f>VLOOKUP(F1414,Assumptions!$B$116:$C$162,2,FALSE)</f>
        <v>H2_IND_BOIL_HEAT</v>
      </c>
    </row>
    <row r="1415" spans="2:36" x14ac:dyDescent="0.25">
      <c r="B1415" t="s">
        <v>117</v>
      </c>
      <c r="C1415" t="s">
        <v>56</v>
      </c>
      <c r="D1415" t="s">
        <v>62</v>
      </c>
      <c r="E1415" t="s">
        <v>122</v>
      </c>
      <c r="F1415" t="s">
        <v>570</v>
      </c>
      <c r="G1415" t="s">
        <v>120</v>
      </c>
      <c r="H1415" t="s">
        <v>432</v>
      </c>
      <c r="I1415" t="s">
        <v>32</v>
      </c>
      <c r="J1415" t="s">
        <v>82</v>
      </c>
      <c r="K1415">
        <f t="shared" si="4444"/>
        <v>0</v>
      </c>
      <c r="L1415">
        <f t="shared" si="4445"/>
        <v>0</v>
      </c>
      <c r="M1415">
        <f t="shared" si="4446"/>
        <v>1</v>
      </c>
      <c r="N1415">
        <f t="shared" si="4447"/>
        <v>1</v>
      </c>
      <c r="O1415">
        <f t="shared" si="4448"/>
        <v>2</v>
      </c>
      <c r="P1415" t="str">
        <f t="shared" si="4449"/>
        <v>Large centralized biomass steam reforming -Public acceptability</v>
      </c>
      <c r="Q1415" t="str">
        <f t="shared" si="4450"/>
        <v>Underground storage-Public acceptability</v>
      </c>
      <c r="R1415" t="str">
        <f t="shared" si="4451"/>
        <v>Hydrogen transmission &amp; distribution pipeline-Public acceptability</v>
      </c>
      <c r="S1415" t="str">
        <f t="shared" si="4452"/>
        <v>Industrial H2 boiler-Public acceptability</v>
      </c>
      <c r="T1415" s="54">
        <f ca="1">VLOOKUP($P1415,'TA database'!$I$8:$J$79,2,FALSE)</f>
        <v>80</v>
      </c>
      <c r="U1415" s="54">
        <f ca="1">VLOOKUP($Q1415,'TA database'!$I$86:$J$105,2,FALSE)</f>
        <v>60</v>
      </c>
      <c r="V1415" s="54">
        <f ca="1">VLOOKUP($R1415,'TA database'!$I$112:$J$139,2,FALSE)</f>
        <v>70</v>
      </c>
      <c r="W1415" s="54">
        <f ca="1">IFERROR(VLOOKUP($S1415,'TA database'!$I$146:$J$193,2,FALSE),0)</f>
        <v>80</v>
      </c>
      <c r="X1415" s="54">
        <f>IFERROR(VLOOKUP($S1415,'TA database'!$I$200:$J$271,2,FALSE),0)</f>
        <v>0</v>
      </c>
      <c r="Y1415" s="59">
        <f t="shared" ca="1" si="4443"/>
        <v>26.88</v>
      </c>
      <c r="Z1415" t="str">
        <f t="shared" si="4453"/>
        <v>BIO_SR_LRG_C   →   C_UNDRGRND_STRG   →   H2_T&amp;D_P   →   H2_IND_BOIL_HEAT</v>
      </c>
      <c r="AA1415" t="str">
        <f t="shared" si="4454"/>
        <v>Industrial heat</v>
      </c>
      <c r="AB1415" t="str">
        <f t="shared" si="4455"/>
        <v>Public acceptability</v>
      </c>
      <c r="AC1415">
        <f t="shared" ca="1" si="4456"/>
        <v>26.88</v>
      </c>
      <c r="AD1415">
        <v>1356</v>
      </c>
      <c r="AE1415" t="str">
        <f>IF(AND(ISNUMBER(SEARCH(O1415,4)),ISNUMBER(SEARCH('(4) FCH pathway assessment'!$B$16,AB1415)),ISNUMBER(SEARCH('(4) FCH pathway assessment'!$B$10,AA1415))),AD1415,"")</f>
        <v/>
      </c>
      <c r="AF1415" t="str">
        <f t="shared" si="4428"/>
        <v/>
      </c>
      <c r="AG1415" t="str">
        <f>VLOOKUP(C1415,Assumptions!$B$116:$C$162,2,FALSE)</f>
        <v>BIO_SR_LRG_C</v>
      </c>
      <c r="AH1415" t="str">
        <f>VLOOKUP(D1415,Assumptions!$B$116:$C$162,2,FALSE)</f>
        <v>C_UNDRGRND_STRG</v>
      </c>
      <c r="AI1415" t="str">
        <f>VLOOKUP(E1415,Assumptions!$B$116:$C$162,2,FALSE)</f>
        <v>H2_T&amp;D_P</v>
      </c>
      <c r="AJ1415" t="str">
        <f>VLOOKUP(F1415,Assumptions!$B$116:$C$162,2,FALSE)</f>
        <v>H2_IND_BOIL_HEAT</v>
      </c>
    </row>
    <row r="1416" spans="2:36" x14ac:dyDescent="0.25">
      <c r="B1416" t="s">
        <v>117</v>
      </c>
      <c r="C1416" t="s">
        <v>56</v>
      </c>
      <c r="D1416" t="s">
        <v>62</v>
      </c>
      <c r="E1416" t="s">
        <v>116</v>
      </c>
      <c r="F1416" t="s">
        <v>570</v>
      </c>
      <c r="G1416" t="s">
        <v>120</v>
      </c>
      <c r="H1416" t="s">
        <v>432</v>
      </c>
      <c r="I1416" t="s">
        <v>32</v>
      </c>
      <c r="J1416" t="s">
        <v>82</v>
      </c>
      <c r="K1416">
        <f t="shared" si="4444"/>
        <v>0</v>
      </c>
      <c r="L1416">
        <f t="shared" si="4445"/>
        <v>0</v>
      </c>
      <c r="M1416">
        <f t="shared" si="4446"/>
        <v>1</v>
      </c>
      <c r="N1416">
        <f t="shared" si="4447"/>
        <v>1</v>
      </c>
      <c r="O1416">
        <f t="shared" si="4448"/>
        <v>2</v>
      </c>
      <c r="P1416" t="str">
        <f t="shared" si="4449"/>
        <v>Large centralized biomass steam reforming -Public acceptability</v>
      </c>
      <c r="Q1416" t="str">
        <f t="shared" si="4450"/>
        <v>Underground storage-Public acceptability</v>
      </c>
      <c r="R1416" t="str">
        <f t="shared" si="4451"/>
        <v>Liquid hydrogen truck-Public acceptability</v>
      </c>
      <c r="S1416" t="str">
        <f t="shared" si="4452"/>
        <v>Industrial H2 boiler-Public acceptability</v>
      </c>
      <c r="T1416" s="54">
        <f ca="1">VLOOKUP($P1416,'TA database'!$I$8:$J$79,2,FALSE)</f>
        <v>80</v>
      </c>
      <c r="U1416" s="54">
        <f ca="1">VLOOKUP($Q1416,'TA database'!$I$86:$J$105,2,FALSE)</f>
        <v>60</v>
      </c>
      <c r="V1416" s="54">
        <f ca="1">VLOOKUP($R1416,'TA database'!$I$112:$J$139,2,FALSE)</f>
        <v>100</v>
      </c>
      <c r="W1416" s="54">
        <f ca="1">IFERROR(VLOOKUP($S1416,'TA database'!$I$146:$J$193,2,FALSE),0)</f>
        <v>80</v>
      </c>
      <c r="X1416" s="54">
        <f>IFERROR(VLOOKUP($S1416,'TA database'!$I$200:$J$271,2,FALSE),0)</f>
        <v>0</v>
      </c>
      <c r="Y1416" s="59">
        <f t="shared" ca="1" si="4443"/>
        <v>38.4</v>
      </c>
      <c r="Z1416" t="str">
        <f t="shared" si="4453"/>
        <v>BIO_SR_LRG_C   →   C_UNDRGRND_STRG   →   LQ_TRUCK   →   H2_IND_BOIL_HEAT</v>
      </c>
      <c r="AA1416" t="str">
        <f t="shared" si="4454"/>
        <v>Industrial heat</v>
      </c>
      <c r="AB1416" t="str">
        <f t="shared" si="4455"/>
        <v>Public acceptability</v>
      </c>
      <c r="AC1416">
        <f t="shared" ca="1" si="4456"/>
        <v>38.4</v>
      </c>
      <c r="AD1416">
        <v>1357</v>
      </c>
      <c r="AE1416" t="str">
        <f>IF(AND(ISNUMBER(SEARCH(O1416,4)),ISNUMBER(SEARCH('(4) FCH pathway assessment'!$B$16,AB1416)),ISNUMBER(SEARCH('(4) FCH pathway assessment'!$B$10,AA1416))),AD1416,"")</f>
        <v/>
      </c>
      <c r="AF1416" t="str">
        <f t="shared" si="4428"/>
        <v/>
      </c>
      <c r="AG1416" t="str">
        <f>VLOOKUP(C1416,Assumptions!$B$116:$C$162,2,FALSE)</f>
        <v>BIO_SR_LRG_C</v>
      </c>
      <c r="AH1416" t="str">
        <f>VLOOKUP(D1416,Assumptions!$B$116:$C$162,2,FALSE)</f>
        <v>C_UNDRGRND_STRG</v>
      </c>
      <c r="AI1416" t="str">
        <f>VLOOKUP(E1416,Assumptions!$B$116:$C$162,2,FALSE)</f>
        <v>LQ_TRUCK</v>
      </c>
      <c r="AJ1416" t="str">
        <f>VLOOKUP(F1416,Assumptions!$B$116:$C$162,2,FALSE)</f>
        <v>H2_IND_BOIL_HEAT</v>
      </c>
    </row>
    <row r="1417" spans="2:36" x14ac:dyDescent="0.25">
      <c r="B1417" t="s">
        <v>117</v>
      </c>
      <c r="C1417" t="s">
        <v>56</v>
      </c>
      <c r="D1417" t="s">
        <v>62</v>
      </c>
      <c r="E1417" t="s">
        <v>66</v>
      </c>
      <c r="F1417" t="s">
        <v>570</v>
      </c>
      <c r="G1417" t="s">
        <v>120</v>
      </c>
      <c r="H1417" t="s">
        <v>432</v>
      </c>
      <c r="I1417" t="s">
        <v>32</v>
      </c>
      <c r="J1417" t="s">
        <v>82</v>
      </c>
      <c r="K1417">
        <f t="shared" si="4444"/>
        <v>0</v>
      </c>
      <c r="L1417">
        <f t="shared" si="4445"/>
        <v>0</v>
      </c>
      <c r="M1417">
        <f t="shared" si="4446"/>
        <v>1</v>
      </c>
      <c r="N1417">
        <f t="shared" si="4447"/>
        <v>1</v>
      </c>
      <c r="O1417">
        <f t="shared" si="4448"/>
        <v>2</v>
      </c>
      <c r="P1417" t="str">
        <f t="shared" si="4449"/>
        <v>Large centralized biomass steam reforming -Public acceptability</v>
      </c>
      <c r="Q1417" t="str">
        <f t="shared" si="4450"/>
        <v>Underground storage-Public acceptability</v>
      </c>
      <c r="R1417" t="str">
        <f t="shared" si="4451"/>
        <v>Onsite-Public acceptability</v>
      </c>
      <c r="S1417" t="str">
        <f t="shared" si="4452"/>
        <v>Industrial H2 boiler-Public acceptability</v>
      </c>
      <c r="T1417" s="54">
        <f ca="1">VLOOKUP($P1417,'TA database'!$I$8:$J$79,2,FALSE)</f>
        <v>80</v>
      </c>
      <c r="U1417" s="54">
        <f ca="1">VLOOKUP($Q1417,'TA database'!$I$86:$J$105,2,FALSE)</f>
        <v>60</v>
      </c>
      <c r="V1417" s="54">
        <f ca="1">VLOOKUP($R1417,'TA database'!$I$112:$J$139,2,FALSE)</f>
        <v>90</v>
      </c>
      <c r="W1417" s="54">
        <f ca="1">IFERROR(VLOOKUP($S1417,'TA database'!$I$146:$J$193,2,FALSE),0)</f>
        <v>80</v>
      </c>
      <c r="X1417" s="54">
        <f>IFERROR(VLOOKUP($S1417,'TA database'!$I$200:$J$271,2,FALSE),0)</f>
        <v>0</v>
      </c>
      <c r="Y1417" s="59">
        <f t="shared" ca="1" si="4443"/>
        <v>34.56</v>
      </c>
      <c r="Z1417" t="str">
        <f t="shared" si="4453"/>
        <v>BIO_SR_LRG_C   →   C_UNDRGRND_STRG   →   ONSITE_USE   →   H2_IND_BOIL_HEAT</v>
      </c>
      <c r="AA1417" t="str">
        <f t="shared" si="4454"/>
        <v>Industrial heat</v>
      </c>
      <c r="AB1417" t="str">
        <f t="shared" si="4455"/>
        <v>Public acceptability</v>
      </c>
      <c r="AC1417">
        <f t="shared" ca="1" si="4456"/>
        <v>34.56</v>
      </c>
      <c r="AD1417">
        <v>1358</v>
      </c>
      <c r="AE1417" t="str">
        <f>IF(AND(ISNUMBER(SEARCH(O1417,4)),ISNUMBER(SEARCH('(4) FCH pathway assessment'!$B$16,AB1417)),ISNUMBER(SEARCH('(4) FCH pathway assessment'!$B$10,AA1417))),AD1417,"")</f>
        <v/>
      </c>
      <c r="AF1417" t="str">
        <f t="shared" si="4428"/>
        <v/>
      </c>
      <c r="AG1417" t="str">
        <f>VLOOKUP(C1417,Assumptions!$B$116:$C$162,2,FALSE)</f>
        <v>BIO_SR_LRG_C</v>
      </c>
      <c r="AH1417" t="str">
        <f>VLOOKUP(D1417,Assumptions!$B$116:$C$162,2,FALSE)</f>
        <v>C_UNDRGRND_STRG</v>
      </c>
      <c r="AI1417" t="str">
        <f>VLOOKUP(E1417,Assumptions!$B$116:$C$162,2,FALSE)</f>
        <v>ONSITE_USE</v>
      </c>
      <c r="AJ1417" t="str">
        <f>VLOOKUP(F1417,Assumptions!$B$116:$C$162,2,FALSE)</f>
        <v>H2_IND_BOIL_HEAT</v>
      </c>
    </row>
    <row r="1418" spans="2:36" x14ac:dyDescent="0.25">
      <c r="B1418" t="s">
        <v>117</v>
      </c>
      <c r="C1418" t="s">
        <v>56</v>
      </c>
      <c r="D1418" s="61" t="s">
        <v>63</v>
      </c>
      <c r="E1418" t="s">
        <v>122</v>
      </c>
      <c r="F1418" t="s">
        <v>570</v>
      </c>
      <c r="G1418" t="s">
        <v>120</v>
      </c>
      <c r="H1418" t="s">
        <v>432</v>
      </c>
      <c r="I1418" t="s">
        <v>32</v>
      </c>
      <c r="J1418" t="s">
        <v>82</v>
      </c>
      <c r="K1418">
        <f t="shared" si="4444"/>
        <v>0</v>
      </c>
      <c r="L1418">
        <f t="shared" si="4445"/>
        <v>1</v>
      </c>
      <c r="M1418">
        <f t="shared" si="4446"/>
        <v>1</v>
      </c>
      <c r="N1418">
        <f t="shared" si="4447"/>
        <v>1</v>
      </c>
      <c r="O1418">
        <f t="shared" si="4448"/>
        <v>3</v>
      </c>
      <c r="P1418" t="str">
        <f t="shared" si="4449"/>
        <v>Large centralized biomass steam reforming -Public acceptability</v>
      </c>
      <c r="Q1418" t="str">
        <f t="shared" si="4450"/>
        <v>No storage-Public acceptability</v>
      </c>
      <c r="R1418" t="str">
        <f t="shared" si="4451"/>
        <v>Hydrogen transmission &amp; distribution pipeline-Public acceptability</v>
      </c>
      <c r="S1418" t="str">
        <f t="shared" si="4452"/>
        <v>Industrial H2 boiler-Public acceptability</v>
      </c>
      <c r="T1418" s="54">
        <f ca="1">VLOOKUP($P1418,'TA database'!$I$8:$J$79,2,FALSE)</f>
        <v>80</v>
      </c>
      <c r="U1418" s="54">
        <f ca="1">VLOOKUP($Q1418,'TA database'!$I$86:$J$105,2,FALSE)</f>
        <v>100</v>
      </c>
      <c r="V1418" s="54">
        <f ca="1">VLOOKUP($R1418,'TA database'!$I$112:$J$139,2,FALSE)</f>
        <v>70</v>
      </c>
      <c r="W1418" s="54">
        <f ca="1">IFERROR(VLOOKUP($S1418,'TA database'!$I$146:$J$193,2,FALSE),0)</f>
        <v>80</v>
      </c>
      <c r="X1418" s="54">
        <f>IFERROR(VLOOKUP($S1418,'TA database'!$I$200:$J$271,2,FALSE),0)</f>
        <v>0</v>
      </c>
      <c r="Y1418" s="59">
        <f t="shared" ca="1" si="4443"/>
        <v>44.8</v>
      </c>
      <c r="Z1418" t="str">
        <f t="shared" si="4453"/>
        <v>BIO_SR_LRG_C   →   NO_STRG   →   H2_T&amp;D_P   →   H2_IND_BOIL_HEAT</v>
      </c>
      <c r="AA1418" t="str">
        <f t="shared" si="4454"/>
        <v>Industrial heat</v>
      </c>
      <c r="AB1418" t="str">
        <f t="shared" si="4455"/>
        <v>Public acceptability</v>
      </c>
      <c r="AC1418">
        <f t="shared" ca="1" si="4456"/>
        <v>44.8</v>
      </c>
      <c r="AD1418">
        <v>1359</v>
      </c>
      <c r="AE1418" t="str">
        <f>IF(AND(ISNUMBER(SEARCH(O1418,4)),ISNUMBER(SEARCH('(4) FCH pathway assessment'!$B$16,AB1418)),ISNUMBER(SEARCH('(4) FCH pathway assessment'!$B$10,AA1418))),AD1418,"")</f>
        <v/>
      </c>
      <c r="AF1418" t="str">
        <f t="shared" si="4428"/>
        <v/>
      </c>
      <c r="AG1418" t="str">
        <f>VLOOKUP(C1418,Assumptions!$B$116:$C$162,2,FALSE)</f>
        <v>BIO_SR_LRG_C</v>
      </c>
      <c r="AH1418" t="str">
        <f>VLOOKUP(D1418,Assumptions!$B$116:$C$162,2,FALSE)</f>
        <v>NO_STRG</v>
      </c>
      <c r="AI1418" t="str">
        <f>VLOOKUP(E1418,Assumptions!$B$116:$C$162,2,FALSE)</f>
        <v>H2_T&amp;D_P</v>
      </c>
      <c r="AJ1418" t="str">
        <f>VLOOKUP(F1418,Assumptions!$B$116:$C$162,2,FALSE)</f>
        <v>H2_IND_BOIL_HEAT</v>
      </c>
    </row>
    <row r="1419" spans="2:36" x14ac:dyDescent="0.25">
      <c r="B1419" t="s">
        <v>112</v>
      </c>
      <c r="C1419" t="s">
        <v>49</v>
      </c>
      <c r="D1419" t="s">
        <v>62</v>
      </c>
      <c r="E1419" t="s">
        <v>157</v>
      </c>
      <c r="F1419" t="s">
        <v>570</v>
      </c>
      <c r="G1419" t="s">
        <v>120</v>
      </c>
      <c r="H1419" t="s">
        <v>432</v>
      </c>
      <c r="I1419" t="s">
        <v>32</v>
      </c>
      <c r="J1419" t="s">
        <v>82</v>
      </c>
      <c r="K1419">
        <f t="shared" si="4444"/>
        <v>1</v>
      </c>
      <c r="L1419">
        <f t="shared" si="4445"/>
        <v>0</v>
      </c>
      <c r="M1419">
        <f t="shared" si="4446"/>
        <v>0</v>
      </c>
      <c r="N1419">
        <f t="shared" si="4447"/>
        <v>1</v>
      </c>
      <c r="O1419">
        <f t="shared" si="4448"/>
        <v>2</v>
      </c>
      <c r="P1419" t="str">
        <f t="shared" si="4449"/>
        <v>Large centralized electrolysis-Public acceptability</v>
      </c>
      <c r="Q1419" t="str">
        <f t="shared" si="4450"/>
        <v>Underground storage-Public acceptability</v>
      </c>
      <c r="R1419" t="str">
        <f t="shared" si="4451"/>
        <v>Blending in natural gas pipeline-Public acceptability</v>
      </c>
      <c r="S1419" t="str">
        <f t="shared" si="4452"/>
        <v>Industrial H2 boiler-Public acceptability</v>
      </c>
      <c r="T1419" s="54">
        <f ca="1">VLOOKUP($P1419,'TA database'!$I$8:$J$79,2,FALSE)</f>
        <v>80</v>
      </c>
      <c r="U1419" s="54">
        <f ca="1">VLOOKUP($Q1419,'TA database'!$I$86:$J$105,2,FALSE)</f>
        <v>60</v>
      </c>
      <c r="V1419" s="54">
        <f ca="1">VLOOKUP($R1419,'TA database'!$I$112:$J$139,2,FALSE)</f>
        <v>90</v>
      </c>
      <c r="W1419" s="54">
        <f ca="1">IFERROR(VLOOKUP($S1419,'TA database'!$I$146:$J$193,2,FALSE),0)</f>
        <v>80</v>
      </c>
      <c r="X1419" s="54">
        <f>IFERROR(VLOOKUP($S1419,'TA database'!$I$200:$J$271,2,FALSE),0)</f>
        <v>0</v>
      </c>
      <c r="Y1419" s="59">
        <f t="shared" ref="Y1419:Y1430" ca="1" si="4457">IF($W1419=0,(PRODUCT($T1419:$V1419,$X1419))/1000000,(PRODUCT($T1419:$W1419))/1000000)</f>
        <v>34.56</v>
      </c>
      <c r="Z1419" t="str">
        <f t="shared" si="4453"/>
        <v>ELCTRLYZ_LRG_C   →   C_UNDRGRND_STRG   →   H2_BLND_NG_P   →   H2_IND_BOIL_HEAT</v>
      </c>
      <c r="AA1419" t="str">
        <f t="shared" si="4454"/>
        <v>Industrial heat</v>
      </c>
      <c r="AB1419" t="str">
        <f t="shared" si="4455"/>
        <v>Public acceptability</v>
      </c>
      <c r="AC1419">
        <f t="shared" ca="1" si="4456"/>
        <v>34.56</v>
      </c>
      <c r="AD1419">
        <v>1360</v>
      </c>
      <c r="AE1419" t="str">
        <f>IF(AND(ISNUMBER(SEARCH(O1419,4)),ISNUMBER(SEARCH('(4) FCH pathway assessment'!$B$16,AB1419)),ISNUMBER(SEARCH('(4) FCH pathway assessment'!$B$10,AA1419))),AD1419,"")</f>
        <v/>
      </c>
      <c r="AF1419" t="str">
        <f t="shared" si="4428"/>
        <v/>
      </c>
      <c r="AG1419" t="str">
        <f>VLOOKUP(C1419,Assumptions!$B$116:$C$162,2,FALSE)</f>
        <v>ELCTRLYZ_LRG_C</v>
      </c>
      <c r="AH1419" t="str">
        <f>VLOOKUP(D1419,Assumptions!$B$116:$C$162,2,FALSE)</f>
        <v>C_UNDRGRND_STRG</v>
      </c>
      <c r="AI1419" t="str">
        <f>VLOOKUP(E1419,Assumptions!$B$116:$C$162,2,FALSE)</f>
        <v>H2_BLND_NG_P</v>
      </c>
      <c r="AJ1419" t="str">
        <f>VLOOKUP(F1419,Assumptions!$B$116:$C$162,2,FALSE)</f>
        <v>H2_IND_BOIL_HEAT</v>
      </c>
    </row>
    <row r="1420" spans="2:36" x14ac:dyDescent="0.25">
      <c r="B1420" t="s">
        <v>112</v>
      </c>
      <c r="C1420" t="s">
        <v>49</v>
      </c>
      <c r="D1420" t="s">
        <v>62</v>
      </c>
      <c r="E1420" t="s">
        <v>122</v>
      </c>
      <c r="F1420" t="s">
        <v>570</v>
      </c>
      <c r="G1420" t="s">
        <v>120</v>
      </c>
      <c r="H1420" t="s">
        <v>432</v>
      </c>
      <c r="I1420" t="s">
        <v>32</v>
      </c>
      <c r="J1420" t="s">
        <v>82</v>
      </c>
      <c r="K1420">
        <f t="shared" si="4444"/>
        <v>1</v>
      </c>
      <c r="L1420">
        <f t="shared" si="4445"/>
        <v>0</v>
      </c>
      <c r="M1420">
        <f t="shared" si="4446"/>
        <v>1</v>
      </c>
      <c r="N1420">
        <f t="shared" si="4447"/>
        <v>1</v>
      </c>
      <c r="O1420">
        <f t="shared" si="4448"/>
        <v>3</v>
      </c>
      <c r="P1420" t="str">
        <f t="shared" si="4449"/>
        <v>Large centralized electrolysis-Public acceptability</v>
      </c>
      <c r="Q1420" t="str">
        <f t="shared" si="4450"/>
        <v>Underground storage-Public acceptability</v>
      </c>
      <c r="R1420" t="str">
        <f t="shared" si="4451"/>
        <v>Hydrogen transmission &amp; distribution pipeline-Public acceptability</v>
      </c>
      <c r="S1420" t="str">
        <f t="shared" si="4452"/>
        <v>Industrial H2 boiler-Public acceptability</v>
      </c>
      <c r="T1420" s="54">
        <f ca="1">VLOOKUP($P1420,'TA database'!$I$8:$J$79,2,FALSE)</f>
        <v>80</v>
      </c>
      <c r="U1420" s="54">
        <f ca="1">VLOOKUP($Q1420,'TA database'!$I$86:$J$105,2,FALSE)</f>
        <v>60</v>
      </c>
      <c r="V1420" s="54">
        <f ca="1">VLOOKUP($R1420,'TA database'!$I$112:$J$139,2,FALSE)</f>
        <v>70</v>
      </c>
      <c r="W1420" s="54">
        <f ca="1">IFERROR(VLOOKUP($S1420,'TA database'!$I$146:$J$193,2,FALSE),0)</f>
        <v>80</v>
      </c>
      <c r="X1420" s="54">
        <f>IFERROR(VLOOKUP($S1420,'TA database'!$I$200:$J$271,2,FALSE),0)</f>
        <v>0</v>
      </c>
      <c r="Y1420" s="59">
        <f t="shared" ca="1" si="4457"/>
        <v>26.88</v>
      </c>
      <c r="Z1420" t="str">
        <f t="shared" si="4453"/>
        <v>ELCTRLYZ_LRG_C   →   C_UNDRGRND_STRG   →   H2_T&amp;D_P   →   H2_IND_BOIL_HEAT</v>
      </c>
      <c r="AA1420" t="str">
        <f t="shared" si="4454"/>
        <v>Industrial heat</v>
      </c>
      <c r="AB1420" t="str">
        <f t="shared" si="4455"/>
        <v>Public acceptability</v>
      </c>
      <c r="AC1420">
        <f t="shared" ca="1" si="4456"/>
        <v>26.88</v>
      </c>
      <c r="AD1420">
        <v>1361</v>
      </c>
      <c r="AE1420" t="str">
        <f>IF(AND(ISNUMBER(SEARCH(O1420,4)),ISNUMBER(SEARCH('(4) FCH pathway assessment'!$B$16,AB1420)),ISNUMBER(SEARCH('(4) FCH pathway assessment'!$B$10,AA1420))),AD1420,"")</f>
        <v/>
      </c>
      <c r="AF1420" t="str">
        <f t="shared" si="4428"/>
        <v/>
      </c>
      <c r="AG1420" t="str">
        <f>VLOOKUP(C1420,Assumptions!$B$116:$C$162,2,FALSE)</f>
        <v>ELCTRLYZ_LRG_C</v>
      </c>
      <c r="AH1420" t="str">
        <f>VLOOKUP(D1420,Assumptions!$B$116:$C$162,2,FALSE)</f>
        <v>C_UNDRGRND_STRG</v>
      </c>
      <c r="AI1420" t="str">
        <f>VLOOKUP(E1420,Assumptions!$B$116:$C$162,2,FALSE)</f>
        <v>H2_T&amp;D_P</v>
      </c>
      <c r="AJ1420" t="str">
        <f>VLOOKUP(F1420,Assumptions!$B$116:$C$162,2,FALSE)</f>
        <v>H2_IND_BOIL_HEAT</v>
      </c>
    </row>
    <row r="1421" spans="2:36" x14ac:dyDescent="0.25">
      <c r="B1421" t="s">
        <v>112</v>
      </c>
      <c r="C1421" t="s">
        <v>49</v>
      </c>
      <c r="D1421" t="s">
        <v>62</v>
      </c>
      <c r="E1421" t="s">
        <v>116</v>
      </c>
      <c r="F1421" t="s">
        <v>570</v>
      </c>
      <c r="G1421" t="s">
        <v>120</v>
      </c>
      <c r="H1421" t="s">
        <v>432</v>
      </c>
      <c r="I1421" t="s">
        <v>32</v>
      </c>
      <c r="J1421" t="s">
        <v>82</v>
      </c>
      <c r="K1421">
        <f t="shared" si="4444"/>
        <v>1</v>
      </c>
      <c r="L1421">
        <f t="shared" si="4445"/>
        <v>0</v>
      </c>
      <c r="M1421">
        <f t="shared" si="4446"/>
        <v>1</v>
      </c>
      <c r="N1421">
        <f t="shared" si="4447"/>
        <v>1</v>
      </c>
      <c r="O1421">
        <f t="shared" si="4448"/>
        <v>3</v>
      </c>
      <c r="P1421" t="str">
        <f t="shared" si="4449"/>
        <v>Large centralized electrolysis-Public acceptability</v>
      </c>
      <c r="Q1421" t="str">
        <f t="shared" si="4450"/>
        <v>Underground storage-Public acceptability</v>
      </c>
      <c r="R1421" t="str">
        <f t="shared" si="4451"/>
        <v>Liquid hydrogen truck-Public acceptability</v>
      </c>
      <c r="S1421" t="str">
        <f t="shared" si="4452"/>
        <v>Industrial H2 boiler-Public acceptability</v>
      </c>
      <c r="T1421" s="54">
        <f ca="1">VLOOKUP($P1421,'TA database'!$I$8:$J$79,2,FALSE)</f>
        <v>80</v>
      </c>
      <c r="U1421" s="54">
        <f ca="1">VLOOKUP($Q1421,'TA database'!$I$86:$J$105,2,FALSE)</f>
        <v>60</v>
      </c>
      <c r="V1421" s="54">
        <f ca="1">VLOOKUP($R1421,'TA database'!$I$112:$J$139,2,FALSE)</f>
        <v>100</v>
      </c>
      <c r="W1421" s="54">
        <f ca="1">IFERROR(VLOOKUP($S1421,'TA database'!$I$146:$J$193,2,FALSE),0)</f>
        <v>80</v>
      </c>
      <c r="X1421" s="54">
        <f>IFERROR(VLOOKUP($S1421,'TA database'!$I$200:$J$271,2,FALSE),0)</f>
        <v>0</v>
      </c>
      <c r="Y1421" s="59">
        <f t="shared" ca="1" si="4457"/>
        <v>38.4</v>
      </c>
      <c r="Z1421" t="str">
        <f t="shared" si="4453"/>
        <v>ELCTRLYZ_LRG_C   →   C_UNDRGRND_STRG   →   LQ_TRUCK   →   H2_IND_BOIL_HEAT</v>
      </c>
      <c r="AA1421" t="str">
        <f t="shared" si="4454"/>
        <v>Industrial heat</v>
      </c>
      <c r="AB1421" t="str">
        <f t="shared" si="4455"/>
        <v>Public acceptability</v>
      </c>
      <c r="AC1421">
        <f t="shared" ca="1" si="4456"/>
        <v>38.4</v>
      </c>
      <c r="AD1421">
        <v>1362</v>
      </c>
      <c r="AE1421" t="str">
        <f>IF(AND(ISNUMBER(SEARCH(O1421,4)),ISNUMBER(SEARCH('(4) FCH pathway assessment'!$B$16,AB1421)),ISNUMBER(SEARCH('(4) FCH pathway assessment'!$B$10,AA1421))),AD1421,"")</f>
        <v/>
      </c>
      <c r="AF1421" t="str">
        <f t="shared" si="4428"/>
        <v/>
      </c>
      <c r="AG1421" t="str">
        <f>VLOOKUP(C1421,Assumptions!$B$116:$C$162,2,FALSE)</f>
        <v>ELCTRLYZ_LRG_C</v>
      </c>
      <c r="AH1421" t="str">
        <f>VLOOKUP(D1421,Assumptions!$B$116:$C$162,2,FALSE)</f>
        <v>C_UNDRGRND_STRG</v>
      </c>
      <c r="AI1421" t="str">
        <f>VLOOKUP(E1421,Assumptions!$B$116:$C$162,2,FALSE)</f>
        <v>LQ_TRUCK</v>
      </c>
      <c r="AJ1421" t="str">
        <f>VLOOKUP(F1421,Assumptions!$B$116:$C$162,2,FALSE)</f>
        <v>H2_IND_BOIL_HEAT</v>
      </c>
    </row>
    <row r="1422" spans="2:36" x14ac:dyDescent="0.25">
      <c r="B1422" t="s">
        <v>112</v>
      </c>
      <c r="C1422" t="s">
        <v>49</v>
      </c>
      <c r="D1422" t="s">
        <v>62</v>
      </c>
      <c r="E1422" t="s">
        <v>66</v>
      </c>
      <c r="F1422" t="s">
        <v>570</v>
      </c>
      <c r="G1422" t="s">
        <v>120</v>
      </c>
      <c r="H1422" t="s">
        <v>432</v>
      </c>
      <c r="I1422" t="s">
        <v>32</v>
      </c>
      <c r="J1422" t="s">
        <v>82</v>
      </c>
      <c r="K1422">
        <f t="shared" si="4444"/>
        <v>1</v>
      </c>
      <c r="L1422">
        <f t="shared" si="4445"/>
        <v>0</v>
      </c>
      <c r="M1422">
        <f t="shared" si="4446"/>
        <v>1</v>
      </c>
      <c r="N1422">
        <f t="shared" si="4447"/>
        <v>1</v>
      </c>
      <c r="O1422">
        <f t="shared" si="4448"/>
        <v>3</v>
      </c>
      <c r="P1422" t="str">
        <f t="shared" si="4449"/>
        <v>Large centralized electrolysis-Public acceptability</v>
      </c>
      <c r="Q1422" t="str">
        <f t="shared" si="4450"/>
        <v>Underground storage-Public acceptability</v>
      </c>
      <c r="R1422" t="str">
        <f t="shared" si="4451"/>
        <v>Onsite-Public acceptability</v>
      </c>
      <c r="S1422" t="str">
        <f t="shared" si="4452"/>
        <v>Industrial H2 boiler-Public acceptability</v>
      </c>
      <c r="T1422" s="54">
        <f ca="1">VLOOKUP($P1422,'TA database'!$I$8:$J$79,2,FALSE)</f>
        <v>80</v>
      </c>
      <c r="U1422" s="54">
        <f ca="1">VLOOKUP($Q1422,'TA database'!$I$86:$J$105,2,FALSE)</f>
        <v>60</v>
      </c>
      <c r="V1422" s="54">
        <f ca="1">VLOOKUP($R1422,'TA database'!$I$112:$J$139,2,FALSE)</f>
        <v>90</v>
      </c>
      <c r="W1422" s="54">
        <f ca="1">IFERROR(VLOOKUP($S1422,'TA database'!$I$146:$J$193,2,FALSE),0)</f>
        <v>80</v>
      </c>
      <c r="X1422" s="54">
        <f>IFERROR(VLOOKUP($S1422,'TA database'!$I$200:$J$271,2,FALSE),0)</f>
        <v>0</v>
      </c>
      <c r="Y1422" s="59">
        <f t="shared" ca="1" si="4457"/>
        <v>34.56</v>
      </c>
      <c r="Z1422" t="str">
        <f t="shared" si="4453"/>
        <v>ELCTRLYZ_LRG_C   →   C_UNDRGRND_STRG   →   ONSITE_USE   →   H2_IND_BOIL_HEAT</v>
      </c>
      <c r="AA1422" t="str">
        <f t="shared" si="4454"/>
        <v>Industrial heat</v>
      </c>
      <c r="AB1422" t="str">
        <f t="shared" si="4455"/>
        <v>Public acceptability</v>
      </c>
      <c r="AC1422">
        <f t="shared" ca="1" si="4456"/>
        <v>34.56</v>
      </c>
      <c r="AD1422">
        <v>1363</v>
      </c>
      <c r="AE1422" t="str">
        <f>IF(AND(ISNUMBER(SEARCH(O1422,4)),ISNUMBER(SEARCH('(4) FCH pathway assessment'!$B$16,AB1422)),ISNUMBER(SEARCH('(4) FCH pathway assessment'!$B$10,AA1422))),AD1422,"")</f>
        <v/>
      </c>
      <c r="AF1422" t="str">
        <f t="shared" si="4428"/>
        <v/>
      </c>
      <c r="AG1422" t="str">
        <f>VLOOKUP(C1422,Assumptions!$B$116:$C$162,2,FALSE)</f>
        <v>ELCTRLYZ_LRG_C</v>
      </c>
      <c r="AH1422" t="str">
        <f>VLOOKUP(D1422,Assumptions!$B$116:$C$162,2,FALSE)</f>
        <v>C_UNDRGRND_STRG</v>
      </c>
      <c r="AI1422" t="str">
        <f>VLOOKUP(E1422,Assumptions!$B$116:$C$162,2,FALSE)</f>
        <v>ONSITE_USE</v>
      </c>
      <c r="AJ1422" t="str">
        <f>VLOOKUP(F1422,Assumptions!$B$116:$C$162,2,FALSE)</f>
        <v>H2_IND_BOIL_HEAT</v>
      </c>
    </row>
    <row r="1423" spans="2:36" x14ac:dyDescent="0.25">
      <c r="B1423" t="s">
        <v>112</v>
      </c>
      <c r="C1423" t="s">
        <v>49</v>
      </c>
      <c r="D1423" t="s">
        <v>155</v>
      </c>
      <c r="E1423" t="s">
        <v>157</v>
      </c>
      <c r="F1423" t="s">
        <v>570</v>
      </c>
      <c r="G1423" t="s">
        <v>120</v>
      </c>
      <c r="H1423" t="s">
        <v>432</v>
      </c>
      <c r="I1423" t="s">
        <v>32</v>
      </c>
      <c r="J1423" t="s">
        <v>82</v>
      </c>
      <c r="K1423">
        <f t="shared" si="4444"/>
        <v>1</v>
      </c>
      <c r="L1423">
        <f t="shared" si="4445"/>
        <v>1</v>
      </c>
      <c r="M1423">
        <f t="shared" si="4446"/>
        <v>0</v>
      </c>
      <c r="N1423">
        <f t="shared" si="4447"/>
        <v>1</v>
      </c>
      <c r="O1423">
        <f t="shared" si="4448"/>
        <v>3</v>
      </c>
      <c r="P1423" t="str">
        <f t="shared" si="4449"/>
        <v>Large centralized electrolysis-Public acceptability</v>
      </c>
      <c r="Q1423" t="str">
        <f t="shared" si="4450"/>
        <v>Central gas storage-Public acceptability</v>
      </c>
      <c r="R1423" t="str">
        <f t="shared" si="4451"/>
        <v>Blending in natural gas pipeline-Public acceptability</v>
      </c>
      <c r="S1423" t="str">
        <f t="shared" si="4452"/>
        <v>Industrial H2 boiler-Public acceptability</v>
      </c>
      <c r="T1423" s="54">
        <f ca="1">VLOOKUP($P1423,'TA database'!$I$8:$J$79,2,FALSE)</f>
        <v>80</v>
      </c>
      <c r="U1423" s="54">
        <f ca="1">VLOOKUP($Q1423,'TA database'!$I$86:$J$105,2,FALSE)</f>
        <v>60</v>
      </c>
      <c r="V1423" s="54">
        <f ca="1">VLOOKUP($R1423,'TA database'!$I$112:$J$139,2,FALSE)</f>
        <v>90</v>
      </c>
      <c r="W1423" s="54">
        <f ca="1">IFERROR(VLOOKUP($S1423,'TA database'!$I$146:$J$193,2,FALSE),0)</f>
        <v>80</v>
      </c>
      <c r="X1423" s="54">
        <f>IFERROR(VLOOKUP($S1423,'TA database'!$I$200:$J$271,2,FALSE),0)</f>
        <v>0</v>
      </c>
      <c r="Y1423" s="59">
        <f t="shared" ca="1" si="4457"/>
        <v>34.56</v>
      </c>
      <c r="Z1423" t="str">
        <f t="shared" si="4453"/>
        <v>ELCTRLYZ_LRG_C   →   C_GAS_STRG   →   H2_BLND_NG_P   →   H2_IND_BOIL_HEAT</v>
      </c>
      <c r="AA1423" t="str">
        <f t="shared" si="4454"/>
        <v>Industrial heat</v>
      </c>
      <c r="AB1423" t="str">
        <f t="shared" si="4455"/>
        <v>Public acceptability</v>
      </c>
      <c r="AC1423">
        <f t="shared" ca="1" si="4456"/>
        <v>34.56</v>
      </c>
      <c r="AD1423">
        <v>1364</v>
      </c>
      <c r="AE1423" t="str">
        <f>IF(AND(ISNUMBER(SEARCH(O1423,4)),ISNUMBER(SEARCH('(4) FCH pathway assessment'!$B$16,AB1423)),ISNUMBER(SEARCH('(4) FCH pathway assessment'!$B$10,AA1423))),AD1423,"")</f>
        <v/>
      </c>
      <c r="AF1423" t="str">
        <f t="shared" si="4428"/>
        <v/>
      </c>
      <c r="AG1423" t="str">
        <f>VLOOKUP(C1423,Assumptions!$B$116:$C$162,2,FALSE)</f>
        <v>ELCTRLYZ_LRG_C</v>
      </c>
      <c r="AH1423" t="str">
        <f>VLOOKUP(D1423,Assumptions!$B$116:$C$162,2,FALSE)</f>
        <v>C_GAS_STRG</v>
      </c>
      <c r="AI1423" t="str">
        <f>VLOOKUP(E1423,Assumptions!$B$116:$C$162,2,FALSE)</f>
        <v>H2_BLND_NG_P</v>
      </c>
      <c r="AJ1423" t="str">
        <f>VLOOKUP(F1423,Assumptions!$B$116:$C$162,2,FALSE)</f>
        <v>H2_IND_BOIL_HEAT</v>
      </c>
    </row>
    <row r="1424" spans="2:36" x14ac:dyDescent="0.25">
      <c r="B1424" t="s">
        <v>112</v>
      </c>
      <c r="C1424" t="s">
        <v>49</v>
      </c>
      <c r="D1424" t="s">
        <v>155</v>
      </c>
      <c r="E1424" t="s">
        <v>122</v>
      </c>
      <c r="F1424" t="s">
        <v>570</v>
      </c>
      <c r="G1424" t="s">
        <v>120</v>
      </c>
      <c r="H1424" t="s">
        <v>432</v>
      </c>
      <c r="I1424" t="s">
        <v>32</v>
      </c>
      <c r="J1424" t="s">
        <v>82</v>
      </c>
      <c r="K1424">
        <f t="shared" si="4444"/>
        <v>1</v>
      </c>
      <c r="L1424">
        <f t="shared" si="4445"/>
        <v>1</v>
      </c>
      <c r="M1424">
        <f t="shared" si="4446"/>
        <v>1</v>
      </c>
      <c r="N1424">
        <f t="shared" si="4447"/>
        <v>1</v>
      </c>
      <c r="O1424">
        <f t="shared" si="4448"/>
        <v>4</v>
      </c>
      <c r="P1424" t="str">
        <f t="shared" si="4449"/>
        <v>Large centralized electrolysis-Public acceptability</v>
      </c>
      <c r="Q1424" t="str">
        <f t="shared" si="4450"/>
        <v>Central gas storage-Public acceptability</v>
      </c>
      <c r="R1424" t="str">
        <f t="shared" si="4451"/>
        <v>Hydrogen transmission &amp; distribution pipeline-Public acceptability</v>
      </c>
      <c r="S1424" t="str">
        <f t="shared" si="4452"/>
        <v>Industrial H2 boiler-Public acceptability</v>
      </c>
      <c r="T1424" s="54">
        <f ca="1">VLOOKUP($P1424,'TA database'!$I$8:$J$79,2,FALSE)</f>
        <v>80</v>
      </c>
      <c r="U1424" s="54">
        <f ca="1">VLOOKUP($Q1424,'TA database'!$I$86:$J$105,2,FALSE)</f>
        <v>60</v>
      </c>
      <c r="V1424" s="54">
        <f ca="1">VLOOKUP($R1424,'TA database'!$I$112:$J$139,2,FALSE)</f>
        <v>70</v>
      </c>
      <c r="W1424" s="54">
        <f ca="1">IFERROR(VLOOKUP($S1424,'TA database'!$I$146:$J$193,2,FALSE),0)</f>
        <v>80</v>
      </c>
      <c r="X1424" s="54">
        <f>IFERROR(VLOOKUP($S1424,'TA database'!$I$200:$J$271,2,FALSE),0)</f>
        <v>0</v>
      </c>
      <c r="Y1424" s="59">
        <f t="shared" ca="1" si="4457"/>
        <v>26.88</v>
      </c>
      <c r="Z1424" t="str">
        <f t="shared" si="4453"/>
        <v>ELCTRLYZ_LRG_C   →   C_GAS_STRG   →   H2_T&amp;D_P   →   H2_IND_BOIL_HEAT</v>
      </c>
      <c r="AA1424" t="str">
        <f t="shared" si="4454"/>
        <v>Industrial heat</v>
      </c>
      <c r="AB1424" t="str">
        <f t="shared" si="4455"/>
        <v>Public acceptability</v>
      </c>
      <c r="AC1424">
        <f t="shared" ca="1" si="4456"/>
        <v>26.88</v>
      </c>
      <c r="AD1424">
        <v>1365</v>
      </c>
      <c r="AE1424" t="str">
        <f>IF(AND(ISNUMBER(SEARCH(O1424,4)),ISNUMBER(SEARCH('(4) FCH pathway assessment'!$B$16,AB1424)),ISNUMBER(SEARCH('(4) FCH pathway assessment'!$B$10,AA1424))),AD1424,"")</f>
        <v/>
      </c>
      <c r="AF1424" t="str">
        <f t="shared" si="4428"/>
        <v/>
      </c>
      <c r="AG1424" t="str">
        <f>VLOOKUP(C1424,Assumptions!$B$116:$C$162,2,FALSE)</f>
        <v>ELCTRLYZ_LRG_C</v>
      </c>
      <c r="AH1424" t="str">
        <f>VLOOKUP(D1424,Assumptions!$B$116:$C$162,2,FALSE)</f>
        <v>C_GAS_STRG</v>
      </c>
      <c r="AI1424" t="str">
        <f>VLOOKUP(E1424,Assumptions!$B$116:$C$162,2,FALSE)</f>
        <v>H2_T&amp;D_P</v>
      </c>
      <c r="AJ1424" t="str">
        <f>VLOOKUP(F1424,Assumptions!$B$116:$C$162,2,FALSE)</f>
        <v>H2_IND_BOIL_HEAT</v>
      </c>
    </row>
    <row r="1425" spans="2:36" x14ac:dyDescent="0.25">
      <c r="B1425" t="s">
        <v>112</v>
      </c>
      <c r="C1425" t="s">
        <v>49</v>
      </c>
      <c r="D1425" t="s">
        <v>155</v>
      </c>
      <c r="E1425" t="s">
        <v>116</v>
      </c>
      <c r="F1425" t="s">
        <v>570</v>
      </c>
      <c r="G1425" t="s">
        <v>120</v>
      </c>
      <c r="H1425" t="s">
        <v>432</v>
      </c>
      <c r="I1425" t="s">
        <v>32</v>
      </c>
      <c r="J1425" t="s">
        <v>82</v>
      </c>
      <c r="K1425">
        <f t="shared" si="4444"/>
        <v>1</v>
      </c>
      <c r="L1425">
        <f t="shared" si="4445"/>
        <v>1</v>
      </c>
      <c r="M1425">
        <f t="shared" si="4446"/>
        <v>1</v>
      </c>
      <c r="N1425">
        <f t="shared" si="4447"/>
        <v>1</v>
      </c>
      <c r="O1425">
        <f t="shared" si="4448"/>
        <v>4</v>
      </c>
      <c r="P1425" t="str">
        <f t="shared" si="4449"/>
        <v>Large centralized electrolysis-Public acceptability</v>
      </c>
      <c r="Q1425" t="str">
        <f t="shared" si="4450"/>
        <v>Central gas storage-Public acceptability</v>
      </c>
      <c r="R1425" t="str">
        <f t="shared" si="4451"/>
        <v>Liquid hydrogen truck-Public acceptability</v>
      </c>
      <c r="S1425" t="str">
        <f t="shared" si="4452"/>
        <v>Industrial H2 boiler-Public acceptability</v>
      </c>
      <c r="T1425" s="54">
        <f ca="1">VLOOKUP($P1425,'TA database'!$I$8:$J$79,2,FALSE)</f>
        <v>80</v>
      </c>
      <c r="U1425" s="54">
        <f ca="1">VLOOKUP($Q1425,'TA database'!$I$86:$J$105,2,FALSE)</f>
        <v>60</v>
      </c>
      <c r="V1425" s="54">
        <f ca="1">VLOOKUP($R1425,'TA database'!$I$112:$J$139,2,FALSE)</f>
        <v>100</v>
      </c>
      <c r="W1425" s="54">
        <f ca="1">IFERROR(VLOOKUP($S1425,'TA database'!$I$146:$J$193,2,FALSE),0)</f>
        <v>80</v>
      </c>
      <c r="X1425" s="54">
        <f>IFERROR(VLOOKUP($S1425,'TA database'!$I$200:$J$271,2,FALSE),0)</f>
        <v>0</v>
      </c>
      <c r="Y1425" s="59">
        <f t="shared" ca="1" si="4457"/>
        <v>38.4</v>
      </c>
      <c r="Z1425" t="str">
        <f t="shared" si="4453"/>
        <v>ELCTRLYZ_LRG_C   →   C_GAS_STRG   →   LQ_TRUCK   →   H2_IND_BOIL_HEAT</v>
      </c>
      <c r="AA1425" t="str">
        <f t="shared" si="4454"/>
        <v>Industrial heat</v>
      </c>
      <c r="AB1425" t="str">
        <f t="shared" si="4455"/>
        <v>Public acceptability</v>
      </c>
      <c r="AC1425">
        <f t="shared" ca="1" si="4456"/>
        <v>38.4</v>
      </c>
      <c r="AD1425">
        <v>1366</v>
      </c>
      <c r="AE1425" t="str">
        <f>IF(AND(ISNUMBER(SEARCH(O1425,4)),ISNUMBER(SEARCH('(4) FCH pathway assessment'!$B$16,AB1425)),ISNUMBER(SEARCH('(4) FCH pathway assessment'!$B$10,AA1425))),AD1425,"")</f>
        <v/>
      </c>
      <c r="AF1425" t="str">
        <f t="shared" si="4428"/>
        <v/>
      </c>
      <c r="AG1425" t="str">
        <f>VLOOKUP(C1425,Assumptions!$B$116:$C$162,2,FALSE)</f>
        <v>ELCTRLYZ_LRG_C</v>
      </c>
      <c r="AH1425" t="str">
        <f>VLOOKUP(D1425,Assumptions!$B$116:$C$162,2,FALSE)</f>
        <v>C_GAS_STRG</v>
      </c>
      <c r="AI1425" t="str">
        <f>VLOOKUP(E1425,Assumptions!$B$116:$C$162,2,FALSE)</f>
        <v>LQ_TRUCK</v>
      </c>
      <c r="AJ1425" t="str">
        <f>VLOOKUP(F1425,Assumptions!$B$116:$C$162,2,FALSE)</f>
        <v>H2_IND_BOIL_HEAT</v>
      </c>
    </row>
    <row r="1426" spans="2:36" x14ac:dyDescent="0.25">
      <c r="B1426" t="s">
        <v>112</v>
      </c>
      <c r="C1426" t="s">
        <v>49</v>
      </c>
      <c r="D1426" t="s">
        <v>155</v>
      </c>
      <c r="E1426" t="s">
        <v>66</v>
      </c>
      <c r="F1426" t="s">
        <v>570</v>
      </c>
      <c r="G1426" t="s">
        <v>120</v>
      </c>
      <c r="H1426" t="s">
        <v>432</v>
      </c>
      <c r="I1426" t="s">
        <v>32</v>
      </c>
      <c r="J1426" t="s">
        <v>82</v>
      </c>
      <c r="K1426">
        <f t="shared" si="4444"/>
        <v>1</v>
      </c>
      <c r="L1426">
        <f t="shared" si="4445"/>
        <v>1</v>
      </c>
      <c r="M1426">
        <f t="shared" si="4446"/>
        <v>1</v>
      </c>
      <c r="N1426">
        <f t="shared" si="4447"/>
        <v>1</v>
      </c>
      <c r="O1426">
        <f t="shared" si="4448"/>
        <v>4</v>
      </c>
      <c r="P1426" t="str">
        <f t="shared" si="4449"/>
        <v>Large centralized electrolysis-Public acceptability</v>
      </c>
      <c r="Q1426" t="str">
        <f t="shared" si="4450"/>
        <v>Central gas storage-Public acceptability</v>
      </c>
      <c r="R1426" t="str">
        <f t="shared" si="4451"/>
        <v>Onsite-Public acceptability</v>
      </c>
      <c r="S1426" t="str">
        <f t="shared" si="4452"/>
        <v>Industrial H2 boiler-Public acceptability</v>
      </c>
      <c r="T1426" s="54">
        <f ca="1">VLOOKUP($P1426,'TA database'!$I$8:$J$79,2,FALSE)</f>
        <v>80</v>
      </c>
      <c r="U1426" s="54">
        <f ca="1">VLOOKUP($Q1426,'TA database'!$I$86:$J$105,2,FALSE)</f>
        <v>60</v>
      </c>
      <c r="V1426" s="54">
        <f ca="1">VLOOKUP($R1426,'TA database'!$I$112:$J$139,2,FALSE)</f>
        <v>90</v>
      </c>
      <c r="W1426" s="54">
        <f ca="1">IFERROR(VLOOKUP($S1426,'TA database'!$I$146:$J$193,2,FALSE),0)</f>
        <v>80</v>
      </c>
      <c r="X1426" s="54">
        <f>IFERROR(VLOOKUP($S1426,'TA database'!$I$200:$J$271,2,FALSE),0)</f>
        <v>0</v>
      </c>
      <c r="Y1426" s="59">
        <f t="shared" ca="1" si="4457"/>
        <v>34.56</v>
      </c>
      <c r="Z1426" t="str">
        <f t="shared" si="4453"/>
        <v>ELCTRLYZ_LRG_C   →   C_GAS_STRG   →   ONSITE_USE   →   H2_IND_BOIL_HEAT</v>
      </c>
      <c r="AA1426" t="str">
        <f t="shared" si="4454"/>
        <v>Industrial heat</v>
      </c>
      <c r="AB1426" t="str">
        <f t="shared" si="4455"/>
        <v>Public acceptability</v>
      </c>
      <c r="AC1426">
        <f t="shared" ca="1" si="4456"/>
        <v>34.56</v>
      </c>
      <c r="AD1426">
        <v>1367</v>
      </c>
      <c r="AE1426" t="str">
        <f>IF(AND(ISNUMBER(SEARCH(O1426,4)),ISNUMBER(SEARCH('(4) FCH pathway assessment'!$B$16,AB1426)),ISNUMBER(SEARCH('(4) FCH pathway assessment'!$B$10,AA1426))),AD1426,"")</f>
        <v/>
      </c>
      <c r="AF1426" t="str">
        <f t="shared" si="4428"/>
        <v/>
      </c>
      <c r="AG1426" t="str">
        <f>VLOOKUP(C1426,Assumptions!$B$116:$C$162,2,FALSE)</f>
        <v>ELCTRLYZ_LRG_C</v>
      </c>
      <c r="AH1426" t="str">
        <f>VLOOKUP(D1426,Assumptions!$B$116:$C$162,2,FALSE)</f>
        <v>C_GAS_STRG</v>
      </c>
      <c r="AI1426" t="str">
        <f>VLOOKUP(E1426,Assumptions!$B$116:$C$162,2,FALSE)</f>
        <v>ONSITE_USE</v>
      </c>
      <c r="AJ1426" t="str">
        <f>VLOOKUP(F1426,Assumptions!$B$116:$C$162,2,FALSE)</f>
        <v>H2_IND_BOIL_HEAT</v>
      </c>
    </row>
    <row r="1427" spans="2:36" x14ac:dyDescent="0.25">
      <c r="B1427" t="s">
        <v>112</v>
      </c>
      <c r="C1427" t="s">
        <v>51</v>
      </c>
      <c r="D1427" t="s">
        <v>155</v>
      </c>
      <c r="E1427" t="s">
        <v>157</v>
      </c>
      <c r="F1427" t="s">
        <v>570</v>
      </c>
      <c r="G1427" t="s">
        <v>120</v>
      </c>
      <c r="H1427" t="s">
        <v>432</v>
      </c>
      <c r="I1427" t="s">
        <v>32</v>
      </c>
      <c r="J1427" t="s">
        <v>82</v>
      </c>
      <c r="K1427">
        <f t="shared" ref="K1427:K1430" si="4458">SUMPRODUCT(($C$7:$C$18=$C1427)*($D$6:$H$6=$D1427)*($D$7:$H$18))</f>
        <v>1</v>
      </c>
      <c r="L1427">
        <f t="shared" ref="L1427:L1430" si="4459">SUMPRODUCT(($C$19:$C$23=$D1427)*($I$6:$O$6=$E1427)*($I$19:$O$23))</f>
        <v>1</v>
      </c>
      <c r="M1427">
        <f t="shared" ref="M1427:M1430" si="4460">SUMPRODUCT(($C$24:$C$30=$E1427)*($P$6:$AI$6=$F1427)*($P$24:$AI$30))</f>
        <v>0</v>
      </c>
      <c r="N1427">
        <f t="shared" ref="N1427:N1430" si="4461">SUMPRODUCT(($C$31:$C$50=$F1427)*($AJ$6:$AM$6=$G1427)*($AJ$31:$AM$50))</f>
        <v>1</v>
      </c>
      <c r="O1427">
        <f t="shared" ref="O1427:O1430" si="4462">K1427+L1427+M1427+N1427</f>
        <v>3</v>
      </c>
      <c r="P1427" t="str">
        <f t="shared" ref="P1427:P1430" si="4463">CONCATENATE(C1427,"-",J1427)</f>
        <v>Medium centralized electrolysis-Public acceptability</v>
      </c>
      <c r="Q1427" t="str">
        <f t="shared" ref="Q1427:Q1430" si="4464">CONCATENATE(D1427,"-",J1427)</f>
        <v>Central gas storage-Public acceptability</v>
      </c>
      <c r="R1427" t="str">
        <f t="shared" ref="R1427:R1430" si="4465">CONCATENATE(E1427,"-",J1427)</f>
        <v>Blending in natural gas pipeline-Public acceptability</v>
      </c>
      <c r="S1427" t="str">
        <f t="shared" ref="S1427:S1430" si="4466">CONCATENATE(F1427,"-",J1427)</f>
        <v>Industrial H2 boiler-Public acceptability</v>
      </c>
      <c r="T1427" s="54">
        <f ca="1">VLOOKUP($P1427,'TA database'!$I$8:$J$79,2,FALSE)</f>
        <v>90</v>
      </c>
      <c r="U1427" s="54">
        <f ca="1">VLOOKUP($Q1427,'TA database'!$I$86:$J$105,2,FALSE)</f>
        <v>60</v>
      </c>
      <c r="V1427" s="54">
        <f ca="1">VLOOKUP($R1427,'TA database'!$I$112:$J$139,2,FALSE)</f>
        <v>90</v>
      </c>
      <c r="W1427" s="54">
        <f ca="1">IFERROR(VLOOKUP($S1427,'TA database'!$I$146:$J$193,2,FALSE),0)</f>
        <v>80</v>
      </c>
      <c r="X1427" s="54">
        <f>IFERROR(VLOOKUP($S1427,'TA database'!$I$200:$J$271,2,FALSE),0)</f>
        <v>0</v>
      </c>
      <c r="Y1427" s="59">
        <f t="shared" ca="1" si="4457"/>
        <v>38.880000000000003</v>
      </c>
      <c r="Z1427" t="str">
        <f t="shared" ref="Z1427:Z1430" si="4467">CONCATENATE(AG1427,"   →   ",AH1427,"   →   ",AI1427,"   →   ",AJ1427)</f>
        <v>ELCTRLYZ_MED_C   →   C_GAS_STRG   →   H2_BLND_NG_P   →   H2_IND_BOIL_HEAT</v>
      </c>
      <c r="AA1427" t="str">
        <f t="shared" ref="AA1427:AA1430" si="4468">G1427</f>
        <v>Industrial heat</v>
      </c>
      <c r="AB1427" t="str">
        <f t="shared" ref="AB1427:AB1430" si="4469">J1427</f>
        <v>Public acceptability</v>
      </c>
      <c r="AC1427">
        <f t="shared" ref="AC1427:AC1430" ca="1" si="4470">Y1427</f>
        <v>38.880000000000003</v>
      </c>
      <c r="AD1427">
        <v>1368</v>
      </c>
      <c r="AE1427" t="str">
        <f>IF(AND(ISNUMBER(SEARCH(O1427,4)),ISNUMBER(SEARCH('(4) FCH pathway assessment'!$B$16,AB1427)),ISNUMBER(SEARCH('(4) FCH pathway assessment'!$B$10,AA1427))),AD1427,"")</f>
        <v/>
      </c>
      <c r="AF1427" t="str">
        <f t="shared" si="4428"/>
        <v/>
      </c>
      <c r="AG1427" t="str">
        <f>VLOOKUP(C1427,Assumptions!$B$116:$C$162,2,FALSE)</f>
        <v>ELCTRLYZ_MED_C</v>
      </c>
      <c r="AH1427" t="str">
        <f>VLOOKUP(D1427,Assumptions!$B$116:$C$162,2,FALSE)</f>
        <v>C_GAS_STRG</v>
      </c>
      <c r="AI1427" t="str">
        <f>VLOOKUP(E1427,Assumptions!$B$116:$C$162,2,FALSE)</f>
        <v>H2_BLND_NG_P</v>
      </c>
      <c r="AJ1427" t="str">
        <f>VLOOKUP(F1427,Assumptions!$B$116:$C$162,2,FALSE)</f>
        <v>H2_IND_BOIL_HEAT</v>
      </c>
    </row>
    <row r="1428" spans="2:36" x14ac:dyDescent="0.25">
      <c r="B1428" t="s">
        <v>112</v>
      </c>
      <c r="C1428" t="s">
        <v>51</v>
      </c>
      <c r="D1428" t="s">
        <v>155</v>
      </c>
      <c r="E1428" t="s">
        <v>122</v>
      </c>
      <c r="F1428" t="s">
        <v>570</v>
      </c>
      <c r="G1428" t="s">
        <v>120</v>
      </c>
      <c r="H1428" t="s">
        <v>432</v>
      </c>
      <c r="I1428" t="s">
        <v>32</v>
      </c>
      <c r="J1428" t="s">
        <v>82</v>
      </c>
      <c r="K1428">
        <f t="shared" si="4458"/>
        <v>1</v>
      </c>
      <c r="L1428">
        <f t="shared" si="4459"/>
        <v>1</v>
      </c>
      <c r="M1428">
        <f t="shared" si="4460"/>
        <v>1</v>
      </c>
      <c r="N1428">
        <f t="shared" si="4461"/>
        <v>1</v>
      </c>
      <c r="O1428">
        <f t="shared" si="4462"/>
        <v>4</v>
      </c>
      <c r="P1428" t="str">
        <f t="shared" si="4463"/>
        <v>Medium centralized electrolysis-Public acceptability</v>
      </c>
      <c r="Q1428" t="str">
        <f t="shared" si="4464"/>
        <v>Central gas storage-Public acceptability</v>
      </c>
      <c r="R1428" t="str">
        <f t="shared" si="4465"/>
        <v>Hydrogen transmission &amp; distribution pipeline-Public acceptability</v>
      </c>
      <c r="S1428" t="str">
        <f t="shared" si="4466"/>
        <v>Industrial H2 boiler-Public acceptability</v>
      </c>
      <c r="T1428" s="54">
        <f ca="1">VLOOKUP($P1428,'TA database'!$I$8:$J$79,2,FALSE)</f>
        <v>90</v>
      </c>
      <c r="U1428" s="54">
        <f ca="1">VLOOKUP($Q1428,'TA database'!$I$86:$J$105,2,FALSE)</f>
        <v>60</v>
      </c>
      <c r="V1428" s="54">
        <f ca="1">VLOOKUP($R1428,'TA database'!$I$112:$J$139,2,FALSE)</f>
        <v>70</v>
      </c>
      <c r="W1428" s="54">
        <f ca="1">IFERROR(VLOOKUP($S1428,'TA database'!$I$146:$J$193,2,FALSE),0)</f>
        <v>80</v>
      </c>
      <c r="X1428" s="54">
        <f>IFERROR(VLOOKUP($S1428,'TA database'!$I$200:$J$271,2,FALSE),0)</f>
        <v>0</v>
      </c>
      <c r="Y1428" s="59">
        <f t="shared" ca="1" si="4457"/>
        <v>30.24</v>
      </c>
      <c r="Z1428" t="str">
        <f t="shared" si="4467"/>
        <v>ELCTRLYZ_MED_C   →   C_GAS_STRG   →   H2_T&amp;D_P   →   H2_IND_BOIL_HEAT</v>
      </c>
      <c r="AA1428" t="str">
        <f t="shared" si="4468"/>
        <v>Industrial heat</v>
      </c>
      <c r="AB1428" t="str">
        <f t="shared" si="4469"/>
        <v>Public acceptability</v>
      </c>
      <c r="AC1428">
        <f t="shared" ca="1" si="4470"/>
        <v>30.24</v>
      </c>
      <c r="AD1428">
        <v>1369</v>
      </c>
      <c r="AE1428" t="str">
        <f>IF(AND(ISNUMBER(SEARCH(O1428,4)),ISNUMBER(SEARCH('(4) FCH pathway assessment'!$B$16,AB1428)),ISNUMBER(SEARCH('(4) FCH pathway assessment'!$B$10,AA1428))),AD1428,"")</f>
        <v/>
      </c>
      <c r="AF1428" t="str">
        <f t="shared" si="4428"/>
        <v/>
      </c>
      <c r="AG1428" t="str">
        <f>VLOOKUP(C1428,Assumptions!$B$116:$C$162,2,FALSE)</f>
        <v>ELCTRLYZ_MED_C</v>
      </c>
      <c r="AH1428" t="str">
        <f>VLOOKUP(D1428,Assumptions!$B$116:$C$162,2,FALSE)</f>
        <v>C_GAS_STRG</v>
      </c>
      <c r="AI1428" t="str">
        <f>VLOOKUP(E1428,Assumptions!$B$116:$C$162,2,FALSE)</f>
        <v>H2_T&amp;D_P</v>
      </c>
      <c r="AJ1428" t="str">
        <f>VLOOKUP(F1428,Assumptions!$B$116:$C$162,2,FALSE)</f>
        <v>H2_IND_BOIL_HEAT</v>
      </c>
    </row>
    <row r="1429" spans="2:36" x14ac:dyDescent="0.25">
      <c r="B1429" t="s">
        <v>112</v>
      </c>
      <c r="C1429" t="s">
        <v>51</v>
      </c>
      <c r="D1429" t="s">
        <v>155</v>
      </c>
      <c r="E1429" t="s">
        <v>116</v>
      </c>
      <c r="F1429" t="s">
        <v>570</v>
      </c>
      <c r="G1429" t="s">
        <v>120</v>
      </c>
      <c r="H1429" t="s">
        <v>432</v>
      </c>
      <c r="I1429" t="s">
        <v>32</v>
      </c>
      <c r="J1429" t="s">
        <v>82</v>
      </c>
      <c r="K1429">
        <f t="shared" si="4458"/>
        <v>1</v>
      </c>
      <c r="L1429">
        <f t="shared" si="4459"/>
        <v>1</v>
      </c>
      <c r="M1429">
        <f t="shared" si="4460"/>
        <v>1</v>
      </c>
      <c r="N1429">
        <f t="shared" si="4461"/>
        <v>1</v>
      </c>
      <c r="O1429">
        <f t="shared" si="4462"/>
        <v>4</v>
      </c>
      <c r="P1429" t="str">
        <f t="shared" si="4463"/>
        <v>Medium centralized electrolysis-Public acceptability</v>
      </c>
      <c r="Q1429" t="str">
        <f t="shared" si="4464"/>
        <v>Central gas storage-Public acceptability</v>
      </c>
      <c r="R1429" t="str">
        <f t="shared" si="4465"/>
        <v>Liquid hydrogen truck-Public acceptability</v>
      </c>
      <c r="S1429" t="str">
        <f t="shared" si="4466"/>
        <v>Industrial H2 boiler-Public acceptability</v>
      </c>
      <c r="T1429" s="54">
        <f ca="1">VLOOKUP($P1429,'TA database'!$I$8:$J$79,2,FALSE)</f>
        <v>90</v>
      </c>
      <c r="U1429" s="54">
        <f ca="1">VLOOKUP($Q1429,'TA database'!$I$86:$J$105,2,FALSE)</f>
        <v>60</v>
      </c>
      <c r="V1429" s="54">
        <f ca="1">VLOOKUP($R1429,'TA database'!$I$112:$J$139,2,FALSE)</f>
        <v>100</v>
      </c>
      <c r="W1429" s="54">
        <f ca="1">IFERROR(VLOOKUP($S1429,'TA database'!$I$146:$J$193,2,FALSE),0)</f>
        <v>80</v>
      </c>
      <c r="X1429" s="54">
        <f>IFERROR(VLOOKUP($S1429,'TA database'!$I$200:$J$271,2,FALSE),0)</f>
        <v>0</v>
      </c>
      <c r="Y1429" s="59">
        <f t="shared" ca="1" si="4457"/>
        <v>43.2</v>
      </c>
      <c r="Z1429" t="str">
        <f t="shared" si="4467"/>
        <v>ELCTRLYZ_MED_C   →   C_GAS_STRG   →   LQ_TRUCK   →   H2_IND_BOIL_HEAT</v>
      </c>
      <c r="AA1429" t="str">
        <f t="shared" si="4468"/>
        <v>Industrial heat</v>
      </c>
      <c r="AB1429" t="str">
        <f t="shared" si="4469"/>
        <v>Public acceptability</v>
      </c>
      <c r="AC1429">
        <f t="shared" ca="1" si="4470"/>
        <v>43.2</v>
      </c>
      <c r="AD1429">
        <v>1370</v>
      </c>
      <c r="AE1429" t="str">
        <f>IF(AND(ISNUMBER(SEARCH(O1429,4)),ISNUMBER(SEARCH('(4) FCH pathway assessment'!$B$16,AB1429)),ISNUMBER(SEARCH('(4) FCH pathway assessment'!$B$10,AA1429))),AD1429,"")</f>
        <v/>
      </c>
      <c r="AF1429" t="str">
        <f t="shared" si="4428"/>
        <v/>
      </c>
      <c r="AG1429" t="str">
        <f>VLOOKUP(C1429,Assumptions!$B$116:$C$162,2,FALSE)</f>
        <v>ELCTRLYZ_MED_C</v>
      </c>
      <c r="AH1429" t="str">
        <f>VLOOKUP(D1429,Assumptions!$B$116:$C$162,2,FALSE)</f>
        <v>C_GAS_STRG</v>
      </c>
      <c r="AI1429" t="str">
        <f>VLOOKUP(E1429,Assumptions!$B$116:$C$162,2,FALSE)</f>
        <v>LQ_TRUCK</v>
      </c>
      <c r="AJ1429" t="str">
        <f>VLOOKUP(F1429,Assumptions!$B$116:$C$162,2,FALSE)</f>
        <v>H2_IND_BOIL_HEAT</v>
      </c>
    </row>
    <row r="1430" spans="2:36" x14ac:dyDescent="0.25">
      <c r="B1430" t="s">
        <v>112</v>
      </c>
      <c r="C1430" t="s">
        <v>51</v>
      </c>
      <c r="D1430" t="s">
        <v>155</v>
      </c>
      <c r="E1430" t="s">
        <v>66</v>
      </c>
      <c r="F1430" t="s">
        <v>570</v>
      </c>
      <c r="G1430" t="s">
        <v>120</v>
      </c>
      <c r="H1430" t="s">
        <v>432</v>
      </c>
      <c r="I1430" t="s">
        <v>32</v>
      </c>
      <c r="J1430" t="s">
        <v>82</v>
      </c>
      <c r="K1430">
        <f t="shared" si="4458"/>
        <v>1</v>
      </c>
      <c r="L1430">
        <f t="shared" si="4459"/>
        <v>1</v>
      </c>
      <c r="M1430">
        <f t="shared" si="4460"/>
        <v>1</v>
      </c>
      <c r="N1430">
        <f t="shared" si="4461"/>
        <v>1</v>
      </c>
      <c r="O1430">
        <f t="shared" si="4462"/>
        <v>4</v>
      </c>
      <c r="P1430" t="str">
        <f t="shared" si="4463"/>
        <v>Medium centralized electrolysis-Public acceptability</v>
      </c>
      <c r="Q1430" t="str">
        <f t="shared" si="4464"/>
        <v>Central gas storage-Public acceptability</v>
      </c>
      <c r="R1430" t="str">
        <f t="shared" si="4465"/>
        <v>Onsite-Public acceptability</v>
      </c>
      <c r="S1430" t="str">
        <f t="shared" si="4466"/>
        <v>Industrial H2 boiler-Public acceptability</v>
      </c>
      <c r="T1430" s="54">
        <f ca="1">VLOOKUP($P1430,'TA database'!$I$8:$J$79,2,FALSE)</f>
        <v>90</v>
      </c>
      <c r="U1430" s="54">
        <f ca="1">VLOOKUP($Q1430,'TA database'!$I$86:$J$105,2,FALSE)</f>
        <v>60</v>
      </c>
      <c r="V1430" s="54">
        <f ca="1">VLOOKUP($R1430,'TA database'!$I$112:$J$139,2,FALSE)</f>
        <v>90</v>
      </c>
      <c r="W1430" s="54">
        <f ca="1">IFERROR(VLOOKUP($S1430,'TA database'!$I$146:$J$193,2,FALSE),0)</f>
        <v>80</v>
      </c>
      <c r="X1430" s="54">
        <f>IFERROR(VLOOKUP($S1430,'TA database'!$I$200:$J$271,2,FALSE),0)</f>
        <v>0</v>
      </c>
      <c r="Y1430" s="59">
        <f t="shared" ca="1" si="4457"/>
        <v>38.880000000000003</v>
      </c>
      <c r="Z1430" t="str">
        <f t="shared" si="4467"/>
        <v>ELCTRLYZ_MED_C   →   C_GAS_STRG   →   ONSITE_USE   →   H2_IND_BOIL_HEAT</v>
      </c>
      <c r="AA1430" t="str">
        <f t="shared" si="4468"/>
        <v>Industrial heat</v>
      </c>
      <c r="AB1430" t="str">
        <f t="shared" si="4469"/>
        <v>Public acceptability</v>
      </c>
      <c r="AC1430">
        <f t="shared" ca="1" si="4470"/>
        <v>38.880000000000003</v>
      </c>
      <c r="AD1430">
        <v>1371</v>
      </c>
      <c r="AE1430" t="str">
        <f>IF(AND(ISNUMBER(SEARCH(O1430,4)),ISNUMBER(SEARCH('(4) FCH pathway assessment'!$B$16,AB1430)),ISNUMBER(SEARCH('(4) FCH pathway assessment'!$B$10,AA1430))),AD1430,"")</f>
        <v/>
      </c>
      <c r="AF1430" t="str">
        <f t="shared" si="4428"/>
        <v/>
      </c>
      <c r="AG1430" t="str">
        <f>VLOOKUP(C1430,Assumptions!$B$116:$C$162,2,FALSE)</f>
        <v>ELCTRLYZ_MED_C</v>
      </c>
      <c r="AH1430" t="str">
        <f>VLOOKUP(D1430,Assumptions!$B$116:$C$162,2,FALSE)</f>
        <v>C_GAS_STRG</v>
      </c>
      <c r="AI1430" t="str">
        <f>VLOOKUP(E1430,Assumptions!$B$116:$C$162,2,FALSE)</f>
        <v>ONSITE_USE</v>
      </c>
      <c r="AJ1430" t="str">
        <f>VLOOKUP(F1430,Assumptions!$B$116:$C$162,2,FALSE)</f>
        <v>H2_IND_BOIL_HEAT</v>
      </c>
    </row>
    <row r="1431" spans="2:36" x14ac:dyDescent="0.25">
      <c r="B1431" t="s">
        <v>112</v>
      </c>
      <c r="C1431" t="s">
        <v>52</v>
      </c>
      <c r="D1431" s="60" t="s">
        <v>130</v>
      </c>
      <c r="E1431" t="s">
        <v>66</v>
      </c>
      <c r="F1431" t="s">
        <v>570</v>
      </c>
      <c r="G1431" t="s">
        <v>120</v>
      </c>
      <c r="H1431" t="s">
        <v>432</v>
      </c>
      <c r="I1431" t="s">
        <v>32</v>
      </c>
      <c r="J1431" t="s">
        <v>82</v>
      </c>
      <c r="K1431">
        <f t="shared" ref="K1431:K1436" si="4471">SUMPRODUCT(($C$7:$C$18=$C1431)*($D$6:$H$6=$D1431)*($D$7:$H$18))</f>
        <v>1</v>
      </c>
      <c r="L1431">
        <f t="shared" ref="L1431:L1436" si="4472">SUMPRODUCT(($C$19:$C$23=$D1431)*($I$6:$O$6=$E1431)*($I$19:$O$23))</f>
        <v>1</v>
      </c>
      <c r="M1431">
        <f t="shared" ref="M1431:M1436" si="4473">SUMPRODUCT(($C$24:$C$30=$E1431)*($P$6:$AI$6=$F1431)*($P$24:$AI$30))</f>
        <v>1</v>
      </c>
      <c r="N1431">
        <f t="shared" ref="N1431:N1436" si="4474">SUMPRODUCT(($C$31:$C$50=$F1431)*($AJ$6:$AM$6=$G1431)*($AJ$31:$AM$50))</f>
        <v>1</v>
      </c>
      <c r="O1431">
        <f t="shared" ref="O1431:O1436" si="4475">K1431+L1431+M1431+N1431</f>
        <v>4</v>
      </c>
      <c r="P1431" t="str">
        <f t="shared" ref="P1431:P1436" si="4476">CONCATENATE(C1431,"-",J1431)</f>
        <v>Small decentralized electrolysis-Public acceptability</v>
      </c>
      <c r="Q1431" t="str">
        <f t="shared" ref="Q1431:Q1436" si="4477">CONCATENATE(D1431,"-",J1431)</f>
        <v>Distributed gas storage-Public acceptability</v>
      </c>
      <c r="R1431" t="str">
        <f t="shared" ref="R1431:R1436" si="4478">CONCATENATE(E1431,"-",J1431)</f>
        <v>Onsite-Public acceptability</v>
      </c>
      <c r="S1431" t="str">
        <f t="shared" ref="S1431:S1436" si="4479">CONCATENATE(F1431,"-",J1431)</f>
        <v>Industrial H2 boiler-Public acceptability</v>
      </c>
      <c r="T1431" s="54">
        <f ca="1">VLOOKUP($P1431,'TA database'!$I$8:$J$79,2,FALSE)</f>
        <v>90</v>
      </c>
      <c r="U1431" s="54">
        <f ca="1">VLOOKUP($Q1431,'TA database'!$I$86:$J$105,2,FALSE)</f>
        <v>60</v>
      </c>
      <c r="V1431" s="54">
        <f ca="1">VLOOKUP($R1431,'TA database'!$I$112:$J$139,2,FALSE)</f>
        <v>90</v>
      </c>
      <c r="W1431" s="54">
        <f ca="1">IFERROR(VLOOKUP($S1431,'TA database'!$I$146:$J$193,2,FALSE),0)</f>
        <v>80</v>
      </c>
      <c r="X1431" s="54">
        <f>IFERROR(VLOOKUP($S1431,'TA database'!$I$200:$J$271,2,FALSE),0)</f>
        <v>0</v>
      </c>
      <c r="Y1431" s="59">
        <f t="shared" ref="Y1431:Y1435" ca="1" si="4480">IF($W1431=0,(PRODUCT($T1431:$V1431,$X1431))/1000000,(PRODUCT($T1431:$W1431))/1000000)</f>
        <v>38.880000000000003</v>
      </c>
      <c r="Z1431" t="str">
        <f t="shared" ref="Z1431:Z1436" si="4481">CONCATENATE(AG1431,"   →   ",AH1431,"   →   ",AI1431,"   →   ",AJ1431)</f>
        <v>ELCTRLYZ_SML_D   →   D_GAS_STRG   →   ONSITE_USE   →   H2_IND_BOIL_HEAT</v>
      </c>
      <c r="AA1431" t="str">
        <f t="shared" ref="AA1431:AA1436" si="4482">G1431</f>
        <v>Industrial heat</v>
      </c>
      <c r="AB1431" t="str">
        <f t="shared" ref="AB1431:AB1436" si="4483">J1431</f>
        <v>Public acceptability</v>
      </c>
      <c r="AC1431">
        <f t="shared" ref="AC1431:AC1436" ca="1" si="4484">Y1431</f>
        <v>38.880000000000003</v>
      </c>
      <c r="AD1431">
        <v>1372</v>
      </c>
      <c r="AE1431" t="str">
        <f>IF(AND(ISNUMBER(SEARCH(O1431,4)),ISNUMBER(SEARCH('(4) FCH pathway assessment'!$B$16,AB1431)),ISNUMBER(SEARCH('(4) FCH pathway assessment'!$B$10,AA1431))),AD1431,"")</f>
        <v/>
      </c>
      <c r="AF1431" t="str">
        <f t="shared" si="4428"/>
        <v/>
      </c>
      <c r="AG1431" t="str">
        <f>VLOOKUP(C1431,Assumptions!$B$116:$C$162,2,FALSE)</f>
        <v>ELCTRLYZ_SML_D</v>
      </c>
      <c r="AH1431" t="str">
        <f>VLOOKUP(D1431,Assumptions!$B$116:$C$162,2,FALSE)</f>
        <v>D_GAS_STRG</v>
      </c>
      <c r="AI1431" t="str">
        <f>VLOOKUP(E1431,Assumptions!$B$116:$C$162,2,FALSE)</f>
        <v>ONSITE_USE</v>
      </c>
      <c r="AJ1431" t="str">
        <f>VLOOKUP(F1431,Assumptions!$B$116:$C$162,2,FALSE)</f>
        <v>H2_IND_BOIL_HEAT</v>
      </c>
    </row>
    <row r="1432" spans="2:36" x14ac:dyDescent="0.25">
      <c r="B1432" t="s">
        <v>127</v>
      </c>
      <c r="C1432" t="s">
        <v>57</v>
      </c>
      <c r="D1432" t="s">
        <v>62</v>
      </c>
      <c r="E1432" t="s">
        <v>157</v>
      </c>
      <c r="F1432" t="s">
        <v>570</v>
      </c>
      <c r="G1432" t="s">
        <v>120</v>
      </c>
      <c r="H1432" t="s">
        <v>432</v>
      </c>
      <c r="I1432" t="s">
        <v>32</v>
      </c>
      <c r="J1432" t="s">
        <v>82</v>
      </c>
      <c r="K1432">
        <f t="shared" si="4471"/>
        <v>1</v>
      </c>
      <c r="L1432">
        <f t="shared" si="4472"/>
        <v>0</v>
      </c>
      <c r="M1432">
        <f t="shared" si="4473"/>
        <v>0</v>
      </c>
      <c r="N1432">
        <f t="shared" si="4474"/>
        <v>1</v>
      </c>
      <c r="O1432">
        <f t="shared" si="4475"/>
        <v>2</v>
      </c>
      <c r="P1432" t="str">
        <f t="shared" si="4476"/>
        <v>Large centralized natural gas steam reforming-Public acceptability</v>
      </c>
      <c r="Q1432" t="str">
        <f t="shared" si="4477"/>
        <v>Underground storage-Public acceptability</v>
      </c>
      <c r="R1432" t="str">
        <f t="shared" si="4478"/>
        <v>Blending in natural gas pipeline-Public acceptability</v>
      </c>
      <c r="S1432" t="str">
        <f t="shared" si="4479"/>
        <v>Industrial H2 boiler-Public acceptability</v>
      </c>
      <c r="T1432" s="54">
        <f ca="1">VLOOKUP($P1432,'TA database'!$I$8:$J$79,2,FALSE)</f>
        <v>90</v>
      </c>
      <c r="U1432" s="54">
        <f ca="1">VLOOKUP($Q1432,'TA database'!$I$86:$J$105,2,FALSE)</f>
        <v>60</v>
      </c>
      <c r="V1432" s="54">
        <f ca="1">VLOOKUP($R1432,'TA database'!$I$112:$J$139,2,FALSE)</f>
        <v>90</v>
      </c>
      <c r="W1432" s="54">
        <f ca="1">IFERROR(VLOOKUP($S1432,'TA database'!$I$146:$J$193,2,FALSE),0)</f>
        <v>80</v>
      </c>
      <c r="X1432" s="54">
        <f>IFERROR(VLOOKUP($S1432,'TA database'!$I$200:$J$271,2,FALSE),0)</f>
        <v>0</v>
      </c>
      <c r="Y1432" s="59">
        <f t="shared" ca="1" si="4480"/>
        <v>38.880000000000003</v>
      </c>
      <c r="Z1432" t="str">
        <f t="shared" si="4481"/>
        <v>NG_SR_LRG_C   →   C_UNDRGRND_STRG   →   H2_BLND_NG_P   →   H2_IND_BOIL_HEAT</v>
      </c>
      <c r="AA1432" t="str">
        <f t="shared" si="4482"/>
        <v>Industrial heat</v>
      </c>
      <c r="AB1432" t="str">
        <f t="shared" si="4483"/>
        <v>Public acceptability</v>
      </c>
      <c r="AC1432">
        <f t="shared" ca="1" si="4484"/>
        <v>38.880000000000003</v>
      </c>
      <c r="AD1432">
        <v>1373</v>
      </c>
      <c r="AE1432" t="str">
        <f>IF(AND(ISNUMBER(SEARCH(O1432,4)),ISNUMBER(SEARCH('(4) FCH pathway assessment'!$B$16,AB1432)),ISNUMBER(SEARCH('(4) FCH pathway assessment'!$B$10,AA1432))),AD1432,"")</f>
        <v/>
      </c>
      <c r="AF1432" t="str">
        <f t="shared" si="4428"/>
        <v/>
      </c>
      <c r="AG1432" t="str">
        <f>VLOOKUP(C1432,Assumptions!$B$116:$C$162,2,FALSE)</f>
        <v>NG_SR_LRG_C</v>
      </c>
      <c r="AH1432" t="str">
        <f>VLOOKUP(D1432,Assumptions!$B$116:$C$162,2,FALSE)</f>
        <v>C_UNDRGRND_STRG</v>
      </c>
      <c r="AI1432" t="str">
        <f>VLOOKUP(E1432,Assumptions!$B$116:$C$162,2,FALSE)</f>
        <v>H2_BLND_NG_P</v>
      </c>
      <c r="AJ1432" t="str">
        <f>VLOOKUP(F1432,Assumptions!$B$116:$C$162,2,FALSE)</f>
        <v>H2_IND_BOIL_HEAT</v>
      </c>
    </row>
    <row r="1433" spans="2:36" x14ac:dyDescent="0.25">
      <c r="B1433" t="s">
        <v>127</v>
      </c>
      <c r="C1433" t="s">
        <v>57</v>
      </c>
      <c r="D1433" t="s">
        <v>62</v>
      </c>
      <c r="E1433" t="s">
        <v>122</v>
      </c>
      <c r="F1433" t="s">
        <v>570</v>
      </c>
      <c r="G1433" t="s">
        <v>120</v>
      </c>
      <c r="H1433" t="s">
        <v>432</v>
      </c>
      <c r="I1433" t="s">
        <v>32</v>
      </c>
      <c r="J1433" t="s">
        <v>82</v>
      </c>
      <c r="K1433">
        <f t="shared" si="4471"/>
        <v>1</v>
      </c>
      <c r="L1433">
        <f t="shared" si="4472"/>
        <v>0</v>
      </c>
      <c r="M1433">
        <f t="shared" si="4473"/>
        <v>1</v>
      </c>
      <c r="N1433">
        <f t="shared" si="4474"/>
        <v>1</v>
      </c>
      <c r="O1433">
        <f t="shared" si="4475"/>
        <v>3</v>
      </c>
      <c r="P1433" t="str">
        <f t="shared" si="4476"/>
        <v>Large centralized natural gas steam reforming-Public acceptability</v>
      </c>
      <c r="Q1433" t="str">
        <f t="shared" si="4477"/>
        <v>Underground storage-Public acceptability</v>
      </c>
      <c r="R1433" t="str">
        <f t="shared" si="4478"/>
        <v>Hydrogen transmission &amp; distribution pipeline-Public acceptability</v>
      </c>
      <c r="S1433" t="str">
        <f t="shared" si="4479"/>
        <v>Industrial H2 boiler-Public acceptability</v>
      </c>
      <c r="T1433" s="54">
        <f ca="1">VLOOKUP($P1433,'TA database'!$I$8:$J$79,2,FALSE)</f>
        <v>90</v>
      </c>
      <c r="U1433" s="54">
        <f ca="1">VLOOKUP($Q1433,'TA database'!$I$86:$J$105,2,FALSE)</f>
        <v>60</v>
      </c>
      <c r="V1433" s="54">
        <f ca="1">VLOOKUP($R1433,'TA database'!$I$112:$J$139,2,FALSE)</f>
        <v>70</v>
      </c>
      <c r="W1433" s="54">
        <f ca="1">IFERROR(VLOOKUP($S1433,'TA database'!$I$146:$J$193,2,FALSE),0)</f>
        <v>80</v>
      </c>
      <c r="X1433" s="54">
        <f>IFERROR(VLOOKUP($S1433,'TA database'!$I$200:$J$271,2,FALSE),0)</f>
        <v>0</v>
      </c>
      <c r="Y1433" s="59">
        <f t="shared" ca="1" si="4480"/>
        <v>30.24</v>
      </c>
      <c r="Z1433" t="str">
        <f t="shared" si="4481"/>
        <v>NG_SR_LRG_C   →   C_UNDRGRND_STRG   →   H2_T&amp;D_P   →   H2_IND_BOIL_HEAT</v>
      </c>
      <c r="AA1433" t="str">
        <f t="shared" si="4482"/>
        <v>Industrial heat</v>
      </c>
      <c r="AB1433" t="str">
        <f t="shared" si="4483"/>
        <v>Public acceptability</v>
      </c>
      <c r="AC1433">
        <f t="shared" ca="1" si="4484"/>
        <v>30.24</v>
      </c>
      <c r="AD1433">
        <v>1374</v>
      </c>
      <c r="AE1433" t="str">
        <f>IF(AND(ISNUMBER(SEARCH(O1433,4)),ISNUMBER(SEARCH('(4) FCH pathway assessment'!$B$16,AB1433)),ISNUMBER(SEARCH('(4) FCH pathway assessment'!$B$10,AA1433))),AD1433,"")</f>
        <v/>
      </c>
      <c r="AF1433" t="str">
        <f t="shared" si="4428"/>
        <v/>
      </c>
      <c r="AG1433" t="str">
        <f>VLOOKUP(C1433,Assumptions!$B$116:$C$162,2,FALSE)</f>
        <v>NG_SR_LRG_C</v>
      </c>
      <c r="AH1433" t="str">
        <f>VLOOKUP(D1433,Assumptions!$B$116:$C$162,2,FALSE)</f>
        <v>C_UNDRGRND_STRG</v>
      </c>
      <c r="AI1433" t="str">
        <f>VLOOKUP(E1433,Assumptions!$B$116:$C$162,2,FALSE)</f>
        <v>H2_T&amp;D_P</v>
      </c>
      <c r="AJ1433" t="str">
        <f>VLOOKUP(F1433,Assumptions!$B$116:$C$162,2,FALSE)</f>
        <v>H2_IND_BOIL_HEAT</v>
      </c>
    </row>
    <row r="1434" spans="2:36" x14ac:dyDescent="0.25">
      <c r="B1434" t="s">
        <v>127</v>
      </c>
      <c r="C1434" t="s">
        <v>57</v>
      </c>
      <c r="D1434" t="s">
        <v>62</v>
      </c>
      <c r="E1434" t="s">
        <v>116</v>
      </c>
      <c r="F1434" t="s">
        <v>570</v>
      </c>
      <c r="G1434" t="s">
        <v>120</v>
      </c>
      <c r="H1434" t="s">
        <v>432</v>
      </c>
      <c r="I1434" t="s">
        <v>32</v>
      </c>
      <c r="J1434" t="s">
        <v>82</v>
      </c>
      <c r="K1434">
        <f t="shared" si="4471"/>
        <v>1</v>
      </c>
      <c r="L1434">
        <f t="shared" si="4472"/>
        <v>0</v>
      </c>
      <c r="M1434">
        <f t="shared" si="4473"/>
        <v>1</v>
      </c>
      <c r="N1434">
        <f t="shared" si="4474"/>
        <v>1</v>
      </c>
      <c r="O1434">
        <f t="shared" si="4475"/>
        <v>3</v>
      </c>
      <c r="P1434" t="str">
        <f t="shared" si="4476"/>
        <v>Large centralized natural gas steam reforming-Public acceptability</v>
      </c>
      <c r="Q1434" t="str">
        <f t="shared" si="4477"/>
        <v>Underground storage-Public acceptability</v>
      </c>
      <c r="R1434" t="str">
        <f t="shared" si="4478"/>
        <v>Liquid hydrogen truck-Public acceptability</v>
      </c>
      <c r="S1434" t="str">
        <f t="shared" si="4479"/>
        <v>Industrial H2 boiler-Public acceptability</v>
      </c>
      <c r="T1434" s="54">
        <f ca="1">VLOOKUP($P1434,'TA database'!$I$8:$J$79,2,FALSE)</f>
        <v>90</v>
      </c>
      <c r="U1434" s="54">
        <f ca="1">VLOOKUP($Q1434,'TA database'!$I$86:$J$105,2,FALSE)</f>
        <v>60</v>
      </c>
      <c r="V1434" s="54">
        <f ca="1">VLOOKUP($R1434,'TA database'!$I$112:$J$139,2,FALSE)</f>
        <v>100</v>
      </c>
      <c r="W1434" s="54">
        <f ca="1">IFERROR(VLOOKUP($S1434,'TA database'!$I$146:$J$193,2,FALSE),0)</f>
        <v>80</v>
      </c>
      <c r="X1434" s="54">
        <f>IFERROR(VLOOKUP($S1434,'TA database'!$I$200:$J$271,2,FALSE),0)</f>
        <v>0</v>
      </c>
      <c r="Y1434" s="59">
        <f t="shared" ca="1" si="4480"/>
        <v>43.2</v>
      </c>
      <c r="Z1434" t="str">
        <f t="shared" si="4481"/>
        <v>NG_SR_LRG_C   →   C_UNDRGRND_STRG   →   LQ_TRUCK   →   H2_IND_BOIL_HEAT</v>
      </c>
      <c r="AA1434" t="str">
        <f t="shared" si="4482"/>
        <v>Industrial heat</v>
      </c>
      <c r="AB1434" t="str">
        <f t="shared" si="4483"/>
        <v>Public acceptability</v>
      </c>
      <c r="AC1434">
        <f t="shared" ca="1" si="4484"/>
        <v>43.2</v>
      </c>
      <c r="AD1434">
        <v>1375</v>
      </c>
      <c r="AE1434" t="str">
        <f>IF(AND(ISNUMBER(SEARCH(O1434,4)),ISNUMBER(SEARCH('(4) FCH pathway assessment'!$B$16,AB1434)),ISNUMBER(SEARCH('(4) FCH pathway assessment'!$B$10,AA1434))),AD1434,"")</f>
        <v/>
      </c>
      <c r="AF1434" t="str">
        <f t="shared" si="4428"/>
        <v/>
      </c>
      <c r="AG1434" t="str">
        <f>VLOOKUP(C1434,Assumptions!$B$116:$C$162,2,FALSE)</f>
        <v>NG_SR_LRG_C</v>
      </c>
      <c r="AH1434" t="str">
        <f>VLOOKUP(D1434,Assumptions!$B$116:$C$162,2,FALSE)</f>
        <v>C_UNDRGRND_STRG</v>
      </c>
      <c r="AI1434" t="str">
        <f>VLOOKUP(E1434,Assumptions!$B$116:$C$162,2,FALSE)</f>
        <v>LQ_TRUCK</v>
      </c>
      <c r="AJ1434" t="str">
        <f>VLOOKUP(F1434,Assumptions!$B$116:$C$162,2,FALSE)</f>
        <v>H2_IND_BOIL_HEAT</v>
      </c>
    </row>
    <row r="1435" spans="2:36" x14ac:dyDescent="0.25">
      <c r="B1435" t="s">
        <v>127</v>
      </c>
      <c r="C1435" t="s">
        <v>57</v>
      </c>
      <c r="D1435" t="s">
        <v>62</v>
      </c>
      <c r="E1435" t="s">
        <v>66</v>
      </c>
      <c r="F1435" t="s">
        <v>570</v>
      </c>
      <c r="G1435" t="s">
        <v>120</v>
      </c>
      <c r="H1435" t="s">
        <v>432</v>
      </c>
      <c r="I1435" t="s">
        <v>32</v>
      </c>
      <c r="J1435" t="s">
        <v>82</v>
      </c>
      <c r="K1435">
        <f t="shared" si="4471"/>
        <v>1</v>
      </c>
      <c r="L1435">
        <f t="shared" si="4472"/>
        <v>0</v>
      </c>
      <c r="M1435">
        <f t="shared" si="4473"/>
        <v>1</v>
      </c>
      <c r="N1435">
        <f t="shared" si="4474"/>
        <v>1</v>
      </c>
      <c r="O1435">
        <f t="shared" si="4475"/>
        <v>3</v>
      </c>
      <c r="P1435" t="str">
        <f t="shared" si="4476"/>
        <v>Large centralized natural gas steam reforming-Public acceptability</v>
      </c>
      <c r="Q1435" t="str">
        <f t="shared" si="4477"/>
        <v>Underground storage-Public acceptability</v>
      </c>
      <c r="R1435" t="str">
        <f t="shared" si="4478"/>
        <v>Onsite-Public acceptability</v>
      </c>
      <c r="S1435" t="str">
        <f t="shared" si="4479"/>
        <v>Industrial H2 boiler-Public acceptability</v>
      </c>
      <c r="T1435" s="54">
        <f ca="1">VLOOKUP($P1435,'TA database'!$I$8:$J$79,2,FALSE)</f>
        <v>90</v>
      </c>
      <c r="U1435" s="54">
        <f ca="1">VLOOKUP($Q1435,'TA database'!$I$86:$J$105,2,FALSE)</f>
        <v>60</v>
      </c>
      <c r="V1435" s="54">
        <f ca="1">VLOOKUP($R1435,'TA database'!$I$112:$J$139,2,FALSE)</f>
        <v>90</v>
      </c>
      <c r="W1435" s="54">
        <f ca="1">IFERROR(VLOOKUP($S1435,'TA database'!$I$146:$J$193,2,FALSE),0)</f>
        <v>80</v>
      </c>
      <c r="X1435" s="54">
        <f>IFERROR(VLOOKUP($S1435,'TA database'!$I$200:$J$271,2,FALSE),0)</f>
        <v>0</v>
      </c>
      <c r="Y1435" s="59">
        <f t="shared" ca="1" si="4480"/>
        <v>38.880000000000003</v>
      </c>
      <c r="Z1435" t="str">
        <f t="shared" si="4481"/>
        <v>NG_SR_LRG_C   →   C_UNDRGRND_STRG   →   ONSITE_USE   →   H2_IND_BOIL_HEAT</v>
      </c>
      <c r="AA1435" t="str">
        <f t="shared" si="4482"/>
        <v>Industrial heat</v>
      </c>
      <c r="AB1435" t="str">
        <f t="shared" si="4483"/>
        <v>Public acceptability</v>
      </c>
      <c r="AC1435">
        <f t="shared" ca="1" si="4484"/>
        <v>38.880000000000003</v>
      </c>
      <c r="AD1435">
        <v>1376</v>
      </c>
      <c r="AE1435" t="str">
        <f>IF(AND(ISNUMBER(SEARCH(O1435,4)),ISNUMBER(SEARCH('(4) FCH pathway assessment'!$B$16,AB1435)),ISNUMBER(SEARCH('(4) FCH pathway assessment'!$B$10,AA1435))),AD1435,"")</f>
        <v/>
      </c>
      <c r="AF1435" t="str">
        <f t="shared" si="4428"/>
        <v/>
      </c>
      <c r="AG1435" t="str">
        <f>VLOOKUP(C1435,Assumptions!$B$116:$C$162,2,FALSE)</f>
        <v>NG_SR_LRG_C</v>
      </c>
      <c r="AH1435" t="str">
        <f>VLOOKUP(D1435,Assumptions!$B$116:$C$162,2,FALSE)</f>
        <v>C_UNDRGRND_STRG</v>
      </c>
      <c r="AI1435" t="str">
        <f>VLOOKUP(E1435,Assumptions!$B$116:$C$162,2,FALSE)</f>
        <v>ONSITE_USE</v>
      </c>
      <c r="AJ1435" t="str">
        <f>VLOOKUP(F1435,Assumptions!$B$116:$C$162,2,FALSE)</f>
        <v>H2_IND_BOIL_HEAT</v>
      </c>
    </row>
    <row r="1436" spans="2:36" x14ac:dyDescent="0.25">
      <c r="B1436" t="s">
        <v>127</v>
      </c>
      <c r="C1436" t="s">
        <v>57</v>
      </c>
      <c r="D1436" s="61" t="s">
        <v>63</v>
      </c>
      <c r="E1436" t="s">
        <v>122</v>
      </c>
      <c r="F1436" t="s">
        <v>570</v>
      </c>
      <c r="G1436" t="s">
        <v>120</v>
      </c>
      <c r="H1436" t="s">
        <v>432</v>
      </c>
      <c r="I1436" t="s">
        <v>32</v>
      </c>
      <c r="J1436" t="s">
        <v>82</v>
      </c>
      <c r="K1436">
        <f t="shared" si="4471"/>
        <v>1</v>
      </c>
      <c r="L1436">
        <f t="shared" si="4472"/>
        <v>1</v>
      </c>
      <c r="M1436">
        <f t="shared" si="4473"/>
        <v>1</v>
      </c>
      <c r="N1436">
        <f t="shared" si="4474"/>
        <v>1</v>
      </c>
      <c r="O1436">
        <f t="shared" si="4475"/>
        <v>4</v>
      </c>
      <c r="P1436" t="str">
        <f t="shared" si="4476"/>
        <v>Large centralized natural gas steam reforming-Public acceptability</v>
      </c>
      <c r="Q1436" t="str">
        <f t="shared" si="4477"/>
        <v>No storage-Public acceptability</v>
      </c>
      <c r="R1436" t="str">
        <f t="shared" si="4478"/>
        <v>Hydrogen transmission &amp; distribution pipeline-Public acceptability</v>
      </c>
      <c r="S1436" t="str">
        <f t="shared" si="4479"/>
        <v>Industrial H2 boiler-Public acceptability</v>
      </c>
      <c r="T1436" s="54">
        <f ca="1">VLOOKUP($P1436,'TA database'!$I$8:$J$79,2,FALSE)</f>
        <v>90</v>
      </c>
      <c r="U1436" s="54">
        <f ca="1">VLOOKUP($Q1436,'TA database'!$I$86:$J$105,2,FALSE)</f>
        <v>100</v>
      </c>
      <c r="V1436" s="54">
        <f ca="1">VLOOKUP($R1436,'TA database'!$I$112:$J$139,2,FALSE)</f>
        <v>70</v>
      </c>
      <c r="W1436" s="54">
        <f ca="1">IFERROR(VLOOKUP($S1436,'TA database'!$I$146:$J$193,2,FALSE),0)</f>
        <v>80</v>
      </c>
      <c r="X1436" s="54">
        <f>IFERROR(VLOOKUP($S1436,'TA database'!$I$200:$J$271,2,FALSE),0)</f>
        <v>0</v>
      </c>
      <c r="Y1436" s="59">
        <f t="shared" ref="Y1436:Y1440" ca="1" si="4485">IF($W1436=0,(PRODUCT($T1436:$V1436,$X1436))/1000000,(PRODUCT($T1436:$W1436))/1000000)</f>
        <v>50.4</v>
      </c>
      <c r="Z1436" t="str">
        <f t="shared" si="4481"/>
        <v>NG_SR_LRG_C   →   NO_STRG   →   H2_T&amp;D_P   →   H2_IND_BOIL_HEAT</v>
      </c>
      <c r="AA1436" t="str">
        <f t="shared" si="4482"/>
        <v>Industrial heat</v>
      </c>
      <c r="AB1436" t="str">
        <f t="shared" si="4483"/>
        <v>Public acceptability</v>
      </c>
      <c r="AC1436">
        <f t="shared" ca="1" si="4484"/>
        <v>50.4</v>
      </c>
      <c r="AD1436">
        <v>1377</v>
      </c>
      <c r="AE1436" t="str">
        <f>IF(AND(ISNUMBER(SEARCH(O1436,4)),ISNUMBER(SEARCH('(4) FCH pathway assessment'!$B$16,AB1436)),ISNUMBER(SEARCH('(4) FCH pathway assessment'!$B$10,AA1436))),AD1436,"")</f>
        <v/>
      </c>
      <c r="AF1436" t="str">
        <f t="shared" si="4428"/>
        <v/>
      </c>
      <c r="AG1436" t="str">
        <f>VLOOKUP(C1436,Assumptions!$B$116:$C$162,2,FALSE)</f>
        <v>NG_SR_LRG_C</v>
      </c>
      <c r="AH1436" t="str">
        <f>VLOOKUP(D1436,Assumptions!$B$116:$C$162,2,FALSE)</f>
        <v>NO_STRG</v>
      </c>
      <c r="AI1436" t="str">
        <f>VLOOKUP(E1436,Assumptions!$B$116:$C$162,2,FALSE)</f>
        <v>H2_T&amp;D_P</v>
      </c>
      <c r="AJ1436" t="str">
        <f>VLOOKUP(F1436,Assumptions!$B$116:$C$162,2,FALSE)</f>
        <v>H2_IND_BOIL_HEAT</v>
      </c>
    </row>
    <row r="1437" spans="2:36" x14ac:dyDescent="0.25">
      <c r="B1437" t="s">
        <v>127</v>
      </c>
      <c r="C1437" t="s">
        <v>58</v>
      </c>
      <c r="D1437" t="s">
        <v>155</v>
      </c>
      <c r="E1437" t="s">
        <v>157</v>
      </c>
      <c r="F1437" t="s">
        <v>570</v>
      </c>
      <c r="G1437" t="s">
        <v>120</v>
      </c>
      <c r="H1437" t="s">
        <v>432</v>
      </c>
      <c r="I1437" t="s">
        <v>32</v>
      </c>
      <c r="J1437" t="s">
        <v>82</v>
      </c>
      <c r="K1437">
        <f t="shared" ref="K1437:K1441" si="4486">SUMPRODUCT(($C$7:$C$18=$C1437)*($D$6:$H$6=$D1437)*($D$7:$H$18))</f>
        <v>1</v>
      </c>
      <c r="L1437">
        <f t="shared" ref="L1437:L1441" si="4487">SUMPRODUCT(($C$19:$C$23=$D1437)*($I$6:$O$6=$E1437)*($I$19:$O$23))</f>
        <v>1</v>
      </c>
      <c r="M1437">
        <f t="shared" ref="M1437:M1441" si="4488">SUMPRODUCT(($C$24:$C$30=$E1437)*($P$6:$AI$6=$F1437)*($P$24:$AI$30))</f>
        <v>0</v>
      </c>
      <c r="N1437">
        <f t="shared" ref="N1437:N1441" si="4489">SUMPRODUCT(($C$31:$C$50=$F1437)*($AJ$6:$AM$6=$G1437)*($AJ$31:$AM$50))</f>
        <v>1</v>
      </c>
      <c r="O1437">
        <f t="shared" ref="O1437:O1441" si="4490">K1437+L1437+M1437+N1437</f>
        <v>3</v>
      </c>
      <c r="P1437" t="str">
        <f t="shared" ref="P1437:P1441" si="4491">CONCATENATE(C1437,"-",J1437)</f>
        <v>Small centralized natural gas steam reforming-Public acceptability</v>
      </c>
      <c r="Q1437" t="str">
        <f t="shared" ref="Q1437:Q1441" si="4492">CONCATENATE(D1437,"-",J1437)</f>
        <v>Central gas storage-Public acceptability</v>
      </c>
      <c r="R1437" t="str">
        <f t="shared" ref="R1437:R1441" si="4493">CONCATENATE(E1437,"-",J1437)</f>
        <v>Blending in natural gas pipeline-Public acceptability</v>
      </c>
      <c r="S1437" t="str">
        <f t="shared" ref="S1437:S1441" si="4494">CONCATENATE(F1437,"-",J1437)</f>
        <v>Industrial H2 boiler-Public acceptability</v>
      </c>
      <c r="T1437" s="54">
        <f ca="1">VLOOKUP($P1437,'TA database'!$I$8:$J$79,2,FALSE)</f>
        <v>90</v>
      </c>
      <c r="U1437" s="54">
        <f ca="1">VLOOKUP($Q1437,'TA database'!$I$86:$J$105,2,FALSE)</f>
        <v>60</v>
      </c>
      <c r="V1437" s="54">
        <f ca="1">VLOOKUP($R1437,'TA database'!$I$112:$J$139,2,FALSE)</f>
        <v>90</v>
      </c>
      <c r="W1437" s="54">
        <f ca="1">IFERROR(VLOOKUP($S1437,'TA database'!$I$146:$J$193,2,FALSE),0)</f>
        <v>80</v>
      </c>
      <c r="X1437" s="54">
        <f>IFERROR(VLOOKUP($S1437,'TA database'!$I$200:$J$271,2,FALSE),0)</f>
        <v>0</v>
      </c>
      <c r="Y1437" s="59">
        <f t="shared" ca="1" si="4485"/>
        <v>38.880000000000003</v>
      </c>
      <c r="Z1437" t="str">
        <f t="shared" ref="Z1437:Z1441" si="4495">CONCATENATE(AG1437,"   →   ",AH1437,"   →   ",AI1437,"   →   ",AJ1437)</f>
        <v>NG_SR_SML_C   →   C_GAS_STRG   →   H2_BLND_NG_P   →   H2_IND_BOIL_HEAT</v>
      </c>
      <c r="AA1437" t="str">
        <f t="shared" ref="AA1437:AA1441" si="4496">G1437</f>
        <v>Industrial heat</v>
      </c>
      <c r="AB1437" t="str">
        <f t="shared" ref="AB1437:AB1441" si="4497">J1437</f>
        <v>Public acceptability</v>
      </c>
      <c r="AC1437">
        <f t="shared" ref="AC1437:AC1441" ca="1" si="4498">Y1437</f>
        <v>38.880000000000003</v>
      </c>
      <c r="AD1437">
        <v>1378</v>
      </c>
      <c r="AE1437" t="str">
        <f>IF(AND(ISNUMBER(SEARCH(O1437,4)),ISNUMBER(SEARCH('(4) FCH pathway assessment'!$B$16,AB1437)),ISNUMBER(SEARCH('(4) FCH pathway assessment'!$B$10,AA1437))),AD1437,"")</f>
        <v/>
      </c>
      <c r="AF1437" t="str">
        <f t="shared" si="4428"/>
        <v/>
      </c>
      <c r="AG1437" t="str">
        <f>VLOOKUP(C1437,Assumptions!$B$116:$C$162,2,FALSE)</f>
        <v>NG_SR_SML_C</v>
      </c>
      <c r="AH1437" t="str">
        <f>VLOOKUP(D1437,Assumptions!$B$116:$C$162,2,FALSE)</f>
        <v>C_GAS_STRG</v>
      </c>
      <c r="AI1437" t="str">
        <f>VLOOKUP(E1437,Assumptions!$B$116:$C$162,2,FALSE)</f>
        <v>H2_BLND_NG_P</v>
      </c>
      <c r="AJ1437" t="str">
        <f>VLOOKUP(F1437,Assumptions!$B$116:$C$162,2,FALSE)</f>
        <v>H2_IND_BOIL_HEAT</v>
      </c>
    </row>
    <row r="1438" spans="2:36" x14ac:dyDescent="0.25">
      <c r="B1438" t="s">
        <v>127</v>
      </c>
      <c r="C1438" t="s">
        <v>58</v>
      </c>
      <c r="D1438" t="s">
        <v>155</v>
      </c>
      <c r="E1438" t="s">
        <v>122</v>
      </c>
      <c r="F1438" t="s">
        <v>570</v>
      </c>
      <c r="G1438" t="s">
        <v>120</v>
      </c>
      <c r="H1438" t="s">
        <v>432</v>
      </c>
      <c r="I1438" t="s">
        <v>32</v>
      </c>
      <c r="J1438" t="s">
        <v>82</v>
      </c>
      <c r="K1438">
        <f t="shared" si="4486"/>
        <v>1</v>
      </c>
      <c r="L1438">
        <f t="shared" si="4487"/>
        <v>1</v>
      </c>
      <c r="M1438">
        <f t="shared" si="4488"/>
        <v>1</v>
      </c>
      <c r="N1438">
        <f t="shared" si="4489"/>
        <v>1</v>
      </c>
      <c r="O1438">
        <f t="shared" si="4490"/>
        <v>4</v>
      </c>
      <c r="P1438" t="str">
        <f t="shared" si="4491"/>
        <v>Small centralized natural gas steam reforming-Public acceptability</v>
      </c>
      <c r="Q1438" t="str">
        <f t="shared" si="4492"/>
        <v>Central gas storage-Public acceptability</v>
      </c>
      <c r="R1438" t="str">
        <f t="shared" si="4493"/>
        <v>Hydrogen transmission &amp; distribution pipeline-Public acceptability</v>
      </c>
      <c r="S1438" t="str">
        <f t="shared" si="4494"/>
        <v>Industrial H2 boiler-Public acceptability</v>
      </c>
      <c r="T1438" s="54">
        <f ca="1">VLOOKUP($P1438,'TA database'!$I$8:$J$79,2,FALSE)</f>
        <v>90</v>
      </c>
      <c r="U1438" s="54">
        <f ca="1">VLOOKUP($Q1438,'TA database'!$I$86:$J$105,2,FALSE)</f>
        <v>60</v>
      </c>
      <c r="V1438" s="54">
        <f ca="1">VLOOKUP($R1438,'TA database'!$I$112:$J$139,2,FALSE)</f>
        <v>70</v>
      </c>
      <c r="W1438" s="54">
        <f ca="1">IFERROR(VLOOKUP($S1438,'TA database'!$I$146:$J$193,2,FALSE),0)</f>
        <v>80</v>
      </c>
      <c r="X1438" s="54">
        <f>IFERROR(VLOOKUP($S1438,'TA database'!$I$200:$J$271,2,FALSE),0)</f>
        <v>0</v>
      </c>
      <c r="Y1438" s="59">
        <f t="shared" ca="1" si="4485"/>
        <v>30.24</v>
      </c>
      <c r="Z1438" t="str">
        <f t="shared" si="4495"/>
        <v>NG_SR_SML_C   →   C_GAS_STRG   →   H2_T&amp;D_P   →   H2_IND_BOIL_HEAT</v>
      </c>
      <c r="AA1438" t="str">
        <f t="shared" si="4496"/>
        <v>Industrial heat</v>
      </c>
      <c r="AB1438" t="str">
        <f t="shared" si="4497"/>
        <v>Public acceptability</v>
      </c>
      <c r="AC1438">
        <f t="shared" ca="1" si="4498"/>
        <v>30.24</v>
      </c>
      <c r="AD1438">
        <v>1379</v>
      </c>
      <c r="AE1438" t="str">
        <f>IF(AND(ISNUMBER(SEARCH(O1438,4)),ISNUMBER(SEARCH('(4) FCH pathway assessment'!$B$16,AB1438)),ISNUMBER(SEARCH('(4) FCH pathway assessment'!$B$10,AA1438))),AD1438,"")</f>
        <v/>
      </c>
      <c r="AF1438" t="str">
        <f t="shared" si="4428"/>
        <v/>
      </c>
      <c r="AG1438" t="str">
        <f>VLOOKUP(C1438,Assumptions!$B$116:$C$162,2,FALSE)</f>
        <v>NG_SR_SML_C</v>
      </c>
      <c r="AH1438" t="str">
        <f>VLOOKUP(D1438,Assumptions!$B$116:$C$162,2,FALSE)</f>
        <v>C_GAS_STRG</v>
      </c>
      <c r="AI1438" t="str">
        <f>VLOOKUP(E1438,Assumptions!$B$116:$C$162,2,FALSE)</f>
        <v>H2_T&amp;D_P</v>
      </c>
      <c r="AJ1438" t="str">
        <f>VLOOKUP(F1438,Assumptions!$B$116:$C$162,2,FALSE)</f>
        <v>H2_IND_BOIL_HEAT</v>
      </c>
    </row>
    <row r="1439" spans="2:36" x14ac:dyDescent="0.25">
      <c r="B1439" t="s">
        <v>127</v>
      </c>
      <c r="C1439" t="s">
        <v>58</v>
      </c>
      <c r="D1439" t="s">
        <v>155</v>
      </c>
      <c r="E1439" t="s">
        <v>116</v>
      </c>
      <c r="F1439" t="s">
        <v>570</v>
      </c>
      <c r="G1439" t="s">
        <v>120</v>
      </c>
      <c r="H1439" t="s">
        <v>432</v>
      </c>
      <c r="I1439" t="s">
        <v>32</v>
      </c>
      <c r="J1439" t="s">
        <v>82</v>
      </c>
      <c r="K1439">
        <f t="shared" si="4486"/>
        <v>1</v>
      </c>
      <c r="L1439">
        <f t="shared" si="4487"/>
        <v>1</v>
      </c>
      <c r="M1439">
        <f t="shared" si="4488"/>
        <v>1</v>
      </c>
      <c r="N1439">
        <f t="shared" si="4489"/>
        <v>1</v>
      </c>
      <c r="O1439">
        <f t="shared" si="4490"/>
        <v>4</v>
      </c>
      <c r="P1439" t="str">
        <f t="shared" si="4491"/>
        <v>Small centralized natural gas steam reforming-Public acceptability</v>
      </c>
      <c r="Q1439" t="str">
        <f t="shared" si="4492"/>
        <v>Central gas storage-Public acceptability</v>
      </c>
      <c r="R1439" t="str">
        <f t="shared" si="4493"/>
        <v>Liquid hydrogen truck-Public acceptability</v>
      </c>
      <c r="S1439" t="str">
        <f t="shared" si="4494"/>
        <v>Industrial H2 boiler-Public acceptability</v>
      </c>
      <c r="T1439" s="54">
        <f ca="1">VLOOKUP($P1439,'TA database'!$I$8:$J$79,2,FALSE)</f>
        <v>90</v>
      </c>
      <c r="U1439" s="54">
        <f ca="1">VLOOKUP($Q1439,'TA database'!$I$86:$J$105,2,FALSE)</f>
        <v>60</v>
      </c>
      <c r="V1439" s="54">
        <f ca="1">VLOOKUP($R1439,'TA database'!$I$112:$J$139,2,FALSE)</f>
        <v>100</v>
      </c>
      <c r="W1439" s="54">
        <f ca="1">IFERROR(VLOOKUP($S1439,'TA database'!$I$146:$J$193,2,FALSE),0)</f>
        <v>80</v>
      </c>
      <c r="X1439" s="54">
        <f>IFERROR(VLOOKUP($S1439,'TA database'!$I$200:$J$271,2,FALSE),0)</f>
        <v>0</v>
      </c>
      <c r="Y1439" s="59">
        <f t="shared" ca="1" si="4485"/>
        <v>43.2</v>
      </c>
      <c r="Z1439" t="str">
        <f t="shared" si="4495"/>
        <v>NG_SR_SML_C   →   C_GAS_STRG   →   LQ_TRUCK   →   H2_IND_BOIL_HEAT</v>
      </c>
      <c r="AA1439" t="str">
        <f t="shared" si="4496"/>
        <v>Industrial heat</v>
      </c>
      <c r="AB1439" t="str">
        <f t="shared" si="4497"/>
        <v>Public acceptability</v>
      </c>
      <c r="AC1439">
        <f t="shared" ca="1" si="4498"/>
        <v>43.2</v>
      </c>
      <c r="AD1439">
        <v>1380</v>
      </c>
      <c r="AE1439" t="str">
        <f>IF(AND(ISNUMBER(SEARCH(O1439,4)),ISNUMBER(SEARCH('(4) FCH pathway assessment'!$B$16,AB1439)),ISNUMBER(SEARCH('(4) FCH pathway assessment'!$B$10,AA1439))),AD1439,"")</f>
        <v/>
      </c>
      <c r="AF1439" t="str">
        <f t="shared" si="4428"/>
        <v/>
      </c>
      <c r="AG1439" t="str">
        <f>VLOOKUP(C1439,Assumptions!$B$116:$C$162,2,FALSE)</f>
        <v>NG_SR_SML_C</v>
      </c>
      <c r="AH1439" t="str">
        <f>VLOOKUP(D1439,Assumptions!$B$116:$C$162,2,FALSE)</f>
        <v>C_GAS_STRG</v>
      </c>
      <c r="AI1439" t="str">
        <f>VLOOKUP(E1439,Assumptions!$B$116:$C$162,2,FALSE)</f>
        <v>LQ_TRUCK</v>
      </c>
      <c r="AJ1439" t="str">
        <f>VLOOKUP(F1439,Assumptions!$B$116:$C$162,2,FALSE)</f>
        <v>H2_IND_BOIL_HEAT</v>
      </c>
    </row>
    <row r="1440" spans="2:36" x14ac:dyDescent="0.25">
      <c r="B1440" t="s">
        <v>127</v>
      </c>
      <c r="C1440" t="s">
        <v>58</v>
      </c>
      <c r="D1440" t="s">
        <v>155</v>
      </c>
      <c r="E1440" t="s">
        <v>66</v>
      </c>
      <c r="F1440" t="s">
        <v>570</v>
      </c>
      <c r="G1440" t="s">
        <v>120</v>
      </c>
      <c r="H1440" t="s">
        <v>432</v>
      </c>
      <c r="I1440" t="s">
        <v>32</v>
      </c>
      <c r="J1440" t="s">
        <v>82</v>
      </c>
      <c r="K1440">
        <f t="shared" si="4486"/>
        <v>1</v>
      </c>
      <c r="L1440">
        <f t="shared" si="4487"/>
        <v>1</v>
      </c>
      <c r="M1440">
        <f t="shared" si="4488"/>
        <v>1</v>
      </c>
      <c r="N1440">
        <f t="shared" si="4489"/>
        <v>1</v>
      </c>
      <c r="O1440">
        <f t="shared" si="4490"/>
        <v>4</v>
      </c>
      <c r="P1440" t="str">
        <f t="shared" si="4491"/>
        <v>Small centralized natural gas steam reforming-Public acceptability</v>
      </c>
      <c r="Q1440" t="str">
        <f t="shared" si="4492"/>
        <v>Central gas storage-Public acceptability</v>
      </c>
      <c r="R1440" t="str">
        <f t="shared" si="4493"/>
        <v>Onsite-Public acceptability</v>
      </c>
      <c r="S1440" t="str">
        <f t="shared" si="4494"/>
        <v>Industrial H2 boiler-Public acceptability</v>
      </c>
      <c r="T1440" s="54">
        <f ca="1">VLOOKUP($P1440,'TA database'!$I$8:$J$79,2,FALSE)</f>
        <v>90</v>
      </c>
      <c r="U1440" s="54">
        <f ca="1">VLOOKUP($Q1440,'TA database'!$I$86:$J$105,2,FALSE)</f>
        <v>60</v>
      </c>
      <c r="V1440" s="54">
        <f ca="1">VLOOKUP($R1440,'TA database'!$I$112:$J$139,2,FALSE)</f>
        <v>90</v>
      </c>
      <c r="W1440" s="54">
        <f ca="1">IFERROR(VLOOKUP($S1440,'TA database'!$I$146:$J$193,2,FALSE),0)</f>
        <v>80</v>
      </c>
      <c r="X1440" s="54">
        <f>IFERROR(VLOOKUP($S1440,'TA database'!$I$200:$J$271,2,FALSE),0)</f>
        <v>0</v>
      </c>
      <c r="Y1440" s="59">
        <f t="shared" ca="1" si="4485"/>
        <v>38.880000000000003</v>
      </c>
      <c r="Z1440" t="str">
        <f t="shared" si="4495"/>
        <v>NG_SR_SML_C   →   C_GAS_STRG   →   ONSITE_USE   →   H2_IND_BOIL_HEAT</v>
      </c>
      <c r="AA1440" t="str">
        <f t="shared" si="4496"/>
        <v>Industrial heat</v>
      </c>
      <c r="AB1440" t="str">
        <f t="shared" si="4497"/>
        <v>Public acceptability</v>
      </c>
      <c r="AC1440">
        <f t="shared" ca="1" si="4498"/>
        <v>38.880000000000003</v>
      </c>
      <c r="AD1440">
        <v>1381</v>
      </c>
      <c r="AE1440" t="str">
        <f>IF(AND(ISNUMBER(SEARCH(O1440,4)),ISNUMBER(SEARCH('(4) FCH pathway assessment'!$B$16,AB1440)),ISNUMBER(SEARCH('(4) FCH pathway assessment'!$B$10,AA1440))),AD1440,"")</f>
        <v/>
      </c>
      <c r="AF1440" t="str">
        <f t="shared" si="4428"/>
        <v/>
      </c>
      <c r="AG1440" t="str">
        <f>VLOOKUP(C1440,Assumptions!$B$116:$C$162,2,FALSE)</f>
        <v>NG_SR_SML_C</v>
      </c>
      <c r="AH1440" t="str">
        <f>VLOOKUP(D1440,Assumptions!$B$116:$C$162,2,FALSE)</f>
        <v>C_GAS_STRG</v>
      </c>
      <c r="AI1440" t="str">
        <f>VLOOKUP(E1440,Assumptions!$B$116:$C$162,2,FALSE)</f>
        <v>ONSITE_USE</v>
      </c>
      <c r="AJ1440" t="str">
        <f>VLOOKUP(F1440,Assumptions!$B$116:$C$162,2,FALSE)</f>
        <v>H2_IND_BOIL_HEAT</v>
      </c>
    </row>
    <row r="1441" spans="2:36" x14ac:dyDescent="0.25">
      <c r="B1441" t="s">
        <v>127</v>
      </c>
      <c r="C1441" t="s">
        <v>59</v>
      </c>
      <c r="D1441" s="60" t="s">
        <v>130</v>
      </c>
      <c r="E1441" t="s">
        <v>66</v>
      </c>
      <c r="F1441" t="s">
        <v>570</v>
      </c>
      <c r="G1441" t="s">
        <v>120</v>
      </c>
      <c r="H1441" t="s">
        <v>432</v>
      </c>
      <c r="I1441" t="s">
        <v>32</v>
      </c>
      <c r="J1441" t="s">
        <v>82</v>
      </c>
      <c r="K1441">
        <f t="shared" si="4486"/>
        <v>1</v>
      </c>
      <c r="L1441">
        <f t="shared" si="4487"/>
        <v>1</v>
      </c>
      <c r="M1441">
        <f t="shared" si="4488"/>
        <v>1</v>
      </c>
      <c r="N1441">
        <f t="shared" si="4489"/>
        <v>1</v>
      </c>
      <c r="O1441">
        <f t="shared" si="4490"/>
        <v>4</v>
      </c>
      <c r="P1441" t="str">
        <f t="shared" si="4491"/>
        <v>Medium decentralized natural gas steam reforming-Public acceptability</v>
      </c>
      <c r="Q1441" t="str">
        <f t="shared" si="4492"/>
        <v>Distributed gas storage-Public acceptability</v>
      </c>
      <c r="R1441" t="str">
        <f t="shared" si="4493"/>
        <v>Onsite-Public acceptability</v>
      </c>
      <c r="S1441" t="str">
        <f t="shared" si="4494"/>
        <v>Industrial H2 boiler-Public acceptability</v>
      </c>
      <c r="T1441" s="54">
        <f ca="1">VLOOKUP($P1441,'TA database'!$I$8:$J$79,2,FALSE)</f>
        <v>100</v>
      </c>
      <c r="U1441" s="54">
        <f ca="1">VLOOKUP($Q1441,'TA database'!$I$86:$J$105,2,FALSE)</f>
        <v>60</v>
      </c>
      <c r="V1441" s="54">
        <f ca="1">VLOOKUP($R1441,'TA database'!$I$112:$J$139,2,FALSE)</f>
        <v>90</v>
      </c>
      <c r="W1441" s="54">
        <f ca="1">IFERROR(VLOOKUP($S1441,'TA database'!$I$146:$J$193,2,FALSE),0)</f>
        <v>80</v>
      </c>
      <c r="X1441" s="54">
        <f>IFERROR(VLOOKUP($S1441,'TA database'!$I$200:$J$271,2,FALSE),0)</f>
        <v>0</v>
      </c>
      <c r="Y1441" s="59">
        <f t="shared" ref="Y1441:Y1442" ca="1" si="4499">IF($W1441=0,(PRODUCT($T1441:$V1441,$X1441))/1000000,(PRODUCT($T1441:$W1441))/1000000)</f>
        <v>43.2</v>
      </c>
      <c r="Z1441" t="str">
        <f t="shared" si="4495"/>
        <v>NG_SR_MED_D   →   D_GAS_STRG   →   ONSITE_USE   →   H2_IND_BOIL_HEAT</v>
      </c>
      <c r="AA1441" t="str">
        <f t="shared" si="4496"/>
        <v>Industrial heat</v>
      </c>
      <c r="AB1441" t="str">
        <f t="shared" si="4497"/>
        <v>Public acceptability</v>
      </c>
      <c r="AC1441">
        <f t="shared" ca="1" si="4498"/>
        <v>43.2</v>
      </c>
      <c r="AD1441">
        <v>1382</v>
      </c>
      <c r="AE1441" t="str">
        <f>IF(AND(ISNUMBER(SEARCH(O1441,4)),ISNUMBER(SEARCH('(4) FCH pathway assessment'!$B$16,AB1441)),ISNUMBER(SEARCH('(4) FCH pathway assessment'!$B$10,AA1441))),AD1441,"")</f>
        <v/>
      </c>
      <c r="AF1441" t="str">
        <f t="shared" si="4428"/>
        <v/>
      </c>
      <c r="AG1441" t="str">
        <f>VLOOKUP(C1441,Assumptions!$B$116:$C$162,2,FALSE)</f>
        <v>NG_SR_MED_D</v>
      </c>
      <c r="AH1441" t="str">
        <f>VLOOKUP(D1441,Assumptions!$B$116:$C$162,2,FALSE)</f>
        <v>D_GAS_STRG</v>
      </c>
      <c r="AI1441" t="str">
        <f>VLOOKUP(E1441,Assumptions!$B$116:$C$162,2,FALSE)</f>
        <v>ONSITE_USE</v>
      </c>
      <c r="AJ1441" t="str">
        <f>VLOOKUP(F1441,Assumptions!$B$116:$C$162,2,FALSE)</f>
        <v>H2_IND_BOIL_HEAT</v>
      </c>
    </row>
    <row r="1442" spans="2:36" x14ac:dyDescent="0.25">
      <c r="B1442" t="s">
        <v>127</v>
      </c>
      <c r="C1442" t="s">
        <v>60</v>
      </c>
      <c r="D1442" s="60" t="s">
        <v>130</v>
      </c>
      <c r="E1442" t="s">
        <v>66</v>
      </c>
      <c r="F1442" t="s">
        <v>570</v>
      </c>
      <c r="G1442" t="s">
        <v>120</v>
      </c>
      <c r="H1442" t="s">
        <v>432</v>
      </c>
      <c r="I1442" t="s">
        <v>32</v>
      </c>
      <c r="J1442" t="s">
        <v>82</v>
      </c>
      <c r="K1442">
        <f t="shared" ref="K1442" si="4500">SUMPRODUCT(($C$7:$C$18=$C1442)*($D$6:$H$6=$D1442)*($D$7:$H$18))</f>
        <v>1</v>
      </c>
      <c r="L1442">
        <f t="shared" ref="L1442" si="4501">SUMPRODUCT(($C$19:$C$23=$D1442)*($I$6:$O$6=$E1442)*($I$19:$O$23))</f>
        <v>1</v>
      </c>
      <c r="M1442">
        <f t="shared" ref="M1442" si="4502">SUMPRODUCT(($C$24:$C$30=$E1442)*($P$6:$AI$6=$F1442)*($P$24:$AI$30))</f>
        <v>1</v>
      </c>
      <c r="N1442">
        <f t="shared" ref="N1442" si="4503">SUMPRODUCT(($C$31:$C$50=$F1442)*($AJ$6:$AM$6=$G1442)*($AJ$31:$AM$50))</f>
        <v>1</v>
      </c>
      <c r="O1442">
        <f t="shared" ref="O1442" si="4504">K1442+L1442+M1442+N1442</f>
        <v>4</v>
      </c>
      <c r="P1442" t="str">
        <f t="shared" ref="P1442" si="4505">CONCATENATE(C1442,"-",J1442)</f>
        <v>Small decentralized natural gas steam reforming-Public acceptability</v>
      </c>
      <c r="Q1442" t="str">
        <f t="shared" ref="Q1442" si="4506">CONCATENATE(D1442,"-",J1442)</f>
        <v>Distributed gas storage-Public acceptability</v>
      </c>
      <c r="R1442" t="str">
        <f t="shared" ref="R1442" si="4507">CONCATENATE(E1442,"-",J1442)</f>
        <v>Onsite-Public acceptability</v>
      </c>
      <c r="S1442" t="str">
        <f t="shared" ref="S1442" si="4508">CONCATENATE(F1442,"-",J1442)</f>
        <v>Industrial H2 boiler-Public acceptability</v>
      </c>
      <c r="T1442" s="54">
        <f ca="1">VLOOKUP($P1442,'TA database'!$I$8:$J$79,2,FALSE)</f>
        <v>100</v>
      </c>
      <c r="U1442" s="54">
        <f ca="1">VLOOKUP($Q1442,'TA database'!$I$86:$J$105,2,FALSE)</f>
        <v>60</v>
      </c>
      <c r="V1442" s="54">
        <f ca="1">VLOOKUP($R1442,'TA database'!$I$112:$J$139,2,FALSE)</f>
        <v>90</v>
      </c>
      <c r="W1442" s="54">
        <f ca="1">IFERROR(VLOOKUP($S1442,'TA database'!$I$146:$J$193,2,FALSE),0)</f>
        <v>80</v>
      </c>
      <c r="X1442" s="54">
        <f>IFERROR(VLOOKUP($S1442,'TA database'!$I$200:$J$271,2,FALSE),0)</f>
        <v>0</v>
      </c>
      <c r="Y1442" s="59">
        <f t="shared" ca="1" si="4499"/>
        <v>43.2</v>
      </c>
      <c r="Z1442" t="str">
        <f t="shared" ref="Z1442" si="4509">CONCATENATE(AG1442,"   →   ",AH1442,"   →   ",AI1442,"   →   ",AJ1442)</f>
        <v>NG_SR_SML_D   →   D_GAS_STRG   →   ONSITE_USE   →   H2_IND_BOIL_HEAT</v>
      </c>
      <c r="AA1442" t="str">
        <f t="shared" ref="AA1442" si="4510">G1442</f>
        <v>Industrial heat</v>
      </c>
      <c r="AB1442" t="str">
        <f t="shared" ref="AB1442" si="4511">J1442</f>
        <v>Public acceptability</v>
      </c>
      <c r="AC1442">
        <f t="shared" ref="AC1442" ca="1" si="4512">Y1442</f>
        <v>43.2</v>
      </c>
      <c r="AD1442">
        <v>1383</v>
      </c>
      <c r="AE1442" t="str">
        <f>IF(AND(ISNUMBER(SEARCH(O1442,4)),ISNUMBER(SEARCH('(4) FCH pathway assessment'!$B$16,AB1442)),ISNUMBER(SEARCH('(4) FCH pathway assessment'!$B$10,AA1442))),AD1442,"")</f>
        <v/>
      </c>
      <c r="AF1442" t="str">
        <f t="shared" si="4428"/>
        <v/>
      </c>
      <c r="AG1442" t="str">
        <f>VLOOKUP(C1442,Assumptions!$B$116:$C$162,2,FALSE)</f>
        <v>NG_SR_SML_D</v>
      </c>
      <c r="AH1442" t="str">
        <f>VLOOKUP(D1442,Assumptions!$B$116:$C$162,2,FALSE)</f>
        <v>D_GAS_STRG</v>
      </c>
      <c r="AI1442" t="str">
        <f>VLOOKUP(E1442,Assumptions!$B$116:$C$162,2,FALSE)</f>
        <v>ONSITE_USE</v>
      </c>
      <c r="AJ1442" t="str">
        <f>VLOOKUP(F1442,Assumptions!$B$116:$C$162,2,FALSE)</f>
        <v>H2_IND_BOIL_HEAT</v>
      </c>
    </row>
    <row r="1443" spans="2:36" x14ac:dyDescent="0.25">
      <c r="B1443" t="s">
        <v>117</v>
      </c>
      <c r="C1443" t="s">
        <v>53</v>
      </c>
      <c r="D1443" t="s">
        <v>155</v>
      </c>
      <c r="E1443" t="s">
        <v>157</v>
      </c>
      <c r="F1443" t="s">
        <v>549</v>
      </c>
      <c r="G1443" t="s">
        <v>114</v>
      </c>
      <c r="H1443" t="s">
        <v>433</v>
      </c>
      <c r="I1443" t="s">
        <v>32</v>
      </c>
      <c r="J1443" t="s">
        <v>82</v>
      </c>
      <c r="K1443">
        <f t="shared" ref="K1443:K1450" si="4513">SUMPRODUCT(($C$7:$C$18=$C1443)*($D$6:$H$6=$D1443)*($D$7:$H$18))</f>
        <v>0</v>
      </c>
      <c r="L1443">
        <f t="shared" ref="L1443:L1450" si="4514">SUMPRODUCT(($C$19:$C$23=$D1443)*($I$6:$O$6=$E1443)*($I$19:$O$23))</f>
        <v>1</v>
      </c>
      <c r="M1443">
        <f t="shared" ref="M1443:M1450" si="4515">SUMPRODUCT(($C$24:$C$30=$E1443)*($P$6:$AI$6=$F1443)*($P$24:$AI$30))</f>
        <v>0</v>
      </c>
      <c r="N1443">
        <f t="shared" ref="N1443:N1450" si="4516">SUMPRODUCT(($C$31:$C$50=$F1443)*($AJ$6:$AM$6=$G1443)*($AJ$31:$AM$50))</f>
        <v>0</v>
      </c>
      <c r="O1443">
        <f t="shared" ref="O1443:O1450" si="4517">K1443+L1443+M1443+N1443</f>
        <v>1</v>
      </c>
      <c r="P1443" t="str">
        <f t="shared" ref="P1443:P1450" si="4518">CONCATENATE(C1443,"-",J1443)</f>
        <v>Medium centralized biomass gasification-Public acceptability</v>
      </c>
      <c r="Q1443" t="str">
        <f t="shared" ref="Q1443:Q1450" si="4519">CONCATENATE(D1443,"-",J1443)</f>
        <v>Central gas storage-Public acceptability</v>
      </c>
      <c r="R1443" t="str">
        <f t="shared" ref="R1443:R1450" si="4520">CONCATENATE(E1443,"-",J1443)</f>
        <v>Blending in natural gas pipeline-Public acceptability</v>
      </c>
      <c r="S1443" t="str">
        <f t="shared" ref="S1443:S1450" si="4521">CONCATENATE(F1443,"-",J1443)</f>
        <v>District-CHP with H2 fuel cell (power)-Public acceptability</v>
      </c>
      <c r="T1443" s="54">
        <f ca="1">VLOOKUP($P1443,'TA database'!$I$8:$J$79,2,FALSE)</f>
        <v>70</v>
      </c>
      <c r="U1443" s="54">
        <f ca="1">VLOOKUP($Q1443,'TA database'!$I$86:$J$105,2,FALSE)</f>
        <v>60</v>
      </c>
      <c r="V1443" s="54">
        <f ca="1">VLOOKUP($R1443,'TA database'!$I$112:$J$139,2,FALSE)</f>
        <v>90</v>
      </c>
      <c r="W1443" s="54">
        <f>IFERROR(VLOOKUP($S1443,'TA database'!$I$146:$J$193,2,FALSE),0)</f>
        <v>0</v>
      </c>
      <c r="X1443" s="54">
        <f ca="1">IFERROR(VLOOKUP($S1443,'TA database'!$I$200:$J$271,2,FALSE),0)</f>
        <v>80</v>
      </c>
      <c r="Y1443" s="59">
        <f t="shared" ref="Y1443:Y1446" ca="1" si="4522">IF($W1443=0,(PRODUCT($T1443:$V1443,$X1443))/1000000,(PRODUCT($T1443:$W1443))/1000000)</f>
        <v>30.24</v>
      </c>
      <c r="Z1443" t="str">
        <f t="shared" ref="Z1443:Z1450" si="4523">CONCATENATE(AG1443,"   →   ",AH1443,"   →   ",AI1443,"   →   ",AJ1443)</f>
        <v>BIO_GSF_MED_C   →   C_GAS_STRG   →   H2_BLND_NG_P   →   H2_FC_DCHP_PWR</v>
      </c>
      <c r="AA1443" t="str">
        <f t="shared" ref="AA1443:AA1450" si="4524">G1443</f>
        <v>Grid electricity</v>
      </c>
      <c r="AB1443" t="str">
        <f t="shared" ref="AB1443:AB1450" si="4525">J1443</f>
        <v>Public acceptability</v>
      </c>
      <c r="AC1443">
        <f t="shared" ref="AC1443:AC1450" ca="1" si="4526">Y1443</f>
        <v>30.24</v>
      </c>
      <c r="AD1443">
        <v>1384</v>
      </c>
      <c r="AE1443" t="str">
        <f>IF(AND(ISNUMBER(SEARCH(O1443,4)),ISNUMBER(SEARCH('(4) FCH pathway assessment'!$B$16,AB1443)),ISNUMBER(SEARCH('(4) FCH pathway assessment'!$B$10,AA1443))),AD1443,"")</f>
        <v/>
      </c>
      <c r="AF1443" t="str">
        <f t="shared" si="4428"/>
        <v/>
      </c>
      <c r="AG1443" t="str">
        <f>VLOOKUP(C1443,Assumptions!$B$116:$C$162,2,FALSE)</f>
        <v>BIO_GSF_MED_C</v>
      </c>
      <c r="AH1443" t="str">
        <f>VLOOKUP(D1443,Assumptions!$B$116:$C$162,2,FALSE)</f>
        <v>C_GAS_STRG</v>
      </c>
      <c r="AI1443" t="str">
        <f>VLOOKUP(E1443,Assumptions!$B$116:$C$162,2,FALSE)</f>
        <v>H2_BLND_NG_P</v>
      </c>
      <c r="AJ1443" t="str">
        <f>VLOOKUP(F1443,Assumptions!$B$116:$C$162,2,FALSE)</f>
        <v>H2_FC_DCHP_PWR</v>
      </c>
    </row>
    <row r="1444" spans="2:36" x14ac:dyDescent="0.25">
      <c r="B1444" t="s">
        <v>117</v>
      </c>
      <c r="C1444" t="s">
        <v>53</v>
      </c>
      <c r="D1444" t="s">
        <v>155</v>
      </c>
      <c r="E1444" t="s">
        <v>122</v>
      </c>
      <c r="F1444" t="s">
        <v>549</v>
      </c>
      <c r="G1444" t="s">
        <v>114</v>
      </c>
      <c r="H1444" t="s">
        <v>433</v>
      </c>
      <c r="I1444" t="s">
        <v>32</v>
      </c>
      <c r="J1444" t="s">
        <v>82</v>
      </c>
      <c r="K1444">
        <f t="shared" si="4513"/>
        <v>0</v>
      </c>
      <c r="L1444">
        <f t="shared" si="4514"/>
        <v>1</v>
      </c>
      <c r="M1444">
        <f t="shared" si="4515"/>
        <v>1</v>
      </c>
      <c r="N1444">
        <f t="shared" si="4516"/>
        <v>0</v>
      </c>
      <c r="O1444">
        <f t="shared" si="4517"/>
        <v>2</v>
      </c>
      <c r="P1444" t="str">
        <f t="shared" si="4518"/>
        <v>Medium centralized biomass gasification-Public acceptability</v>
      </c>
      <c r="Q1444" t="str">
        <f t="shared" si="4519"/>
        <v>Central gas storage-Public acceptability</v>
      </c>
      <c r="R1444" t="str">
        <f t="shared" si="4520"/>
        <v>Hydrogen transmission &amp; distribution pipeline-Public acceptability</v>
      </c>
      <c r="S1444" t="str">
        <f t="shared" si="4521"/>
        <v>District-CHP with H2 fuel cell (power)-Public acceptability</v>
      </c>
      <c r="T1444" s="54">
        <f ca="1">VLOOKUP($P1444,'TA database'!$I$8:$J$79,2,FALSE)</f>
        <v>70</v>
      </c>
      <c r="U1444" s="54">
        <f ca="1">VLOOKUP($Q1444,'TA database'!$I$86:$J$105,2,FALSE)</f>
        <v>60</v>
      </c>
      <c r="V1444" s="54">
        <f ca="1">VLOOKUP($R1444,'TA database'!$I$112:$J$139,2,FALSE)</f>
        <v>70</v>
      </c>
      <c r="W1444" s="54">
        <f>IFERROR(VLOOKUP($S1444,'TA database'!$I$146:$J$193,2,FALSE),0)</f>
        <v>0</v>
      </c>
      <c r="X1444" s="54">
        <f ca="1">IFERROR(VLOOKUP($S1444,'TA database'!$I$200:$J$271,2,FALSE),0)</f>
        <v>80</v>
      </c>
      <c r="Y1444" s="59">
        <f t="shared" ca="1" si="4522"/>
        <v>23.52</v>
      </c>
      <c r="Z1444" t="str">
        <f t="shared" si="4523"/>
        <v>BIO_GSF_MED_C   →   C_GAS_STRG   →   H2_T&amp;D_P   →   H2_FC_DCHP_PWR</v>
      </c>
      <c r="AA1444" t="str">
        <f t="shared" si="4524"/>
        <v>Grid electricity</v>
      </c>
      <c r="AB1444" t="str">
        <f t="shared" si="4525"/>
        <v>Public acceptability</v>
      </c>
      <c r="AC1444">
        <f t="shared" ca="1" si="4526"/>
        <v>23.52</v>
      </c>
      <c r="AD1444">
        <v>1385</v>
      </c>
      <c r="AE1444" t="str">
        <f>IF(AND(ISNUMBER(SEARCH(O1444,4)),ISNUMBER(SEARCH('(4) FCH pathway assessment'!$B$16,AB1444)),ISNUMBER(SEARCH('(4) FCH pathway assessment'!$B$10,AA1444))),AD1444,"")</f>
        <v/>
      </c>
      <c r="AF1444" t="str">
        <f t="shared" si="4428"/>
        <v/>
      </c>
      <c r="AG1444" t="str">
        <f>VLOOKUP(C1444,Assumptions!$B$116:$C$162,2,FALSE)</f>
        <v>BIO_GSF_MED_C</v>
      </c>
      <c r="AH1444" t="str">
        <f>VLOOKUP(D1444,Assumptions!$B$116:$C$162,2,FALSE)</f>
        <v>C_GAS_STRG</v>
      </c>
      <c r="AI1444" t="str">
        <f>VLOOKUP(E1444,Assumptions!$B$116:$C$162,2,FALSE)</f>
        <v>H2_T&amp;D_P</v>
      </c>
      <c r="AJ1444" t="str">
        <f>VLOOKUP(F1444,Assumptions!$B$116:$C$162,2,FALSE)</f>
        <v>H2_FC_DCHP_PWR</v>
      </c>
    </row>
    <row r="1445" spans="2:36" x14ac:dyDescent="0.25">
      <c r="B1445" t="s">
        <v>117</v>
      </c>
      <c r="C1445" t="s">
        <v>53</v>
      </c>
      <c r="D1445" t="s">
        <v>155</v>
      </c>
      <c r="E1445" t="s">
        <v>116</v>
      </c>
      <c r="F1445" t="s">
        <v>549</v>
      </c>
      <c r="G1445" t="s">
        <v>114</v>
      </c>
      <c r="H1445" t="s">
        <v>433</v>
      </c>
      <c r="I1445" t="s">
        <v>32</v>
      </c>
      <c r="J1445" t="s">
        <v>82</v>
      </c>
      <c r="K1445">
        <f t="shared" si="4513"/>
        <v>0</v>
      </c>
      <c r="L1445">
        <f t="shared" si="4514"/>
        <v>1</v>
      </c>
      <c r="M1445">
        <f t="shared" si="4515"/>
        <v>1</v>
      </c>
      <c r="N1445">
        <f t="shared" si="4516"/>
        <v>0</v>
      </c>
      <c r="O1445">
        <f t="shared" si="4517"/>
        <v>2</v>
      </c>
      <c r="P1445" t="str">
        <f t="shared" si="4518"/>
        <v>Medium centralized biomass gasification-Public acceptability</v>
      </c>
      <c r="Q1445" t="str">
        <f t="shared" si="4519"/>
        <v>Central gas storage-Public acceptability</v>
      </c>
      <c r="R1445" t="str">
        <f t="shared" si="4520"/>
        <v>Liquid hydrogen truck-Public acceptability</v>
      </c>
      <c r="S1445" t="str">
        <f t="shared" si="4521"/>
        <v>District-CHP with H2 fuel cell (power)-Public acceptability</v>
      </c>
      <c r="T1445" s="54">
        <f ca="1">VLOOKUP($P1445,'TA database'!$I$8:$J$79,2,FALSE)</f>
        <v>70</v>
      </c>
      <c r="U1445" s="54">
        <f ca="1">VLOOKUP($Q1445,'TA database'!$I$86:$J$105,2,FALSE)</f>
        <v>60</v>
      </c>
      <c r="V1445" s="54">
        <f ca="1">VLOOKUP($R1445,'TA database'!$I$112:$J$139,2,FALSE)</f>
        <v>100</v>
      </c>
      <c r="W1445" s="54">
        <f>IFERROR(VLOOKUP($S1445,'TA database'!$I$146:$J$193,2,FALSE),0)</f>
        <v>0</v>
      </c>
      <c r="X1445" s="54">
        <f ca="1">IFERROR(VLOOKUP($S1445,'TA database'!$I$200:$J$271,2,FALSE),0)</f>
        <v>80</v>
      </c>
      <c r="Y1445" s="59">
        <f t="shared" ca="1" si="4522"/>
        <v>33.6</v>
      </c>
      <c r="Z1445" t="str">
        <f t="shared" si="4523"/>
        <v>BIO_GSF_MED_C   →   C_GAS_STRG   →   LQ_TRUCK   →   H2_FC_DCHP_PWR</v>
      </c>
      <c r="AA1445" t="str">
        <f t="shared" si="4524"/>
        <v>Grid electricity</v>
      </c>
      <c r="AB1445" t="str">
        <f t="shared" si="4525"/>
        <v>Public acceptability</v>
      </c>
      <c r="AC1445">
        <f t="shared" ca="1" si="4526"/>
        <v>33.6</v>
      </c>
      <c r="AD1445">
        <v>1386</v>
      </c>
      <c r="AE1445" t="str">
        <f>IF(AND(ISNUMBER(SEARCH(O1445,4)),ISNUMBER(SEARCH('(4) FCH pathway assessment'!$B$16,AB1445)),ISNUMBER(SEARCH('(4) FCH pathway assessment'!$B$10,AA1445))),AD1445,"")</f>
        <v/>
      </c>
      <c r="AF1445" t="str">
        <f t="shared" si="4428"/>
        <v/>
      </c>
      <c r="AG1445" t="str">
        <f>VLOOKUP(C1445,Assumptions!$B$116:$C$162,2,FALSE)</f>
        <v>BIO_GSF_MED_C</v>
      </c>
      <c r="AH1445" t="str">
        <f>VLOOKUP(D1445,Assumptions!$B$116:$C$162,2,FALSE)</f>
        <v>C_GAS_STRG</v>
      </c>
      <c r="AI1445" t="str">
        <f>VLOOKUP(E1445,Assumptions!$B$116:$C$162,2,FALSE)</f>
        <v>LQ_TRUCK</v>
      </c>
      <c r="AJ1445" t="str">
        <f>VLOOKUP(F1445,Assumptions!$B$116:$C$162,2,FALSE)</f>
        <v>H2_FC_DCHP_PWR</v>
      </c>
    </row>
    <row r="1446" spans="2:36" x14ac:dyDescent="0.25">
      <c r="B1446" t="s">
        <v>117</v>
      </c>
      <c r="C1446" t="s">
        <v>53</v>
      </c>
      <c r="D1446" t="s">
        <v>155</v>
      </c>
      <c r="E1446" t="s">
        <v>66</v>
      </c>
      <c r="F1446" t="s">
        <v>549</v>
      </c>
      <c r="G1446" t="s">
        <v>114</v>
      </c>
      <c r="H1446" t="s">
        <v>433</v>
      </c>
      <c r="I1446" t="s">
        <v>32</v>
      </c>
      <c r="J1446" t="s">
        <v>82</v>
      </c>
      <c r="K1446">
        <f t="shared" si="4513"/>
        <v>0</v>
      </c>
      <c r="L1446">
        <f t="shared" si="4514"/>
        <v>1</v>
      </c>
      <c r="M1446">
        <f t="shared" si="4515"/>
        <v>1</v>
      </c>
      <c r="N1446">
        <f t="shared" si="4516"/>
        <v>0</v>
      </c>
      <c r="O1446">
        <f t="shared" si="4517"/>
        <v>2</v>
      </c>
      <c r="P1446" t="str">
        <f t="shared" si="4518"/>
        <v>Medium centralized biomass gasification-Public acceptability</v>
      </c>
      <c r="Q1446" t="str">
        <f t="shared" si="4519"/>
        <v>Central gas storage-Public acceptability</v>
      </c>
      <c r="R1446" t="str">
        <f t="shared" si="4520"/>
        <v>Onsite-Public acceptability</v>
      </c>
      <c r="S1446" t="str">
        <f t="shared" si="4521"/>
        <v>District-CHP with H2 fuel cell (power)-Public acceptability</v>
      </c>
      <c r="T1446" s="54">
        <f ca="1">VLOOKUP($P1446,'TA database'!$I$8:$J$79,2,FALSE)</f>
        <v>70</v>
      </c>
      <c r="U1446" s="54">
        <f ca="1">VLOOKUP($Q1446,'TA database'!$I$86:$J$105,2,FALSE)</f>
        <v>60</v>
      </c>
      <c r="V1446" s="54">
        <f ca="1">VLOOKUP($R1446,'TA database'!$I$112:$J$139,2,FALSE)</f>
        <v>90</v>
      </c>
      <c r="W1446" s="54">
        <f>IFERROR(VLOOKUP($S1446,'TA database'!$I$146:$J$193,2,FALSE),0)</f>
        <v>0</v>
      </c>
      <c r="X1446" s="54">
        <f ca="1">IFERROR(VLOOKUP($S1446,'TA database'!$I$200:$J$271,2,FALSE),0)</f>
        <v>80</v>
      </c>
      <c r="Y1446" s="59">
        <f t="shared" ca="1" si="4522"/>
        <v>30.24</v>
      </c>
      <c r="Z1446" t="str">
        <f t="shared" si="4523"/>
        <v>BIO_GSF_MED_C   →   C_GAS_STRG   →   ONSITE_USE   →   H2_FC_DCHP_PWR</v>
      </c>
      <c r="AA1446" t="str">
        <f t="shared" si="4524"/>
        <v>Grid electricity</v>
      </c>
      <c r="AB1446" t="str">
        <f t="shared" si="4525"/>
        <v>Public acceptability</v>
      </c>
      <c r="AC1446">
        <f t="shared" ca="1" si="4526"/>
        <v>30.24</v>
      </c>
      <c r="AD1446">
        <v>1387</v>
      </c>
      <c r="AE1446" t="str">
        <f>IF(AND(ISNUMBER(SEARCH(O1446,4)),ISNUMBER(SEARCH('(4) FCH pathway assessment'!$B$16,AB1446)),ISNUMBER(SEARCH('(4) FCH pathway assessment'!$B$10,AA1446))),AD1446,"")</f>
        <v/>
      </c>
      <c r="AF1446" t="str">
        <f t="shared" si="4428"/>
        <v/>
      </c>
      <c r="AG1446" t="str">
        <f>VLOOKUP(C1446,Assumptions!$B$116:$C$162,2,FALSE)</f>
        <v>BIO_GSF_MED_C</v>
      </c>
      <c r="AH1446" t="str">
        <f>VLOOKUP(D1446,Assumptions!$B$116:$C$162,2,FALSE)</f>
        <v>C_GAS_STRG</v>
      </c>
      <c r="AI1446" t="str">
        <f>VLOOKUP(E1446,Assumptions!$B$116:$C$162,2,FALSE)</f>
        <v>ONSITE_USE</v>
      </c>
      <c r="AJ1446" t="str">
        <f>VLOOKUP(F1446,Assumptions!$B$116:$C$162,2,FALSE)</f>
        <v>H2_FC_DCHP_PWR</v>
      </c>
    </row>
    <row r="1447" spans="2:36" x14ac:dyDescent="0.25">
      <c r="B1447" t="s">
        <v>117</v>
      </c>
      <c r="C1447" t="s">
        <v>54</v>
      </c>
      <c r="D1447" t="s">
        <v>155</v>
      </c>
      <c r="E1447" t="s">
        <v>157</v>
      </c>
      <c r="F1447" t="s">
        <v>549</v>
      </c>
      <c r="G1447" t="s">
        <v>114</v>
      </c>
      <c r="H1447" t="s">
        <v>433</v>
      </c>
      <c r="I1447" t="s">
        <v>32</v>
      </c>
      <c r="J1447" t="s">
        <v>82</v>
      </c>
      <c r="K1447">
        <f t="shared" si="4513"/>
        <v>0</v>
      </c>
      <c r="L1447">
        <f t="shared" si="4514"/>
        <v>1</v>
      </c>
      <c r="M1447">
        <f t="shared" si="4515"/>
        <v>0</v>
      </c>
      <c r="N1447">
        <f t="shared" si="4516"/>
        <v>0</v>
      </c>
      <c r="O1447">
        <f t="shared" si="4517"/>
        <v>1</v>
      </c>
      <c r="P1447" t="str">
        <f t="shared" si="4518"/>
        <v>Medium centralized biomass gasification w/ CCS-Public acceptability</v>
      </c>
      <c r="Q1447" t="str">
        <f t="shared" si="4519"/>
        <v>Central gas storage-Public acceptability</v>
      </c>
      <c r="R1447" t="str">
        <f t="shared" si="4520"/>
        <v>Blending in natural gas pipeline-Public acceptability</v>
      </c>
      <c r="S1447" t="str">
        <f t="shared" si="4521"/>
        <v>District-CHP with H2 fuel cell (power)-Public acceptability</v>
      </c>
      <c r="T1447" s="54">
        <f ca="1">VLOOKUP($P1447,'TA database'!$I$8:$J$79,2,FALSE)</f>
        <v>60</v>
      </c>
      <c r="U1447" s="54">
        <f ca="1">VLOOKUP($Q1447,'TA database'!$I$86:$J$105,2,FALSE)</f>
        <v>60</v>
      </c>
      <c r="V1447" s="54">
        <f ca="1">VLOOKUP($R1447,'TA database'!$I$112:$J$139,2,FALSE)</f>
        <v>90</v>
      </c>
      <c r="W1447" s="54">
        <f>IFERROR(VLOOKUP($S1447,'TA database'!$I$146:$J$193,2,FALSE),0)</f>
        <v>0</v>
      </c>
      <c r="X1447" s="54">
        <f ca="1">IFERROR(VLOOKUP($S1447,'TA database'!$I$200:$J$271,2,FALSE),0)</f>
        <v>80</v>
      </c>
      <c r="Y1447" s="59">
        <f t="shared" ref="Y1447:Y1451" ca="1" si="4527">IF($W1447=0,(PRODUCT($T1447:$V1447,$X1447))/1000000,(PRODUCT($T1447:$W1447))/1000000)</f>
        <v>25.92</v>
      </c>
      <c r="Z1447" t="str">
        <f t="shared" si="4523"/>
        <v>BIO_GSF_CCS_MED_C   →   C_GAS_STRG   →   H2_BLND_NG_P   →   H2_FC_DCHP_PWR</v>
      </c>
      <c r="AA1447" t="str">
        <f t="shared" si="4524"/>
        <v>Grid electricity</v>
      </c>
      <c r="AB1447" t="str">
        <f t="shared" si="4525"/>
        <v>Public acceptability</v>
      </c>
      <c r="AC1447">
        <f t="shared" ca="1" si="4526"/>
        <v>25.92</v>
      </c>
      <c r="AD1447">
        <v>1388</v>
      </c>
      <c r="AE1447" t="str">
        <f>IF(AND(ISNUMBER(SEARCH(O1447,4)),ISNUMBER(SEARCH('(4) FCH pathway assessment'!$B$16,AB1447)),ISNUMBER(SEARCH('(4) FCH pathway assessment'!$B$10,AA1447))),AD1447,"")</f>
        <v/>
      </c>
      <c r="AF1447" t="str">
        <f t="shared" si="4428"/>
        <v/>
      </c>
      <c r="AG1447" t="str">
        <f>VLOOKUP(C1447,Assumptions!$B$116:$C$162,2,FALSE)</f>
        <v>BIO_GSF_CCS_MED_C</v>
      </c>
      <c r="AH1447" t="str">
        <f>VLOOKUP(D1447,Assumptions!$B$116:$C$162,2,FALSE)</f>
        <v>C_GAS_STRG</v>
      </c>
      <c r="AI1447" t="str">
        <f>VLOOKUP(E1447,Assumptions!$B$116:$C$162,2,FALSE)</f>
        <v>H2_BLND_NG_P</v>
      </c>
      <c r="AJ1447" t="str">
        <f>VLOOKUP(F1447,Assumptions!$B$116:$C$162,2,FALSE)</f>
        <v>H2_FC_DCHP_PWR</v>
      </c>
    </row>
    <row r="1448" spans="2:36" x14ac:dyDescent="0.25">
      <c r="B1448" t="s">
        <v>117</v>
      </c>
      <c r="C1448" t="s">
        <v>54</v>
      </c>
      <c r="D1448" t="s">
        <v>155</v>
      </c>
      <c r="E1448" t="s">
        <v>122</v>
      </c>
      <c r="F1448" t="s">
        <v>549</v>
      </c>
      <c r="G1448" t="s">
        <v>114</v>
      </c>
      <c r="H1448" t="s">
        <v>433</v>
      </c>
      <c r="I1448" t="s">
        <v>32</v>
      </c>
      <c r="J1448" t="s">
        <v>82</v>
      </c>
      <c r="K1448">
        <f t="shared" si="4513"/>
        <v>0</v>
      </c>
      <c r="L1448">
        <f t="shared" si="4514"/>
        <v>1</v>
      </c>
      <c r="M1448">
        <f t="shared" si="4515"/>
        <v>1</v>
      </c>
      <c r="N1448">
        <f t="shared" si="4516"/>
        <v>0</v>
      </c>
      <c r="O1448">
        <f t="shared" si="4517"/>
        <v>2</v>
      </c>
      <c r="P1448" t="str">
        <f t="shared" si="4518"/>
        <v>Medium centralized biomass gasification w/ CCS-Public acceptability</v>
      </c>
      <c r="Q1448" t="str">
        <f t="shared" si="4519"/>
        <v>Central gas storage-Public acceptability</v>
      </c>
      <c r="R1448" t="str">
        <f t="shared" si="4520"/>
        <v>Hydrogen transmission &amp; distribution pipeline-Public acceptability</v>
      </c>
      <c r="S1448" t="str">
        <f t="shared" si="4521"/>
        <v>District-CHP with H2 fuel cell (power)-Public acceptability</v>
      </c>
      <c r="T1448" s="54">
        <f ca="1">VLOOKUP($P1448,'TA database'!$I$8:$J$79,2,FALSE)</f>
        <v>60</v>
      </c>
      <c r="U1448" s="54">
        <f ca="1">VLOOKUP($Q1448,'TA database'!$I$86:$J$105,2,FALSE)</f>
        <v>60</v>
      </c>
      <c r="V1448" s="54">
        <f ca="1">VLOOKUP($R1448,'TA database'!$I$112:$J$139,2,FALSE)</f>
        <v>70</v>
      </c>
      <c r="W1448" s="54">
        <f>IFERROR(VLOOKUP($S1448,'TA database'!$I$146:$J$193,2,FALSE),0)</f>
        <v>0</v>
      </c>
      <c r="X1448" s="54">
        <f ca="1">IFERROR(VLOOKUP($S1448,'TA database'!$I$200:$J$271,2,FALSE),0)</f>
        <v>80</v>
      </c>
      <c r="Y1448" s="59">
        <f t="shared" ca="1" si="4527"/>
        <v>20.16</v>
      </c>
      <c r="Z1448" t="str">
        <f t="shared" si="4523"/>
        <v>BIO_GSF_CCS_MED_C   →   C_GAS_STRG   →   H2_T&amp;D_P   →   H2_FC_DCHP_PWR</v>
      </c>
      <c r="AA1448" t="str">
        <f t="shared" si="4524"/>
        <v>Grid electricity</v>
      </c>
      <c r="AB1448" t="str">
        <f t="shared" si="4525"/>
        <v>Public acceptability</v>
      </c>
      <c r="AC1448">
        <f t="shared" ca="1" si="4526"/>
        <v>20.16</v>
      </c>
      <c r="AD1448">
        <v>1389</v>
      </c>
      <c r="AE1448" t="str">
        <f>IF(AND(ISNUMBER(SEARCH(O1448,4)),ISNUMBER(SEARCH('(4) FCH pathway assessment'!$B$16,AB1448)),ISNUMBER(SEARCH('(4) FCH pathway assessment'!$B$10,AA1448))),AD1448,"")</f>
        <v/>
      </c>
      <c r="AF1448" t="str">
        <f t="shared" si="4428"/>
        <v/>
      </c>
      <c r="AG1448" t="str">
        <f>VLOOKUP(C1448,Assumptions!$B$116:$C$162,2,FALSE)</f>
        <v>BIO_GSF_CCS_MED_C</v>
      </c>
      <c r="AH1448" t="str">
        <f>VLOOKUP(D1448,Assumptions!$B$116:$C$162,2,FALSE)</f>
        <v>C_GAS_STRG</v>
      </c>
      <c r="AI1448" t="str">
        <f>VLOOKUP(E1448,Assumptions!$B$116:$C$162,2,FALSE)</f>
        <v>H2_T&amp;D_P</v>
      </c>
      <c r="AJ1448" t="str">
        <f>VLOOKUP(F1448,Assumptions!$B$116:$C$162,2,FALSE)</f>
        <v>H2_FC_DCHP_PWR</v>
      </c>
    </row>
    <row r="1449" spans="2:36" x14ac:dyDescent="0.25">
      <c r="B1449" t="s">
        <v>117</v>
      </c>
      <c r="C1449" t="s">
        <v>54</v>
      </c>
      <c r="D1449" t="s">
        <v>155</v>
      </c>
      <c r="E1449" t="s">
        <v>116</v>
      </c>
      <c r="F1449" t="s">
        <v>549</v>
      </c>
      <c r="G1449" t="s">
        <v>114</v>
      </c>
      <c r="H1449" t="s">
        <v>433</v>
      </c>
      <c r="I1449" t="s">
        <v>32</v>
      </c>
      <c r="J1449" t="s">
        <v>82</v>
      </c>
      <c r="K1449">
        <f t="shared" si="4513"/>
        <v>0</v>
      </c>
      <c r="L1449">
        <f t="shared" si="4514"/>
        <v>1</v>
      </c>
      <c r="M1449">
        <f t="shared" si="4515"/>
        <v>1</v>
      </c>
      <c r="N1449">
        <f t="shared" si="4516"/>
        <v>0</v>
      </c>
      <c r="O1449">
        <f t="shared" si="4517"/>
        <v>2</v>
      </c>
      <c r="P1449" t="str">
        <f t="shared" si="4518"/>
        <v>Medium centralized biomass gasification w/ CCS-Public acceptability</v>
      </c>
      <c r="Q1449" t="str">
        <f t="shared" si="4519"/>
        <v>Central gas storage-Public acceptability</v>
      </c>
      <c r="R1449" t="str">
        <f t="shared" si="4520"/>
        <v>Liquid hydrogen truck-Public acceptability</v>
      </c>
      <c r="S1449" t="str">
        <f t="shared" si="4521"/>
        <v>District-CHP with H2 fuel cell (power)-Public acceptability</v>
      </c>
      <c r="T1449" s="54">
        <f ca="1">VLOOKUP($P1449,'TA database'!$I$8:$J$79,2,FALSE)</f>
        <v>60</v>
      </c>
      <c r="U1449" s="54">
        <f ca="1">VLOOKUP($Q1449,'TA database'!$I$86:$J$105,2,FALSE)</f>
        <v>60</v>
      </c>
      <c r="V1449" s="54">
        <f ca="1">VLOOKUP($R1449,'TA database'!$I$112:$J$139,2,FALSE)</f>
        <v>100</v>
      </c>
      <c r="W1449" s="54">
        <f>IFERROR(VLOOKUP($S1449,'TA database'!$I$146:$J$193,2,FALSE),0)</f>
        <v>0</v>
      </c>
      <c r="X1449" s="54">
        <f ca="1">IFERROR(VLOOKUP($S1449,'TA database'!$I$200:$J$271,2,FALSE),0)</f>
        <v>80</v>
      </c>
      <c r="Y1449" s="59">
        <f t="shared" ca="1" si="4527"/>
        <v>28.8</v>
      </c>
      <c r="Z1449" t="str">
        <f t="shared" si="4523"/>
        <v>BIO_GSF_CCS_MED_C   →   C_GAS_STRG   →   LQ_TRUCK   →   H2_FC_DCHP_PWR</v>
      </c>
      <c r="AA1449" t="str">
        <f t="shared" si="4524"/>
        <v>Grid electricity</v>
      </c>
      <c r="AB1449" t="str">
        <f t="shared" si="4525"/>
        <v>Public acceptability</v>
      </c>
      <c r="AC1449">
        <f t="shared" ca="1" si="4526"/>
        <v>28.8</v>
      </c>
      <c r="AD1449">
        <v>1390</v>
      </c>
      <c r="AE1449" t="str">
        <f>IF(AND(ISNUMBER(SEARCH(O1449,4)),ISNUMBER(SEARCH('(4) FCH pathway assessment'!$B$16,AB1449)),ISNUMBER(SEARCH('(4) FCH pathway assessment'!$B$10,AA1449))),AD1449,"")</f>
        <v/>
      </c>
      <c r="AF1449" t="str">
        <f t="shared" si="4428"/>
        <v/>
      </c>
      <c r="AG1449" t="str">
        <f>VLOOKUP(C1449,Assumptions!$B$116:$C$162,2,FALSE)</f>
        <v>BIO_GSF_CCS_MED_C</v>
      </c>
      <c r="AH1449" t="str">
        <f>VLOOKUP(D1449,Assumptions!$B$116:$C$162,2,FALSE)</f>
        <v>C_GAS_STRG</v>
      </c>
      <c r="AI1449" t="str">
        <f>VLOOKUP(E1449,Assumptions!$B$116:$C$162,2,FALSE)</f>
        <v>LQ_TRUCK</v>
      </c>
      <c r="AJ1449" t="str">
        <f>VLOOKUP(F1449,Assumptions!$B$116:$C$162,2,FALSE)</f>
        <v>H2_FC_DCHP_PWR</v>
      </c>
    </row>
    <row r="1450" spans="2:36" x14ac:dyDescent="0.25">
      <c r="B1450" t="s">
        <v>117</v>
      </c>
      <c r="C1450" t="s">
        <v>54</v>
      </c>
      <c r="D1450" t="s">
        <v>155</v>
      </c>
      <c r="E1450" t="s">
        <v>66</v>
      </c>
      <c r="F1450" t="s">
        <v>549</v>
      </c>
      <c r="G1450" t="s">
        <v>114</v>
      </c>
      <c r="H1450" t="s">
        <v>433</v>
      </c>
      <c r="I1450" t="s">
        <v>32</v>
      </c>
      <c r="J1450" t="s">
        <v>82</v>
      </c>
      <c r="K1450">
        <f t="shared" si="4513"/>
        <v>0</v>
      </c>
      <c r="L1450">
        <f t="shared" si="4514"/>
        <v>1</v>
      </c>
      <c r="M1450">
        <f t="shared" si="4515"/>
        <v>1</v>
      </c>
      <c r="N1450">
        <f t="shared" si="4516"/>
        <v>0</v>
      </c>
      <c r="O1450">
        <f t="shared" si="4517"/>
        <v>2</v>
      </c>
      <c r="P1450" t="str">
        <f t="shared" si="4518"/>
        <v>Medium centralized biomass gasification w/ CCS-Public acceptability</v>
      </c>
      <c r="Q1450" t="str">
        <f t="shared" si="4519"/>
        <v>Central gas storage-Public acceptability</v>
      </c>
      <c r="R1450" t="str">
        <f t="shared" si="4520"/>
        <v>Onsite-Public acceptability</v>
      </c>
      <c r="S1450" t="str">
        <f t="shared" si="4521"/>
        <v>District-CHP with H2 fuel cell (power)-Public acceptability</v>
      </c>
      <c r="T1450" s="54">
        <f ca="1">VLOOKUP($P1450,'TA database'!$I$8:$J$79,2,FALSE)</f>
        <v>60</v>
      </c>
      <c r="U1450" s="54">
        <f ca="1">VLOOKUP($Q1450,'TA database'!$I$86:$J$105,2,FALSE)</f>
        <v>60</v>
      </c>
      <c r="V1450" s="54">
        <f ca="1">VLOOKUP($R1450,'TA database'!$I$112:$J$139,2,FALSE)</f>
        <v>90</v>
      </c>
      <c r="W1450" s="54">
        <f>IFERROR(VLOOKUP($S1450,'TA database'!$I$146:$J$193,2,FALSE),0)</f>
        <v>0</v>
      </c>
      <c r="X1450" s="54">
        <f ca="1">IFERROR(VLOOKUP($S1450,'TA database'!$I$200:$J$271,2,FALSE),0)</f>
        <v>80</v>
      </c>
      <c r="Y1450" s="59">
        <f t="shared" ca="1" si="4527"/>
        <v>25.92</v>
      </c>
      <c r="Z1450" t="str">
        <f t="shared" si="4523"/>
        <v>BIO_GSF_CCS_MED_C   →   C_GAS_STRG   →   ONSITE_USE   →   H2_FC_DCHP_PWR</v>
      </c>
      <c r="AA1450" t="str">
        <f t="shared" si="4524"/>
        <v>Grid electricity</v>
      </c>
      <c r="AB1450" t="str">
        <f t="shared" si="4525"/>
        <v>Public acceptability</v>
      </c>
      <c r="AC1450">
        <f t="shared" ca="1" si="4526"/>
        <v>25.92</v>
      </c>
      <c r="AD1450">
        <v>1391</v>
      </c>
      <c r="AE1450" t="str">
        <f>IF(AND(ISNUMBER(SEARCH(O1450,4)),ISNUMBER(SEARCH('(4) FCH pathway assessment'!$B$16,AB1450)),ISNUMBER(SEARCH('(4) FCH pathway assessment'!$B$10,AA1450))),AD1450,"")</f>
        <v/>
      </c>
      <c r="AF1450" t="str">
        <f t="shared" si="4428"/>
        <v/>
      </c>
      <c r="AG1450" t="str">
        <f>VLOOKUP(C1450,Assumptions!$B$116:$C$162,2,FALSE)</f>
        <v>BIO_GSF_CCS_MED_C</v>
      </c>
      <c r="AH1450" t="str">
        <f>VLOOKUP(D1450,Assumptions!$B$116:$C$162,2,FALSE)</f>
        <v>C_GAS_STRG</v>
      </c>
      <c r="AI1450" t="str">
        <f>VLOOKUP(E1450,Assumptions!$B$116:$C$162,2,FALSE)</f>
        <v>ONSITE_USE</v>
      </c>
      <c r="AJ1450" t="str">
        <f>VLOOKUP(F1450,Assumptions!$B$116:$C$162,2,FALSE)</f>
        <v>H2_FC_DCHP_PWR</v>
      </c>
    </row>
    <row r="1451" spans="2:36" x14ac:dyDescent="0.25">
      <c r="B1451" t="s">
        <v>117</v>
      </c>
      <c r="C1451" t="s">
        <v>55</v>
      </c>
      <c r="D1451" s="60" t="s">
        <v>130</v>
      </c>
      <c r="E1451" t="s">
        <v>66</v>
      </c>
      <c r="F1451" t="s">
        <v>549</v>
      </c>
      <c r="G1451" t="s">
        <v>114</v>
      </c>
      <c r="H1451" t="s">
        <v>433</v>
      </c>
      <c r="I1451" t="s">
        <v>32</v>
      </c>
      <c r="J1451" t="s">
        <v>82</v>
      </c>
      <c r="K1451">
        <f t="shared" ref="K1451:K1455" si="4528">SUMPRODUCT(($C$7:$C$18=$C1451)*($D$6:$H$6=$D1451)*($D$7:$H$18))</f>
        <v>0</v>
      </c>
      <c r="L1451">
        <f t="shared" ref="L1451:L1455" si="4529">SUMPRODUCT(($C$19:$C$23=$D1451)*($I$6:$O$6=$E1451)*($I$19:$O$23))</f>
        <v>1</v>
      </c>
      <c r="M1451">
        <f t="shared" ref="M1451:M1455" si="4530">SUMPRODUCT(($C$24:$C$30=$E1451)*($P$6:$AI$6=$F1451)*($P$24:$AI$30))</f>
        <v>1</v>
      </c>
      <c r="N1451">
        <f t="shared" ref="N1451:N1455" si="4531">SUMPRODUCT(($C$31:$C$50=$F1451)*($AJ$6:$AM$6=$G1451)*($AJ$31:$AM$50))</f>
        <v>0</v>
      </c>
      <c r="O1451">
        <f t="shared" ref="O1451:O1455" si="4532">K1451+L1451+M1451+N1451</f>
        <v>2</v>
      </c>
      <c r="P1451" t="str">
        <f t="shared" ref="P1451:P1455" si="4533">CONCATENATE(C1451,"-",J1451)</f>
        <v>Small decentralized biomass gasification-Public acceptability</v>
      </c>
      <c r="Q1451" t="str">
        <f t="shared" ref="Q1451:Q1455" si="4534">CONCATENATE(D1451,"-",J1451)</f>
        <v>Distributed gas storage-Public acceptability</v>
      </c>
      <c r="R1451" t="str">
        <f t="shared" ref="R1451:R1455" si="4535">CONCATENATE(E1451,"-",J1451)</f>
        <v>Onsite-Public acceptability</v>
      </c>
      <c r="S1451" t="str">
        <f t="shared" ref="S1451:S1455" si="4536">CONCATENATE(F1451,"-",J1451)</f>
        <v>District-CHP with H2 fuel cell (power)-Public acceptability</v>
      </c>
      <c r="T1451" s="54">
        <f ca="1">VLOOKUP($P1451,'TA database'!$I$8:$J$79,2,FALSE)</f>
        <v>70</v>
      </c>
      <c r="U1451" s="54">
        <f ca="1">VLOOKUP($Q1451,'TA database'!$I$86:$J$105,2,FALSE)</f>
        <v>60</v>
      </c>
      <c r="V1451" s="54">
        <f ca="1">VLOOKUP($R1451,'TA database'!$I$112:$J$139,2,FALSE)</f>
        <v>90</v>
      </c>
      <c r="W1451" s="54">
        <f>IFERROR(VLOOKUP($S1451,'TA database'!$I$146:$J$193,2,FALSE),0)</f>
        <v>0</v>
      </c>
      <c r="X1451" s="54">
        <f ca="1">IFERROR(VLOOKUP($S1451,'TA database'!$I$200:$J$271,2,FALSE),0)</f>
        <v>80</v>
      </c>
      <c r="Y1451" s="59">
        <f t="shared" ca="1" si="4527"/>
        <v>30.24</v>
      </c>
      <c r="Z1451" t="str">
        <f t="shared" ref="Z1451:Z1455" si="4537">CONCATENATE(AG1451,"   →   ",AH1451,"   →   ",AI1451,"   →   ",AJ1451)</f>
        <v>BIO_GSF_SML_D   →   D_GAS_STRG   →   ONSITE_USE   →   H2_FC_DCHP_PWR</v>
      </c>
      <c r="AA1451" t="str">
        <f t="shared" ref="AA1451:AA1455" si="4538">G1451</f>
        <v>Grid electricity</v>
      </c>
      <c r="AB1451" t="str">
        <f t="shared" ref="AB1451:AB1455" si="4539">J1451</f>
        <v>Public acceptability</v>
      </c>
      <c r="AC1451">
        <f t="shared" ref="AC1451:AC1455" ca="1" si="4540">Y1451</f>
        <v>30.24</v>
      </c>
      <c r="AD1451">
        <v>1392</v>
      </c>
      <c r="AE1451" t="str">
        <f>IF(AND(ISNUMBER(SEARCH(O1451,4)),ISNUMBER(SEARCH('(4) FCH pathway assessment'!$B$16,AB1451)),ISNUMBER(SEARCH('(4) FCH pathway assessment'!$B$10,AA1451))),AD1451,"")</f>
        <v/>
      </c>
      <c r="AF1451" t="str">
        <f t="shared" si="4428"/>
        <v/>
      </c>
      <c r="AG1451" t="str">
        <f>VLOOKUP(C1451,Assumptions!$B$116:$C$162,2,FALSE)</f>
        <v>BIO_GSF_SML_D</v>
      </c>
      <c r="AH1451" t="str">
        <f>VLOOKUP(D1451,Assumptions!$B$116:$C$162,2,FALSE)</f>
        <v>D_GAS_STRG</v>
      </c>
      <c r="AI1451" t="str">
        <f>VLOOKUP(E1451,Assumptions!$B$116:$C$162,2,FALSE)</f>
        <v>ONSITE_USE</v>
      </c>
      <c r="AJ1451" t="str">
        <f>VLOOKUP(F1451,Assumptions!$B$116:$C$162,2,FALSE)</f>
        <v>H2_FC_DCHP_PWR</v>
      </c>
    </row>
    <row r="1452" spans="2:36" x14ac:dyDescent="0.25">
      <c r="B1452" t="s">
        <v>117</v>
      </c>
      <c r="C1452" t="s">
        <v>56</v>
      </c>
      <c r="D1452" t="s">
        <v>62</v>
      </c>
      <c r="E1452" t="s">
        <v>157</v>
      </c>
      <c r="F1452" t="s">
        <v>549</v>
      </c>
      <c r="G1452" t="s">
        <v>114</v>
      </c>
      <c r="H1452" t="s">
        <v>433</v>
      </c>
      <c r="I1452" t="s">
        <v>32</v>
      </c>
      <c r="J1452" t="s">
        <v>82</v>
      </c>
      <c r="K1452">
        <f t="shared" si="4528"/>
        <v>0</v>
      </c>
      <c r="L1452">
        <f t="shared" si="4529"/>
        <v>0</v>
      </c>
      <c r="M1452">
        <f t="shared" si="4530"/>
        <v>0</v>
      </c>
      <c r="N1452">
        <f t="shared" si="4531"/>
        <v>0</v>
      </c>
      <c r="O1452">
        <f t="shared" si="4532"/>
        <v>0</v>
      </c>
      <c r="P1452" t="str">
        <f t="shared" si="4533"/>
        <v>Large centralized biomass steam reforming -Public acceptability</v>
      </c>
      <c r="Q1452" t="str">
        <f t="shared" si="4534"/>
        <v>Underground storage-Public acceptability</v>
      </c>
      <c r="R1452" t="str">
        <f t="shared" si="4535"/>
        <v>Blending in natural gas pipeline-Public acceptability</v>
      </c>
      <c r="S1452" t="str">
        <f t="shared" si="4536"/>
        <v>District-CHP with H2 fuel cell (power)-Public acceptability</v>
      </c>
      <c r="T1452" s="54">
        <f ca="1">VLOOKUP($P1452,'TA database'!$I$8:$J$79,2,FALSE)</f>
        <v>80</v>
      </c>
      <c r="U1452" s="54">
        <f ca="1">VLOOKUP($Q1452,'TA database'!$I$86:$J$105,2,FALSE)</f>
        <v>60</v>
      </c>
      <c r="V1452" s="54">
        <f ca="1">VLOOKUP($R1452,'TA database'!$I$112:$J$139,2,FALSE)</f>
        <v>90</v>
      </c>
      <c r="W1452" s="54">
        <f>IFERROR(VLOOKUP($S1452,'TA database'!$I$146:$J$193,2,FALSE),0)</f>
        <v>0</v>
      </c>
      <c r="X1452" s="54">
        <f ca="1">IFERROR(VLOOKUP($S1452,'TA database'!$I$200:$J$271,2,FALSE),0)</f>
        <v>80</v>
      </c>
      <c r="Y1452" s="59">
        <f t="shared" ref="Y1452:Y1464" ca="1" si="4541">IF($W1452=0,(PRODUCT($T1452:$V1452,$X1452))/1000000,(PRODUCT($T1452:$W1452))/1000000)</f>
        <v>34.56</v>
      </c>
      <c r="Z1452" t="str">
        <f t="shared" si="4537"/>
        <v>BIO_SR_LRG_C   →   C_UNDRGRND_STRG   →   H2_BLND_NG_P   →   H2_FC_DCHP_PWR</v>
      </c>
      <c r="AA1452" t="str">
        <f t="shared" si="4538"/>
        <v>Grid electricity</v>
      </c>
      <c r="AB1452" t="str">
        <f t="shared" si="4539"/>
        <v>Public acceptability</v>
      </c>
      <c r="AC1452">
        <f t="shared" ca="1" si="4540"/>
        <v>34.56</v>
      </c>
      <c r="AD1452">
        <v>1393</v>
      </c>
      <c r="AE1452" t="str">
        <f>IF(AND(ISNUMBER(SEARCH(O1452,4)),ISNUMBER(SEARCH('(4) FCH pathway assessment'!$B$16,AB1452)),ISNUMBER(SEARCH('(4) FCH pathway assessment'!$B$10,AA1452))),AD1452,"")</f>
        <v/>
      </c>
      <c r="AF1452" t="str">
        <f t="shared" si="4428"/>
        <v/>
      </c>
      <c r="AG1452" t="str">
        <f>VLOOKUP(C1452,Assumptions!$B$116:$C$162,2,FALSE)</f>
        <v>BIO_SR_LRG_C</v>
      </c>
      <c r="AH1452" t="str">
        <f>VLOOKUP(D1452,Assumptions!$B$116:$C$162,2,FALSE)</f>
        <v>C_UNDRGRND_STRG</v>
      </c>
      <c r="AI1452" t="str">
        <f>VLOOKUP(E1452,Assumptions!$B$116:$C$162,2,FALSE)</f>
        <v>H2_BLND_NG_P</v>
      </c>
      <c r="AJ1452" t="str">
        <f>VLOOKUP(F1452,Assumptions!$B$116:$C$162,2,FALSE)</f>
        <v>H2_FC_DCHP_PWR</v>
      </c>
    </row>
    <row r="1453" spans="2:36" x14ac:dyDescent="0.25">
      <c r="B1453" t="s">
        <v>117</v>
      </c>
      <c r="C1453" t="s">
        <v>56</v>
      </c>
      <c r="D1453" t="s">
        <v>62</v>
      </c>
      <c r="E1453" t="s">
        <v>122</v>
      </c>
      <c r="F1453" t="s">
        <v>549</v>
      </c>
      <c r="G1453" t="s">
        <v>114</v>
      </c>
      <c r="H1453" t="s">
        <v>433</v>
      </c>
      <c r="I1453" t="s">
        <v>32</v>
      </c>
      <c r="J1453" t="s">
        <v>82</v>
      </c>
      <c r="K1453">
        <f t="shared" si="4528"/>
        <v>0</v>
      </c>
      <c r="L1453">
        <f t="shared" si="4529"/>
        <v>0</v>
      </c>
      <c r="M1453">
        <f t="shared" si="4530"/>
        <v>1</v>
      </c>
      <c r="N1453">
        <f t="shared" si="4531"/>
        <v>0</v>
      </c>
      <c r="O1453">
        <f t="shared" si="4532"/>
        <v>1</v>
      </c>
      <c r="P1453" t="str">
        <f t="shared" si="4533"/>
        <v>Large centralized biomass steam reforming -Public acceptability</v>
      </c>
      <c r="Q1453" t="str">
        <f t="shared" si="4534"/>
        <v>Underground storage-Public acceptability</v>
      </c>
      <c r="R1453" t="str">
        <f t="shared" si="4535"/>
        <v>Hydrogen transmission &amp; distribution pipeline-Public acceptability</v>
      </c>
      <c r="S1453" t="str">
        <f t="shared" si="4536"/>
        <v>District-CHP with H2 fuel cell (power)-Public acceptability</v>
      </c>
      <c r="T1453" s="54">
        <f ca="1">VLOOKUP($P1453,'TA database'!$I$8:$J$79,2,FALSE)</f>
        <v>80</v>
      </c>
      <c r="U1453" s="54">
        <f ca="1">VLOOKUP($Q1453,'TA database'!$I$86:$J$105,2,FALSE)</f>
        <v>60</v>
      </c>
      <c r="V1453" s="54">
        <f ca="1">VLOOKUP($R1453,'TA database'!$I$112:$J$139,2,FALSE)</f>
        <v>70</v>
      </c>
      <c r="W1453" s="54">
        <f>IFERROR(VLOOKUP($S1453,'TA database'!$I$146:$J$193,2,FALSE),0)</f>
        <v>0</v>
      </c>
      <c r="X1453" s="54">
        <f ca="1">IFERROR(VLOOKUP($S1453,'TA database'!$I$200:$J$271,2,FALSE),0)</f>
        <v>80</v>
      </c>
      <c r="Y1453" s="59">
        <f t="shared" ca="1" si="4541"/>
        <v>26.88</v>
      </c>
      <c r="Z1453" t="str">
        <f t="shared" si="4537"/>
        <v>BIO_SR_LRG_C   →   C_UNDRGRND_STRG   →   H2_T&amp;D_P   →   H2_FC_DCHP_PWR</v>
      </c>
      <c r="AA1453" t="str">
        <f t="shared" si="4538"/>
        <v>Grid electricity</v>
      </c>
      <c r="AB1453" t="str">
        <f t="shared" si="4539"/>
        <v>Public acceptability</v>
      </c>
      <c r="AC1453">
        <f t="shared" ca="1" si="4540"/>
        <v>26.88</v>
      </c>
      <c r="AD1453">
        <v>1394</v>
      </c>
      <c r="AE1453" t="str">
        <f>IF(AND(ISNUMBER(SEARCH(O1453,4)),ISNUMBER(SEARCH('(4) FCH pathway assessment'!$B$16,AB1453)),ISNUMBER(SEARCH('(4) FCH pathway assessment'!$B$10,AA1453))),AD1453,"")</f>
        <v/>
      </c>
      <c r="AF1453" t="str">
        <f t="shared" si="4428"/>
        <v/>
      </c>
      <c r="AG1453" t="str">
        <f>VLOOKUP(C1453,Assumptions!$B$116:$C$162,2,FALSE)</f>
        <v>BIO_SR_LRG_C</v>
      </c>
      <c r="AH1453" t="str">
        <f>VLOOKUP(D1453,Assumptions!$B$116:$C$162,2,FALSE)</f>
        <v>C_UNDRGRND_STRG</v>
      </c>
      <c r="AI1453" t="str">
        <f>VLOOKUP(E1453,Assumptions!$B$116:$C$162,2,FALSE)</f>
        <v>H2_T&amp;D_P</v>
      </c>
      <c r="AJ1453" t="str">
        <f>VLOOKUP(F1453,Assumptions!$B$116:$C$162,2,FALSE)</f>
        <v>H2_FC_DCHP_PWR</v>
      </c>
    </row>
    <row r="1454" spans="2:36" x14ac:dyDescent="0.25">
      <c r="B1454" t="s">
        <v>117</v>
      </c>
      <c r="C1454" t="s">
        <v>56</v>
      </c>
      <c r="D1454" t="s">
        <v>62</v>
      </c>
      <c r="E1454" t="s">
        <v>116</v>
      </c>
      <c r="F1454" t="s">
        <v>549</v>
      </c>
      <c r="G1454" t="s">
        <v>114</v>
      </c>
      <c r="H1454" t="s">
        <v>433</v>
      </c>
      <c r="I1454" t="s">
        <v>32</v>
      </c>
      <c r="J1454" t="s">
        <v>82</v>
      </c>
      <c r="K1454">
        <f t="shared" si="4528"/>
        <v>0</v>
      </c>
      <c r="L1454">
        <f t="shared" si="4529"/>
        <v>0</v>
      </c>
      <c r="M1454">
        <f t="shared" si="4530"/>
        <v>1</v>
      </c>
      <c r="N1454">
        <f t="shared" si="4531"/>
        <v>0</v>
      </c>
      <c r="O1454">
        <f t="shared" si="4532"/>
        <v>1</v>
      </c>
      <c r="P1454" t="str">
        <f t="shared" si="4533"/>
        <v>Large centralized biomass steam reforming -Public acceptability</v>
      </c>
      <c r="Q1454" t="str">
        <f t="shared" si="4534"/>
        <v>Underground storage-Public acceptability</v>
      </c>
      <c r="R1454" t="str">
        <f t="shared" si="4535"/>
        <v>Liquid hydrogen truck-Public acceptability</v>
      </c>
      <c r="S1454" t="str">
        <f t="shared" si="4536"/>
        <v>District-CHP with H2 fuel cell (power)-Public acceptability</v>
      </c>
      <c r="T1454" s="54">
        <f ca="1">VLOOKUP($P1454,'TA database'!$I$8:$J$79,2,FALSE)</f>
        <v>80</v>
      </c>
      <c r="U1454" s="54">
        <f ca="1">VLOOKUP($Q1454,'TA database'!$I$86:$J$105,2,FALSE)</f>
        <v>60</v>
      </c>
      <c r="V1454" s="54">
        <f ca="1">VLOOKUP($R1454,'TA database'!$I$112:$J$139,2,FALSE)</f>
        <v>100</v>
      </c>
      <c r="W1454" s="54">
        <f>IFERROR(VLOOKUP($S1454,'TA database'!$I$146:$J$193,2,FALSE),0)</f>
        <v>0</v>
      </c>
      <c r="X1454" s="54">
        <f ca="1">IFERROR(VLOOKUP($S1454,'TA database'!$I$200:$J$271,2,FALSE),0)</f>
        <v>80</v>
      </c>
      <c r="Y1454" s="59">
        <f t="shared" ca="1" si="4541"/>
        <v>38.4</v>
      </c>
      <c r="Z1454" t="str">
        <f t="shared" si="4537"/>
        <v>BIO_SR_LRG_C   →   C_UNDRGRND_STRG   →   LQ_TRUCK   →   H2_FC_DCHP_PWR</v>
      </c>
      <c r="AA1454" t="str">
        <f t="shared" si="4538"/>
        <v>Grid electricity</v>
      </c>
      <c r="AB1454" t="str">
        <f t="shared" si="4539"/>
        <v>Public acceptability</v>
      </c>
      <c r="AC1454">
        <f t="shared" ca="1" si="4540"/>
        <v>38.4</v>
      </c>
      <c r="AD1454">
        <v>1395</v>
      </c>
      <c r="AE1454" t="str">
        <f>IF(AND(ISNUMBER(SEARCH(O1454,4)),ISNUMBER(SEARCH('(4) FCH pathway assessment'!$B$16,AB1454)),ISNUMBER(SEARCH('(4) FCH pathway assessment'!$B$10,AA1454))),AD1454,"")</f>
        <v/>
      </c>
      <c r="AF1454" t="str">
        <f t="shared" si="4428"/>
        <v/>
      </c>
      <c r="AG1454" t="str">
        <f>VLOOKUP(C1454,Assumptions!$B$116:$C$162,2,FALSE)</f>
        <v>BIO_SR_LRG_C</v>
      </c>
      <c r="AH1454" t="str">
        <f>VLOOKUP(D1454,Assumptions!$B$116:$C$162,2,FALSE)</f>
        <v>C_UNDRGRND_STRG</v>
      </c>
      <c r="AI1454" t="str">
        <f>VLOOKUP(E1454,Assumptions!$B$116:$C$162,2,FALSE)</f>
        <v>LQ_TRUCK</v>
      </c>
      <c r="AJ1454" t="str">
        <f>VLOOKUP(F1454,Assumptions!$B$116:$C$162,2,FALSE)</f>
        <v>H2_FC_DCHP_PWR</v>
      </c>
    </row>
    <row r="1455" spans="2:36" x14ac:dyDescent="0.25">
      <c r="B1455" t="s">
        <v>117</v>
      </c>
      <c r="C1455" t="s">
        <v>56</v>
      </c>
      <c r="D1455" t="s">
        <v>62</v>
      </c>
      <c r="E1455" t="s">
        <v>66</v>
      </c>
      <c r="F1455" t="s">
        <v>549</v>
      </c>
      <c r="G1455" t="s">
        <v>114</v>
      </c>
      <c r="H1455" t="s">
        <v>433</v>
      </c>
      <c r="I1455" t="s">
        <v>32</v>
      </c>
      <c r="J1455" t="s">
        <v>82</v>
      </c>
      <c r="K1455">
        <f t="shared" si="4528"/>
        <v>0</v>
      </c>
      <c r="L1455">
        <f t="shared" si="4529"/>
        <v>0</v>
      </c>
      <c r="M1455">
        <f t="shared" si="4530"/>
        <v>1</v>
      </c>
      <c r="N1455">
        <f t="shared" si="4531"/>
        <v>0</v>
      </c>
      <c r="O1455">
        <f t="shared" si="4532"/>
        <v>1</v>
      </c>
      <c r="P1455" t="str">
        <f t="shared" si="4533"/>
        <v>Large centralized biomass steam reforming -Public acceptability</v>
      </c>
      <c r="Q1455" t="str">
        <f t="shared" si="4534"/>
        <v>Underground storage-Public acceptability</v>
      </c>
      <c r="R1455" t="str">
        <f t="shared" si="4535"/>
        <v>Onsite-Public acceptability</v>
      </c>
      <c r="S1455" t="str">
        <f t="shared" si="4536"/>
        <v>District-CHP with H2 fuel cell (power)-Public acceptability</v>
      </c>
      <c r="T1455" s="54">
        <f ca="1">VLOOKUP($P1455,'TA database'!$I$8:$J$79,2,FALSE)</f>
        <v>80</v>
      </c>
      <c r="U1455" s="54">
        <f ca="1">VLOOKUP($Q1455,'TA database'!$I$86:$J$105,2,FALSE)</f>
        <v>60</v>
      </c>
      <c r="V1455" s="54">
        <f ca="1">VLOOKUP($R1455,'TA database'!$I$112:$J$139,2,FALSE)</f>
        <v>90</v>
      </c>
      <c r="W1455" s="54">
        <f>IFERROR(VLOOKUP($S1455,'TA database'!$I$146:$J$193,2,FALSE),0)</f>
        <v>0</v>
      </c>
      <c r="X1455" s="54">
        <f ca="1">IFERROR(VLOOKUP($S1455,'TA database'!$I$200:$J$271,2,FALSE),0)</f>
        <v>80</v>
      </c>
      <c r="Y1455" s="59">
        <f t="shared" ca="1" si="4541"/>
        <v>34.56</v>
      </c>
      <c r="Z1455" t="str">
        <f t="shared" si="4537"/>
        <v>BIO_SR_LRG_C   →   C_UNDRGRND_STRG   →   ONSITE_USE   →   H2_FC_DCHP_PWR</v>
      </c>
      <c r="AA1455" t="str">
        <f t="shared" si="4538"/>
        <v>Grid electricity</v>
      </c>
      <c r="AB1455" t="str">
        <f t="shared" si="4539"/>
        <v>Public acceptability</v>
      </c>
      <c r="AC1455">
        <f t="shared" ca="1" si="4540"/>
        <v>34.56</v>
      </c>
      <c r="AD1455">
        <v>1396</v>
      </c>
      <c r="AE1455" t="str">
        <f>IF(AND(ISNUMBER(SEARCH(O1455,4)),ISNUMBER(SEARCH('(4) FCH pathway assessment'!$B$16,AB1455)),ISNUMBER(SEARCH('(4) FCH pathway assessment'!$B$10,AA1455))),AD1455,"")</f>
        <v/>
      </c>
      <c r="AF1455" t="str">
        <f t="shared" si="4428"/>
        <v/>
      </c>
      <c r="AG1455" t="str">
        <f>VLOOKUP(C1455,Assumptions!$B$116:$C$162,2,FALSE)</f>
        <v>BIO_SR_LRG_C</v>
      </c>
      <c r="AH1455" t="str">
        <f>VLOOKUP(D1455,Assumptions!$B$116:$C$162,2,FALSE)</f>
        <v>C_UNDRGRND_STRG</v>
      </c>
      <c r="AI1455" t="str">
        <f>VLOOKUP(E1455,Assumptions!$B$116:$C$162,2,FALSE)</f>
        <v>ONSITE_USE</v>
      </c>
      <c r="AJ1455" t="str">
        <f>VLOOKUP(F1455,Assumptions!$B$116:$C$162,2,FALSE)</f>
        <v>H2_FC_DCHP_PWR</v>
      </c>
    </row>
    <row r="1456" spans="2:36" x14ac:dyDescent="0.25">
      <c r="B1456" t="s">
        <v>117</v>
      </c>
      <c r="C1456" t="s">
        <v>56</v>
      </c>
      <c r="D1456" s="61" t="s">
        <v>63</v>
      </c>
      <c r="E1456" t="s">
        <v>122</v>
      </c>
      <c r="F1456" t="s">
        <v>549</v>
      </c>
      <c r="G1456" t="s">
        <v>114</v>
      </c>
      <c r="H1456" t="s">
        <v>433</v>
      </c>
      <c r="I1456" t="s">
        <v>32</v>
      </c>
      <c r="J1456" t="s">
        <v>82</v>
      </c>
      <c r="K1456">
        <f t="shared" ref="K1456:K1466" si="4542">SUMPRODUCT(($C$7:$C$18=$C1456)*($D$6:$H$6=$D1456)*($D$7:$H$18))</f>
        <v>0</v>
      </c>
      <c r="L1456">
        <f t="shared" ref="L1456:L1466" si="4543">SUMPRODUCT(($C$19:$C$23=$D1456)*($I$6:$O$6=$E1456)*($I$19:$O$23))</f>
        <v>1</v>
      </c>
      <c r="M1456">
        <f t="shared" ref="M1456:M1466" si="4544">SUMPRODUCT(($C$24:$C$30=$E1456)*($P$6:$AI$6=$F1456)*($P$24:$AI$30))</f>
        <v>1</v>
      </c>
      <c r="N1456">
        <f t="shared" ref="N1456:N1466" si="4545">SUMPRODUCT(($C$31:$C$50=$F1456)*($AJ$6:$AM$6=$G1456)*($AJ$31:$AM$50))</f>
        <v>0</v>
      </c>
      <c r="O1456">
        <f t="shared" ref="O1456:O1465" si="4546">K1456+L1456+M1456+N1456</f>
        <v>2</v>
      </c>
      <c r="P1456" t="str">
        <f t="shared" ref="P1456:P1466" si="4547">CONCATENATE(C1456,"-",J1456)</f>
        <v>Large centralized biomass steam reforming -Public acceptability</v>
      </c>
      <c r="Q1456" t="str">
        <f t="shared" ref="Q1456:Q1466" si="4548">CONCATENATE(D1456,"-",J1456)</f>
        <v>No storage-Public acceptability</v>
      </c>
      <c r="R1456" t="str">
        <f t="shared" ref="R1456:R1466" si="4549">CONCATENATE(E1456,"-",J1456)</f>
        <v>Hydrogen transmission &amp; distribution pipeline-Public acceptability</v>
      </c>
      <c r="S1456" t="str">
        <f t="shared" ref="S1456:S1466" si="4550">CONCATENATE(F1456,"-",J1456)</f>
        <v>District-CHP with H2 fuel cell (power)-Public acceptability</v>
      </c>
      <c r="T1456" s="54">
        <f ca="1">VLOOKUP($P1456,'TA database'!$I$8:$J$79,2,FALSE)</f>
        <v>80</v>
      </c>
      <c r="U1456" s="54">
        <f ca="1">VLOOKUP($Q1456,'TA database'!$I$86:$J$105,2,FALSE)</f>
        <v>100</v>
      </c>
      <c r="V1456" s="54">
        <f ca="1">VLOOKUP($R1456,'TA database'!$I$112:$J$139,2,FALSE)</f>
        <v>70</v>
      </c>
      <c r="W1456" s="54">
        <f>IFERROR(VLOOKUP($S1456,'TA database'!$I$146:$J$193,2,FALSE),0)</f>
        <v>0</v>
      </c>
      <c r="X1456" s="54">
        <f ca="1">IFERROR(VLOOKUP($S1456,'TA database'!$I$200:$J$271,2,FALSE),0)</f>
        <v>80</v>
      </c>
      <c r="Y1456" s="59">
        <f t="shared" ca="1" si="4541"/>
        <v>44.8</v>
      </c>
      <c r="Z1456" t="str">
        <f t="shared" ref="Z1456:Z1465" si="4551">CONCATENATE(AG1456,"   →   ",AH1456,"   →   ",AI1456,"   →   ",AJ1456)</f>
        <v>BIO_SR_LRG_C   →   NO_STRG   →   H2_T&amp;D_P   →   H2_FC_DCHP_PWR</v>
      </c>
      <c r="AA1456" t="str">
        <f t="shared" ref="AA1456:AA1465" si="4552">G1456</f>
        <v>Grid electricity</v>
      </c>
      <c r="AB1456" t="str">
        <f t="shared" ref="AB1456:AB1465" si="4553">J1456</f>
        <v>Public acceptability</v>
      </c>
      <c r="AC1456">
        <f t="shared" ref="AC1456:AC1465" ca="1" si="4554">Y1456</f>
        <v>44.8</v>
      </c>
      <c r="AD1456">
        <v>1397</v>
      </c>
      <c r="AE1456" t="str">
        <f>IF(AND(ISNUMBER(SEARCH(O1456,4)),ISNUMBER(SEARCH('(4) FCH pathway assessment'!$B$16,AB1456)),ISNUMBER(SEARCH('(4) FCH pathway assessment'!$B$10,AA1456))),AD1456,"")</f>
        <v/>
      </c>
      <c r="AF1456" t="str">
        <f t="shared" si="4428"/>
        <v/>
      </c>
      <c r="AG1456" t="str">
        <f>VLOOKUP(C1456,Assumptions!$B$116:$C$162,2,FALSE)</f>
        <v>BIO_SR_LRG_C</v>
      </c>
      <c r="AH1456" t="str">
        <f>VLOOKUP(D1456,Assumptions!$B$116:$C$162,2,FALSE)</f>
        <v>NO_STRG</v>
      </c>
      <c r="AI1456" t="str">
        <f>VLOOKUP(E1456,Assumptions!$B$116:$C$162,2,FALSE)</f>
        <v>H2_T&amp;D_P</v>
      </c>
      <c r="AJ1456" t="str">
        <f>VLOOKUP(F1456,Assumptions!$B$116:$C$162,2,FALSE)</f>
        <v>H2_FC_DCHP_PWR</v>
      </c>
    </row>
    <row r="1457" spans="2:36" x14ac:dyDescent="0.25">
      <c r="B1457" t="s">
        <v>112</v>
      </c>
      <c r="C1457" t="s">
        <v>49</v>
      </c>
      <c r="D1457" t="s">
        <v>62</v>
      </c>
      <c r="E1457" t="s">
        <v>157</v>
      </c>
      <c r="F1457" t="s">
        <v>549</v>
      </c>
      <c r="G1457" t="s">
        <v>114</v>
      </c>
      <c r="H1457" t="s">
        <v>433</v>
      </c>
      <c r="I1457" t="s">
        <v>32</v>
      </c>
      <c r="J1457" t="s">
        <v>82</v>
      </c>
      <c r="K1457">
        <f t="shared" si="4542"/>
        <v>1</v>
      </c>
      <c r="L1457">
        <f t="shared" si="4543"/>
        <v>0</v>
      </c>
      <c r="M1457">
        <f t="shared" si="4544"/>
        <v>0</v>
      </c>
      <c r="N1457">
        <f t="shared" si="4545"/>
        <v>0</v>
      </c>
      <c r="O1457">
        <f t="shared" si="4546"/>
        <v>1</v>
      </c>
      <c r="P1457" t="str">
        <f t="shared" si="4547"/>
        <v>Large centralized electrolysis-Public acceptability</v>
      </c>
      <c r="Q1457" t="str">
        <f t="shared" si="4548"/>
        <v>Underground storage-Public acceptability</v>
      </c>
      <c r="R1457" t="str">
        <f t="shared" si="4549"/>
        <v>Blending in natural gas pipeline-Public acceptability</v>
      </c>
      <c r="S1457" t="str">
        <f t="shared" si="4550"/>
        <v>District-CHP with H2 fuel cell (power)-Public acceptability</v>
      </c>
      <c r="T1457" s="54">
        <f ca="1">VLOOKUP($P1457,'TA database'!$I$8:$J$79,2,FALSE)</f>
        <v>80</v>
      </c>
      <c r="U1457" s="54">
        <f ca="1">VLOOKUP($Q1457,'TA database'!$I$86:$J$105,2,FALSE)</f>
        <v>60</v>
      </c>
      <c r="V1457" s="54">
        <f ca="1">VLOOKUP($R1457,'TA database'!$I$112:$J$139,2,FALSE)</f>
        <v>90</v>
      </c>
      <c r="W1457" s="54">
        <f>IFERROR(VLOOKUP($S1457,'TA database'!$I$146:$J$193,2,FALSE),0)</f>
        <v>0</v>
      </c>
      <c r="X1457" s="54">
        <f ca="1">IFERROR(VLOOKUP($S1457,'TA database'!$I$200:$J$271,2,FALSE),0)</f>
        <v>80</v>
      </c>
      <c r="Y1457" s="59">
        <f t="shared" ca="1" si="4541"/>
        <v>34.56</v>
      </c>
      <c r="Z1457" t="str">
        <f t="shared" si="4551"/>
        <v>ELCTRLYZ_LRG_C   →   C_UNDRGRND_STRG   →   H2_BLND_NG_P   →   H2_FC_DCHP_PWR</v>
      </c>
      <c r="AA1457" t="str">
        <f t="shared" si="4552"/>
        <v>Grid electricity</v>
      </c>
      <c r="AB1457" t="str">
        <f t="shared" si="4553"/>
        <v>Public acceptability</v>
      </c>
      <c r="AC1457">
        <f t="shared" ca="1" si="4554"/>
        <v>34.56</v>
      </c>
      <c r="AD1457">
        <v>1398</v>
      </c>
      <c r="AE1457" t="str">
        <f>IF(AND(ISNUMBER(SEARCH(O1457,4)),ISNUMBER(SEARCH('(4) FCH pathway assessment'!$B$16,AB1457)),ISNUMBER(SEARCH('(4) FCH pathway assessment'!$B$10,AA1457))),AD1457,"")</f>
        <v/>
      </c>
      <c r="AF1457" t="str">
        <f t="shared" si="4428"/>
        <v/>
      </c>
      <c r="AG1457" t="str">
        <f>VLOOKUP(C1457,Assumptions!$B$116:$C$162,2,FALSE)</f>
        <v>ELCTRLYZ_LRG_C</v>
      </c>
      <c r="AH1457" t="str">
        <f>VLOOKUP(D1457,Assumptions!$B$116:$C$162,2,FALSE)</f>
        <v>C_UNDRGRND_STRG</v>
      </c>
      <c r="AI1457" t="str">
        <f>VLOOKUP(E1457,Assumptions!$B$116:$C$162,2,FALSE)</f>
        <v>H2_BLND_NG_P</v>
      </c>
      <c r="AJ1457" t="str">
        <f>VLOOKUP(F1457,Assumptions!$B$116:$C$162,2,FALSE)</f>
        <v>H2_FC_DCHP_PWR</v>
      </c>
    </row>
    <row r="1458" spans="2:36" x14ac:dyDescent="0.25">
      <c r="B1458" t="s">
        <v>112</v>
      </c>
      <c r="C1458" t="s">
        <v>49</v>
      </c>
      <c r="D1458" t="s">
        <v>62</v>
      </c>
      <c r="E1458" t="s">
        <v>122</v>
      </c>
      <c r="F1458" t="s">
        <v>549</v>
      </c>
      <c r="G1458" t="s">
        <v>114</v>
      </c>
      <c r="H1458" t="s">
        <v>433</v>
      </c>
      <c r="I1458" t="s">
        <v>32</v>
      </c>
      <c r="J1458" t="s">
        <v>82</v>
      </c>
      <c r="K1458">
        <f t="shared" si="4542"/>
        <v>1</v>
      </c>
      <c r="L1458">
        <f t="shared" si="4543"/>
        <v>0</v>
      </c>
      <c r="M1458">
        <f t="shared" si="4544"/>
        <v>1</v>
      </c>
      <c r="N1458">
        <f t="shared" si="4545"/>
        <v>0</v>
      </c>
      <c r="O1458">
        <f t="shared" si="4546"/>
        <v>2</v>
      </c>
      <c r="P1458" t="str">
        <f t="shared" si="4547"/>
        <v>Large centralized electrolysis-Public acceptability</v>
      </c>
      <c r="Q1458" t="str">
        <f t="shared" si="4548"/>
        <v>Underground storage-Public acceptability</v>
      </c>
      <c r="R1458" t="str">
        <f t="shared" si="4549"/>
        <v>Hydrogen transmission &amp; distribution pipeline-Public acceptability</v>
      </c>
      <c r="S1458" t="str">
        <f t="shared" si="4550"/>
        <v>District-CHP with H2 fuel cell (power)-Public acceptability</v>
      </c>
      <c r="T1458" s="54">
        <f ca="1">VLOOKUP($P1458,'TA database'!$I$8:$J$79,2,FALSE)</f>
        <v>80</v>
      </c>
      <c r="U1458" s="54">
        <f ca="1">VLOOKUP($Q1458,'TA database'!$I$86:$J$105,2,FALSE)</f>
        <v>60</v>
      </c>
      <c r="V1458" s="54">
        <f ca="1">VLOOKUP($R1458,'TA database'!$I$112:$J$139,2,FALSE)</f>
        <v>70</v>
      </c>
      <c r="W1458" s="54">
        <f>IFERROR(VLOOKUP($S1458,'TA database'!$I$146:$J$193,2,FALSE),0)</f>
        <v>0</v>
      </c>
      <c r="X1458" s="54">
        <f ca="1">IFERROR(VLOOKUP($S1458,'TA database'!$I$200:$J$271,2,FALSE),0)</f>
        <v>80</v>
      </c>
      <c r="Y1458" s="59">
        <f t="shared" ca="1" si="4541"/>
        <v>26.88</v>
      </c>
      <c r="Z1458" t="str">
        <f t="shared" si="4551"/>
        <v>ELCTRLYZ_LRG_C   →   C_UNDRGRND_STRG   →   H2_T&amp;D_P   →   H2_FC_DCHP_PWR</v>
      </c>
      <c r="AA1458" t="str">
        <f t="shared" si="4552"/>
        <v>Grid electricity</v>
      </c>
      <c r="AB1458" t="str">
        <f t="shared" si="4553"/>
        <v>Public acceptability</v>
      </c>
      <c r="AC1458">
        <f t="shared" ca="1" si="4554"/>
        <v>26.88</v>
      </c>
      <c r="AD1458">
        <v>1399</v>
      </c>
      <c r="AE1458" t="str">
        <f>IF(AND(ISNUMBER(SEARCH(O1458,4)),ISNUMBER(SEARCH('(4) FCH pathway assessment'!$B$16,AB1458)),ISNUMBER(SEARCH('(4) FCH pathway assessment'!$B$10,AA1458))),AD1458,"")</f>
        <v/>
      </c>
      <c r="AF1458" t="str">
        <f t="shared" si="4428"/>
        <v/>
      </c>
      <c r="AG1458" t="str">
        <f>VLOOKUP(C1458,Assumptions!$B$116:$C$162,2,FALSE)</f>
        <v>ELCTRLYZ_LRG_C</v>
      </c>
      <c r="AH1458" t="str">
        <f>VLOOKUP(D1458,Assumptions!$B$116:$C$162,2,FALSE)</f>
        <v>C_UNDRGRND_STRG</v>
      </c>
      <c r="AI1458" t="str">
        <f>VLOOKUP(E1458,Assumptions!$B$116:$C$162,2,FALSE)</f>
        <v>H2_T&amp;D_P</v>
      </c>
      <c r="AJ1458" t="str">
        <f>VLOOKUP(F1458,Assumptions!$B$116:$C$162,2,FALSE)</f>
        <v>H2_FC_DCHP_PWR</v>
      </c>
    </row>
    <row r="1459" spans="2:36" x14ac:dyDescent="0.25">
      <c r="B1459" t="s">
        <v>112</v>
      </c>
      <c r="C1459" t="s">
        <v>49</v>
      </c>
      <c r="D1459" t="s">
        <v>62</v>
      </c>
      <c r="E1459" t="s">
        <v>116</v>
      </c>
      <c r="F1459" t="s">
        <v>549</v>
      </c>
      <c r="G1459" t="s">
        <v>114</v>
      </c>
      <c r="H1459" t="s">
        <v>433</v>
      </c>
      <c r="I1459" t="s">
        <v>32</v>
      </c>
      <c r="J1459" t="s">
        <v>82</v>
      </c>
      <c r="K1459">
        <f t="shared" si="4542"/>
        <v>1</v>
      </c>
      <c r="L1459">
        <f t="shared" si="4543"/>
        <v>0</v>
      </c>
      <c r="M1459">
        <f t="shared" si="4544"/>
        <v>1</v>
      </c>
      <c r="N1459">
        <f t="shared" si="4545"/>
        <v>0</v>
      </c>
      <c r="O1459">
        <f t="shared" si="4546"/>
        <v>2</v>
      </c>
      <c r="P1459" t="str">
        <f t="shared" si="4547"/>
        <v>Large centralized electrolysis-Public acceptability</v>
      </c>
      <c r="Q1459" t="str">
        <f t="shared" si="4548"/>
        <v>Underground storage-Public acceptability</v>
      </c>
      <c r="R1459" t="str">
        <f t="shared" si="4549"/>
        <v>Liquid hydrogen truck-Public acceptability</v>
      </c>
      <c r="S1459" t="str">
        <f t="shared" si="4550"/>
        <v>District-CHP with H2 fuel cell (power)-Public acceptability</v>
      </c>
      <c r="T1459" s="54">
        <f ca="1">VLOOKUP($P1459,'TA database'!$I$8:$J$79,2,FALSE)</f>
        <v>80</v>
      </c>
      <c r="U1459" s="54">
        <f ca="1">VLOOKUP($Q1459,'TA database'!$I$86:$J$105,2,FALSE)</f>
        <v>60</v>
      </c>
      <c r="V1459" s="54">
        <f ca="1">VLOOKUP($R1459,'TA database'!$I$112:$J$139,2,FALSE)</f>
        <v>100</v>
      </c>
      <c r="W1459" s="54">
        <f>IFERROR(VLOOKUP($S1459,'TA database'!$I$146:$J$193,2,FALSE),0)</f>
        <v>0</v>
      </c>
      <c r="X1459" s="54">
        <f ca="1">IFERROR(VLOOKUP($S1459,'TA database'!$I$200:$J$271,2,FALSE),0)</f>
        <v>80</v>
      </c>
      <c r="Y1459" s="59">
        <f t="shared" ca="1" si="4541"/>
        <v>38.4</v>
      </c>
      <c r="Z1459" t="str">
        <f t="shared" si="4551"/>
        <v>ELCTRLYZ_LRG_C   →   C_UNDRGRND_STRG   →   LQ_TRUCK   →   H2_FC_DCHP_PWR</v>
      </c>
      <c r="AA1459" t="str">
        <f t="shared" si="4552"/>
        <v>Grid electricity</v>
      </c>
      <c r="AB1459" t="str">
        <f t="shared" si="4553"/>
        <v>Public acceptability</v>
      </c>
      <c r="AC1459">
        <f t="shared" ca="1" si="4554"/>
        <v>38.4</v>
      </c>
      <c r="AD1459">
        <v>1400</v>
      </c>
      <c r="AE1459" t="str">
        <f>IF(AND(ISNUMBER(SEARCH(O1459,4)),ISNUMBER(SEARCH('(4) FCH pathway assessment'!$B$16,AB1459)),ISNUMBER(SEARCH('(4) FCH pathway assessment'!$B$10,AA1459))),AD1459,"")</f>
        <v/>
      </c>
      <c r="AF1459" t="str">
        <f t="shared" si="4428"/>
        <v/>
      </c>
      <c r="AG1459" t="str">
        <f>VLOOKUP(C1459,Assumptions!$B$116:$C$162,2,FALSE)</f>
        <v>ELCTRLYZ_LRG_C</v>
      </c>
      <c r="AH1459" t="str">
        <f>VLOOKUP(D1459,Assumptions!$B$116:$C$162,2,FALSE)</f>
        <v>C_UNDRGRND_STRG</v>
      </c>
      <c r="AI1459" t="str">
        <f>VLOOKUP(E1459,Assumptions!$B$116:$C$162,2,FALSE)</f>
        <v>LQ_TRUCK</v>
      </c>
      <c r="AJ1459" t="str">
        <f>VLOOKUP(F1459,Assumptions!$B$116:$C$162,2,FALSE)</f>
        <v>H2_FC_DCHP_PWR</v>
      </c>
    </row>
    <row r="1460" spans="2:36" x14ac:dyDescent="0.25">
      <c r="B1460" t="s">
        <v>112</v>
      </c>
      <c r="C1460" t="s">
        <v>49</v>
      </c>
      <c r="D1460" t="s">
        <v>62</v>
      </c>
      <c r="E1460" t="s">
        <v>66</v>
      </c>
      <c r="F1460" t="s">
        <v>549</v>
      </c>
      <c r="G1460" t="s">
        <v>114</v>
      </c>
      <c r="H1460" t="s">
        <v>433</v>
      </c>
      <c r="I1460" t="s">
        <v>32</v>
      </c>
      <c r="J1460" t="s">
        <v>82</v>
      </c>
      <c r="K1460">
        <f t="shared" si="4542"/>
        <v>1</v>
      </c>
      <c r="L1460">
        <f t="shared" si="4543"/>
        <v>0</v>
      </c>
      <c r="M1460">
        <f t="shared" si="4544"/>
        <v>1</v>
      </c>
      <c r="N1460">
        <f t="shared" si="4545"/>
        <v>0</v>
      </c>
      <c r="O1460">
        <f t="shared" si="4546"/>
        <v>2</v>
      </c>
      <c r="P1460" t="str">
        <f t="shared" si="4547"/>
        <v>Large centralized electrolysis-Public acceptability</v>
      </c>
      <c r="Q1460" t="str">
        <f t="shared" si="4548"/>
        <v>Underground storage-Public acceptability</v>
      </c>
      <c r="R1460" t="str">
        <f t="shared" si="4549"/>
        <v>Onsite-Public acceptability</v>
      </c>
      <c r="S1460" t="str">
        <f t="shared" si="4550"/>
        <v>District-CHP with H2 fuel cell (power)-Public acceptability</v>
      </c>
      <c r="T1460" s="54">
        <f ca="1">VLOOKUP($P1460,'TA database'!$I$8:$J$79,2,FALSE)</f>
        <v>80</v>
      </c>
      <c r="U1460" s="54">
        <f ca="1">VLOOKUP($Q1460,'TA database'!$I$86:$J$105,2,FALSE)</f>
        <v>60</v>
      </c>
      <c r="V1460" s="54">
        <f ca="1">VLOOKUP($R1460,'TA database'!$I$112:$J$139,2,FALSE)</f>
        <v>90</v>
      </c>
      <c r="W1460" s="54">
        <f>IFERROR(VLOOKUP($S1460,'TA database'!$I$146:$J$193,2,FALSE),0)</f>
        <v>0</v>
      </c>
      <c r="X1460" s="54">
        <f ca="1">IFERROR(VLOOKUP($S1460,'TA database'!$I$200:$J$271,2,FALSE),0)</f>
        <v>80</v>
      </c>
      <c r="Y1460" s="59">
        <f t="shared" ca="1" si="4541"/>
        <v>34.56</v>
      </c>
      <c r="Z1460" t="str">
        <f t="shared" si="4551"/>
        <v>ELCTRLYZ_LRG_C   →   C_UNDRGRND_STRG   →   ONSITE_USE   →   H2_FC_DCHP_PWR</v>
      </c>
      <c r="AA1460" t="str">
        <f t="shared" si="4552"/>
        <v>Grid electricity</v>
      </c>
      <c r="AB1460" t="str">
        <f t="shared" si="4553"/>
        <v>Public acceptability</v>
      </c>
      <c r="AC1460">
        <f t="shared" ca="1" si="4554"/>
        <v>34.56</v>
      </c>
      <c r="AD1460">
        <v>1401</v>
      </c>
      <c r="AE1460" t="str">
        <f>IF(AND(ISNUMBER(SEARCH(O1460,4)),ISNUMBER(SEARCH('(4) FCH pathway assessment'!$B$16,AB1460)),ISNUMBER(SEARCH('(4) FCH pathway assessment'!$B$10,AA1460))),AD1460,"")</f>
        <v/>
      </c>
      <c r="AF1460" t="str">
        <f t="shared" si="4428"/>
        <v/>
      </c>
      <c r="AG1460" t="str">
        <f>VLOOKUP(C1460,Assumptions!$B$116:$C$162,2,FALSE)</f>
        <v>ELCTRLYZ_LRG_C</v>
      </c>
      <c r="AH1460" t="str">
        <f>VLOOKUP(D1460,Assumptions!$B$116:$C$162,2,FALSE)</f>
        <v>C_UNDRGRND_STRG</v>
      </c>
      <c r="AI1460" t="str">
        <f>VLOOKUP(E1460,Assumptions!$B$116:$C$162,2,FALSE)</f>
        <v>ONSITE_USE</v>
      </c>
      <c r="AJ1460" t="str">
        <f>VLOOKUP(F1460,Assumptions!$B$116:$C$162,2,FALSE)</f>
        <v>H2_FC_DCHP_PWR</v>
      </c>
    </row>
    <row r="1461" spans="2:36" x14ac:dyDescent="0.25">
      <c r="B1461" t="s">
        <v>112</v>
      </c>
      <c r="C1461" t="s">
        <v>49</v>
      </c>
      <c r="D1461" t="s">
        <v>155</v>
      </c>
      <c r="E1461" t="s">
        <v>157</v>
      </c>
      <c r="F1461" t="s">
        <v>549</v>
      </c>
      <c r="G1461" t="s">
        <v>114</v>
      </c>
      <c r="H1461" t="s">
        <v>433</v>
      </c>
      <c r="I1461" t="s">
        <v>32</v>
      </c>
      <c r="J1461" t="s">
        <v>82</v>
      </c>
      <c r="K1461">
        <f t="shared" si="4542"/>
        <v>1</v>
      </c>
      <c r="L1461">
        <f t="shared" si="4543"/>
        <v>1</v>
      </c>
      <c r="M1461">
        <f t="shared" si="4544"/>
        <v>0</v>
      </c>
      <c r="N1461">
        <f t="shared" si="4545"/>
        <v>0</v>
      </c>
      <c r="O1461">
        <f t="shared" si="4546"/>
        <v>2</v>
      </c>
      <c r="P1461" t="str">
        <f t="shared" si="4547"/>
        <v>Large centralized electrolysis-Public acceptability</v>
      </c>
      <c r="Q1461" t="str">
        <f t="shared" si="4548"/>
        <v>Central gas storage-Public acceptability</v>
      </c>
      <c r="R1461" t="str">
        <f t="shared" si="4549"/>
        <v>Blending in natural gas pipeline-Public acceptability</v>
      </c>
      <c r="S1461" t="str">
        <f t="shared" si="4550"/>
        <v>District-CHP with H2 fuel cell (power)-Public acceptability</v>
      </c>
      <c r="T1461" s="54">
        <f ca="1">VLOOKUP($P1461,'TA database'!$I$8:$J$79,2,FALSE)</f>
        <v>80</v>
      </c>
      <c r="U1461" s="54">
        <f ca="1">VLOOKUP($Q1461,'TA database'!$I$86:$J$105,2,FALSE)</f>
        <v>60</v>
      </c>
      <c r="V1461" s="54">
        <f ca="1">VLOOKUP($R1461,'TA database'!$I$112:$J$139,2,FALSE)</f>
        <v>90</v>
      </c>
      <c r="W1461" s="54">
        <f>IFERROR(VLOOKUP($S1461,'TA database'!$I$146:$J$193,2,FALSE),0)</f>
        <v>0</v>
      </c>
      <c r="X1461" s="54">
        <f ca="1">IFERROR(VLOOKUP($S1461,'TA database'!$I$200:$J$271,2,FALSE),0)</f>
        <v>80</v>
      </c>
      <c r="Y1461" s="59">
        <f t="shared" ca="1" si="4541"/>
        <v>34.56</v>
      </c>
      <c r="Z1461" t="str">
        <f t="shared" si="4551"/>
        <v>ELCTRLYZ_LRG_C   →   C_GAS_STRG   →   H2_BLND_NG_P   →   H2_FC_DCHP_PWR</v>
      </c>
      <c r="AA1461" t="str">
        <f t="shared" si="4552"/>
        <v>Grid electricity</v>
      </c>
      <c r="AB1461" t="str">
        <f t="shared" si="4553"/>
        <v>Public acceptability</v>
      </c>
      <c r="AC1461">
        <f t="shared" ca="1" si="4554"/>
        <v>34.56</v>
      </c>
      <c r="AD1461">
        <v>1402</v>
      </c>
      <c r="AE1461" t="str">
        <f>IF(AND(ISNUMBER(SEARCH(O1461,4)),ISNUMBER(SEARCH('(4) FCH pathway assessment'!$B$16,AB1461)),ISNUMBER(SEARCH('(4) FCH pathway assessment'!$B$10,AA1461))),AD1461,"")</f>
        <v/>
      </c>
      <c r="AF1461" t="str">
        <f t="shared" si="4428"/>
        <v/>
      </c>
      <c r="AG1461" t="str">
        <f>VLOOKUP(C1461,Assumptions!$B$116:$C$162,2,FALSE)</f>
        <v>ELCTRLYZ_LRG_C</v>
      </c>
      <c r="AH1461" t="str">
        <f>VLOOKUP(D1461,Assumptions!$B$116:$C$162,2,FALSE)</f>
        <v>C_GAS_STRG</v>
      </c>
      <c r="AI1461" t="str">
        <f>VLOOKUP(E1461,Assumptions!$B$116:$C$162,2,FALSE)</f>
        <v>H2_BLND_NG_P</v>
      </c>
      <c r="AJ1461" t="str">
        <f>VLOOKUP(F1461,Assumptions!$B$116:$C$162,2,FALSE)</f>
        <v>H2_FC_DCHP_PWR</v>
      </c>
    </row>
    <row r="1462" spans="2:36" x14ac:dyDescent="0.25">
      <c r="B1462" t="s">
        <v>112</v>
      </c>
      <c r="C1462" t="s">
        <v>49</v>
      </c>
      <c r="D1462" t="s">
        <v>155</v>
      </c>
      <c r="E1462" t="s">
        <v>122</v>
      </c>
      <c r="F1462" t="s">
        <v>549</v>
      </c>
      <c r="G1462" t="s">
        <v>114</v>
      </c>
      <c r="H1462" t="s">
        <v>433</v>
      </c>
      <c r="I1462" t="s">
        <v>32</v>
      </c>
      <c r="J1462" t="s">
        <v>82</v>
      </c>
      <c r="K1462">
        <f t="shared" si="4542"/>
        <v>1</v>
      </c>
      <c r="L1462">
        <f t="shared" si="4543"/>
        <v>1</v>
      </c>
      <c r="M1462">
        <f t="shared" si="4544"/>
        <v>1</v>
      </c>
      <c r="N1462">
        <f t="shared" si="4545"/>
        <v>0</v>
      </c>
      <c r="O1462">
        <f t="shared" si="4546"/>
        <v>3</v>
      </c>
      <c r="P1462" t="str">
        <f t="shared" si="4547"/>
        <v>Large centralized electrolysis-Public acceptability</v>
      </c>
      <c r="Q1462" t="str">
        <f t="shared" si="4548"/>
        <v>Central gas storage-Public acceptability</v>
      </c>
      <c r="R1462" t="str">
        <f t="shared" si="4549"/>
        <v>Hydrogen transmission &amp; distribution pipeline-Public acceptability</v>
      </c>
      <c r="S1462" t="str">
        <f t="shared" si="4550"/>
        <v>District-CHP with H2 fuel cell (power)-Public acceptability</v>
      </c>
      <c r="T1462" s="54">
        <f ca="1">VLOOKUP($P1462,'TA database'!$I$8:$J$79,2,FALSE)</f>
        <v>80</v>
      </c>
      <c r="U1462" s="54">
        <f ca="1">VLOOKUP($Q1462,'TA database'!$I$86:$J$105,2,FALSE)</f>
        <v>60</v>
      </c>
      <c r="V1462" s="54">
        <f ca="1">VLOOKUP($R1462,'TA database'!$I$112:$J$139,2,FALSE)</f>
        <v>70</v>
      </c>
      <c r="W1462" s="54">
        <f>IFERROR(VLOOKUP($S1462,'TA database'!$I$146:$J$193,2,FALSE),0)</f>
        <v>0</v>
      </c>
      <c r="X1462" s="54">
        <f ca="1">IFERROR(VLOOKUP($S1462,'TA database'!$I$200:$J$271,2,FALSE),0)</f>
        <v>80</v>
      </c>
      <c r="Y1462" s="59">
        <f t="shared" ca="1" si="4541"/>
        <v>26.88</v>
      </c>
      <c r="Z1462" t="str">
        <f t="shared" si="4551"/>
        <v>ELCTRLYZ_LRG_C   →   C_GAS_STRG   →   H2_T&amp;D_P   →   H2_FC_DCHP_PWR</v>
      </c>
      <c r="AA1462" t="str">
        <f t="shared" si="4552"/>
        <v>Grid electricity</v>
      </c>
      <c r="AB1462" t="str">
        <f t="shared" si="4553"/>
        <v>Public acceptability</v>
      </c>
      <c r="AC1462">
        <f t="shared" ca="1" si="4554"/>
        <v>26.88</v>
      </c>
      <c r="AD1462">
        <v>1403</v>
      </c>
      <c r="AE1462" t="str">
        <f>IF(AND(ISNUMBER(SEARCH(O1462,4)),ISNUMBER(SEARCH('(4) FCH pathway assessment'!$B$16,AB1462)),ISNUMBER(SEARCH('(4) FCH pathway assessment'!$B$10,AA1462))),AD1462,"")</f>
        <v/>
      </c>
      <c r="AF1462" t="str">
        <f t="shared" si="4428"/>
        <v/>
      </c>
      <c r="AG1462" t="str">
        <f>VLOOKUP(C1462,Assumptions!$B$116:$C$162,2,FALSE)</f>
        <v>ELCTRLYZ_LRG_C</v>
      </c>
      <c r="AH1462" t="str">
        <f>VLOOKUP(D1462,Assumptions!$B$116:$C$162,2,FALSE)</f>
        <v>C_GAS_STRG</v>
      </c>
      <c r="AI1462" t="str">
        <f>VLOOKUP(E1462,Assumptions!$B$116:$C$162,2,FALSE)</f>
        <v>H2_T&amp;D_P</v>
      </c>
      <c r="AJ1462" t="str">
        <f>VLOOKUP(F1462,Assumptions!$B$116:$C$162,2,FALSE)</f>
        <v>H2_FC_DCHP_PWR</v>
      </c>
    </row>
    <row r="1463" spans="2:36" x14ac:dyDescent="0.25">
      <c r="B1463" t="s">
        <v>112</v>
      </c>
      <c r="C1463" t="s">
        <v>49</v>
      </c>
      <c r="D1463" t="s">
        <v>155</v>
      </c>
      <c r="E1463" t="s">
        <v>116</v>
      </c>
      <c r="F1463" t="s">
        <v>549</v>
      </c>
      <c r="G1463" t="s">
        <v>114</v>
      </c>
      <c r="H1463" t="s">
        <v>433</v>
      </c>
      <c r="I1463" t="s">
        <v>32</v>
      </c>
      <c r="J1463" t="s">
        <v>82</v>
      </c>
      <c r="K1463">
        <f t="shared" si="4542"/>
        <v>1</v>
      </c>
      <c r="L1463">
        <f t="shared" si="4543"/>
        <v>1</v>
      </c>
      <c r="M1463">
        <f t="shared" si="4544"/>
        <v>1</v>
      </c>
      <c r="N1463">
        <f t="shared" si="4545"/>
        <v>0</v>
      </c>
      <c r="O1463">
        <f t="shared" si="4546"/>
        <v>3</v>
      </c>
      <c r="P1463" t="str">
        <f t="shared" si="4547"/>
        <v>Large centralized electrolysis-Public acceptability</v>
      </c>
      <c r="Q1463" t="str">
        <f t="shared" si="4548"/>
        <v>Central gas storage-Public acceptability</v>
      </c>
      <c r="R1463" t="str">
        <f t="shared" si="4549"/>
        <v>Liquid hydrogen truck-Public acceptability</v>
      </c>
      <c r="S1463" t="str">
        <f t="shared" si="4550"/>
        <v>District-CHP with H2 fuel cell (power)-Public acceptability</v>
      </c>
      <c r="T1463" s="54">
        <f ca="1">VLOOKUP($P1463,'TA database'!$I$8:$J$79,2,FALSE)</f>
        <v>80</v>
      </c>
      <c r="U1463" s="54">
        <f ca="1">VLOOKUP($Q1463,'TA database'!$I$86:$J$105,2,FALSE)</f>
        <v>60</v>
      </c>
      <c r="V1463" s="54">
        <f ca="1">VLOOKUP($R1463,'TA database'!$I$112:$J$139,2,FALSE)</f>
        <v>100</v>
      </c>
      <c r="W1463" s="54">
        <f>IFERROR(VLOOKUP($S1463,'TA database'!$I$146:$J$193,2,FALSE),0)</f>
        <v>0</v>
      </c>
      <c r="X1463" s="54">
        <f ca="1">IFERROR(VLOOKUP($S1463,'TA database'!$I$200:$J$271,2,FALSE),0)</f>
        <v>80</v>
      </c>
      <c r="Y1463" s="59">
        <f t="shared" ca="1" si="4541"/>
        <v>38.4</v>
      </c>
      <c r="Z1463" t="str">
        <f t="shared" si="4551"/>
        <v>ELCTRLYZ_LRG_C   →   C_GAS_STRG   →   LQ_TRUCK   →   H2_FC_DCHP_PWR</v>
      </c>
      <c r="AA1463" t="str">
        <f t="shared" si="4552"/>
        <v>Grid electricity</v>
      </c>
      <c r="AB1463" t="str">
        <f t="shared" si="4553"/>
        <v>Public acceptability</v>
      </c>
      <c r="AC1463">
        <f t="shared" ca="1" si="4554"/>
        <v>38.4</v>
      </c>
      <c r="AD1463">
        <v>1404</v>
      </c>
      <c r="AE1463" t="str">
        <f>IF(AND(ISNUMBER(SEARCH(O1463,4)),ISNUMBER(SEARCH('(4) FCH pathway assessment'!$B$16,AB1463)),ISNUMBER(SEARCH('(4) FCH pathway assessment'!$B$10,AA1463))),AD1463,"")</f>
        <v/>
      </c>
      <c r="AF1463" t="str">
        <f t="shared" si="4428"/>
        <v/>
      </c>
      <c r="AG1463" t="str">
        <f>VLOOKUP(C1463,Assumptions!$B$116:$C$162,2,FALSE)</f>
        <v>ELCTRLYZ_LRG_C</v>
      </c>
      <c r="AH1463" t="str">
        <f>VLOOKUP(D1463,Assumptions!$B$116:$C$162,2,FALSE)</f>
        <v>C_GAS_STRG</v>
      </c>
      <c r="AI1463" t="str">
        <f>VLOOKUP(E1463,Assumptions!$B$116:$C$162,2,FALSE)</f>
        <v>LQ_TRUCK</v>
      </c>
      <c r="AJ1463" t="str">
        <f>VLOOKUP(F1463,Assumptions!$B$116:$C$162,2,FALSE)</f>
        <v>H2_FC_DCHP_PWR</v>
      </c>
    </row>
    <row r="1464" spans="2:36" x14ac:dyDescent="0.25">
      <c r="B1464" t="s">
        <v>112</v>
      </c>
      <c r="C1464" t="s">
        <v>49</v>
      </c>
      <c r="D1464" t="s">
        <v>155</v>
      </c>
      <c r="E1464" t="s">
        <v>66</v>
      </c>
      <c r="F1464" t="s">
        <v>549</v>
      </c>
      <c r="G1464" t="s">
        <v>114</v>
      </c>
      <c r="H1464" t="s">
        <v>433</v>
      </c>
      <c r="I1464" t="s">
        <v>32</v>
      </c>
      <c r="J1464" t="s">
        <v>82</v>
      </c>
      <c r="K1464">
        <f t="shared" si="4542"/>
        <v>1</v>
      </c>
      <c r="L1464">
        <f t="shared" si="4543"/>
        <v>1</v>
      </c>
      <c r="M1464">
        <f t="shared" si="4544"/>
        <v>1</v>
      </c>
      <c r="N1464">
        <f t="shared" si="4545"/>
        <v>0</v>
      </c>
      <c r="O1464">
        <f t="shared" si="4546"/>
        <v>3</v>
      </c>
      <c r="P1464" t="str">
        <f t="shared" si="4547"/>
        <v>Large centralized electrolysis-Public acceptability</v>
      </c>
      <c r="Q1464" t="str">
        <f t="shared" si="4548"/>
        <v>Central gas storage-Public acceptability</v>
      </c>
      <c r="R1464" t="str">
        <f t="shared" si="4549"/>
        <v>Onsite-Public acceptability</v>
      </c>
      <c r="S1464" t="str">
        <f t="shared" si="4550"/>
        <v>District-CHP with H2 fuel cell (power)-Public acceptability</v>
      </c>
      <c r="T1464" s="54">
        <f ca="1">VLOOKUP($P1464,'TA database'!$I$8:$J$79,2,FALSE)</f>
        <v>80</v>
      </c>
      <c r="U1464" s="54">
        <f ca="1">VLOOKUP($Q1464,'TA database'!$I$86:$J$105,2,FALSE)</f>
        <v>60</v>
      </c>
      <c r="V1464" s="54">
        <f ca="1">VLOOKUP($R1464,'TA database'!$I$112:$J$139,2,FALSE)</f>
        <v>90</v>
      </c>
      <c r="W1464" s="54">
        <f>IFERROR(VLOOKUP($S1464,'TA database'!$I$146:$J$193,2,FALSE),0)</f>
        <v>0</v>
      </c>
      <c r="X1464" s="54">
        <f ca="1">IFERROR(VLOOKUP($S1464,'TA database'!$I$200:$J$271,2,FALSE),0)</f>
        <v>80</v>
      </c>
      <c r="Y1464" s="59">
        <f t="shared" ca="1" si="4541"/>
        <v>34.56</v>
      </c>
      <c r="Z1464" t="str">
        <f t="shared" si="4551"/>
        <v>ELCTRLYZ_LRG_C   →   C_GAS_STRG   →   ONSITE_USE   →   H2_FC_DCHP_PWR</v>
      </c>
      <c r="AA1464" t="str">
        <f t="shared" si="4552"/>
        <v>Grid electricity</v>
      </c>
      <c r="AB1464" t="str">
        <f t="shared" si="4553"/>
        <v>Public acceptability</v>
      </c>
      <c r="AC1464">
        <f t="shared" ca="1" si="4554"/>
        <v>34.56</v>
      </c>
      <c r="AD1464">
        <v>1405</v>
      </c>
      <c r="AE1464" t="str">
        <f>IF(AND(ISNUMBER(SEARCH(O1464,4)),ISNUMBER(SEARCH('(4) FCH pathway assessment'!$B$16,AB1464)),ISNUMBER(SEARCH('(4) FCH pathway assessment'!$B$10,AA1464))),AD1464,"")</f>
        <v/>
      </c>
      <c r="AF1464" t="str">
        <f t="shared" si="4428"/>
        <v/>
      </c>
      <c r="AG1464" t="str">
        <f>VLOOKUP(C1464,Assumptions!$B$116:$C$162,2,FALSE)</f>
        <v>ELCTRLYZ_LRG_C</v>
      </c>
      <c r="AH1464" t="str">
        <f>VLOOKUP(D1464,Assumptions!$B$116:$C$162,2,FALSE)</f>
        <v>C_GAS_STRG</v>
      </c>
      <c r="AI1464" t="str">
        <f>VLOOKUP(E1464,Assumptions!$B$116:$C$162,2,FALSE)</f>
        <v>ONSITE_USE</v>
      </c>
      <c r="AJ1464" t="str">
        <f>VLOOKUP(F1464,Assumptions!$B$116:$C$162,2,FALSE)</f>
        <v>H2_FC_DCHP_PWR</v>
      </c>
    </row>
    <row r="1465" spans="2:36" x14ac:dyDescent="0.25">
      <c r="B1465" t="s">
        <v>112</v>
      </c>
      <c r="C1465" t="s">
        <v>51</v>
      </c>
      <c r="D1465" t="s">
        <v>155</v>
      </c>
      <c r="E1465" t="s">
        <v>157</v>
      </c>
      <c r="F1465" t="s">
        <v>549</v>
      </c>
      <c r="G1465" t="s">
        <v>114</v>
      </c>
      <c r="H1465" t="s">
        <v>433</v>
      </c>
      <c r="I1465" t="s">
        <v>32</v>
      </c>
      <c r="J1465" t="s">
        <v>82</v>
      </c>
      <c r="K1465">
        <f t="shared" si="4542"/>
        <v>1</v>
      </c>
      <c r="L1465">
        <f t="shared" si="4543"/>
        <v>1</v>
      </c>
      <c r="M1465">
        <f t="shared" si="4544"/>
        <v>0</v>
      </c>
      <c r="N1465">
        <f t="shared" si="4545"/>
        <v>0</v>
      </c>
      <c r="O1465">
        <f t="shared" si="4546"/>
        <v>2</v>
      </c>
      <c r="P1465" t="str">
        <f t="shared" si="4547"/>
        <v>Medium centralized electrolysis-Public acceptability</v>
      </c>
      <c r="Q1465" t="str">
        <f t="shared" si="4548"/>
        <v>Central gas storage-Public acceptability</v>
      </c>
      <c r="R1465" t="str">
        <f t="shared" si="4549"/>
        <v>Blending in natural gas pipeline-Public acceptability</v>
      </c>
      <c r="S1465" t="str">
        <f t="shared" si="4550"/>
        <v>District-CHP with H2 fuel cell (power)-Public acceptability</v>
      </c>
      <c r="T1465" s="54">
        <f ca="1">VLOOKUP($P1465,'TA database'!$I$8:$J$79,2,FALSE)</f>
        <v>90</v>
      </c>
      <c r="U1465" s="54">
        <f ca="1">VLOOKUP($Q1465,'TA database'!$I$86:$J$105,2,FALSE)</f>
        <v>60</v>
      </c>
      <c r="V1465" s="54">
        <f ca="1">VLOOKUP($R1465,'TA database'!$I$112:$J$139,2,FALSE)</f>
        <v>90</v>
      </c>
      <c r="W1465" s="54">
        <f>IFERROR(VLOOKUP($S1465,'TA database'!$I$146:$J$193,2,FALSE),0)</f>
        <v>0</v>
      </c>
      <c r="X1465" s="54">
        <f ca="1">IFERROR(VLOOKUP($S1465,'TA database'!$I$200:$J$271,2,FALSE),0)</f>
        <v>80</v>
      </c>
      <c r="Y1465" s="59">
        <f t="shared" ref="Y1465:Y1468" ca="1" si="4555">IF($W1465=0,(PRODUCT($T1465:$V1465,$X1465))/1000000,(PRODUCT($T1465:$W1465))/1000000)</f>
        <v>38.880000000000003</v>
      </c>
      <c r="Z1465" t="str">
        <f t="shared" si="4551"/>
        <v>ELCTRLYZ_MED_C   →   C_GAS_STRG   →   H2_BLND_NG_P   →   H2_FC_DCHP_PWR</v>
      </c>
      <c r="AA1465" t="str">
        <f t="shared" si="4552"/>
        <v>Grid electricity</v>
      </c>
      <c r="AB1465" t="str">
        <f t="shared" si="4553"/>
        <v>Public acceptability</v>
      </c>
      <c r="AC1465">
        <f t="shared" ca="1" si="4554"/>
        <v>38.880000000000003</v>
      </c>
      <c r="AD1465">
        <v>1406</v>
      </c>
      <c r="AE1465" t="str">
        <f>IF(AND(ISNUMBER(SEARCH(O1465,4)),ISNUMBER(SEARCH('(4) FCH pathway assessment'!$B$16,AB1465)),ISNUMBER(SEARCH('(4) FCH pathway assessment'!$B$10,AA1465))),AD1465,"")</f>
        <v/>
      </c>
      <c r="AF1465" t="str">
        <f t="shared" si="4428"/>
        <v/>
      </c>
      <c r="AG1465" t="str">
        <f>VLOOKUP(C1465,Assumptions!$B$116:$C$162,2,FALSE)</f>
        <v>ELCTRLYZ_MED_C</v>
      </c>
      <c r="AH1465" t="str">
        <f>VLOOKUP(D1465,Assumptions!$B$116:$C$162,2,FALSE)</f>
        <v>C_GAS_STRG</v>
      </c>
      <c r="AI1465" t="str">
        <f>VLOOKUP(E1465,Assumptions!$B$116:$C$162,2,FALSE)</f>
        <v>H2_BLND_NG_P</v>
      </c>
      <c r="AJ1465" t="str">
        <f>VLOOKUP(F1465,Assumptions!$B$116:$C$162,2,FALSE)</f>
        <v>H2_FC_DCHP_PWR</v>
      </c>
    </row>
    <row r="1466" spans="2:36" x14ac:dyDescent="0.25">
      <c r="B1466" t="s">
        <v>112</v>
      </c>
      <c r="C1466" t="s">
        <v>51</v>
      </c>
      <c r="D1466" t="s">
        <v>155</v>
      </c>
      <c r="E1466" t="s">
        <v>122</v>
      </c>
      <c r="F1466" t="s">
        <v>549</v>
      </c>
      <c r="G1466" t="s">
        <v>114</v>
      </c>
      <c r="H1466" t="s">
        <v>433</v>
      </c>
      <c r="I1466" t="s">
        <v>32</v>
      </c>
      <c r="J1466" t="s">
        <v>82</v>
      </c>
      <c r="K1466">
        <f t="shared" si="4542"/>
        <v>1</v>
      </c>
      <c r="L1466">
        <f t="shared" si="4543"/>
        <v>1</v>
      </c>
      <c r="M1466">
        <f t="shared" si="4544"/>
        <v>1</v>
      </c>
      <c r="N1466">
        <f t="shared" si="4545"/>
        <v>0</v>
      </c>
      <c r="O1466">
        <f t="shared" ref="O1466:O1471" si="4556">K1466+L1466+M1466+N1466</f>
        <v>3</v>
      </c>
      <c r="P1466" t="str">
        <f t="shared" si="4547"/>
        <v>Medium centralized electrolysis-Public acceptability</v>
      </c>
      <c r="Q1466" t="str">
        <f t="shared" si="4548"/>
        <v>Central gas storage-Public acceptability</v>
      </c>
      <c r="R1466" t="str">
        <f t="shared" si="4549"/>
        <v>Hydrogen transmission &amp; distribution pipeline-Public acceptability</v>
      </c>
      <c r="S1466" t="str">
        <f t="shared" si="4550"/>
        <v>District-CHP with H2 fuel cell (power)-Public acceptability</v>
      </c>
      <c r="T1466" s="54">
        <f ca="1">VLOOKUP($P1466,'TA database'!$I$8:$J$79,2,FALSE)</f>
        <v>90</v>
      </c>
      <c r="U1466" s="54">
        <f ca="1">VLOOKUP($Q1466,'TA database'!$I$86:$J$105,2,FALSE)</f>
        <v>60</v>
      </c>
      <c r="V1466" s="54">
        <f ca="1">VLOOKUP($R1466,'TA database'!$I$112:$J$139,2,FALSE)</f>
        <v>70</v>
      </c>
      <c r="W1466" s="54">
        <f>IFERROR(VLOOKUP($S1466,'TA database'!$I$146:$J$193,2,FALSE),0)</f>
        <v>0</v>
      </c>
      <c r="X1466" s="54">
        <f ca="1">IFERROR(VLOOKUP($S1466,'TA database'!$I$200:$J$271,2,FALSE),0)</f>
        <v>80</v>
      </c>
      <c r="Y1466" s="59">
        <f t="shared" ca="1" si="4555"/>
        <v>30.24</v>
      </c>
      <c r="Z1466" t="str">
        <f t="shared" ref="Z1466:Z1471" si="4557">CONCATENATE(AG1466,"   →   ",AH1466,"   →   ",AI1466,"   →   ",AJ1466)</f>
        <v>ELCTRLYZ_MED_C   →   C_GAS_STRG   →   H2_T&amp;D_P   →   H2_FC_DCHP_PWR</v>
      </c>
      <c r="AA1466" t="str">
        <f t="shared" ref="AA1466:AA1471" si="4558">G1466</f>
        <v>Grid electricity</v>
      </c>
      <c r="AB1466" t="str">
        <f t="shared" ref="AB1466:AB1471" si="4559">J1466</f>
        <v>Public acceptability</v>
      </c>
      <c r="AC1466">
        <f t="shared" ref="AC1466:AC1471" ca="1" si="4560">Y1466</f>
        <v>30.24</v>
      </c>
      <c r="AD1466">
        <v>1407</v>
      </c>
      <c r="AE1466" t="str">
        <f>IF(AND(ISNUMBER(SEARCH(O1466,4)),ISNUMBER(SEARCH('(4) FCH pathway assessment'!$B$16,AB1466)),ISNUMBER(SEARCH('(4) FCH pathway assessment'!$B$10,AA1466))),AD1466,"")</f>
        <v/>
      </c>
      <c r="AF1466" t="str">
        <f t="shared" si="4428"/>
        <v/>
      </c>
      <c r="AG1466" t="str">
        <f>VLOOKUP(C1466,Assumptions!$B$116:$C$162,2,FALSE)</f>
        <v>ELCTRLYZ_MED_C</v>
      </c>
      <c r="AH1466" t="str">
        <f>VLOOKUP(D1466,Assumptions!$B$116:$C$162,2,FALSE)</f>
        <v>C_GAS_STRG</v>
      </c>
      <c r="AI1466" t="str">
        <f>VLOOKUP(E1466,Assumptions!$B$116:$C$162,2,FALSE)</f>
        <v>H2_T&amp;D_P</v>
      </c>
      <c r="AJ1466" t="str">
        <f>VLOOKUP(F1466,Assumptions!$B$116:$C$162,2,FALSE)</f>
        <v>H2_FC_DCHP_PWR</v>
      </c>
    </row>
    <row r="1467" spans="2:36" x14ac:dyDescent="0.25">
      <c r="B1467" t="s">
        <v>112</v>
      </c>
      <c r="C1467" t="s">
        <v>51</v>
      </c>
      <c r="D1467" t="s">
        <v>155</v>
      </c>
      <c r="E1467" t="s">
        <v>116</v>
      </c>
      <c r="F1467" t="s">
        <v>549</v>
      </c>
      <c r="G1467" t="s">
        <v>114</v>
      </c>
      <c r="H1467" t="s">
        <v>433</v>
      </c>
      <c r="I1467" t="s">
        <v>32</v>
      </c>
      <c r="J1467" t="s">
        <v>82</v>
      </c>
      <c r="K1467">
        <f t="shared" ref="K1467:K1472" si="4561">SUMPRODUCT(($C$7:$C$18=$C1467)*($D$6:$H$6=$D1467)*($D$7:$H$18))</f>
        <v>1</v>
      </c>
      <c r="L1467">
        <f t="shared" ref="L1467:L1472" si="4562">SUMPRODUCT(($C$19:$C$23=$D1467)*($I$6:$O$6=$E1467)*($I$19:$O$23))</f>
        <v>1</v>
      </c>
      <c r="M1467">
        <f t="shared" ref="M1467:M1472" si="4563">SUMPRODUCT(($C$24:$C$30=$E1467)*($P$6:$AI$6=$F1467)*($P$24:$AI$30))</f>
        <v>1</v>
      </c>
      <c r="N1467">
        <f t="shared" ref="N1467:N1472" si="4564">SUMPRODUCT(($C$31:$C$50=$F1467)*($AJ$6:$AM$6=$G1467)*($AJ$31:$AM$50))</f>
        <v>0</v>
      </c>
      <c r="O1467">
        <f t="shared" si="4556"/>
        <v>3</v>
      </c>
      <c r="P1467" t="str">
        <f t="shared" ref="P1467:P1472" si="4565">CONCATENATE(C1467,"-",J1467)</f>
        <v>Medium centralized electrolysis-Public acceptability</v>
      </c>
      <c r="Q1467" t="str">
        <f t="shared" ref="Q1467:Q1472" si="4566">CONCATENATE(D1467,"-",J1467)</f>
        <v>Central gas storage-Public acceptability</v>
      </c>
      <c r="R1467" t="str">
        <f t="shared" ref="R1467:R1472" si="4567">CONCATENATE(E1467,"-",J1467)</f>
        <v>Liquid hydrogen truck-Public acceptability</v>
      </c>
      <c r="S1467" t="str">
        <f t="shared" ref="S1467:S1472" si="4568">CONCATENATE(F1467,"-",J1467)</f>
        <v>District-CHP with H2 fuel cell (power)-Public acceptability</v>
      </c>
      <c r="T1467" s="54">
        <f ca="1">VLOOKUP($P1467,'TA database'!$I$8:$J$79,2,FALSE)</f>
        <v>90</v>
      </c>
      <c r="U1467" s="54">
        <f ca="1">VLOOKUP($Q1467,'TA database'!$I$86:$J$105,2,FALSE)</f>
        <v>60</v>
      </c>
      <c r="V1467" s="54">
        <f ca="1">VLOOKUP($R1467,'TA database'!$I$112:$J$139,2,FALSE)</f>
        <v>100</v>
      </c>
      <c r="W1467" s="54">
        <f>IFERROR(VLOOKUP($S1467,'TA database'!$I$146:$J$193,2,FALSE),0)</f>
        <v>0</v>
      </c>
      <c r="X1467" s="54">
        <f ca="1">IFERROR(VLOOKUP($S1467,'TA database'!$I$200:$J$271,2,FALSE),0)</f>
        <v>80</v>
      </c>
      <c r="Y1467" s="59">
        <f t="shared" ca="1" si="4555"/>
        <v>43.2</v>
      </c>
      <c r="Z1467" t="str">
        <f t="shared" si="4557"/>
        <v>ELCTRLYZ_MED_C   →   C_GAS_STRG   →   LQ_TRUCK   →   H2_FC_DCHP_PWR</v>
      </c>
      <c r="AA1467" t="str">
        <f t="shared" si="4558"/>
        <v>Grid electricity</v>
      </c>
      <c r="AB1467" t="str">
        <f t="shared" si="4559"/>
        <v>Public acceptability</v>
      </c>
      <c r="AC1467">
        <f t="shared" ca="1" si="4560"/>
        <v>43.2</v>
      </c>
      <c r="AD1467">
        <v>1408</v>
      </c>
      <c r="AE1467" t="str">
        <f>IF(AND(ISNUMBER(SEARCH(O1467,4)),ISNUMBER(SEARCH('(4) FCH pathway assessment'!$B$16,AB1467)),ISNUMBER(SEARCH('(4) FCH pathway assessment'!$B$10,AA1467))),AD1467,"")</f>
        <v/>
      </c>
      <c r="AF1467" t="str">
        <f t="shared" si="4428"/>
        <v/>
      </c>
      <c r="AG1467" t="str">
        <f>VLOOKUP(C1467,Assumptions!$B$116:$C$162,2,FALSE)</f>
        <v>ELCTRLYZ_MED_C</v>
      </c>
      <c r="AH1467" t="str">
        <f>VLOOKUP(D1467,Assumptions!$B$116:$C$162,2,FALSE)</f>
        <v>C_GAS_STRG</v>
      </c>
      <c r="AI1467" t="str">
        <f>VLOOKUP(E1467,Assumptions!$B$116:$C$162,2,FALSE)</f>
        <v>LQ_TRUCK</v>
      </c>
      <c r="AJ1467" t="str">
        <f>VLOOKUP(F1467,Assumptions!$B$116:$C$162,2,FALSE)</f>
        <v>H2_FC_DCHP_PWR</v>
      </c>
    </row>
    <row r="1468" spans="2:36" x14ac:dyDescent="0.25">
      <c r="B1468" t="s">
        <v>112</v>
      </c>
      <c r="C1468" t="s">
        <v>51</v>
      </c>
      <c r="D1468" t="s">
        <v>155</v>
      </c>
      <c r="E1468" t="s">
        <v>66</v>
      </c>
      <c r="F1468" t="s">
        <v>549</v>
      </c>
      <c r="G1468" t="s">
        <v>114</v>
      </c>
      <c r="H1468" t="s">
        <v>433</v>
      </c>
      <c r="I1468" t="s">
        <v>32</v>
      </c>
      <c r="J1468" t="s">
        <v>82</v>
      </c>
      <c r="K1468">
        <f t="shared" si="4561"/>
        <v>1</v>
      </c>
      <c r="L1468">
        <f t="shared" si="4562"/>
        <v>1</v>
      </c>
      <c r="M1468">
        <f t="shared" si="4563"/>
        <v>1</v>
      </c>
      <c r="N1468">
        <f t="shared" si="4564"/>
        <v>0</v>
      </c>
      <c r="O1468">
        <f t="shared" si="4556"/>
        <v>3</v>
      </c>
      <c r="P1468" t="str">
        <f t="shared" si="4565"/>
        <v>Medium centralized electrolysis-Public acceptability</v>
      </c>
      <c r="Q1468" t="str">
        <f t="shared" si="4566"/>
        <v>Central gas storage-Public acceptability</v>
      </c>
      <c r="R1468" t="str">
        <f t="shared" si="4567"/>
        <v>Onsite-Public acceptability</v>
      </c>
      <c r="S1468" t="str">
        <f t="shared" si="4568"/>
        <v>District-CHP with H2 fuel cell (power)-Public acceptability</v>
      </c>
      <c r="T1468" s="54">
        <f ca="1">VLOOKUP($P1468,'TA database'!$I$8:$J$79,2,FALSE)</f>
        <v>90</v>
      </c>
      <c r="U1468" s="54">
        <f ca="1">VLOOKUP($Q1468,'TA database'!$I$86:$J$105,2,FALSE)</f>
        <v>60</v>
      </c>
      <c r="V1468" s="54">
        <f ca="1">VLOOKUP($R1468,'TA database'!$I$112:$J$139,2,FALSE)</f>
        <v>90</v>
      </c>
      <c r="W1468" s="54">
        <f>IFERROR(VLOOKUP($S1468,'TA database'!$I$146:$J$193,2,FALSE),0)</f>
        <v>0</v>
      </c>
      <c r="X1468" s="54">
        <f ca="1">IFERROR(VLOOKUP($S1468,'TA database'!$I$200:$J$271,2,FALSE),0)</f>
        <v>80</v>
      </c>
      <c r="Y1468" s="59">
        <f t="shared" ca="1" si="4555"/>
        <v>38.880000000000003</v>
      </c>
      <c r="Z1468" t="str">
        <f t="shared" si="4557"/>
        <v>ELCTRLYZ_MED_C   →   C_GAS_STRG   →   ONSITE_USE   →   H2_FC_DCHP_PWR</v>
      </c>
      <c r="AA1468" t="str">
        <f t="shared" si="4558"/>
        <v>Grid electricity</v>
      </c>
      <c r="AB1468" t="str">
        <f t="shared" si="4559"/>
        <v>Public acceptability</v>
      </c>
      <c r="AC1468">
        <f t="shared" ca="1" si="4560"/>
        <v>38.880000000000003</v>
      </c>
      <c r="AD1468">
        <v>1409</v>
      </c>
      <c r="AE1468" t="str">
        <f>IF(AND(ISNUMBER(SEARCH(O1468,4)),ISNUMBER(SEARCH('(4) FCH pathway assessment'!$B$16,AB1468)),ISNUMBER(SEARCH('(4) FCH pathway assessment'!$B$10,AA1468))),AD1468,"")</f>
        <v/>
      </c>
      <c r="AF1468" t="str">
        <f t="shared" ref="AF1468:AF1531" si="4569">IFERROR(SMALL($AE$60:$AE$1991,AD1468),"")</f>
        <v/>
      </c>
      <c r="AG1468" t="str">
        <f>VLOOKUP(C1468,Assumptions!$B$116:$C$162,2,FALSE)</f>
        <v>ELCTRLYZ_MED_C</v>
      </c>
      <c r="AH1468" t="str">
        <f>VLOOKUP(D1468,Assumptions!$B$116:$C$162,2,FALSE)</f>
        <v>C_GAS_STRG</v>
      </c>
      <c r="AI1468" t="str">
        <f>VLOOKUP(E1468,Assumptions!$B$116:$C$162,2,FALSE)</f>
        <v>ONSITE_USE</v>
      </c>
      <c r="AJ1468" t="str">
        <f>VLOOKUP(F1468,Assumptions!$B$116:$C$162,2,FALSE)</f>
        <v>H2_FC_DCHP_PWR</v>
      </c>
    </row>
    <row r="1469" spans="2:36" x14ac:dyDescent="0.25">
      <c r="B1469" t="s">
        <v>112</v>
      </c>
      <c r="C1469" t="s">
        <v>52</v>
      </c>
      <c r="D1469" s="60" t="s">
        <v>130</v>
      </c>
      <c r="E1469" t="s">
        <v>66</v>
      </c>
      <c r="F1469" t="s">
        <v>549</v>
      </c>
      <c r="G1469" t="s">
        <v>114</v>
      </c>
      <c r="H1469" t="s">
        <v>433</v>
      </c>
      <c r="I1469" t="s">
        <v>32</v>
      </c>
      <c r="J1469" t="s">
        <v>82</v>
      </c>
      <c r="K1469">
        <f t="shared" si="4561"/>
        <v>1</v>
      </c>
      <c r="L1469">
        <f t="shared" si="4562"/>
        <v>1</v>
      </c>
      <c r="M1469">
        <f t="shared" si="4563"/>
        <v>1</v>
      </c>
      <c r="N1469">
        <f t="shared" si="4564"/>
        <v>0</v>
      </c>
      <c r="O1469">
        <f t="shared" si="4556"/>
        <v>3</v>
      </c>
      <c r="P1469" t="str">
        <f t="shared" si="4565"/>
        <v>Small decentralized electrolysis-Public acceptability</v>
      </c>
      <c r="Q1469" t="str">
        <f t="shared" si="4566"/>
        <v>Distributed gas storage-Public acceptability</v>
      </c>
      <c r="R1469" t="str">
        <f t="shared" si="4567"/>
        <v>Onsite-Public acceptability</v>
      </c>
      <c r="S1469" t="str">
        <f t="shared" si="4568"/>
        <v>District-CHP with H2 fuel cell (power)-Public acceptability</v>
      </c>
      <c r="T1469" s="54">
        <f ca="1">VLOOKUP($P1469,'TA database'!$I$8:$J$79,2,FALSE)</f>
        <v>90</v>
      </c>
      <c r="U1469" s="54">
        <f ca="1">VLOOKUP($Q1469,'TA database'!$I$86:$J$105,2,FALSE)</f>
        <v>60</v>
      </c>
      <c r="V1469" s="54">
        <f ca="1">VLOOKUP($R1469,'TA database'!$I$112:$J$139,2,FALSE)</f>
        <v>90</v>
      </c>
      <c r="W1469" s="54">
        <f>IFERROR(VLOOKUP($S1469,'TA database'!$I$146:$J$193,2,FALSE),0)</f>
        <v>0</v>
      </c>
      <c r="X1469" s="54">
        <f ca="1">IFERROR(VLOOKUP($S1469,'TA database'!$I$200:$J$271,2,FALSE),0)</f>
        <v>80</v>
      </c>
      <c r="Y1469" s="59">
        <f t="shared" ref="Y1469:Y1474" ca="1" si="4570">IF($W1469=0,(PRODUCT($T1469:$V1469,$X1469))/1000000,(PRODUCT($T1469:$W1469))/1000000)</f>
        <v>38.880000000000003</v>
      </c>
      <c r="Z1469" t="str">
        <f t="shared" si="4557"/>
        <v>ELCTRLYZ_SML_D   →   D_GAS_STRG   →   ONSITE_USE   →   H2_FC_DCHP_PWR</v>
      </c>
      <c r="AA1469" t="str">
        <f t="shared" si="4558"/>
        <v>Grid electricity</v>
      </c>
      <c r="AB1469" t="str">
        <f t="shared" si="4559"/>
        <v>Public acceptability</v>
      </c>
      <c r="AC1469">
        <f t="shared" ca="1" si="4560"/>
        <v>38.880000000000003</v>
      </c>
      <c r="AD1469">
        <v>1410</v>
      </c>
      <c r="AE1469" t="str">
        <f>IF(AND(ISNUMBER(SEARCH(O1469,4)),ISNUMBER(SEARCH('(4) FCH pathway assessment'!$B$16,AB1469)),ISNUMBER(SEARCH('(4) FCH pathway assessment'!$B$10,AA1469))),AD1469,"")</f>
        <v/>
      </c>
      <c r="AF1469" t="str">
        <f t="shared" si="4569"/>
        <v/>
      </c>
      <c r="AG1469" t="str">
        <f>VLOOKUP(C1469,Assumptions!$B$116:$C$162,2,FALSE)</f>
        <v>ELCTRLYZ_SML_D</v>
      </c>
      <c r="AH1469" t="str">
        <f>VLOOKUP(D1469,Assumptions!$B$116:$C$162,2,FALSE)</f>
        <v>D_GAS_STRG</v>
      </c>
      <c r="AI1469" t="str">
        <f>VLOOKUP(E1469,Assumptions!$B$116:$C$162,2,FALSE)</f>
        <v>ONSITE_USE</v>
      </c>
      <c r="AJ1469" t="str">
        <f>VLOOKUP(F1469,Assumptions!$B$116:$C$162,2,FALSE)</f>
        <v>H2_FC_DCHP_PWR</v>
      </c>
    </row>
    <row r="1470" spans="2:36" x14ac:dyDescent="0.25">
      <c r="B1470" t="s">
        <v>127</v>
      </c>
      <c r="C1470" t="s">
        <v>57</v>
      </c>
      <c r="D1470" t="s">
        <v>62</v>
      </c>
      <c r="E1470" t="s">
        <v>157</v>
      </c>
      <c r="F1470" t="s">
        <v>549</v>
      </c>
      <c r="G1470" t="s">
        <v>114</v>
      </c>
      <c r="H1470" t="s">
        <v>433</v>
      </c>
      <c r="I1470" t="s">
        <v>32</v>
      </c>
      <c r="J1470" t="s">
        <v>82</v>
      </c>
      <c r="K1470">
        <f t="shared" si="4561"/>
        <v>1</v>
      </c>
      <c r="L1470">
        <f t="shared" si="4562"/>
        <v>0</v>
      </c>
      <c r="M1470">
        <f t="shared" si="4563"/>
        <v>0</v>
      </c>
      <c r="N1470">
        <f t="shared" si="4564"/>
        <v>0</v>
      </c>
      <c r="O1470">
        <f t="shared" si="4556"/>
        <v>1</v>
      </c>
      <c r="P1470" t="str">
        <f t="shared" si="4565"/>
        <v>Large centralized natural gas steam reforming-Public acceptability</v>
      </c>
      <c r="Q1470" t="str">
        <f t="shared" si="4566"/>
        <v>Underground storage-Public acceptability</v>
      </c>
      <c r="R1470" t="str">
        <f t="shared" si="4567"/>
        <v>Blending in natural gas pipeline-Public acceptability</v>
      </c>
      <c r="S1470" t="str">
        <f t="shared" si="4568"/>
        <v>District-CHP with H2 fuel cell (power)-Public acceptability</v>
      </c>
      <c r="T1470" s="54">
        <f ca="1">VLOOKUP($P1470,'TA database'!$I$8:$J$79,2,FALSE)</f>
        <v>90</v>
      </c>
      <c r="U1470" s="54">
        <f ca="1">VLOOKUP($Q1470,'TA database'!$I$86:$J$105,2,FALSE)</f>
        <v>60</v>
      </c>
      <c r="V1470" s="54">
        <f ca="1">VLOOKUP($R1470,'TA database'!$I$112:$J$139,2,FALSE)</f>
        <v>90</v>
      </c>
      <c r="W1470" s="54">
        <f>IFERROR(VLOOKUP($S1470,'TA database'!$I$146:$J$193,2,FALSE),0)</f>
        <v>0</v>
      </c>
      <c r="X1470" s="54">
        <f ca="1">IFERROR(VLOOKUP($S1470,'TA database'!$I$200:$J$271,2,FALSE),0)</f>
        <v>80</v>
      </c>
      <c r="Y1470" s="59">
        <f t="shared" ca="1" si="4570"/>
        <v>38.880000000000003</v>
      </c>
      <c r="Z1470" t="str">
        <f t="shared" si="4557"/>
        <v>NG_SR_LRG_C   →   C_UNDRGRND_STRG   →   H2_BLND_NG_P   →   H2_FC_DCHP_PWR</v>
      </c>
      <c r="AA1470" t="str">
        <f t="shared" si="4558"/>
        <v>Grid electricity</v>
      </c>
      <c r="AB1470" t="str">
        <f t="shared" si="4559"/>
        <v>Public acceptability</v>
      </c>
      <c r="AC1470">
        <f t="shared" ca="1" si="4560"/>
        <v>38.880000000000003</v>
      </c>
      <c r="AD1470">
        <v>1411</v>
      </c>
      <c r="AE1470" t="str">
        <f>IF(AND(ISNUMBER(SEARCH(O1470,4)),ISNUMBER(SEARCH('(4) FCH pathway assessment'!$B$16,AB1470)),ISNUMBER(SEARCH('(4) FCH pathway assessment'!$B$10,AA1470))),AD1470,"")</f>
        <v/>
      </c>
      <c r="AF1470" t="str">
        <f t="shared" si="4569"/>
        <v/>
      </c>
      <c r="AG1470" t="str">
        <f>VLOOKUP(C1470,Assumptions!$B$116:$C$162,2,FALSE)</f>
        <v>NG_SR_LRG_C</v>
      </c>
      <c r="AH1470" t="str">
        <f>VLOOKUP(D1470,Assumptions!$B$116:$C$162,2,FALSE)</f>
        <v>C_UNDRGRND_STRG</v>
      </c>
      <c r="AI1470" t="str">
        <f>VLOOKUP(E1470,Assumptions!$B$116:$C$162,2,FALSE)</f>
        <v>H2_BLND_NG_P</v>
      </c>
      <c r="AJ1470" t="str">
        <f>VLOOKUP(F1470,Assumptions!$B$116:$C$162,2,FALSE)</f>
        <v>H2_FC_DCHP_PWR</v>
      </c>
    </row>
    <row r="1471" spans="2:36" x14ac:dyDescent="0.25">
      <c r="B1471" t="s">
        <v>127</v>
      </c>
      <c r="C1471" t="s">
        <v>57</v>
      </c>
      <c r="D1471" t="s">
        <v>62</v>
      </c>
      <c r="E1471" t="s">
        <v>122</v>
      </c>
      <c r="F1471" t="s">
        <v>549</v>
      </c>
      <c r="G1471" t="s">
        <v>114</v>
      </c>
      <c r="H1471" t="s">
        <v>433</v>
      </c>
      <c r="I1471" t="s">
        <v>32</v>
      </c>
      <c r="J1471" t="s">
        <v>82</v>
      </c>
      <c r="K1471">
        <f t="shared" si="4561"/>
        <v>1</v>
      </c>
      <c r="L1471">
        <f t="shared" si="4562"/>
        <v>0</v>
      </c>
      <c r="M1471">
        <f t="shared" si="4563"/>
        <v>1</v>
      </c>
      <c r="N1471">
        <f t="shared" si="4564"/>
        <v>0</v>
      </c>
      <c r="O1471">
        <f t="shared" si="4556"/>
        <v>2</v>
      </c>
      <c r="P1471" t="str">
        <f t="shared" si="4565"/>
        <v>Large centralized natural gas steam reforming-Public acceptability</v>
      </c>
      <c r="Q1471" t="str">
        <f t="shared" si="4566"/>
        <v>Underground storage-Public acceptability</v>
      </c>
      <c r="R1471" t="str">
        <f t="shared" si="4567"/>
        <v>Hydrogen transmission &amp; distribution pipeline-Public acceptability</v>
      </c>
      <c r="S1471" t="str">
        <f t="shared" si="4568"/>
        <v>District-CHP with H2 fuel cell (power)-Public acceptability</v>
      </c>
      <c r="T1471" s="54">
        <f ca="1">VLOOKUP($P1471,'TA database'!$I$8:$J$79,2,FALSE)</f>
        <v>90</v>
      </c>
      <c r="U1471" s="54">
        <f ca="1">VLOOKUP($Q1471,'TA database'!$I$86:$J$105,2,FALSE)</f>
        <v>60</v>
      </c>
      <c r="V1471" s="54">
        <f ca="1">VLOOKUP($R1471,'TA database'!$I$112:$J$139,2,FALSE)</f>
        <v>70</v>
      </c>
      <c r="W1471" s="54">
        <f>IFERROR(VLOOKUP($S1471,'TA database'!$I$146:$J$193,2,FALSE),0)</f>
        <v>0</v>
      </c>
      <c r="X1471" s="54">
        <f ca="1">IFERROR(VLOOKUP($S1471,'TA database'!$I$200:$J$271,2,FALSE),0)</f>
        <v>80</v>
      </c>
      <c r="Y1471" s="59">
        <f t="shared" ca="1" si="4570"/>
        <v>30.24</v>
      </c>
      <c r="Z1471" t="str">
        <f t="shared" si="4557"/>
        <v>NG_SR_LRG_C   →   C_UNDRGRND_STRG   →   H2_T&amp;D_P   →   H2_FC_DCHP_PWR</v>
      </c>
      <c r="AA1471" t="str">
        <f t="shared" si="4558"/>
        <v>Grid electricity</v>
      </c>
      <c r="AB1471" t="str">
        <f t="shared" si="4559"/>
        <v>Public acceptability</v>
      </c>
      <c r="AC1471">
        <f t="shared" ca="1" si="4560"/>
        <v>30.24</v>
      </c>
      <c r="AD1471">
        <v>1412</v>
      </c>
      <c r="AE1471" t="str">
        <f>IF(AND(ISNUMBER(SEARCH(O1471,4)),ISNUMBER(SEARCH('(4) FCH pathway assessment'!$B$16,AB1471)),ISNUMBER(SEARCH('(4) FCH pathway assessment'!$B$10,AA1471))),AD1471,"")</f>
        <v/>
      </c>
      <c r="AF1471" t="str">
        <f t="shared" si="4569"/>
        <v/>
      </c>
      <c r="AG1471" t="str">
        <f>VLOOKUP(C1471,Assumptions!$B$116:$C$162,2,FALSE)</f>
        <v>NG_SR_LRG_C</v>
      </c>
      <c r="AH1471" t="str">
        <f>VLOOKUP(D1471,Assumptions!$B$116:$C$162,2,FALSE)</f>
        <v>C_UNDRGRND_STRG</v>
      </c>
      <c r="AI1471" t="str">
        <f>VLOOKUP(E1471,Assumptions!$B$116:$C$162,2,FALSE)</f>
        <v>H2_T&amp;D_P</v>
      </c>
      <c r="AJ1471" t="str">
        <f>VLOOKUP(F1471,Assumptions!$B$116:$C$162,2,FALSE)</f>
        <v>H2_FC_DCHP_PWR</v>
      </c>
    </row>
    <row r="1472" spans="2:36" x14ac:dyDescent="0.25">
      <c r="B1472" t="s">
        <v>127</v>
      </c>
      <c r="C1472" t="s">
        <v>57</v>
      </c>
      <c r="D1472" t="s">
        <v>62</v>
      </c>
      <c r="E1472" t="s">
        <v>116</v>
      </c>
      <c r="F1472" t="s">
        <v>549</v>
      </c>
      <c r="G1472" t="s">
        <v>114</v>
      </c>
      <c r="H1472" t="s">
        <v>433</v>
      </c>
      <c r="I1472" t="s">
        <v>32</v>
      </c>
      <c r="J1472" t="s">
        <v>82</v>
      </c>
      <c r="K1472">
        <f t="shared" si="4561"/>
        <v>1</v>
      </c>
      <c r="L1472">
        <f t="shared" si="4562"/>
        <v>0</v>
      </c>
      <c r="M1472">
        <f t="shared" si="4563"/>
        <v>1</v>
      </c>
      <c r="N1472">
        <f t="shared" si="4564"/>
        <v>0</v>
      </c>
      <c r="O1472">
        <f t="shared" ref="O1472:O1478" si="4571">K1472+L1472+M1472+N1472</f>
        <v>2</v>
      </c>
      <c r="P1472" t="str">
        <f t="shared" si="4565"/>
        <v>Large centralized natural gas steam reforming-Public acceptability</v>
      </c>
      <c r="Q1472" t="str">
        <f t="shared" si="4566"/>
        <v>Underground storage-Public acceptability</v>
      </c>
      <c r="R1472" t="str">
        <f t="shared" si="4567"/>
        <v>Liquid hydrogen truck-Public acceptability</v>
      </c>
      <c r="S1472" t="str">
        <f t="shared" si="4568"/>
        <v>District-CHP with H2 fuel cell (power)-Public acceptability</v>
      </c>
      <c r="T1472" s="54">
        <f ca="1">VLOOKUP($P1472,'TA database'!$I$8:$J$79,2,FALSE)</f>
        <v>90</v>
      </c>
      <c r="U1472" s="54">
        <f ca="1">VLOOKUP($Q1472,'TA database'!$I$86:$J$105,2,FALSE)</f>
        <v>60</v>
      </c>
      <c r="V1472" s="54">
        <f ca="1">VLOOKUP($R1472,'TA database'!$I$112:$J$139,2,FALSE)</f>
        <v>100</v>
      </c>
      <c r="W1472" s="54">
        <f>IFERROR(VLOOKUP($S1472,'TA database'!$I$146:$J$193,2,FALSE),0)</f>
        <v>0</v>
      </c>
      <c r="X1472" s="54">
        <f ca="1">IFERROR(VLOOKUP($S1472,'TA database'!$I$200:$J$271,2,FALSE),0)</f>
        <v>80</v>
      </c>
      <c r="Y1472" s="59">
        <f t="shared" ca="1" si="4570"/>
        <v>43.2</v>
      </c>
      <c r="Z1472" t="str">
        <f t="shared" ref="Z1472:Z1478" si="4572">CONCATENATE(AG1472,"   →   ",AH1472,"   →   ",AI1472,"   →   ",AJ1472)</f>
        <v>NG_SR_LRG_C   →   C_UNDRGRND_STRG   →   LQ_TRUCK   →   H2_FC_DCHP_PWR</v>
      </c>
      <c r="AA1472" t="str">
        <f t="shared" ref="AA1472:AA1478" si="4573">G1472</f>
        <v>Grid electricity</v>
      </c>
      <c r="AB1472" t="str">
        <f t="shared" ref="AB1472:AB1478" si="4574">J1472</f>
        <v>Public acceptability</v>
      </c>
      <c r="AC1472">
        <f t="shared" ref="AC1472:AC1478" ca="1" si="4575">Y1472</f>
        <v>43.2</v>
      </c>
      <c r="AD1472">
        <v>1413</v>
      </c>
      <c r="AE1472" t="str">
        <f>IF(AND(ISNUMBER(SEARCH(O1472,4)),ISNUMBER(SEARCH('(4) FCH pathway assessment'!$B$16,AB1472)),ISNUMBER(SEARCH('(4) FCH pathway assessment'!$B$10,AA1472))),AD1472,"")</f>
        <v/>
      </c>
      <c r="AF1472" t="str">
        <f t="shared" si="4569"/>
        <v/>
      </c>
      <c r="AG1472" t="str">
        <f>VLOOKUP(C1472,Assumptions!$B$116:$C$162,2,FALSE)</f>
        <v>NG_SR_LRG_C</v>
      </c>
      <c r="AH1472" t="str">
        <f>VLOOKUP(D1472,Assumptions!$B$116:$C$162,2,FALSE)</f>
        <v>C_UNDRGRND_STRG</v>
      </c>
      <c r="AI1472" t="str">
        <f>VLOOKUP(E1472,Assumptions!$B$116:$C$162,2,FALSE)</f>
        <v>LQ_TRUCK</v>
      </c>
      <c r="AJ1472" t="str">
        <f>VLOOKUP(F1472,Assumptions!$B$116:$C$162,2,FALSE)</f>
        <v>H2_FC_DCHP_PWR</v>
      </c>
    </row>
    <row r="1473" spans="2:36" x14ac:dyDescent="0.25">
      <c r="B1473" t="s">
        <v>127</v>
      </c>
      <c r="C1473" t="s">
        <v>57</v>
      </c>
      <c r="D1473" t="s">
        <v>62</v>
      </c>
      <c r="E1473" t="s">
        <v>66</v>
      </c>
      <c r="F1473" t="s">
        <v>549</v>
      </c>
      <c r="G1473" t="s">
        <v>114</v>
      </c>
      <c r="H1473" t="s">
        <v>433</v>
      </c>
      <c r="I1473" t="s">
        <v>32</v>
      </c>
      <c r="J1473" t="s">
        <v>82</v>
      </c>
      <c r="K1473">
        <f t="shared" ref="K1473:K1478" si="4576">SUMPRODUCT(($C$7:$C$18=$C1473)*($D$6:$H$6=$D1473)*($D$7:$H$18))</f>
        <v>1</v>
      </c>
      <c r="L1473">
        <f t="shared" ref="L1473:L1478" si="4577">SUMPRODUCT(($C$19:$C$23=$D1473)*($I$6:$O$6=$E1473)*($I$19:$O$23))</f>
        <v>0</v>
      </c>
      <c r="M1473">
        <f t="shared" ref="M1473:M1478" si="4578">SUMPRODUCT(($C$24:$C$30=$E1473)*($P$6:$AI$6=$F1473)*($P$24:$AI$30))</f>
        <v>1</v>
      </c>
      <c r="N1473">
        <f t="shared" ref="N1473:N1478" si="4579">SUMPRODUCT(($C$31:$C$50=$F1473)*($AJ$6:$AM$6=$G1473)*($AJ$31:$AM$50))</f>
        <v>0</v>
      </c>
      <c r="O1473">
        <f t="shared" si="4571"/>
        <v>2</v>
      </c>
      <c r="P1473" t="str">
        <f t="shared" ref="P1473:P1478" si="4580">CONCATENATE(C1473,"-",J1473)</f>
        <v>Large centralized natural gas steam reforming-Public acceptability</v>
      </c>
      <c r="Q1473" t="str">
        <f t="shared" ref="Q1473:Q1478" si="4581">CONCATENATE(D1473,"-",J1473)</f>
        <v>Underground storage-Public acceptability</v>
      </c>
      <c r="R1473" t="str">
        <f t="shared" ref="R1473:R1478" si="4582">CONCATENATE(E1473,"-",J1473)</f>
        <v>Onsite-Public acceptability</v>
      </c>
      <c r="S1473" t="str">
        <f t="shared" ref="S1473:S1478" si="4583">CONCATENATE(F1473,"-",J1473)</f>
        <v>District-CHP with H2 fuel cell (power)-Public acceptability</v>
      </c>
      <c r="T1473" s="54">
        <f ca="1">VLOOKUP($P1473,'TA database'!$I$8:$J$79,2,FALSE)</f>
        <v>90</v>
      </c>
      <c r="U1473" s="54">
        <f ca="1">VLOOKUP($Q1473,'TA database'!$I$86:$J$105,2,FALSE)</f>
        <v>60</v>
      </c>
      <c r="V1473" s="54">
        <f ca="1">VLOOKUP($R1473,'TA database'!$I$112:$J$139,2,FALSE)</f>
        <v>90</v>
      </c>
      <c r="W1473" s="54">
        <f>IFERROR(VLOOKUP($S1473,'TA database'!$I$146:$J$193,2,FALSE),0)</f>
        <v>0</v>
      </c>
      <c r="X1473" s="54">
        <f ca="1">IFERROR(VLOOKUP($S1473,'TA database'!$I$200:$J$271,2,FALSE),0)</f>
        <v>80</v>
      </c>
      <c r="Y1473" s="59">
        <f t="shared" ca="1" si="4570"/>
        <v>38.880000000000003</v>
      </c>
      <c r="Z1473" t="str">
        <f t="shared" si="4572"/>
        <v>NG_SR_LRG_C   →   C_UNDRGRND_STRG   →   ONSITE_USE   →   H2_FC_DCHP_PWR</v>
      </c>
      <c r="AA1473" t="str">
        <f t="shared" si="4573"/>
        <v>Grid electricity</v>
      </c>
      <c r="AB1473" t="str">
        <f t="shared" si="4574"/>
        <v>Public acceptability</v>
      </c>
      <c r="AC1473">
        <f t="shared" ca="1" si="4575"/>
        <v>38.880000000000003</v>
      </c>
      <c r="AD1473">
        <v>1414</v>
      </c>
      <c r="AE1473" t="str">
        <f>IF(AND(ISNUMBER(SEARCH(O1473,4)),ISNUMBER(SEARCH('(4) FCH pathway assessment'!$B$16,AB1473)),ISNUMBER(SEARCH('(4) FCH pathway assessment'!$B$10,AA1473))),AD1473,"")</f>
        <v/>
      </c>
      <c r="AF1473" t="str">
        <f t="shared" si="4569"/>
        <v/>
      </c>
      <c r="AG1473" t="str">
        <f>VLOOKUP(C1473,Assumptions!$B$116:$C$162,2,FALSE)</f>
        <v>NG_SR_LRG_C</v>
      </c>
      <c r="AH1473" t="str">
        <f>VLOOKUP(D1473,Assumptions!$B$116:$C$162,2,FALSE)</f>
        <v>C_UNDRGRND_STRG</v>
      </c>
      <c r="AI1473" t="str">
        <f>VLOOKUP(E1473,Assumptions!$B$116:$C$162,2,FALSE)</f>
        <v>ONSITE_USE</v>
      </c>
      <c r="AJ1473" t="str">
        <f>VLOOKUP(F1473,Assumptions!$B$116:$C$162,2,FALSE)</f>
        <v>H2_FC_DCHP_PWR</v>
      </c>
    </row>
    <row r="1474" spans="2:36" x14ac:dyDescent="0.25">
      <c r="B1474" t="s">
        <v>127</v>
      </c>
      <c r="C1474" t="s">
        <v>57</v>
      </c>
      <c r="D1474" s="61" t="s">
        <v>63</v>
      </c>
      <c r="E1474" t="s">
        <v>122</v>
      </c>
      <c r="F1474" t="s">
        <v>549</v>
      </c>
      <c r="G1474" t="s">
        <v>114</v>
      </c>
      <c r="H1474" t="s">
        <v>433</v>
      </c>
      <c r="I1474" t="s">
        <v>32</v>
      </c>
      <c r="J1474" t="s">
        <v>82</v>
      </c>
      <c r="K1474">
        <f t="shared" si="4576"/>
        <v>1</v>
      </c>
      <c r="L1474">
        <f t="shared" si="4577"/>
        <v>1</v>
      </c>
      <c r="M1474">
        <f t="shared" si="4578"/>
        <v>1</v>
      </c>
      <c r="N1474">
        <f t="shared" si="4579"/>
        <v>0</v>
      </c>
      <c r="O1474">
        <f t="shared" si="4571"/>
        <v>3</v>
      </c>
      <c r="P1474" t="str">
        <f t="shared" si="4580"/>
        <v>Large centralized natural gas steam reforming-Public acceptability</v>
      </c>
      <c r="Q1474" t="str">
        <f t="shared" si="4581"/>
        <v>No storage-Public acceptability</v>
      </c>
      <c r="R1474" t="str">
        <f t="shared" si="4582"/>
        <v>Hydrogen transmission &amp; distribution pipeline-Public acceptability</v>
      </c>
      <c r="S1474" t="str">
        <f t="shared" si="4583"/>
        <v>District-CHP with H2 fuel cell (power)-Public acceptability</v>
      </c>
      <c r="T1474" s="54">
        <f ca="1">VLOOKUP($P1474,'TA database'!$I$8:$J$79,2,FALSE)</f>
        <v>90</v>
      </c>
      <c r="U1474" s="54">
        <f ca="1">VLOOKUP($Q1474,'TA database'!$I$86:$J$105,2,FALSE)</f>
        <v>100</v>
      </c>
      <c r="V1474" s="54">
        <f ca="1">VLOOKUP($R1474,'TA database'!$I$112:$J$139,2,FALSE)</f>
        <v>70</v>
      </c>
      <c r="W1474" s="54">
        <f>IFERROR(VLOOKUP($S1474,'TA database'!$I$146:$J$193,2,FALSE),0)</f>
        <v>0</v>
      </c>
      <c r="X1474" s="54">
        <f ca="1">IFERROR(VLOOKUP($S1474,'TA database'!$I$200:$J$271,2,FALSE),0)</f>
        <v>80</v>
      </c>
      <c r="Y1474" s="59">
        <f t="shared" ca="1" si="4570"/>
        <v>50.4</v>
      </c>
      <c r="Z1474" t="str">
        <f t="shared" si="4572"/>
        <v>NG_SR_LRG_C   →   NO_STRG   →   H2_T&amp;D_P   →   H2_FC_DCHP_PWR</v>
      </c>
      <c r="AA1474" t="str">
        <f t="shared" si="4573"/>
        <v>Grid electricity</v>
      </c>
      <c r="AB1474" t="str">
        <f t="shared" si="4574"/>
        <v>Public acceptability</v>
      </c>
      <c r="AC1474">
        <f t="shared" ca="1" si="4575"/>
        <v>50.4</v>
      </c>
      <c r="AD1474">
        <v>1415</v>
      </c>
      <c r="AE1474" t="str">
        <f>IF(AND(ISNUMBER(SEARCH(O1474,4)),ISNUMBER(SEARCH('(4) FCH pathway assessment'!$B$16,AB1474)),ISNUMBER(SEARCH('(4) FCH pathway assessment'!$B$10,AA1474))),AD1474,"")</f>
        <v/>
      </c>
      <c r="AF1474" t="str">
        <f t="shared" si="4569"/>
        <v/>
      </c>
      <c r="AG1474" t="str">
        <f>VLOOKUP(C1474,Assumptions!$B$116:$C$162,2,FALSE)</f>
        <v>NG_SR_LRG_C</v>
      </c>
      <c r="AH1474" t="str">
        <f>VLOOKUP(D1474,Assumptions!$B$116:$C$162,2,FALSE)</f>
        <v>NO_STRG</v>
      </c>
      <c r="AI1474" t="str">
        <f>VLOOKUP(E1474,Assumptions!$B$116:$C$162,2,FALSE)</f>
        <v>H2_T&amp;D_P</v>
      </c>
      <c r="AJ1474" t="str">
        <f>VLOOKUP(F1474,Assumptions!$B$116:$C$162,2,FALSE)</f>
        <v>H2_FC_DCHP_PWR</v>
      </c>
    </row>
    <row r="1475" spans="2:36" x14ac:dyDescent="0.25">
      <c r="B1475" t="s">
        <v>127</v>
      </c>
      <c r="C1475" t="s">
        <v>58</v>
      </c>
      <c r="D1475" t="s">
        <v>155</v>
      </c>
      <c r="E1475" t="s">
        <v>157</v>
      </c>
      <c r="F1475" t="s">
        <v>549</v>
      </c>
      <c r="G1475" t="s">
        <v>114</v>
      </c>
      <c r="H1475" t="s">
        <v>433</v>
      </c>
      <c r="I1475" t="s">
        <v>32</v>
      </c>
      <c r="J1475" t="s">
        <v>82</v>
      </c>
      <c r="K1475">
        <f t="shared" si="4576"/>
        <v>1</v>
      </c>
      <c r="L1475">
        <f t="shared" si="4577"/>
        <v>1</v>
      </c>
      <c r="M1475">
        <f t="shared" si="4578"/>
        <v>0</v>
      </c>
      <c r="N1475">
        <f t="shared" si="4579"/>
        <v>0</v>
      </c>
      <c r="O1475">
        <f t="shared" si="4571"/>
        <v>2</v>
      </c>
      <c r="P1475" t="str">
        <f t="shared" si="4580"/>
        <v>Small centralized natural gas steam reforming-Public acceptability</v>
      </c>
      <c r="Q1475" t="str">
        <f t="shared" si="4581"/>
        <v>Central gas storage-Public acceptability</v>
      </c>
      <c r="R1475" t="str">
        <f t="shared" si="4582"/>
        <v>Blending in natural gas pipeline-Public acceptability</v>
      </c>
      <c r="S1475" t="str">
        <f t="shared" si="4583"/>
        <v>District-CHP with H2 fuel cell (power)-Public acceptability</v>
      </c>
      <c r="T1475" s="54">
        <f ca="1">VLOOKUP($P1475,'TA database'!$I$8:$J$79,2,FALSE)</f>
        <v>90</v>
      </c>
      <c r="U1475" s="54">
        <f ca="1">VLOOKUP($Q1475,'TA database'!$I$86:$J$105,2,FALSE)</f>
        <v>60</v>
      </c>
      <c r="V1475" s="54">
        <f ca="1">VLOOKUP($R1475,'TA database'!$I$112:$J$139,2,FALSE)</f>
        <v>90</v>
      </c>
      <c r="W1475" s="54">
        <f>IFERROR(VLOOKUP($S1475,'TA database'!$I$146:$J$193,2,FALSE),0)</f>
        <v>0</v>
      </c>
      <c r="X1475" s="54">
        <f ca="1">IFERROR(VLOOKUP($S1475,'TA database'!$I$200:$J$271,2,FALSE),0)</f>
        <v>80</v>
      </c>
      <c r="Y1475" s="59">
        <f t="shared" ref="Y1475:Y1479" ca="1" si="4584">IF($W1475=0,(PRODUCT($T1475:$V1475,$X1475))/1000000,(PRODUCT($T1475:$W1475))/1000000)</f>
        <v>38.880000000000003</v>
      </c>
      <c r="Z1475" t="str">
        <f t="shared" si="4572"/>
        <v>NG_SR_SML_C   →   C_GAS_STRG   →   H2_BLND_NG_P   →   H2_FC_DCHP_PWR</v>
      </c>
      <c r="AA1475" t="str">
        <f t="shared" si="4573"/>
        <v>Grid electricity</v>
      </c>
      <c r="AB1475" t="str">
        <f t="shared" si="4574"/>
        <v>Public acceptability</v>
      </c>
      <c r="AC1475">
        <f t="shared" ca="1" si="4575"/>
        <v>38.880000000000003</v>
      </c>
      <c r="AD1475">
        <v>1416</v>
      </c>
      <c r="AE1475" t="str">
        <f>IF(AND(ISNUMBER(SEARCH(O1475,4)),ISNUMBER(SEARCH('(4) FCH pathway assessment'!$B$16,AB1475)),ISNUMBER(SEARCH('(4) FCH pathway assessment'!$B$10,AA1475))),AD1475,"")</f>
        <v/>
      </c>
      <c r="AF1475" t="str">
        <f t="shared" si="4569"/>
        <v/>
      </c>
      <c r="AG1475" t="str">
        <f>VLOOKUP(C1475,Assumptions!$B$116:$C$162,2,FALSE)</f>
        <v>NG_SR_SML_C</v>
      </c>
      <c r="AH1475" t="str">
        <f>VLOOKUP(D1475,Assumptions!$B$116:$C$162,2,FALSE)</f>
        <v>C_GAS_STRG</v>
      </c>
      <c r="AI1475" t="str">
        <f>VLOOKUP(E1475,Assumptions!$B$116:$C$162,2,FALSE)</f>
        <v>H2_BLND_NG_P</v>
      </c>
      <c r="AJ1475" t="str">
        <f>VLOOKUP(F1475,Assumptions!$B$116:$C$162,2,FALSE)</f>
        <v>H2_FC_DCHP_PWR</v>
      </c>
    </row>
    <row r="1476" spans="2:36" x14ac:dyDescent="0.25">
      <c r="B1476" t="s">
        <v>127</v>
      </c>
      <c r="C1476" t="s">
        <v>58</v>
      </c>
      <c r="D1476" t="s">
        <v>155</v>
      </c>
      <c r="E1476" t="s">
        <v>122</v>
      </c>
      <c r="F1476" t="s">
        <v>549</v>
      </c>
      <c r="G1476" t="s">
        <v>114</v>
      </c>
      <c r="H1476" t="s">
        <v>433</v>
      </c>
      <c r="I1476" t="s">
        <v>32</v>
      </c>
      <c r="J1476" t="s">
        <v>82</v>
      </c>
      <c r="K1476">
        <f t="shared" si="4576"/>
        <v>1</v>
      </c>
      <c r="L1476">
        <f t="shared" si="4577"/>
        <v>1</v>
      </c>
      <c r="M1476">
        <f t="shared" si="4578"/>
        <v>1</v>
      </c>
      <c r="N1476">
        <f t="shared" si="4579"/>
        <v>0</v>
      </c>
      <c r="O1476">
        <f t="shared" si="4571"/>
        <v>3</v>
      </c>
      <c r="P1476" t="str">
        <f t="shared" si="4580"/>
        <v>Small centralized natural gas steam reforming-Public acceptability</v>
      </c>
      <c r="Q1476" t="str">
        <f t="shared" si="4581"/>
        <v>Central gas storage-Public acceptability</v>
      </c>
      <c r="R1476" t="str">
        <f t="shared" si="4582"/>
        <v>Hydrogen transmission &amp; distribution pipeline-Public acceptability</v>
      </c>
      <c r="S1476" t="str">
        <f t="shared" si="4583"/>
        <v>District-CHP with H2 fuel cell (power)-Public acceptability</v>
      </c>
      <c r="T1476" s="54">
        <f ca="1">VLOOKUP($P1476,'TA database'!$I$8:$J$79,2,FALSE)</f>
        <v>90</v>
      </c>
      <c r="U1476" s="54">
        <f ca="1">VLOOKUP($Q1476,'TA database'!$I$86:$J$105,2,FALSE)</f>
        <v>60</v>
      </c>
      <c r="V1476" s="54">
        <f ca="1">VLOOKUP($R1476,'TA database'!$I$112:$J$139,2,FALSE)</f>
        <v>70</v>
      </c>
      <c r="W1476" s="54">
        <f>IFERROR(VLOOKUP($S1476,'TA database'!$I$146:$J$193,2,FALSE),0)</f>
        <v>0</v>
      </c>
      <c r="X1476" s="54">
        <f ca="1">IFERROR(VLOOKUP($S1476,'TA database'!$I$200:$J$271,2,FALSE),0)</f>
        <v>80</v>
      </c>
      <c r="Y1476" s="59">
        <f t="shared" ca="1" si="4584"/>
        <v>30.24</v>
      </c>
      <c r="Z1476" t="str">
        <f t="shared" si="4572"/>
        <v>NG_SR_SML_C   →   C_GAS_STRG   →   H2_T&amp;D_P   →   H2_FC_DCHP_PWR</v>
      </c>
      <c r="AA1476" t="str">
        <f t="shared" si="4573"/>
        <v>Grid electricity</v>
      </c>
      <c r="AB1476" t="str">
        <f t="shared" si="4574"/>
        <v>Public acceptability</v>
      </c>
      <c r="AC1476">
        <f t="shared" ca="1" si="4575"/>
        <v>30.24</v>
      </c>
      <c r="AD1476">
        <v>1417</v>
      </c>
      <c r="AE1476" t="str">
        <f>IF(AND(ISNUMBER(SEARCH(O1476,4)),ISNUMBER(SEARCH('(4) FCH pathway assessment'!$B$16,AB1476)),ISNUMBER(SEARCH('(4) FCH pathway assessment'!$B$10,AA1476))),AD1476,"")</f>
        <v/>
      </c>
      <c r="AF1476" t="str">
        <f t="shared" si="4569"/>
        <v/>
      </c>
      <c r="AG1476" t="str">
        <f>VLOOKUP(C1476,Assumptions!$B$116:$C$162,2,FALSE)</f>
        <v>NG_SR_SML_C</v>
      </c>
      <c r="AH1476" t="str">
        <f>VLOOKUP(D1476,Assumptions!$B$116:$C$162,2,FALSE)</f>
        <v>C_GAS_STRG</v>
      </c>
      <c r="AI1476" t="str">
        <f>VLOOKUP(E1476,Assumptions!$B$116:$C$162,2,FALSE)</f>
        <v>H2_T&amp;D_P</v>
      </c>
      <c r="AJ1476" t="str">
        <f>VLOOKUP(F1476,Assumptions!$B$116:$C$162,2,FALSE)</f>
        <v>H2_FC_DCHP_PWR</v>
      </c>
    </row>
    <row r="1477" spans="2:36" x14ac:dyDescent="0.25">
      <c r="B1477" t="s">
        <v>127</v>
      </c>
      <c r="C1477" t="s">
        <v>58</v>
      </c>
      <c r="D1477" t="s">
        <v>155</v>
      </c>
      <c r="E1477" t="s">
        <v>116</v>
      </c>
      <c r="F1477" t="s">
        <v>549</v>
      </c>
      <c r="G1477" t="s">
        <v>114</v>
      </c>
      <c r="H1477" t="s">
        <v>433</v>
      </c>
      <c r="I1477" t="s">
        <v>32</v>
      </c>
      <c r="J1477" t="s">
        <v>82</v>
      </c>
      <c r="K1477">
        <f t="shared" si="4576"/>
        <v>1</v>
      </c>
      <c r="L1477">
        <f t="shared" si="4577"/>
        <v>1</v>
      </c>
      <c r="M1477">
        <f t="shared" si="4578"/>
        <v>1</v>
      </c>
      <c r="N1477">
        <f t="shared" si="4579"/>
        <v>0</v>
      </c>
      <c r="O1477">
        <f t="shared" si="4571"/>
        <v>3</v>
      </c>
      <c r="P1477" t="str">
        <f t="shared" si="4580"/>
        <v>Small centralized natural gas steam reforming-Public acceptability</v>
      </c>
      <c r="Q1477" t="str">
        <f t="shared" si="4581"/>
        <v>Central gas storage-Public acceptability</v>
      </c>
      <c r="R1477" t="str">
        <f t="shared" si="4582"/>
        <v>Liquid hydrogen truck-Public acceptability</v>
      </c>
      <c r="S1477" t="str">
        <f t="shared" si="4583"/>
        <v>District-CHP with H2 fuel cell (power)-Public acceptability</v>
      </c>
      <c r="T1477" s="54">
        <f ca="1">VLOOKUP($P1477,'TA database'!$I$8:$J$79,2,FALSE)</f>
        <v>90</v>
      </c>
      <c r="U1477" s="54">
        <f ca="1">VLOOKUP($Q1477,'TA database'!$I$86:$J$105,2,FALSE)</f>
        <v>60</v>
      </c>
      <c r="V1477" s="54">
        <f ca="1">VLOOKUP($R1477,'TA database'!$I$112:$J$139,2,FALSE)</f>
        <v>100</v>
      </c>
      <c r="W1477" s="54">
        <f>IFERROR(VLOOKUP($S1477,'TA database'!$I$146:$J$193,2,FALSE),0)</f>
        <v>0</v>
      </c>
      <c r="X1477" s="54">
        <f ca="1">IFERROR(VLOOKUP($S1477,'TA database'!$I$200:$J$271,2,FALSE),0)</f>
        <v>80</v>
      </c>
      <c r="Y1477" s="59">
        <f t="shared" ca="1" si="4584"/>
        <v>43.2</v>
      </c>
      <c r="Z1477" t="str">
        <f t="shared" si="4572"/>
        <v>NG_SR_SML_C   →   C_GAS_STRG   →   LQ_TRUCK   →   H2_FC_DCHP_PWR</v>
      </c>
      <c r="AA1477" t="str">
        <f t="shared" si="4573"/>
        <v>Grid electricity</v>
      </c>
      <c r="AB1477" t="str">
        <f t="shared" si="4574"/>
        <v>Public acceptability</v>
      </c>
      <c r="AC1477">
        <f t="shared" ca="1" si="4575"/>
        <v>43.2</v>
      </c>
      <c r="AD1477">
        <v>1418</v>
      </c>
      <c r="AE1477" t="str">
        <f>IF(AND(ISNUMBER(SEARCH(O1477,4)),ISNUMBER(SEARCH('(4) FCH pathway assessment'!$B$16,AB1477)),ISNUMBER(SEARCH('(4) FCH pathway assessment'!$B$10,AA1477))),AD1477,"")</f>
        <v/>
      </c>
      <c r="AF1477" t="str">
        <f t="shared" si="4569"/>
        <v/>
      </c>
      <c r="AG1477" t="str">
        <f>VLOOKUP(C1477,Assumptions!$B$116:$C$162,2,FALSE)</f>
        <v>NG_SR_SML_C</v>
      </c>
      <c r="AH1477" t="str">
        <f>VLOOKUP(D1477,Assumptions!$B$116:$C$162,2,FALSE)</f>
        <v>C_GAS_STRG</v>
      </c>
      <c r="AI1477" t="str">
        <f>VLOOKUP(E1477,Assumptions!$B$116:$C$162,2,FALSE)</f>
        <v>LQ_TRUCK</v>
      </c>
      <c r="AJ1477" t="str">
        <f>VLOOKUP(F1477,Assumptions!$B$116:$C$162,2,FALSE)</f>
        <v>H2_FC_DCHP_PWR</v>
      </c>
    </row>
    <row r="1478" spans="2:36" x14ac:dyDescent="0.25">
      <c r="B1478" t="s">
        <v>127</v>
      </c>
      <c r="C1478" t="s">
        <v>58</v>
      </c>
      <c r="D1478" t="s">
        <v>155</v>
      </c>
      <c r="E1478" t="s">
        <v>66</v>
      </c>
      <c r="F1478" t="s">
        <v>549</v>
      </c>
      <c r="G1478" t="s">
        <v>114</v>
      </c>
      <c r="H1478" t="s">
        <v>433</v>
      </c>
      <c r="I1478" t="s">
        <v>32</v>
      </c>
      <c r="J1478" t="s">
        <v>82</v>
      </c>
      <c r="K1478">
        <f t="shared" si="4576"/>
        <v>1</v>
      </c>
      <c r="L1478">
        <f t="shared" si="4577"/>
        <v>1</v>
      </c>
      <c r="M1478">
        <f t="shared" si="4578"/>
        <v>1</v>
      </c>
      <c r="N1478">
        <f t="shared" si="4579"/>
        <v>0</v>
      </c>
      <c r="O1478">
        <f t="shared" si="4571"/>
        <v>3</v>
      </c>
      <c r="P1478" t="str">
        <f t="shared" si="4580"/>
        <v>Small centralized natural gas steam reforming-Public acceptability</v>
      </c>
      <c r="Q1478" t="str">
        <f t="shared" si="4581"/>
        <v>Central gas storage-Public acceptability</v>
      </c>
      <c r="R1478" t="str">
        <f t="shared" si="4582"/>
        <v>Onsite-Public acceptability</v>
      </c>
      <c r="S1478" t="str">
        <f t="shared" si="4583"/>
        <v>District-CHP with H2 fuel cell (power)-Public acceptability</v>
      </c>
      <c r="T1478" s="54">
        <f ca="1">VLOOKUP($P1478,'TA database'!$I$8:$J$79,2,FALSE)</f>
        <v>90</v>
      </c>
      <c r="U1478" s="54">
        <f ca="1">VLOOKUP($Q1478,'TA database'!$I$86:$J$105,2,FALSE)</f>
        <v>60</v>
      </c>
      <c r="V1478" s="54">
        <f ca="1">VLOOKUP($R1478,'TA database'!$I$112:$J$139,2,FALSE)</f>
        <v>90</v>
      </c>
      <c r="W1478" s="54">
        <f>IFERROR(VLOOKUP($S1478,'TA database'!$I$146:$J$193,2,FALSE),0)</f>
        <v>0</v>
      </c>
      <c r="X1478" s="54">
        <f ca="1">IFERROR(VLOOKUP($S1478,'TA database'!$I$200:$J$271,2,FALSE),0)</f>
        <v>80</v>
      </c>
      <c r="Y1478" s="59">
        <f t="shared" ca="1" si="4584"/>
        <v>38.880000000000003</v>
      </c>
      <c r="Z1478" t="str">
        <f t="shared" si="4572"/>
        <v>NG_SR_SML_C   →   C_GAS_STRG   →   ONSITE_USE   →   H2_FC_DCHP_PWR</v>
      </c>
      <c r="AA1478" t="str">
        <f t="shared" si="4573"/>
        <v>Grid electricity</v>
      </c>
      <c r="AB1478" t="str">
        <f t="shared" si="4574"/>
        <v>Public acceptability</v>
      </c>
      <c r="AC1478">
        <f t="shared" ca="1" si="4575"/>
        <v>38.880000000000003</v>
      </c>
      <c r="AD1478">
        <v>1419</v>
      </c>
      <c r="AE1478" t="str">
        <f>IF(AND(ISNUMBER(SEARCH(O1478,4)),ISNUMBER(SEARCH('(4) FCH pathway assessment'!$B$16,AB1478)),ISNUMBER(SEARCH('(4) FCH pathway assessment'!$B$10,AA1478))),AD1478,"")</f>
        <v/>
      </c>
      <c r="AF1478" t="str">
        <f t="shared" si="4569"/>
        <v/>
      </c>
      <c r="AG1478" t="str">
        <f>VLOOKUP(C1478,Assumptions!$B$116:$C$162,2,FALSE)</f>
        <v>NG_SR_SML_C</v>
      </c>
      <c r="AH1478" t="str">
        <f>VLOOKUP(D1478,Assumptions!$B$116:$C$162,2,FALSE)</f>
        <v>C_GAS_STRG</v>
      </c>
      <c r="AI1478" t="str">
        <f>VLOOKUP(E1478,Assumptions!$B$116:$C$162,2,FALSE)</f>
        <v>ONSITE_USE</v>
      </c>
      <c r="AJ1478" t="str">
        <f>VLOOKUP(F1478,Assumptions!$B$116:$C$162,2,FALSE)</f>
        <v>H2_FC_DCHP_PWR</v>
      </c>
    </row>
    <row r="1479" spans="2:36" x14ac:dyDescent="0.25">
      <c r="B1479" t="s">
        <v>127</v>
      </c>
      <c r="C1479" t="s">
        <v>59</v>
      </c>
      <c r="D1479" s="60" t="s">
        <v>130</v>
      </c>
      <c r="E1479" t="s">
        <v>66</v>
      </c>
      <c r="F1479" t="s">
        <v>549</v>
      </c>
      <c r="G1479" t="s">
        <v>114</v>
      </c>
      <c r="H1479" t="s">
        <v>433</v>
      </c>
      <c r="I1479" t="s">
        <v>32</v>
      </c>
      <c r="J1479" t="s">
        <v>82</v>
      </c>
      <c r="K1479">
        <f t="shared" ref="K1479:K1480" si="4585">SUMPRODUCT(($C$7:$C$18=$C1479)*($D$6:$H$6=$D1479)*($D$7:$H$18))</f>
        <v>1</v>
      </c>
      <c r="L1479">
        <f t="shared" ref="L1479:L1480" si="4586">SUMPRODUCT(($C$19:$C$23=$D1479)*($I$6:$O$6=$E1479)*($I$19:$O$23))</f>
        <v>1</v>
      </c>
      <c r="M1479">
        <f t="shared" ref="M1479:M1480" si="4587">SUMPRODUCT(($C$24:$C$30=$E1479)*($P$6:$AI$6=$F1479)*($P$24:$AI$30))</f>
        <v>1</v>
      </c>
      <c r="N1479">
        <f t="shared" ref="N1479:N1480" si="4588">SUMPRODUCT(($C$31:$C$50=$F1479)*($AJ$6:$AM$6=$G1479)*($AJ$31:$AM$50))</f>
        <v>0</v>
      </c>
      <c r="O1479">
        <f t="shared" ref="O1479:O1480" si="4589">K1479+L1479+M1479+N1479</f>
        <v>3</v>
      </c>
      <c r="P1479" t="str">
        <f t="shared" ref="P1479:P1480" si="4590">CONCATENATE(C1479,"-",J1479)</f>
        <v>Medium decentralized natural gas steam reforming-Public acceptability</v>
      </c>
      <c r="Q1479" t="str">
        <f t="shared" ref="Q1479:Q1480" si="4591">CONCATENATE(D1479,"-",J1479)</f>
        <v>Distributed gas storage-Public acceptability</v>
      </c>
      <c r="R1479" t="str">
        <f t="shared" ref="R1479:R1480" si="4592">CONCATENATE(E1479,"-",J1479)</f>
        <v>Onsite-Public acceptability</v>
      </c>
      <c r="S1479" t="str">
        <f t="shared" ref="S1479:S1480" si="4593">CONCATENATE(F1479,"-",J1479)</f>
        <v>District-CHP with H2 fuel cell (power)-Public acceptability</v>
      </c>
      <c r="T1479" s="54">
        <f ca="1">VLOOKUP($P1479,'TA database'!$I$8:$J$79,2,FALSE)</f>
        <v>100</v>
      </c>
      <c r="U1479" s="54">
        <f ca="1">VLOOKUP($Q1479,'TA database'!$I$86:$J$105,2,FALSE)</f>
        <v>60</v>
      </c>
      <c r="V1479" s="54">
        <f ca="1">VLOOKUP($R1479,'TA database'!$I$112:$J$139,2,FALSE)</f>
        <v>90</v>
      </c>
      <c r="W1479" s="54">
        <f>IFERROR(VLOOKUP($S1479,'TA database'!$I$146:$J$193,2,FALSE),0)</f>
        <v>0</v>
      </c>
      <c r="X1479" s="54">
        <f ca="1">IFERROR(VLOOKUP($S1479,'TA database'!$I$200:$J$271,2,FALSE),0)</f>
        <v>80</v>
      </c>
      <c r="Y1479" s="59">
        <f t="shared" ca="1" si="4584"/>
        <v>43.2</v>
      </c>
      <c r="Z1479" t="str">
        <f t="shared" ref="Z1479:Z1480" si="4594">CONCATENATE(AG1479,"   →   ",AH1479,"   →   ",AI1479,"   →   ",AJ1479)</f>
        <v>NG_SR_MED_D   →   D_GAS_STRG   →   ONSITE_USE   →   H2_FC_DCHP_PWR</v>
      </c>
      <c r="AA1479" t="str">
        <f t="shared" ref="AA1479:AA1480" si="4595">G1479</f>
        <v>Grid electricity</v>
      </c>
      <c r="AB1479" t="str">
        <f t="shared" ref="AB1479:AB1480" si="4596">J1479</f>
        <v>Public acceptability</v>
      </c>
      <c r="AC1479">
        <f t="shared" ref="AC1479:AC1480" ca="1" si="4597">Y1479</f>
        <v>43.2</v>
      </c>
      <c r="AD1479">
        <v>1420</v>
      </c>
      <c r="AE1479" t="str">
        <f>IF(AND(ISNUMBER(SEARCH(O1479,4)),ISNUMBER(SEARCH('(4) FCH pathway assessment'!$B$16,AB1479)),ISNUMBER(SEARCH('(4) FCH pathway assessment'!$B$10,AA1479))),AD1479,"")</f>
        <v/>
      </c>
      <c r="AF1479" t="str">
        <f t="shared" si="4569"/>
        <v/>
      </c>
      <c r="AG1479" t="str">
        <f>VLOOKUP(C1479,Assumptions!$B$116:$C$162,2,FALSE)</f>
        <v>NG_SR_MED_D</v>
      </c>
      <c r="AH1479" t="str">
        <f>VLOOKUP(D1479,Assumptions!$B$116:$C$162,2,FALSE)</f>
        <v>D_GAS_STRG</v>
      </c>
      <c r="AI1479" t="str">
        <f>VLOOKUP(E1479,Assumptions!$B$116:$C$162,2,FALSE)</f>
        <v>ONSITE_USE</v>
      </c>
      <c r="AJ1479" t="str">
        <f>VLOOKUP(F1479,Assumptions!$B$116:$C$162,2,FALSE)</f>
        <v>H2_FC_DCHP_PWR</v>
      </c>
    </row>
    <row r="1480" spans="2:36" x14ac:dyDescent="0.25">
      <c r="B1480" t="s">
        <v>127</v>
      </c>
      <c r="C1480" t="s">
        <v>60</v>
      </c>
      <c r="D1480" s="60" t="s">
        <v>130</v>
      </c>
      <c r="E1480" t="s">
        <v>66</v>
      </c>
      <c r="F1480" t="s">
        <v>549</v>
      </c>
      <c r="G1480" t="s">
        <v>114</v>
      </c>
      <c r="H1480" t="s">
        <v>433</v>
      </c>
      <c r="I1480" t="s">
        <v>32</v>
      </c>
      <c r="J1480" t="s">
        <v>82</v>
      </c>
      <c r="K1480">
        <f t="shared" si="4585"/>
        <v>1</v>
      </c>
      <c r="L1480">
        <f t="shared" si="4586"/>
        <v>1</v>
      </c>
      <c r="M1480">
        <f t="shared" si="4587"/>
        <v>1</v>
      </c>
      <c r="N1480">
        <f t="shared" si="4588"/>
        <v>0</v>
      </c>
      <c r="O1480">
        <f t="shared" si="4589"/>
        <v>3</v>
      </c>
      <c r="P1480" t="str">
        <f t="shared" si="4590"/>
        <v>Small decentralized natural gas steam reforming-Public acceptability</v>
      </c>
      <c r="Q1480" t="str">
        <f t="shared" si="4591"/>
        <v>Distributed gas storage-Public acceptability</v>
      </c>
      <c r="R1480" t="str">
        <f t="shared" si="4592"/>
        <v>Onsite-Public acceptability</v>
      </c>
      <c r="S1480" t="str">
        <f t="shared" si="4593"/>
        <v>District-CHP with H2 fuel cell (power)-Public acceptability</v>
      </c>
      <c r="T1480" s="54">
        <f ca="1">VLOOKUP($P1480,'TA database'!$I$8:$J$79,2,FALSE)</f>
        <v>100</v>
      </c>
      <c r="U1480" s="54">
        <f ca="1">VLOOKUP($Q1480,'TA database'!$I$86:$J$105,2,FALSE)</f>
        <v>60</v>
      </c>
      <c r="V1480" s="54">
        <f ca="1">VLOOKUP($R1480,'TA database'!$I$112:$J$139,2,FALSE)</f>
        <v>90</v>
      </c>
      <c r="W1480" s="54">
        <f>IFERROR(VLOOKUP($S1480,'TA database'!$I$146:$J$193,2,FALSE),0)</f>
        <v>0</v>
      </c>
      <c r="X1480" s="54">
        <f ca="1">IFERROR(VLOOKUP($S1480,'TA database'!$I$200:$J$271,2,FALSE),0)</f>
        <v>80</v>
      </c>
      <c r="Y1480" s="59">
        <f t="shared" ref="Y1480" ca="1" si="4598">IF($W1480=0,(PRODUCT($T1480:$V1480,$X1480))/1000000,(PRODUCT($T1480:$W1480))/1000000)</f>
        <v>43.2</v>
      </c>
      <c r="Z1480" t="str">
        <f t="shared" si="4594"/>
        <v>NG_SR_SML_D   →   D_GAS_STRG   →   ONSITE_USE   →   H2_FC_DCHP_PWR</v>
      </c>
      <c r="AA1480" t="str">
        <f t="shared" si="4595"/>
        <v>Grid electricity</v>
      </c>
      <c r="AB1480" t="str">
        <f t="shared" si="4596"/>
        <v>Public acceptability</v>
      </c>
      <c r="AC1480">
        <f t="shared" ca="1" si="4597"/>
        <v>43.2</v>
      </c>
      <c r="AD1480">
        <v>1421</v>
      </c>
      <c r="AE1480" t="str">
        <f>IF(AND(ISNUMBER(SEARCH(O1480,4)),ISNUMBER(SEARCH('(4) FCH pathway assessment'!$B$16,AB1480)),ISNUMBER(SEARCH('(4) FCH pathway assessment'!$B$10,AA1480))),AD1480,"")</f>
        <v/>
      </c>
      <c r="AF1480" t="str">
        <f t="shared" si="4569"/>
        <v/>
      </c>
      <c r="AG1480" t="str">
        <f>VLOOKUP(C1480,Assumptions!$B$116:$C$162,2,FALSE)</f>
        <v>NG_SR_SML_D</v>
      </c>
      <c r="AH1480" t="str">
        <f>VLOOKUP(D1480,Assumptions!$B$116:$C$162,2,FALSE)</f>
        <v>D_GAS_STRG</v>
      </c>
      <c r="AI1480" t="str">
        <f>VLOOKUP(E1480,Assumptions!$B$116:$C$162,2,FALSE)</f>
        <v>ONSITE_USE</v>
      </c>
      <c r="AJ1480" t="str">
        <f>VLOOKUP(F1480,Assumptions!$B$116:$C$162,2,FALSE)</f>
        <v>H2_FC_DCHP_PWR</v>
      </c>
    </row>
    <row r="1481" spans="2:36" x14ac:dyDescent="0.25">
      <c r="B1481" t="s">
        <v>117</v>
      </c>
      <c r="C1481" t="s">
        <v>53</v>
      </c>
      <c r="D1481" t="s">
        <v>155</v>
      </c>
      <c r="E1481" t="s">
        <v>65</v>
      </c>
      <c r="F1481" t="s">
        <v>550</v>
      </c>
      <c r="G1481" t="s">
        <v>114</v>
      </c>
      <c r="H1481" t="s">
        <v>433</v>
      </c>
      <c r="I1481" t="s">
        <v>32</v>
      </c>
      <c r="J1481" t="s">
        <v>82</v>
      </c>
      <c r="K1481">
        <f t="shared" ref="K1481" si="4599">SUMPRODUCT(($C$7:$C$18=$C1481)*($D$6:$H$6=$D1481)*($D$7:$H$18))</f>
        <v>0</v>
      </c>
      <c r="L1481">
        <f t="shared" ref="L1481" si="4600">SUMPRODUCT(($C$19:$C$23=$D1481)*($I$6:$O$6=$E1481)*($I$19:$O$23))</f>
        <v>1</v>
      </c>
      <c r="M1481">
        <f t="shared" ref="M1481" si="4601">SUMPRODUCT(($C$24:$C$30=$E1481)*($P$6:$AI$6=$F1481)*($P$24:$AI$30))</f>
        <v>0</v>
      </c>
      <c r="N1481">
        <f t="shared" ref="N1481" si="4602">SUMPRODUCT(($C$31:$C$50=$F1481)*($AJ$6:$AM$6=$G1481)*($AJ$31:$AM$50))</f>
        <v>1</v>
      </c>
      <c r="O1481">
        <f t="shared" ref="O1481" si="4603">K1481+L1481+M1481+N1481</f>
        <v>2</v>
      </c>
      <c r="P1481" t="str">
        <f t="shared" ref="P1481" si="4604">CONCATENATE(C1481,"-",J1481)</f>
        <v>Medium centralized biomass gasification-Public acceptability</v>
      </c>
      <c r="Q1481" t="str">
        <f t="shared" ref="Q1481" si="4605">CONCATENATE(D1481,"-",J1481)</f>
        <v>Central gas storage-Public acceptability</v>
      </c>
      <c r="R1481" t="str">
        <f t="shared" ref="R1481" si="4606">CONCATENATE(E1481,"-",J1481)</f>
        <v>Methanation-Public acceptability</v>
      </c>
      <c r="S1481" t="str">
        <f t="shared" ref="S1481" si="4607">CONCATENATE(F1481,"-",J1481)</f>
        <v>District-CHP with natural gas fuel cell (power)-Public acceptability</v>
      </c>
      <c r="T1481" s="54">
        <f ca="1">VLOOKUP($P1481,'TA database'!$I$8:$J$79,2,FALSE)</f>
        <v>70</v>
      </c>
      <c r="U1481" s="54">
        <f ca="1">VLOOKUP($Q1481,'TA database'!$I$86:$J$105,2,FALSE)</f>
        <v>60</v>
      </c>
      <c r="V1481" s="54">
        <f ca="1">VLOOKUP($R1481,'TA database'!$I$112:$J$139,2,FALSE)</f>
        <v>70</v>
      </c>
      <c r="W1481" s="54">
        <f>IFERROR(VLOOKUP($S1481,'TA database'!$I$146:$J$193,2,FALSE),0)</f>
        <v>0</v>
      </c>
      <c r="X1481" s="54">
        <f ca="1">IFERROR(VLOOKUP($S1481,'TA database'!$I$200:$J$271,2,FALSE),0)</f>
        <v>80</v>
      </c>
      <c r="Y1481" s="59">
        <f t="shared" ref="Y1481:Y1482" ca="1" si="4608">IF($W1481=0,(PRODUCT($T1481:$V1481,$X1481))/1000000,(PRODUCT($T1481:$W1481))/1000000)</f>
        <v>23.52</v>
      </c>
      <c r="Z1481" t="str">
        <f t="shared" ref="Z1481" si="4609">CONCATENATE(AG1481,"   →   ",AH1481,"   →   ",AI1481,"   →   ",AJ1481)</f>
        <v>BIO_GSF_MED_C   →   C_GAS_STRG   →   METHANATION   →   NG_FC_DCHP_PWR</v>
      </c>
      <c r="AA1481" t="str">
        <f t="shared" ref="AA1481" si="4610">G1481</f>
        <v>Grid electricity</v>
      </c>
      <c r="AB1481" t="str">
        <f t="shared" ref="AB1481" si="4611">J1481</f>
        <v>Public acceptability</v>
      </c>
      <c r="AC1481">
        <f t="shared" ref="AC1481" ca="1" si="4612">Y1481</f>
        <v>23.52</v>
      </c>
      <c r="AD1481">
        <v>1422</v>
      </c>
      <c r="AE1481" t="str">
        <f>IF(AND(ISNUMBER(SEARCH(O1481,4)),ISNUMBER(SEARCH('(4) FCH pathway assessment'!$B$16,AB1481)),ISNUMBER(SEARCH('(4) FCH pathway assessment'!$B$10,AA1481))),AD1481,"")</f>
        <v/>
      </c>
      <c r="AF1481" t="str">
        <f t="shared" si="4569"/>
        <v/>
      </c>
      <c r="AG1481" t="str">
        <f>VLOOKUP(C1481,Assumptions!$B$116:$C$162,2,FALSE)</f>
        <v>BIO_GSF_MED_C</v>
      </c>
      <c r="AH1481" t="str">
        <f>VLOOKUP(D1481,Assumptions!$B$116:$C$162,2,FALSE)</f>
        <v>C_GAS_STRG</v>
      </c>
      <c r="AI1481" t="str">
        <f>VLOOKUP(E1481,Assumptions!$B$116:$C$162,2,FALSE)</f>
        <v>METHANATION</v>
      </c>
      <c r="AJ1481" t="str">
        <f>VLOOKUP(F1481,Assumptions!$B$116:$C$162,2,FALSE)</f>
        <v>NG_FC_DCHP_PWR</v>
      </c>
    </row>
    <row r="1482" spans="2:36" x14ac:dyDescent="0.25">
      <c r="B1482" t="s">
        <v>117</v>
      </c>
      <c r="C1482" t="s">
        <v>54</v>
      </c>
      <c r="D1482" t="s">
        <v>155</v>
      </c>
      <c r="E1482" t="s">
        <v>65</v>
      </c>
      <c r="F1482" t="s">
        <v>550</v>
      </c>
      <c r="G1482" t="s">
        <v>114</v>
      </c>
      <c r="H1482" t="s">
        <v>433</v>
      </c>
      <c r="I1482" t="s">
        <v>32</v>
      </c>
      <c r="J1482" t="s">
        <v>82</v>
      </c>
      <c r="K1482">
        <f t="shared" ref="K1482" si="4613">SUMPRODUCT(($C$7:$C$18=$C1482)*($D$6:$H$6=$D1482)*($D$7:$H$18))</f>
        <v>0</v>
      </c>
      <c r="L1482">
        <f t="shared" ref="L1482" si="4614">SUMPRODUCT(($C$19:$C$23=$D1482)*($I$6:$O$6=$E1482)*($I$19:$O$23))</f>
        <v>1</v>
      </c>
      <c r="M1482">
        <f t="shared" ref="M1482" si="4615">SUMPRODUCT(($C$24:$C$30=$E1482)*($P$6:$AI$6=$F1482)*($P$24:$AI$30))</f>
        <v>0</v>
      </c>
      <c r="N1482">
        <f t="shared" ref="N1482" si="4616">SUMPRODUCT(($C$31:$C$50=$F1482)*($AJ$6:$AM$6=$G1482)*($AJ$31:$AM$50))</f>
        <v>1</v>
      </c>
      <c r="O1482">
        <f t="shared" ref="O1482" si="4617">K1482+L1482+M1482+N1482</f>
        <v>2</v>
      </c>
      <c r="P1482" t="str">
        <f t="shared" ref="P1482" si="4618">CONCATENATE(C1482,"-",J1482)</f>
        <v>Medium centralized biomass gasification w/ CCS-Public acceptability</v>
      </c>
      <c r="Q1482" t="str">
        <f t="shared" ref="Q1482" si="4619">CONCATENATE(D1482,"-",J1482)</f>
        <v>Central gas storage-Public acceptability</v>
      </c>
      <c r="R1482" t="str">
        <f t="shared" ref="R1482" si="4620">CONCATENATE(E1482,"-",J1482)</f>
        <v>Methanation-Public acceptability</v>
      </c>
      <c r="S1482" t="str">
        <f t="shared" ref="S1482" si="4621">CONCATENATE(F1482,"-",J1482)</f>
        <v>District-CHP with natural gas fuel cell (power)-Public acceptability</v>
      </c>
      <c r="T1482" s="54">
        <f ca="1">VLOOKUP($P1482,'TA database'!$I$8:$J$79,2,FALSE)</f>
        <v>60</v>
      </c>
      <c r="U1482" s="54">
        <f ca="1">VLOOKUP($Q1482,'TA database'!$I$86:$J$105,2,FALSE)</f>
        <v>60</v>
      </c>
      <c r="V1482" s="54">
        <f ca="1">VLOOKUP($R1482,'TA database'!$I$112:$J$139,2,FALSE)</f>
        <v>70</v>
      </c>
      <c r="W1482" s="54">
        <f>IFERROR(VLOOKUP($S1482,'TA database'!$I$146:$J$193,2,FALSE),0)</f>
        <v>0</v>
      </c>
      <c r="X1482" s="54">
        <f ca="1">IFERROR(VLOOKUP($S1482,'TA database'!$I$200:$J$271,2,FALSE),0)</f>
        <v>80</v>
      </c>
      <c r="Y1482" s="59">
        <f t="shared" ca="1" si="4608"/>
        <v>20.16</v>
      </c>
      <c r="Z1482" t="str">
        <f t="shared" ref="Z1482" si="4622">CONCATENATE(AG1482,"   →   ",AH1482,"   →   ",AI1482,"   →   ",AJ1482)</f>
        <v>BIO_GSF_CCS_MED_C   →   C_GAS_STRG   →   METHANATION   →   NG_FC_DCHP_PWR</v>
      </c>
      <c r="AA1482" t="str">
        <f t="shared" ref="AA1482" si="4623">G1482</f>
        <v>Grid electricity</v>
      </c>
      <c r="AB1482" t="str">
        <f t="shared" ref="AB1482" si="4624">J1482</f>
        <v>Public acceptability</v>
      </c>
      <c r="AC1482">
        <f t="shared" ref="AC1482" ca="1" si="4625">Y1482</f>
        <v>20.16</v>
      </c>
      <c r="AD1482">
        <v>1423</v>
      </c>
      <c r="AE1482" t="str">
        <f>IF(AND(ISNUMBER(SEARCH(O1482,4)),ISNUMBER(SEARCH('(4) FCH pathway assessment'!$B$16,AB1482)),ISNUMBER(SEARCH('(4) FCH pathway assessment'!$B$10,AA1482))),AD1482,"")</f>
        <v/>
      </c>
      <c r="AF1482" t="str">
        <f t="shared" si="4569"/>
        <v/>
      </c>
      <c r="AG1482" t="str">
        <f>VLOOKUP(C1482,Assumptions!$B$116:$C$162,2,FALSE)</f>
        <v>BIO_GSF_CCS_MED_C</v>
      </c>
      <c r="AH1482" t="str">
        <f>VLOOKUP(D1482,Assumptions!$B$116:$C$162,2,FALSE)</f>
        <v>C_GAS_STRG</v>
      </c>
      <c r="AI1482" t="str">
        <f>VLOOKUP(E1482,Assumptions!$B$116:$C$162,2,FALSE)</f>
        <v>METHANATION</v>
      </c>
      <c r="AJ1482" t="str">
        <f>VLOOKUP(F1482,Assumptions!$B$116:$C$162,2,FALSE)</f>
        <v>NG_FC_DCHP_PWR</v>
      </c>
    </row>
    <row r="1483" spans="2:36" x14ac:dyDescent="0.25">
      <c r="B1483" t="s">
        <v>117</v>
      </c>
      <c r="C1483" t="s">
        <v>56</v>
      </c>
      <c r="D1483" t="s">
        <v>62</v>
      </c>
      <c r="E1483" t="s">
        <v>65</v>
      </c>
      <c r="F1483" t="s">
        <v>550</v>
      </c>
      <c r="G1483" t="s">
        <v>114</v>
      </c>
      <c r="H1483" t="s">
        <v>433</v>
      </c>
      <c r="I1483" t="s">
        <v>32</v>
      </c>
      <c r="J1483" t="s">
        <v>82</v>
      </c>
      <c r="K1483">
        <f t="shared" ref="K1483:K1484" si="4626">SUMPRODUCT(($C$7:$C$18=$C1483)*($D$6:$H$6=$D1483)*($D$7:$H$18))</f>
        <v>0</v>
      </c>
      <c r="L1483">
        <f t="shared" ref="L1483:L1484" si="4627">SUMPRODUCT(($C$19:$C$23=$D1483)*($I$6:$O$6=$E1483)*($I$19:$O$23))</f>
        <v>0</v>
      </c>
      <c r="M1483">
        <f t="shared" ref="M1483:M1484" si="4628">SUMPRODUCT(($C$24:$C$30=$E1483)*($P$6:$AI$6=$F1483)*($P$24:$AI$30))</f>
        <v>0</v>
      </c>
      <c r="N1483">
        <f t="shared" ref="N1483:N1484" si="4629">SUMPRODUCT(($C$31:$C$50=$F1483)*($AJ$6:$AM$6=$G1483)*($AJ$31:$AM$50))</f>
        <v>1</v>
      </c>
      <c r="O1483">
        <f t="shared" ref="O1483:O1484" si="4630">K1483+L1483+M1483+N1483</f>
        <v>1</v>
      </c>
      <c r="P1483" t="str">
        <f t="shared" ref="P1483:P1484" si="4631">CONCATENATE(C1483,"-",J1483)</f>
        <v>Large centralized biomass steam reforming -Public acceptability</v>
      </c>
      <c r="Q1483" t="str">
        <f t="shared" ref="Q1483:Q1484" si="4632">CONCATENATE(D1483,"-",J1483)</f>
        <v>Underground storage-Public acceptability</v>
      </c>
      <c r="R1483" t="str">
        <f t="shared" ref="R1483:R1484" si="4633">CONCATENATE(E1483,"-",J1483)</f>
        <v>Methanation-Public acceptability</v>
      </c>
      <c r="S1483" t="str">
        <f t="shared" ref="S1483:S1484" si="4634">CONCATENATE(F1483,"-",J1483)</f>
        <v>District-CHP with natural gas fuel cell (power)-Public acceptability</v>
      </c>
      <c r="T1483" s="54">
        <f ca="1">VLOOKUP($P1483,'TA database'!$I$8:$J$79,2,FALSE)</f>
        <v>80</v>
      </c>
      <c r="U1483" s="54">
        <f ca="1">VLOOKUP($Q1483,'TA database'!$I$86:$J$105,2,FALSE)</f>
        <v>60</v>
      </c>
      <c r="V1483" s="54">
        <f ca="1">VLOOKUP($R1483,'TA database'!$I$112:$J$139,2,FALSE)</f>
        <v>70</v>
      </c>
      <c r="W1483" s="54">
        <f>IFERROR(VLOOKUP($S1483,'TA database'!$I$146:$J$193,2,FALSE),0)</f>
        <v>0</v>
      </c>
      <c r="X1483" s="54">
        <f ca="1">IFERROR(VLOOKUP($S1483,'TA database'!$I$200:$J$271,2,FALSE),0)</f>
        <v>80</v>
      </c>
      <c r="Y1483" s="59">
        <f t="shared" ref="Y1483" ca="1" si="4635">IF($W1483=0,(PRODUCT($T1483:$V1483,$X1483))/1000000,(PRODUCT($T1483:$W1483))/1000000)</f>
        <v>26.88</v>
      </c>
      <c r="Z1483" t="str">
        <f t="shared" ref="Z1483:Z1484" si="4636">CONCATENATE(AG1483,"   →   ",AH1483,"   →   ",AI1483,"   →   ",AJ1483)</f>
        <v>BIO_SR_LRG_C   →   C_UNDRGRND_STRG   →   METHANATION   →   NG_FC_DCHP_PWR</v>
      </c>
      <c r="AA1483" t="str">
        <f t="shared" ref="AA1483:AA1484" si="4637">G1483</f>
        <v>Grid electricity</v>
      </c>
      <c r="AB1483" t="str">
        <f t="shared" ref="AB1483:AB1484" si="4638">J1483</f>
        <v>Public acceptability</v>
      </c>
      <c r="AC1483">
        <f t="shared" ref="AC1483:AC1484" ca="1" si="4639">Y1483</f>
        <v>26.88</v>
      </c>
      <c r="AD1483">
        <v>1424</v>
      </c>
      <c r="AE1483" t="str">
        <f>IF(AND(ISNUMBER(SEARCH(O1483,4)),ISNUMBER(SEARCH('(4) FCH pathway assessment'!$B$16,AB1483)),ISNUMBER(SEARCH('(4) FCH pathway assessment'!$B$10,AA1483))),AD1483,"")</f>
        <v/>
      </c>
      <c r="AF1483" t="str">
        <f t="shared" si="4569"/>
        <v/>
      </c>
      <c r="AG1483" t="str">
        <f>VLOOKUP(C1483,Assumptions!$B$116:$C$162,2,FALSE)</f>
        <v>BIO_SR_LRG_C</v>
      </c>
      <c r="AH1483" t="str">
        <f>VLOOKUP(D1483,Assumptions!$B$116:$C$162,2,FALSE)</f>
        <v>C_UNDRGRND_STRG</v>
      </c>
      <c r="AI1483" t="str">
        <f>VLOOKUP(E1483,Assumptions!$B$116:$C$162,2,FALSE)</f>
        <v>METHANATION</v>
      </c>
      <c r="AJ1483" t="str">
        <f>VLOOKUP(F1483,Assumptions!$B$116:$C$162,2,FALSE)</f>
        <v>NG_FC_DCHP_PWR</v>
      </c>
    </row>
    <row r="1484" spans="2:36" x14ac:dyDescent="0.25">
      <c r="B1484" t="s">
        <v>112</v>
      </c>
      <c r="C1484" t="s">
        <v>49</v>
      </c>
      <c r="D1484" t="s">
        <v>62</v>
      </c>
      <c r="E1484" t="s">
        <v>65</v>
      </c>
      <c r="F1484" t="s">
        <v>550</v>
      </c>
      <c r="G1484" t="s">
        <v>114</v>
      </c>
      <c r="H1484" t="s">
        <v>433</v>
      </c>
      <c r="I1484" t="s">
        <v>32</v>
      </c>
      <c r="J1484" t="s">
        <v>82</v>
      </c>
      <c r="K1484">
        <f t="shared" si="4626"/>
        <v>1</v>
      </c>
      <c r="L1484">
        <f t="shared" si="4627"/>
        <v>0</v>
      </c>
      <c r="M1484">
        <f t="shared" si="4628"/>
        <v>0</v>
      </c>
      <c r="N1484">
        <f t="shared" si="4629"/>
        <v>1</v>
      </c>
      <c r="O1484">
        <f t="shared" si="4630"/>
        <v>2</v>
      </c>
      <c r="P1484" t="str">
        <f t="shared" si="4631"/>
        <v>Large centralized electrolysis-Public acceptability</v>
      </c>
      <c r="Q1484" t="str">
        <f t="shared" si="4632"/>
        <v>Underground storage-Public acceptability</v>
      </c>
      <c r="R1484" t="str">
        <f t="shared" si="4633"/>
        <v>Methanation-Public acceptability</v>
      </c>
      <c r="S1484" t="str">
        <f t="shared" si="4634"/>
        <v>District-CHP with natural gas fuel cell (power)-Public acceptability</v>
      </c>
      <c r="T1484" s="54">
        <f ca="1">VLOOKUP($P1484,'TA database'!$I$8:$J$79,2,FALSE)</f>
        <v>80</v>
      </c>
      <c r="U1484" s="54">
        <f ca="1">VLOOKUP($Q1484,'TA database'!$I$86:$J$105,2,FALSE)</f>
        <v>60</v>
      </c>
      <c r="V1484" s="54">
        <f ca="1">VLOOKUP($R1484,'TA database'!$I$112:$J$139,2,FALSE)</f>
        <v>70</v>
      </c>
      <c r="W1484" s="54">
        <f>IFERROR(VLOOKUP($S1484,'TA database'!$I$146:$J$193,2,FALSE),0)</f>
        <v>0</v>
      </c>
      <c r="X1484" s="54">
        <f ca="1">IFERROR(VLOOKUP($S1484,'TA database'!$I$200:$J$271,2,FALSE),0)</f>
        <v>80</v>
      </c>
      <c r="Y1484" s="59">
        <f t="shared" ref="Y1484:Y1485" ca="1" si="4640">IF($W1484=0,(PRODUCT($T1484:$V1484,$X1484))/1000000,(PRODUCT($T1484:$W1484))/1000000)</f>
        <v>26.88</v>
      </c>
      <c r="Z1484" t="str">
        <f t="shared" si="4636"/>
        <v>ELCTRLYZ_LRG_C   →   C_UNDRGRND_STRG   →   METHANATION   →   NG_FC_DCHP_PWR</v>
      </c>
      <c r="AA1484" t="str">
        <f t="shared" si="4637"/>
        <v>Grid electricity</v>
      </c>
      <c r="AB1484" t="str">
        <f t="shared" si="4638"/>
        <v>Public acceptability</v>
      </c>
      <c r="AC1484">
        <f t="shared" ca="1" si="4639"/>
        <v>26.88</v>
      </c>
      <c r="AD1484">
        <v>1425</v>
      </c>
      <c r="AE1484" t="str">
        <f>IF(AND(ISNUMBER(SEARCH(O1484,4)),ISNUMBER(SEARCH('(4) FCH pathway assessment'!$B$16,AB1484)),ISNUMBER(SEARCH('(4) FCH pathway assessment'!$B$10,AA1484))),AD1484,"")</f>
        <v/>
      </c>
      <c r="AF1484" t="str">
        <f t="shared" si="4569"/>
        <v/>
      </c>
      <c r="AG1484" t="str">
        <f>VLOOKUP(C1484,Assumptions!$B$116:$C$162,2,FALSE)</f>
        <v>ELCTRLYZ_LRG_C</v>
      </c>
      <c r="AH1484" t="str">
        <f>VLOOKUP(D1484,Assumptions!$B$116:$C$162,2,FALSE)</f>
        <v>C_UNDRGRND_STRG</v>
      </c>
      <c r="AI1484" t="str">
        <f>VLOOKUP(E1484,Assumptions!$B$116:$C$162,2,FALSE)</f>
        <v>METHANATION</v>
      </c>
      <c r="AJ1484" t="str">
        <f>VLOOKUP(F1484,Assumptions!$B$116:$C$162,2,FALSE)</f>
        <v>NG_FC_DCHP_PWR</v>
      </c>
    </row>
    <row r="1485" spans="2:36" x14ac:dyDescent="0.25">
      <c r="B1485" t="s">
        <v>112</v>
      </c>
      <c r="C1485" t="s">
        <v>49</v>
      </c>
      <c r="D1485" t="s">
        <v>155</v>
      </c>
      <c r="E1485" t="s">
        <v>65</v>
      </c>
      <c r="F1485" t="s">
        <v>550</v>
      </c>
      <c r="G1485" t="s">
        <v>114</v>
      </c>
      <c r="H1485" t="s">
        <v>433</v>
      </c>
      <c r="I1485" t="s">
        <v>32</v>
      </c>
      <c r="J1485" t="s">
        <v>82</v>
      </c>
      <c r="K1485">
        <f t="shared" ref="K1485:K1486" si="4641">SUMPRODUCT(($C$7:$C$18=$C1485)*($D$6:$H$6=$D1485)*($D$7:$H$18))</f>
        <v>1</v>
      </c>
      <c r="L1485">
        <f t="shared" ref="L1485:L1486" si="4642">SUMPRODUCT(($C$19:$C$23=$D1485)*($I$6:$O$6=$E1485)*($I$19:$O$23))</f>
        <v>1</v>
      </c>
      <c r="M1485">
        <f t="shared" ref="M1485:M1486" si="4643">SUMPRODUCT(($C$24:$C$30=$E1485)*($P$6:$AI$6=$F1485)*($P$24:$AI$30))</f>
        <v>0</v>
      </c>
      <c r="N1485">
        <f t="shared" ref="N1485:N1486" si="4644">SUMPRODUCT(($C$31:$C$50=$F1485)*($AJ$6:$AM$6=$G1485)*($AJ$31:$AM$50))</f>
        <v>1</v>
      </c>
      <c r="O1485">
        <f t="shared" ref="O1485:O1486" si="4645">K1485+L1485+M1485+N1485</f>
        <v>3</v>
      </c>
      <c r="P1485" t="str">
        <f t="shared" ref="P1485:P1486" si="4646">CONCATENATE(C1485,"-",J1485)</f>
        <v>Large centralized electrolysis-Public acceptability</v>
      </c>
      <c r="Q1485" t="str">
        <f t="shared" ref="Q1485:Q1486" si="4647">CONCATENATE(D1485,"-",J1485)</f>
        <v>Central gas storage-Public acceptability</v>
      </c>
      <c r="R1485" t="str">
        <f t="shared" ref="R1485:R1486" si="4648">CONCATENATE(E1485,"-",J1485)</f>
        <v>Methanation-Public acceptability</v>
      </c>
      <c r="S1485" t="str">
        <f t="shared" ref="S1485:S1486" si="4649">CONCATENATE(F1485,"-",J1485)</f>
        <v>District-CHP with natural gas fuel cell (power)-Public acceptability</v>
      </c>
      <c r="T1485" s="54">
        <f ca="1">VLOOKUP($P1485,'TA database'!$I$8:$J$79,2,FALSE)</f>
        <v>80</v>
      </c>
      <c r="U1485" s="54">
        <f ca="1">VLOOKUP($Q1485,'TA database'!$I$86:$J$105,2,FALSE)</f>
        <v>60</v>
      </c>
      <c r="V1485" s="54">
        <f ca="1">VLOOKUP($R1485,'TA database'!$I$112:$J$139,2,FALSE)</f>
        <v>70</v>
      </c>
      <c r="W1485" s="54">
        <f>IFERROR(VLOOKUP($S1485,'TA database'!$I$146:$J$193,2,FALSE),0)</f>
        <v>0</v>
      </c>
      <c r="X1485" s="54">
        <f ca="1">IFERROR(VLOOKUP($S1485,'TA database'!$I$200:$J$271,2,FALSE),0)</f>
        <v>80</v>
      </c>
      <c r="Y1485" s="59">
        <f t="shared" ca="1" si="4640"/>
        <v>26.88</v>
      </c>
      <c r="Z1485" t="str">
        <f t="shared" ref="Z1485:Z1486" si="4650">CONCATENATE(AG1485,"   →   ",AH1485,"   →   ",AI1485,"   →   ",AJ1485)</f>
        <v>ELCTRLYZ_LRG_C   →   C_GAS_STRG   →   METHANATION   →   NG_FC_DCHP_PWR</v>
      </c>
      <c r="AA1485" t="str">
        <f t="shared" ref="AA1485:AA1486" si="4651">G1485</f>
        <v>Grid electricity</v>
      </c>
      <c r="AB1485" t="str">
        <f t="shared" ref="AB1485:AB1486" si="4652">J1485</f>
        <v>Public acceptability</v>
      </c>
      <c r="AC1485">
        <f t="shared" ref="AC1485:AC1486" ca="1" si="4653">Y1485</f>
        <v>26.88</v>
      </c>
      <c r="AD1485">
        <v>1426</v>
      </c>
      <c r="AE1485" t="str">
        <f>IF(AND(ISNUMBER(SEARCH(O1485,4)),ISNUMBER(SEARCH('(4) FCH pathway assessment'!$B$16,AB1485)),ISNUMBER(SEARCH('(4) FCH pathway assessment'!$B$10,AA1485))),AD1485,"")</f>
        <v/>
      </c>
      <c r="AF1485" t="str">
        <f t="shared" si="4569"/>
        <v/>
      </c>
      <c r="AG1485" t="str">
        <f>VLOOKUP(C1485,Assumptions!$B$116:$C$162,2,FALSE)</f>
        <v>ELCTRLYZ_LRG_C</v>
      </c>
      <c r="AH1485" t="str">
        <f>VLOOKUP(D1485,Assumptions!$B$116:$C$162,2,FALSE)</f>
        <v>C_GAS_STRG</v>
      </c>
      <c r="AI1485" t="str">
        <f>VLOOKUP(E1485,Assumptions!$B$116:$C$162,2,FALSE)</f>
        <v>METHANATION</v>
      </c>
      <c r="AJ1485" t="str">
        <f>VLOOKUP(F1485,Assumptions!$B$116:$C$162,2,FALSE)</f>
        <v>NG_FC_DCHP_PWR</v>
      </c>
    </row>
    <row r="1486" spans="2:36" x14ac:dyDescent="0.25">
      <c r="B1486" t="s">
        <v>112</v>
      </c>
      <c r="C1486" t="s">
        <v>51</v>
      </c>
      <c r="D1486" t="s">
        <v>155</v>
      </c>
      <c r="E1486" t="s">
        <v>65</v>
      </c>
      <c r="F1486" t="s">
        <v>550</v>
      </c>
      <c r="G1486" t="s">
        <v>114</v>
      </c>
      <c r="H1486" t="s">
        <v>433</v>
      </c>
      <c r="I1486" t="s">
        <v>32</v>
      </c>
      <c r="J1486" t="s">
        <v>82</v>
      </c>
      <c r="K1486">
        <f t="shared" si="4641"/>
        <v>1</v>
      </c>
      <c r="L1486">
        <f t="shared" si="4642"/>
        <v>1</v>
      </c>
      <c r="M1486">
        <f t="shared" si="4643"/>
        <v>0</v>
      </c>
      <c r="N1486">
        <f t="shared" si="4644"/>
        <v>1</v>
      </c>
      <c r="O1486">
        <f t="shared" si="4645"/>
        <v>3</v>
      </c>
      <c r="P1486" t="str">
        <f t="shared" si="4646"/>
        <v>Medium centralized electrolysis-Public acceptability</v>
      </c>
      <c r="Q1486" t="str">
        <f t="shared" si="4647"/>
        <v>Central gas storage-Public acceptability</v>
      </c>
      <c r="R1486" t="str">
        <f t="shared" si="4648"/>
        <v>Methanation-Public acceptability</v>
      </c>
      <c r="S1486" t="str">
        <f t="shared" si="4649"/>
        <v>District-CHP with natural gas fuel cell (power)-Public acceptability</v>
      </c>
      <c r="T1486" s="54">
        <f ca="1">VLOOKUP($P1486,'TA database'!$I$8:$J$79,2,FALSE)</f>
        <v>90</v>
      </c>
      <c r="U1486" s="54">
        <f ca="1">VLOOKUP($Q1486,'TA database'!$I$86:$J$105,2,FALSE)</f>
        <v>60</v>
      </c>
      <c r="V1486" s="54">
        <f ca="1">VLOOKUP($R1486,'TA database'!$I$112:$J$139,2,FALSE)</f>
        <v>70</v>
      </c>
      <c r="W1486" s="54">
        <f>IFERROR(VLOOKUP($S1486,'TA database'!$I$146:$J$193,2,FALSE),0)</f>
        <v>0</v>
      </c>
      <c r="X1486" s="54">
        <f ca="1">IFERROR(VLOOKUP($S1486,'TA database'!$I$200:$J$271,2,FALSE),0)</f>
        <v>80</v>
      </c>
      <c r="Y1486" s="59">
        <f t="shared" ref="Y1486" ca="1" si="4654">IF($W1486=0,(PRODUCT($T1486:$V1486,$X1486))/1000000,(PRODUCT($T1486:$W1486))/1000000)</f>
        <v>30.24</v>
      </c>
      <c r="Z1486" t="str">
        <f t="shared" si="4650"/>
        <v>ELCTRLYZ_MED_C   →   C_GAS_STRG   →   METHANATION   →   NG_FC_DCHP_PWR</v>
      </c>
      <c r="AA1486" t="str">
        <f t="shared" si="4651"/>
        <v>Grid electricity</v>
      </c>
      <c r="AB1486" t="str">
        <f t="shared" si="4652"/>
        <v>Public acceptability</v>
      </c>
      <c r="AC1486">
        <f t="shared" ca="1" si="4653"/>
        <v>30.24</v>
      </c>
      <c r="AD1486">
        <v>1427</v>
      </c>
      <c r="AE1486" t="str">
        <f>IF(AND(ISNUMBER(SEARCH(O1486,4)),ISNUMBER(SEARCH('(4) FCH pathway assessment'!$B$16,AB1486)),ISNUMBER(SEARCH('(4) FCH pathway assessment'!$B$10,AA1486))),AD1486,"")</f>
        <v/>
      </c>
      <c r="AF1486" t="str">
        <f t="shared" si="4569"/>
        <v/>
      </c>
      <c r="AG1486" t="str">
        <f>VLOOKUP(C1486,Assumptions!$B$116:$C$162,2,FALSE)</f>
        <v>ELCTRLYZ_MED_C</v>
      </c>
      <c r="AH1486" t="str">
        <f>VLOOKUP(D1486,Assumptions!$B$116:$C$162,2,FALSE)</f>
        <v>C_GAS_STRG</v>
      </c>
      <c r="AI1486" t="str">
        <f>VLOOKUP(E1486,Assumptions!$B$116:$C$162,2,FALSE)</f>
        <v>METHANATION</v>
      </c>
      <c r="AJ1486" t="str">
        <f>VLOOKUP(F1486,Assumptions!$B$116:$C$162,2,FALSE)</f>
        <v>NG_FC_DCHP_PWR</v>
      </c>
    </row>
    <row r="1487" spans="2:36" x14ac:dyDescent="0.25">
      <c r="B1487" t="s">
        <v>127</v>
      </c>
      <c r="C1487" t="s">
        <v>57</v>
      </c>
      <c r="D1487" t="s">
        <v>62</v>
      </c>
      <c r="E1487" t="s">
        <v>65</v>
      </c>
      <c r="F1487" t="s">
        <v>550</v>
      </c>
      <c r="G1487" t="s">
        <v>114</v>
      </c>
      <c r="H1487" t="s">
        <v>433</v>
      </c>
      <c r="I1487" t="s">
        <v>32</v>
      </c>
      <c r="J1487" t="s">
        <v>82</v>
      </c>
      <c r="K1487">
        <f t="shared" ref="K1487" si="4655">SUMPRODUCT(($C$7:$C$18=$C1487)*($D$6:$H$6=$D1487)*($D$7:$H$18))</f>
        <v>1</v>
      </c>
      <c r="L1487">
        <f t="shared" ref="L1487" si="4656">SUMPRODUCT(($C$19:$C$23=$D1487)*($I$6:$O$6=$E1487)*($I$19:$O$23))</f>
        <v>0</v>
      </c>
      <c r="M1487">
        <f t="shared" ref="M1487" si="4657">SUMPRODUCT(($C$24:$C$30=$E1487)*($P$6:$AI$6=$F1487)*($P$24:$AI$30))</f>
        <v>0</v>
      </c>
      <c r="N1487">
        <f t="shared" ref="N1487" si="4658">SUMPRODUCT(($C$31:$C$50=$F1487)*($AJ$6:$AM$6=$G1487)*($AJ$31:$AM$50))</f>
        <v>1</v>
      </c>
      <c r="O1487">
        <f t="shared" ref="O1487" si="4659">K1487+L1487+M1487+N1487</f>
        <v>2</v>
      </c>
      <c r="P1487" t="str">
        <f t="shared" ref="P1487" si="4660">CONCATENATE(C1487,"-",J1487)</f>
        <v>Large centralized natural gas steam reforming-Public acceptability</v>
      </c>
      <c r="Q1487" t="str">
        <f t="shared" ref="Q1487" si="4661">CONCATENATE(D1487,"-",J1487)</f>
        <v>Underground storage-Public acceptability</v>
      </c>
      <c r="R1487" t="str">
        <f t="shared" ref="R1487" si="4662">CONCATENATE(E1487,"-",J1487)</f>
        <v>Methanation-Public acceptability</v>
      </c>
      <c r="S1487" t="str">
        <f t="shared" ref="S1487" si="4663">CONCATENATE(F1487,"-",J1487)</f>
        <v>District-CHP with natural gas fuel cell (power)-Public acceptability</v>
      </c>
      <c r="T1487" s="54">
        <f ca="1">VLOOKUP($P1487,'TA database'!$I$8:$J$79,2,FALSE)</f>
        <v>90</v>
      </c>
      <c r="U1487" s="54">
        <f ca="1">VLOOKUP($Q1487,'TA database'!$I$86:$J$105,2,FALSE)</f>
        <v>60</v>
      </c>
      <c r="V1487" s="54">
        <f ca="1">VLOOKUP($R1487,'TA database'!$I$112:$J$139,2,FALSE)</f>
        <v>70</v>
      </c>
      <c r="W1487" s="54">
        <f>IFERROR(VLOOKUP($S1487,'TA database'!$I$146:$J$193,2,FALSE),0)</f>
        <v>0</v>
      </c>
      <c r="X1487" s="54">
        <f ca="1">IFERROR(VLOOKUP($S1487,'TA database'!$I$200:$J$271,2,FALSE),0)</f>
        <v>80</v>
      </c>
      <c r="Y1487" s="59">
        <f t="shared" ref="Y1487:Y1488" ca="1" si="4664">IF($W1487=0,(PRODUCT($T1487:$V1487,$X1487))/1000000,(PRODUCT($T1487:$W1487))/1000000)</f>
        <v>30.24</v>
      </c>
      <c r="Z1487" t="str">
        <f t="shared" ref="Z1487" si="4665">CONCATENATE(AG1487,"   →   ",AH1487,"   →   ",AI1487,"   →   ",AJ1487)</f>
        <v>NG_SR_LRG_C   →   C_UNDRGRND_STRG   →   METHANATION   →   NG_FC_DCHP_PWR</v>
      </c>
      <c r="AA1487" t="str">
        <f t="shared" ref="AA1487" si="4666">G1487</f>
        <v>Grid electricity</v>
      </c>
      <c r="AB1487" t="str">
        <f t="shared" ref="AB1487" si="4667">J1487</f>
        <v>Public acceptability</v>
      </c>
      <c r="AC1487">
        <f t="shared" ref="AC1487" ca="1" si="4668">Y1487</f>
        <v>30.24</v>
      </c>
      <c r="AD1487">
        <v>1428</v>
      </c>
      <c r="AE1487" t="str">
        <f>IF(AND(ISNUMBER(SEARCH(O1487,4)),ISNUMBER(SEARCH('(4) FCH pathway assessment'!$B$16,AB1487)),ISNUMBER(SEARCH('(4) FCH pathway assessment'!$B$10,AA1487))),AD1487,"")</f>
        <v/>
      </c>
      <c r="AF1487" t="str">
        <f t="shared" si="4569"/>
        <v/>
      </c>
      <c r="AG1487" t="str">
        <f>VLOOKUP(C1487,Assumptions!$B$116:$C$162,2,FALSE)</f>
        <v>NG_SR_LRG_C</v>
      </c>
      <c r="AH1487" t="str">
        <f>VLOOKUP(D1487,Assumptions!$B$116:$C$162,2,FALSE)</f>
        <v>C_UNDRGRND_STRG</v>
      </c>
      <c r="AI1487" t="str">
        <f>VLOOKUP(E1487,Assumptions!$B$116:$C$162,2,FALSE)</f>
        <v>METHANATION</v>
      </c>
      <c r="AJ1487" t="str">
        <f>VLOOKUP(F1487,Assumptions!$B$116:$C$162,2,FALSE)</f>
        <v>NG_FC_DCHP_PWR</v>
      </c>
    </row>
    <row r="1488" spans="2:36" x14ac:dyDescent="0.25">
      <c r="B1488" t="s">
        <v>127</v>
      </c>
      <c r="C1488" t="s">
        <v>58</v>
      </c>
      <c r="D1488" t="s">
        <v>155</v>
      </c>
      <c r="E1488" t="s">
        <v>65</v>
      </c>
      <c r="F1488" t="s">
        <v>550</v>
      </c>
      <c r="G1488" t="s">
        <v>114</v>
      </c>
      <c r="H1488" t="s">
        <v>433</v>
      </c>
      <c r="I1488" t="s">
        <v>32</v>
      </c>
      <c r="J1488" t="s">
        <v>82</v>
      </c>
      <c r="K1488">
        <f t="shared" ref="K1488" si="4669">SUMPRODUCT(($C$7:$C$18=$C1488)*($D$6:$H$6=$D1488)*($D$7:$H$18))</f>
        <v>1</v>
      </c>
      <c r="L1488">
        <f t="shared" ref="L1488" si="4670">SUMPRODUCT(($C$19:$C$23=$D1488)*($I$6:$O$6=$E1488)*($I$19:$O$23))</f>
        <v>1</v>
      </c>
      <c r="M1488">
        <f t="shared" ref="M1488" si="4671">SUMPRODUCT(($C$24:$C$30=$E1488)*($P$6:$AI$6=$F1488)*($P$24:$AI$30))</f>
        <v>0</v>
      </c>
      <c r="N1488">
        <f t="shared" ref="N1488" si="4672">SUMPRODUCT(($C$31:$C$50=$F1488)*($AJ$6:$AM$6=$G1488)*($AJ$31:$AM$50))</f>
        <v>1</v>
      </c>
      <c r="O1488">
        <f t="shared" ref="O1488" si="4673">K1488+L1488+M1488+N1488</f>
        <v>3</v>
      </c>
      <c r="P1488" t="str">
        <f t="shared" ref="P1488" si="4674">CONCATENATE(C1488,"-",J1488)</f>
        <v>Small centralized natural gas steam reforming-Public acceptability</v>
      </c>
      <c r="Q1488" t="str">
        <f t="shared" ref="Q1488" si="4675">CONCATENATE(D1488,"-",J1488)</f>
        <v>Central gas storage-Public acceptability</v>
      </c>
      <c r="R1488" t="str">
        <f t="shared" ref="R1488" si="4676">CONCATENATE(E1488,"-",J1488)</f>
        <v>Methanation-Public acceptability</v>
      </c>
      <c r="S1488" t="str">
        <f t="shared" ref="S1488" si="4677">CONCATENATE(F1488,"-",J1488)</f>
        <v>District-CHP with natural gas fuel cell (power)-Public acceptability</v>
      </c>
      <c r="T1488" s="54">
        <f ca="1">VLOOKUP($P1488,'TA database'!$I$8:$J$79,2,FALSE)</f>
        <v>90</v>
      </c>
      <c r="U1488" s="54">
        <f ca="1">VLOOKUP($Q1488,'TA database'!$I$86:$J$105,2,FALSE)</f>
        <v>60</v>
      </c>
      <c r="V1488" s="54">
        <f ca="1">VLOOKUP($R1488,'TA database'!$I$112:$J$139,2,FALSE)</f>
        <v>70</v>
      </c>
      <c r="W1488" s="54">
        <f>IFERROR(VLOOKUP($S1488,'TA database'!$I$146:$J$193,2,FALSE),0)</f>
        <v>0</v>
      </c>
      <c r="X1488" s="54">
        <f ca="1">IFERROR(VLOOKUP($S1488,'TA database'!$I$200:$J$271,2,FALSE),0)</f>
        <v>80</v>
      </c>
      <c r="Y1488" s="59">
        <f t="shared" ca="1" si="4664"/>
        <v>30.24</v>
      </c>
      <c r="Z1488" t="str">
        <f t="shared" ref="Z1488" si="4678">CONCATENATE(AG1488,"   →   ",AH1488,"   →   ",AI1488,"   →   ",AJ1488)</f>
        <v>NG_SR_SML_C   →   C_GAS_STRG   →   METHANATION   →   NG_FC_DCHP_PWR</v>
      </c>
      <c r="AA1488" t="str">
        <f t="shared" ref="AA1488" si="4679">G1488</f>
        <v>Grid electricity</v>
      </c>
      <c r="AB1488" t="str">
        <f t="shared" ref="AB1488" si="4680">J1488</f>
        <v>Public acceptability</v>
      </c>
      <c r="AC1488">
        <f t="shared" ref="AC1488" ca="1" si="4681">Y1488</f>
        <v>30.24</v>
      </c>
      <c r="AD1488">
        <v>1429</v>
      </c>
      <c r="AE1488" t="str">
        <f>IF(AND(ISNUMBER(SEARCH(O1488,4)),ISNUMBER(SEARCH('(4) FCH pathway assessment'!$B$16,AB1488)),ISNUMBER(SEARCH('(4) FCH pathway assessment'!$B$10,AA1488))),AD1488,"")</f>
        <v/>
      </c>
      <c r="AF1488" t="str">
        <f t="shared" si="4569"/>
        <v/>
      </c>
      <c r="AG1488" t="str">
        <f>VLOOKUP(C1488,Assumptions!$B$116:$C$162,2,FALSE)</f>
        <v>NG_SR_SML_C</v>
      </c>
      <c r="AH1488" t="str">
        <f>VLOOKUP(D1488,Assumptions!$B$116:$C$162,2,FALSE)</f>
        <v>C_GAS_STRG</v>
      </c>
      <c r="AI1488" t="str">
        <f>VLOOKUP(E1488,Assumptions!$B$116:$C$162,2,FALSE)</f>
        <v>METHANATION</v>
      </c>
      <c r="AJ1488" t="str">
        <f>VLOOKUP(F1488,Assumptions!$B$116:$C$162,2,FALSE)</f>
        <v>NG_FC_DCHP_PWR</v>
      </c>
    </row>
    <row r="1489" spans="2:36" x14ac:dyDescent="0.25">
      <c r="B1489" t="s">
        <v>127</v>
      </c>
      <c r="C1489" t="s">
        <v>174</v>
      </c>
      <c r="D1489" s="61" t="s">
        <v>177</v>
      </c>
      <c r="E1489" t="s">
        <v>180</v>
      </c>
      <c r="F1489" t="s">
        <v>550</v>
      </c>
      <c r="G1489" t="s">
        <v>114</v>
      </c>
      <c r="H1489" t="s">
        <v>433</v>
      </c>
      <c r="I1489" t="s">
        <v>32</v>
      </c>
      <c r="J1489" t="s">
        <v>82</v>
      </c>
      <c r="K1489">
        <f t="shared" ref="K1489:K1497" si="4682">SUMPRODUCT(($C$7:$C$18=$C1489)*($D$6:$H$6=$D1489)*($D$7:$H$18))</f>
        <v>1</v>
      </c>
      <c r="L1489">
        <f t="shared" ref="L1489:L1497" si="4683">SUMPRODUCT(($C$19:$C$23=$D1489)*($I$6:$O$6=$E1489)*($I$19:$O$23))</f>
        <v>1</v>
      </c>
      <c r="M1489">
        <f t="shared" ref="M1489:M1497" si="4684">SUMPRODUCT(($C$24:$C$30=$E1489)*($P$6:$AI$6=$F1489)*($P$24:$AI$30))</f>
        <v>1</v>
      </c>
      <c r="N1489">
        <f t="shared" ref="N1489:N1497" si="4685">SUMPRODUCT(($C$31:$C$50=$F1489)*($AJ$6:$AM$6=$G1489)*($AJ$31:$AM$50))</f>
        <v>1</v>
      </c>
      <c r="O1489">
        <f t="shared" ref="O1489:O1497" si="4686">K1489+L1489+M1489+N1489</f>
        <v>4</v>
      </c>
      <c r="P1489" t="str">
        <f t="shared" ref="P1489:P1497" si="4687">CONCATENATE(C1489,"-",J1489)</f>
        <v>Natural gas production-Public acceptability</v>
      </c>
      <c r="Q1489" t="str">
        <f t="shared" ref="Q1489:Q1497" si="4688">CONCATENATE(D1489,"-",J1489)</f>
        <v>Natural gas storage-Public acceptability</v>
      </c>
      <c r="R1489" t="str">
        <f t="shared" ref="R1489:R1497" si="4689">CONCATENATE(E1489,"-",J1489)</f>
        <v>Natural gas transport-Public acceptability</v>
      </c>
      <c r="S1489" t="str">
        <f t="shared" ref="S1489:S1497" si="4690">CONCATENATE(F1489,"-",J1489)</f>
        <v>District-CHP with natural gas fuel cell (power)-Public acceptability</v>
      </c>
      <c r="T1489" s="54">
        <f ca="1">VLOOKUP($P1489,'TA database'!$I$8:$J$79,2,FALSE)</f>
        <v>100</v>
      </c>
      <c r="U1489" s="54">
        <f ca="1">VLOOKUP($Q1489,'TA database'!$I$86:$J$105,2,FALSE)</f>
        <v>80</v>
      </c>
      <c r="V1489" s="54">
        <f ca="1">VLOOKUP($R1489,'TA database'!$I$112:$J$139,2,FALSE)</f>
        <v>90</v>
      </c>
      <c r="W1489" s="54">
        <f>IFERROR(VLOOKUP($S1489,'TA database'!$I$146:$J$193,2,FALSE),0)</f>
        <v>0</v>
      </c>
      <c r="X1489" s="54">
        <f ca="1">IFERROR(VLOOKUP($S1489,'TA database'!$I$200:$J$271,2,FALSE),0)</f>
        <v>80</v>
      </c>
      <c r="Y1489" s="59">
        <f t="shared" ref="Y1489:Y1493" ca="1" si="4691">IF($W1489=0,(PRODUCT($T1489:$V1489,$X1489))/1000000,(PRODUCT($T1489:$W1489))/1000000)</f>
        <v>57.6</v>
      </c>
      <c r="Z1489" t="str">
        <f t="shared" ref="Z1489:Z1497" si="4692">CONCATENATE(AG1489,"   →   ",AH1489,"   →   ",AI1489,"   →   ",AJ1489)</f>
        <v>[NG_PROD]   →   [NG_STRG]   →   [NG_TRNSP]   →   NG_FC_DCHP_PWR</v>
      </c>
      <c r="AA1489" t="str">
        <f t="shared" ref="AA1489:AA1497" si="4693">G1489</f>
        <v>Grid electricity</v>
      </c>
      <c r="AB1489" t="str">
        <f t="shared" ref="AB1489:AB1497" si="4694">J1489</f>
        <v>Public acceptability</v>
      </c>
      <c r="AC1489">
        <f t="shared" ref="AC1489:AC1497" ca="1" si="4695">Y1489</f>
        <v>57.6</v>
      </c>
      <c r="AD1489">
        <v>1430</v>
      </c>
      <c r="AE1489" t="str">
        <f>IF(AND(ISNUMBER(SEARCH(O1489,4)),ISNUMBER(SEARCH('(4) FCH pathway assessment'!$B$16,AB1489)),ISNUMBER(SEARCH('(4) FCH pathway assessment'!$B$10,AA1489))),AD1489,"")</f>
        <v/>
      </c>
      <c r="AF1489" t="str">
        <f t="shared" si="4569"/>
        <v/>
      </c>
      <c r="AG1489" t="str">
        <f>VLOOKUP(C1489,Assumptions!$B$116:$C$162,2,FALSE)</f>
        <v>[NG_PROD]</v>
      </c>
      <c r="AH1489" t="str">
        <f>VLOOKUP(D1489,Assumptions!$B$116:$C$162,2,FALSE)</f>
        <v>[NG_STRG]</v>
      </c>
      <c r="AI1489" t="str">
        <f>VLOOKUP(E1489,Assumptions!$B$116:$C$162,2,FALSE)</f>
        <v>[NG_TRNSP]</v>
      </c>
      <c r="AJ1489" t="str">
        <f>VLOOKUP(F1489,Assumptions!$B$116:$C$162,2,FALSE)</f>
        <v>NG_FC_DCHP_PWR</v>
      </c>
    </row>
    <row r="1490" spans="2:36" x14ac:dyDescent="0.25">
      <c r="B1490" t="s">
        <v>117</v>
      </c>
      <c r="C1490" t="s">
        <v>53</v>
      </c>
      <c r="D1490" t="s">
        <v>155</v>
      </c>
      <c r="E1490" t="s">
        <v>157</v>
      </c>
      <c r="F1490" t="s">
        <v>163</v>
      </c>
      <c r="G1490" t="s">
        <v>114</v>
      </c>
      <c r="H1490" t="s">
        <v>433</v>
      </c>
      <c r="I1490" t="s">
        <v>32</v>
      </c>
      <c r="J1490" t="s">
        <v>82</v>
      </c>
      <c r="K1490">
        <f t="shared" si="4682"/>
        <v>0</v>
      </c>
      <c r="L1490">
        <f t="shared" si="4683"/>
        <v>1</v>
      </c>
      <c r="M1490">
        <f t="shared" si="4684"/>
        <v>0</v>
      </c>
      <c r="N1490">
        <f t="shared" si="4685"/>
        <v>0</v>
      </c>
      <c r="O1490">
        <f t="shared" si="4686"/>
        <v>1</v>
      </c>
      <c r="P1490" t="str">
        <f t="shared" si="4687"/>
        <v>Medium centralized biomass gasification-Public acceptability</v>
      </c>
      <c r="Q1490" t="str">
        <f t="shared" si="4688"/>
        <v>Central gas storage-Public acceptability</v>
      </c>
      <c r="R1490" t="str">
        <f t="shared" si="4689"/>
        <v>Blending in natural gas pipeline-Public acceptability</v>
      </c>
      <c r="S1490" t="str">
        <f t="shared" si="4690"/>
        <v>Hydrogen turbine (CC)-Public acceptability</v>
      </c>
      <c r="T1490" s="54">
        <f ca="1">VLOOKUP($P1490,'TA database'!$I$8:$J$79,2,FALSE)</f>
        <v>70</v>
      </c>
      <c r="U1490" s="54">
        <f ca="1">VLOOKUP($Q1490,'TA database'!$I$86:$J$105,2,FALSE)</f>
        <v>60</v>
      </c>
      <c r="V1490" s="54">
        <f ca="1">VLOOKUP($R1490,'TA database'!$I$112:$J$139,2,FALSE)</f>
        <v>90</v>
      </c>
      <c r="W1490" s="54">
        <f>IFERROR(VLOOKUP($S1490,'TA database'!$I$146:$J$193,2,FALSE),0)</f>
        <v>0</v>
      </c>
      <c r="X1490" s="54">
        <f ca="1">IFERROR(VLOOKUP($S1490,'TA database'!$I$200:$J$271,2,FALSE),0)</f>
        <v>80</v>
      </c>
      <c r="Y1490" s="59">
        <f t="shared" ca="1" si="4691"/>
        <v>30.24</v>
      </c>
      <c r="Z1490" t="str">
        <f t="shared" si="4692"/>
        <v>BIO_GSF_MED_C   →   C_GAS_STRG   →   H2_BLND_NG_P   →   H2_CCGT_PWR</v>
      </c>
      <c r="AA1490" t="str">
        <f t="shared" si="4693"/>
        <v>Grid electricity</v>
      </c>
      <c r="AB1490" t="str">
        <f t="shared" si="4694"/>
        <v>Public acceptability</v>
      </c>
      <c r="AC1490">
        <f t="shared" ca="1" si="4695"/>
        <v>30.24</v>
      </c>
      <c r="AD1490">
        <v>1431</v>
      </c>
      <c r="AE1490" t="str">
        <f>IF(AND(ISNUMBER(SEARCH(O1490,4)),ISNUMBER(SEARCH('(4) FCH pathway assessment'!$B$16,AB1490)),ISNUMBER(SEARCH('(4) FCH pathway assessment'!$B$10,AA1490))),AD1490,"")</f>
        <v/>
      </c>
      <c r="AF1490" t="str">
        <f t="shared" si="4569"/>
        <v/>
      </c>
      <c r="AG1490" t="str">
        <f>VLOOKUP(C1490,Assumptions!$B$116:$C$162,2,FALSE)</f>
        <v>BIO_GSF_MED_C</v>
      </c>
      <c r="AH1490" t="str">
        <f>VLOOKUP(D1490,Assumptions!$B$116:$C$162,2,FALSE)</f>
        <v>C_GAS_STRG</v>
      </c>
      <c r="AI1490" t="str">
        <f>VLOOKUP(E1490,Assumptions!$B$116:$C$162,2,FALSE)</f>
        <v>H2_BLND_NG_P</v>
      </c>
      <c r="AJ1490" t="str">
        <f>VLOOKUP(F1490,Assumptions!$B$116:$C$162,2,FALSE)</f>
        <v>H2_CCGT_PWR</v>
      </c>
    </row>
    <row r="1491" spans="2:36" x14ac:dyDescent="0.25">
      <c r="B1491" t="s">
        <v>117</v>
      </c>
      <c r="C1491" t="s">
        <v>53</v>
      </c>
      <c r="D1491" t="s">
        <v>155</v>
      </c>
      <c r="E1491" t="s">
        <v>122</v>
      </c>
      <c r="F1491" t="s">
        <v>163</v>
      </c>
      <c r="G1491" t="s">
        <v>114</v>
      </c>
      <c r="H1491" t="s">
        <v>433</v>
      </c>
      <c r="I1491" t="s">
        <v>32</v>
      </c>
      <c r="J1491" t="s">
        <v>82</v>
      </c>
      <c r="K1491">
        <f t="shared" si="4682"/>
        <v>0</v>
      </c>
      <c r="L1491">
        <f t="shared" si="4683"/>
        <v>1</v>
      </c>
      <c r="M1491">
        <f t="shared" si="4684"/>
        <v>1</v>
      </c>
      <c r="N1491">
        <f t="shared" si="4685"/>
        <v>0</v>
      </c>
      <c r="O1491">
        <f t="shared" si="4686"/>
        <v>2</v>
      </c>
      <c r="P1491" t="str">
        <f t="shared" si="4687"/>
        <v>Medium centralized biomass gasification-Public acceptability</v>
      </c>
      <c r="Q1491" t="str">
        <f t="shared" si="4688"/>
        <v>Central gas storage-Public acceptability</v>
      </c>
      <c r="R1491" t="str">
        <f t="shared" si="4689"/>
        <v>Hydrogen transmission &amp; distribution pipeline-Public acceptability</v>
      </c>
      <c r="S1491" t="str">
        <f t="shared" si="4690"/>
        <v>Hydrogen turbine (CC)-Public acceptability</v>
      </c>
      <c r="T1491" s="54">
        <f ca="1">VLOOKUP($P1491,'TA database'!$I$8:$J$79,2,FALSE)</f>
        <v>70</v>
      </c>
      <c r="U1491" s="54">
        <f ca="1">VLOOKUP($Q1491,'TA database'!$I$86:$J$105,2,FALSE)</f>
        <v>60</v>
      </c>
      <c r="V1491" s="54">
        <f ca="1">VLOOKUP($R1491,'TA database'!$I$112:$J$139,2,FALSE)</f>
        <v>70</v>
      </c>
      <c r="W1491" s="54">
        <f>IFERROR(VLOOKUP($S1491,'TA database'!$I$146:$J$193,2,FALSE),0)</f>
        <v>0</v>
      </c>
      <c r="X1491" s="54">
        <f ca="1">IFERROR(VLOOKUP($S1491,'TA database'!$I$200:$J$271,2,FALSE),0)</f>
        <v>80</v>
      </c>
      <c r="Y1491" s="59">
        <f t="shared" ca="1" si="4691"/>
        <v>23.52</v>
      </c>
      <c r="Z1491" t="str">
        <f t="shared" si="4692"/>
        <v>BIO_GSF_MED_C   →   C_GAS_STRG   →   H2_T&amp;D_P   →   H2_CCGT_PWR</v>
      </c>
      <c r="AA1491" t="str">
        <f t="shared" si="4693"/>
        <v>Grid electricity</v>
      </c>
      <c r="AB1491" t="str">
        <f t="shared" si="4694"/>
        <v>Public acceptability</v>
      </c>
      <c r="AC1491">
        <f t="shared" ca="1" si="4695"/>
        <v>23.52</v>
      </c>
      <c r="AD1491">
        <v>1432</v>
      </c>
      <c r="AE1491" t="str">
        <f>IF(AND(ISNUMBER(SEARCH(O1491,4)),ISNUMBER(SEARCH('(4) FCH pathway assessment'!$B$16,AB1491)),ISNUMBER(SEARCH('(4) FCH pathway assessment'!$B$10,AA1491))),AD1491,"")</f>
        <v/>
      </c>
      <c r="AF1491" t="str">
        <f t="shared" si="4569"/>
        <v/>
      </c>
      <c r="AG1491" t="str">
        <f>VLOOKUP(C1491,Assumptions!$B$116:$C$162,2,FALSE)</f>
        <v>BIO_GSF_MED_C</v>
      </c>
      <c r="AH1491" t="str">
        <f>VLOOKUP(D1491,Assumptions!$B$116:$C$162,2,FALSE)</f>
        <v>C_GAS_STRG</v>
      </c>
      <c r="AI1491" t="str">
        <f>VLOOKUP(E1491,Assumptions!$B$116:$C$162,2,FALSE)</f>
        <v>H2_T&amp;D_P</v>
      </c>
      <c r="AJ1491" t="str">
        <f>VLOOKUP(F1491,Assumptions!$B$116:$C$162,2,FALSE)</f>
        <v>H2_CCGT_PWR</v>
      </c>
    </row>
    <row r="1492" spans="2:36" x14ac:dyDescent="0.25">
      <c r="B1492" t="s">
        <v>117</v>
      </c>
      <c r="C1492" t="s">
        <v>53</v>
      </c>
      <c r="D1492" t="s">
        <v>155</v>
      </c>
      <c r="E1492" t="s">
        <v>116</v>
      </c>
      <c r="F1492" t="s">
        <v>163</v>
      </c>
      <c r="G1492" t="s">
        <v>114</v>
      </c>
      <c r="H1492" t="s">
        <v>433</v>
      </c>
      <c r="I1492" t="s">
        <v>32</v>
      </c>
      <c r="J1492" t="s">
        <v>82</v>
      </c>
      <c r="K1492">
        <f t="shared" si="4682"/>
        <v>0</v>
      </c>
      <c r="L1492">
        <f t="shared" si="4683"/>
        <v>1</v>
      </c>
      <c r="M1492">
        <f t="shared" si="4684"/>
        <v>1</v>
      </c>
      <c r="N1492">
        <f t="shared" si="4685"/>
        <v>0</v>
      </c>
      <c r="O1492">
        <f t="shared" si="4686"/>
        <v>2</v>
      </c>
      <c r="P1492" t="str">
        <f t="shared" si="4687"/>
        <v>Medium centralized biomass gasification-Public acceptability</v>
      </c>
      <c r="Q1492" t="str">
        <f t="shared" si="4688"/>
        <v>Central gas storage-Public acceptability</v>
      </c>
      <c r="R1492" t="str">
        <f t="shared" si="4689"/>
        <v>Liquid hydrogen truck-Public acceptability</v>
      </c>
      <c r="S1492" t="str">
        <f t="shared" si="4690"/>
        <v>Hydrogen turbine (CC)-Public acceptability</v>
      </c>
      <c r="T1492" s="54">
        <f ca="1">VLOOKUP($P1492,'TA database'!$I$8:$J$79,2,FALSE)</f>
        <v>70</v>
      </c>
      <c r="U1492" s="54">
        <f ca="1">VLOOKUP($Q1492,'TA database'!$I$86:$J$105,2,FALSE)</f>
        <v>60</v>
      </c>
      <c r="V1492" s="54">
        <f ca="1">VLOOKUP($R1492,'TA database'!$I$112:$J$139,2,FALSE)</f>
        <v>100</v>
      </c>
      <c r="W1492" s="54">
        <f>IFERROR(VLOOKUP($S1492,'TA database'!$I$146:$J$193,2,FALSE),0)</f>
        <v>0</v>
      </c>
      <c r="X1492" s="54">
        <f ca="1">IFERROR(VLOOKUP($S1492,'TA database'!$I$200:$J$271,2,FALSE),0)</f>
        <v>80</v>
      </c>
      <c r="Y1492" s="59">
        <f t="shared" ca="1" si="4691"/>
        <v>33.6</v>
      </c>
      <c r="Z1492" t="str">
        <f t="shared" si="4692"/>
        <v>BIO_GSF_MED_C   →   C_GAS_STRG   →   LQ_TRUCK   →   H2_CCGT_PWR</v>
      </c>
      <c r="AA1492" t="str">
        <f t="shared" si="4693"/>
        <v>Grid electricity</v>
      </c>
      <c r="AB1492" t="str">
        <f t="shared" si="4694"/>
        <v>Public acceptability</v>
      </c>
      <c r="AC1492">
        <f t="shared" ca="1" si="4695"/>
        <v>33.6</v>
      </c>
      <c r="AD1492">
        <v>1433</v>
      </c>
      <c r="AE1492" t="str">
        <f>IF(AND(ISNUMBER(SEARCH(O1492,4)),ISNUMBER(SEARCH('(4) FCH pathway assessment'!$B$16,AB1492)),ISNUMBER(SEARCH('(4) FCH pathway assessment'!$B$10,AA1492))),AD1492,"")</f>
        <v/>
      </c>
      <c r="AF1492" t="str">
        <f t="shared" si="4569"/>
        <v/>
      </c>
      <c r="AG1492" t="str">
        <f>VLOOKUP(C1492,Assumptions!$B$116:$C$162,2,FALSE)</f>
        <v>BIO_GSF_MED_C</v>
      </c>
      <c r="AH1492" t="str">
        <f>VLOOKUP(D1492,Assumptions!$B$116:$C$162,2,FALSE)</f>
        <v>C_GAS_STRG</v>
      </c>
      <c r="AI1492" t="str">
        <f>VLOOKUP(E1492,Assumptions!$B$116:$C$162,2,FALSE)</f>
        <v>LQ_TRUCK</v>
      </c>
      <c r="AJ1492" t="str">
        <f>VLOOKUP(F1492,Assumptions!$B$116:$C$162,2,FALSE)</f>
        <v>H2_CCGT_PWR</v>
      </c>
    </row>
    <row r="1493" spans="2:36" x14ac:dyDescent="0.25">
      <c r="B1493" t="s">
        <v>117</v>
      </c>
      <c r="C1493" t="s">
        <v>53</v>
      </c>
      <c r="D1493" t="s">
        <v>155</v>
      </c>
      <c r="E1493" t="s">
        <v>66</v>
      </c>
      <c r="F1493" t="s">
        <v>163</v>
      </c>
      <c r="G1493" t="s">
        <v>114</v>
      </c>
      <c r="H1493" t="s">
        <v>433</v>
      </c>
      <c r="I1493" t="s">
        <v>32</v>
      </c>
      <c r="J1493" t="s">
        <v>82</v>
      </c>
      <c r="K1493">
        <f t="shared" si="4682"/>
        <v>0</v>
      </c>
      <c r="L1493">
        <f t="shared" si="4683"/>
        <v>1</v>
      </c>
      <c r="M1493">
        <f t="shared" si="4684"/>
        <v>1</v>
      </c>
      <c r="N1493">
        <f t="shared" si="4685"/>
        <v>0</v>
      </c>
      <c r="O1493">
        <f t="shared" si="4686"/>
        <v>2</v>
      </c>
      <c r="P1493" t="str">
        <f t="shared" si="4687"/>
        <v>Medium centralized biomass gasification-Public acceptability</v>
      </c>
      <c r="Q1493" t="str">
        <f t="shared" si="4688"/>
        <v>Central gas storage-Public acceptability</v>
      </c>
      <c r="R1493" t="str">
        <f t="shared" si="4689"/>
        <v>Onsite-Public acceptability</v>
      </c>
      <c r="S1493" t="str">
        <f t="shared" si="4690"/>
        <v>Hydrogen turbine (CC)-Public acceptability</v>
      </c>
      <c r="T1493" s="54">
        <f ca="1">VLOOKUP($P1493,'TA database'!$I$8:$J$79,2,FALSE)</f>
        <v>70</v>
      </c>
      <c r="U1493" s="54">
        <f ca="1">VLOOKUP($Q1493,'TA database'!$I$86:$J$105,2,FALSE)</f>
        <v>60</v>
      </c>
      <c r="V1493" s="54">
        <f ca="1">VLOOKUP($R1493,'TA database'!$I$112:$J$139,2,FALSE)</f>
        <v>90</v>
      </c>
      <c r="W1493" s="54">
        <f>IFERROR(VLOOKUP($S1493,'TA database'!$I$146:$J$193,2,FALSE),0)</f>
        <v>0</v>
      </c>
      <c r="X1493" s="54">
        <f ca="1">IFERROR(VLOOKUP($S1493,'TA database'!$I$200:$J$271,2,FALSE),0)</f>
        <v>80</v>
      </c>
      <c r="Y1493" s="59">
        <f t="shared" ca="1" si="4691"/>
        <v>30.24</v>
      </c>
      <c r="Z1493" t="str">
        <f t="shared" si="4692"/>
        <v>BIO_GSF_MED_C   →   C_GAS_STRG   →   ONSITE_USE   →   H2_CCGT_PWR</v>
      </c>
      <c r="AA1493" t="str">
        <f t="shared" si="4693"/>
        <v>Grid electricity</v>
      </c>
      <c r="AB1493" t="str">
        <f t="shared" si="4694"/>
        <v>Public acceptability</v>
      </c>
      <c r="AC1493">
        <f t="shared" ca="1" si="4695"/>
        <v>30.24</v>
      </c>
      <c r="AD1493">
        <v>1434</v>
      </c>
      <c r="AE1493" t="str">
        <f>IF(AND(ISNUMBER(SEARCH(O1493,4)),ISNUMBER(SEARCH('(4) FCH pathway assessment'!$B$16,AB1493)),ISNUMBER(SEARCH('(4) FCH pathway assessment'!$B$10,AA1493))),AD1493,"")</f>
        <v/>
      </c>
      <c r="AF1493" t="str">
        <f t="shared" si="4569"/>
        <v/>
      </c>
      <c r="AG1493" t="str">
        <f>VLOOKUP(C1493,Assumptions!$B$116:$C$162,2,FALSE)</f>
        <v>BIO_GSF_MED_C</v>
      </c>
      <c r="AH1493" t="str">
        <f>VLOOKUP(D1493,Assumptions!$B$116:$C$162,2,FALSE)</f>
        <v>C_GAS_STRG</v>
      </c>
      <c r="AI1493" t="str">
        <f>VLOOKUP(E1493,Assumptions!$B$116:$C$162,2,FALSE)</f>
        <v>ONSITE_USE</v>
      </c>
      <c r="AJ1493" t="str">
        <f>VLOOKUP(F1493,Assumptions!$B$116:$C$162,2,FALSE)</f>
        <v>H2_CCGT_PWR</v>
      </c>
    </row>
    <row r="1494" spans="2:36" x14ac:dyDescent="0.25">
      <c r="B1494" t="s">
        <v>117</v>
      </c>
      <c r="C1494" t="s">
        <v>54</v>
      </c>
      <c r="D1494" t="s">
        <v>155</v>
      </c>
      <c r="E1494" t="s">
        <v>157</v>
      </c>
      <c r="F1494" t="s">
        <v>163</v>
      </c>
      <c r="G1494" t="s">
        <v>114</v>
      </c>
      <c r="H1494" t="s">
        <v>433</v>
      </c>
      <c r="I1494" t="s">
        <v>32</v>
      </c>
      <c r="J1494" t="s">
        <v>82</v>
      </c>
      <c r="K1494">
        <f t="shared" si="4682"/>
        <v>0</v>
      </c>
      <c r="L1494">
        <f t="shared" si="4683"/>
        <v>1</v>
      </c>
      <c r="M1494">
        <f t="shared" si="4684"/>
        <v>0</v>
      </c>
      <c r="N1494">
        <f t="shared" si="4685"/>
        <v>0</v>
      </c>
      <c r="O1494">
        <f t="shared" si="4686"/>
        <v>1</v>
      </c>
      <c r="P1494" t="str">
        <f t="shared" si="4687"/>
        <v>Medium centralized biomass gasification w/ CCS-Public acceptability</v>
      </c>
      <c r="Q1494" t="str">
        <f t="shared" si="4688"/>
        <v>Central gas storage-Public acceptability</v>
      </c>
      <c r="R1494" t="str">
        <f t="shared" si="4689"/>
        <v>Blending in natural gas pipeline-Public acceptability</v>
      </c>
      <c r="S1494" t="str">
        <f t="shared" si="4690"/>
        <v>Hydrogen turbine (CC)-Public acceptability</v>
      </c>
      <c r="T1494" s="54">
        <f ca="1">VLOOKUP($P1494,'TA database'!$I$8:$J$79,2,FALSE)</f>
        <v>60</v>
      </c>
      <c r="U1494" s="54">
        <f ca="1">VLOOKUP($Q1494,'TA database'!$I$86:$J$105,2,FALSE)</f>
        <v>60</v>
      </c>
      <c r="V1494" s="54">
        <f ca="1">VLOOKUP($R1494,'TA database'!$I$112:$J$139,2,FALSE)</f>
        <v>90</v>
      </c>
      <c r="W1494" s="54">
        <f>IFERROR(VLOOKUP($S1494,'TA database'!$I$146:$J$193,2,FALSE),0)</f>
        <v>0</v>
      </c>
      <c r="X1494" s="54">
        <f ca="1">IFERROR(VLOOKUP($S1494,'TA database'!$I$200:$J$271,2,FALSE),0)</f>
        <v>80</v>
      </c>
      <c r="Y1494" s="59">
        <f t="shared" ref="Y1494:Y1497" ca="1" si="4696">IF($W1494=0,(PRODUCT($T1494:$V1494,$X1494))/1000000,(PRODUCT($T1494:$W1494))/1000000)</f>
        <v>25.92</v>
      </c>
      <c r="Z1494" t="str">
        <f t="shared" si="4692"/>
        <v>BIO_GSF_CCS_MED_C   →   C_GAS_STRG   →   H2_BLND_NG_P   →   H2_CCGT_PWR</v>
      </c>
      <c r="AA1494" t="str">
        <f t="shared" si="4693"/>
        <v>Grid electricity</v>
      </c>
      <c r="AB1494" t="str">
        <f t="shared" si="4694"/>
        <v>Public acceptability</v>
      </c>
      <c r="AC1494">
        <f t="shared" ca="1" si="4695"/>
        <v>25.92</v>
      </c>
      <c r="AD1494">
        <v>1435</v>
      </c>
      <c r="AE1494" t="str">
        <f>IF(AND(ISNUMBER(SEARCH(O1494,4)),ISNUMBER(SEARCH('(4) FCH pathway assessment'!$B$16,AB1494)),ISNUMBER(SEARCH('(4) FCH pathway assessment'!$B$10,AA1494))),AD1494,"")</f>
        <v/>
      </c>
      <c r="AF1494" t="str">
        <f t="shared" si="4569"/>
        <v/>
      </c>
      <c r="AG1494" t="str">
        <f>VLOOKUP(C1494,Assumptions!$B$116:$C$162,2,FALSE)</f>
        <v>BIO_GSF_CCS_MED_C</v>
      </c>
      <c r="AH1494" t="str">
        <f>VLOOKUP(D1494,Assumptions!$B$116:$C$162,2,FALSE)</f>
        <v>C_GAS_STRG</v>
      </c>
      <c r="AI1494" t="str">
        <f>VLOOKUP(E1494,Assumptions!$B$116:$C$162,2,FALSE)</f>
        <v>H2_BLND_NG_P</v>
      </c>
      <c r="AJ1494" t="str">
        <f>VLOOKUP(F1494,Assumptions!$B$116:$C$162,2,FALSE)</f>
        <v>H2_CCGT_PWR</v>
      </c>
    </row>
    <row r="1495" spans="2:36" x14ac:dyDescent="0.25">
      <c r="B1495" t="s">
        <v>117</v>
      </c>
      <c r="C1495" t="s">
        <v>54</v>
      </c>
      <c r="D1495" t="s">
        <v>155</v>
      </c>
      <c r="E1495" t="s">
        <v>122</v>
      </c>
      <c r="F1495" t="s">
        <v>163</v>
      </c>
      <c r="G1495" t="s">
        <v>114</v>
      </c>
      <c r="H1495" t="s">
        <v>433</v>
      </c>
      <c r="I1495" t="s">
        <v>32</v>
      </c>
      <c r="J1495" t="s">
        <v>82</v>
      </c>
      <c r="K1495">
        <f t="shared" si="4682"/>
        <v>0</v>
      </c>
      <c r="L1495">
        <f t="shared" si="4683"/>
        <v>1</v>
      </c>
      <c r="M1495">
        <f t="shared" si="4684"/>
        <v>1</v>
      </c>
      <c r="N1495">
        <f t="shared" si="4685"/>
        <v>0</v>
      </c>
      <c r="O1495">
        <f t="shared" si="4686"/>
        <v>2</v>
      </c>
      <c r="P1495" t="str">
        <f t="shared" si="4687"/>
        <v>Medium centralized biomass gasification w/ CCS-Public acceptability</v>
      </c>
      <c r="Q1495" t="str">
        <f t="shared" si="4688"/>
        <v>Central gas storage-Public acceptability</v>
      </c>
      <c r="R1495" t="str">
        <f t="shared" si="4689"/>
        <v>Hydrogen transmission &amp; distribution pipeline-Public acceptability</v>
      </c>
      <c r="S1495" t="str">
        <f t="shared" si="4690"/>
        <v>Hydrogen turbine (CC)-Public acceptability</v>
      </c>
      <c r="T1495" s="54">
        <f ca="1">VLOOKUP($P1495,'TA database'!$I$8:$J$79,2,FALSE)</f>
        <v>60</v>
      </c>
      <c r="U1495" s="54">
        <f ca="1">VLOOKUP($Q1495,'TA database'!$I$86:$J$105,2,FALSE)</f>
        <v>60</v>
      </c>
      <c r="V1495" s="54">
        <f ca="1">VLOOKUP($R1495,'TA database'!$I$112:$J$139,2,FALSE)</f>
        <v>70</v>
      </c>
      <c r="W1495" s="54">
        <f>IFERROR(VLOOKUP($S1495,'TA database'!$I$146:$J$193,2,FALSE),0)</f>
        <v>0</v>
      </c>
      <c r="X1495" s="54">
        <f ca="1">IFERROR(VLOOKUP($S1495,'TA database'!$I$200:$J$271,2,FALSE),0)</f>
        <v>80</v>
      </c>
      <c r="Y1495" s="59">
        <f t="shared" ca="1" si="4696"/>
        <v>20.16</v>
      </c>
      <c r="Z1495" t="str">
        <f t="shared" si="4692"/>
        <v>BIO_GSF_CCS_MED_C   →   C_GAS_STRG   →   H2_T&amp;D_P   →   H2_CCGT_PWR</v>
      </c>
      <c r="AA1495" t="str">
        <f t="shared" si="4693"/>
        <v>Grid electricity</v>
      </c>
      <c r="AB1495" t="str">
        <f t="shared" si="4694"/>
        <v>Public acceptability</v>
      </c>
      <c r="AC1495">
        <f t="shared" ca="1" si="4695"/>
        <v>20.16</v>
      </c>
      <c r="AD1495">
        <v>1436</v>
      </c>
      <c r="AE1495" t="str">
        <f>IF(AND(ISNUMBER(SEARCH(O1495,4)),ISNUMBER(SEARCH('(4) FCH pathway assessment'!$B$16,AB1495)),ISNUMBER(SEARCH('(4) FCH pathway assessment'!$B$10,AA1495))),AD1495,"")</f>
        <v/>
      </c>
      <c r="AF1495" t="str">
        <f t="shared" si="4569"/>
        <v/>
      </c>
      <c r="AG1495" t="str">
        <f>VLOOKUP(C1495,Assumptions!$B$116:$C$162,2,FALSE)</f>
        <v>BIO_GSF_CCS_MED_C</v>
      </c>
      <c r="AH1495" t="str">
        <f>VLOOKUP(D1495,Assumptions!$B$116:$C$162,2,FALSE)</f>
        <v>C_GAS_STRG</v>
      </c>
      <c r="AI1495" t="str">
        <f>VLOOKUP(E1495,Assumptions!$B$116:$C$162,2,FALSE)</f>
        <v>H2_T&amp;D_P</v>
      </c>
      <c r="AJ1495" t="str">
        <f>VLOOKUP(F1495,Assumptions!$B$116:$C$162,2,FALSE)</f>
        <v>H2_CCGT_PWR</v>
      </c>
    </row>
    <row r="1496" spans="2:36" x14ac:dyDescent="0.25">
      <c r="B1496" t="s">
        <v>117</v>
      </c>
      <c r="C1496" t="s">
        <v>54</v>
      </c>
      <c r="D1496" t="s">
        <v>155</v>
      </c>
      <c r="E1496" t="s">
        <v>116</v>
      </c>
      <c r="F1496" t="s">
        <v>163</v>
      </c>
      <c r="G1496" t="s">
        <v>114</v>
      </c>
      <c r="H1496" t="s">
        <v>433</v>
      </c>
      <c r="I1496" t="s">
        <v>32</v>
      </c>
      <c r="J1496" t="s">
        <v>82</v>
      </c>
      <c r="K1496">
        <f t="shared" si="4682"/>
        <v>0</v>
      </c>
      <c r="L1496">
        <f t="shared" si="4683"/>
        <v>1</v>
      </c>
      <c r="M1496">
        <f t="shared" si="4684"/>
        <v>1</v>
      </c>
      <c r="N1496">
        <f t="shared" si="4685"/>
        <v>0</v>
      </c>
      <c r="O1496">
        <f t="shared" si="4686"/>
        <v>2</v>
      </c>
      <c r="P1496" t="str">
        <f t="shared" si="4687"/>
        <v>Medium centralized biomass gasification w/ CCS-Public acceptability</v>
      </c>
      <c r="Q1496" t="str">
        <f t="shared" si="4688"/>
        <v>Central gas storage-Public acceptability</v>
      </c>
      <c r="R1496" t="str">
        <f t="shared" si="4689"/>
        <v>Liquid hydrogen truck-Public acceptability</v>
      </c>
      <c r="S1496" t="str">
        <f t="shared" si="4690"/>
        <v>Hydrogen turbine (CC)-Public acceptability</v>
      </c>
      <c r="T1496" s="54">
        <f ca="1">VLOOKUP($P1496,'TA database'!$I$8:$J$79,2,FALSE)</f>
        <v>60</v>
      </c>
      <c r="U1496" s="54">
        <f ca="1">VLOOKUP($Q1496,'TA database'!$I$86:$J$105,2,FALSE)</f>
        <v>60</v>
      </c>
      <c r="V1496" s="54">
        <f ca="1">VLOOKUP($R1496,'TA database'!$I$112:$J$139,2,FALSE)</f>
        <v>100</v>
      </c>
      <c r="W1496" s="54">
        <f>IFERROR(VLOOKUP($S1496,'TA database'!$I$146:$J$193,2,FALSE),0)</f>
        <v>0</v>
      </c>
      <c r="X1496" s="54">
        <f ca="1">IFERROR(VLOOKUP($S1496,'TA database'!$I$200:$J$271,2,FALSE),0)</f>
        <v>80</v>
      </c>
      <c r="Y1496" s="59">
        <f t="shared" ca="1" si="4696"/>
        <v>28.8</v>
      </c>
      <c r="Z1496" t="str">
        <f t="shared" si="4692"/>
        <v>BIO_GSF_CCS_MED_C   →   C_GAS_STRG   →   LQ_TRUCK   →   H2_CCGT_PWR</v>
      </c>
      <c r="AA1496" t="str">
        <f t="shared" si="4693"/>
        <v>Grid electricity</v>
      </c>
      <c r="AB1496" t="str">
        <f t="shared" si="4694"/>
        <v>Public acceptability</v>
      </c>
      <c r="AC1496">
        <f t="shared" ca="1" si="4695"/>
        <v>28.8</v>
      </c>
      <c r="AD1496">
        <v>1437</v>
      </c>
      <c r="AE1496" t="str">
        <f>IF(AND(ISNUMBER(SEARCH(O1496,4)),ISNUMBER(SEARCH('(4) FCH pathway assessment'!$B$16,AB1496)),ISNUMBER(SEARCH('(4) FCH pathway assessment'!$B$10,AA1496))),AD1496,"")</f>
        <v/>
      </c>
      <c r="AF1496" t="str">
        <f t="shared" si="4569"/>
        <v/>
      </c>
      <c r="AG1496" t="str">
        <f>VLOOKUP(C1496,Assumptions!$B$116:$C$162,2,FALSE)</f>
        <v>BIO_GSF_CCS_MED_C</v>
      </c>
      <c r="AH1496" t="str">
        <f>VLOOKUP(D1496,Assumptions!$B$116:$C$162,2,FALSE)</f>
        <v>C_GAS_STRG</v>
      </c>
      <c r="AI1496" t="str">
        <f>VLOOKUP(E1496,Assumptions!$B$116:$C$162,2,FALSE)</f>
        <v>LQ_TRUCK</v>
      </c>
      <c r="AJ1496" t="str">
        <f>VLOOKUP(F1496,Assumptions!$B$116:$C$162,2,FALSE)</f>
        <v>H2_CCGT_PWR</v>
      </c>
    </row>
    <row r="1497" spans="2:36" x14ac:dyDescent="0.25">
      <c r="B1497" t="s">
        <v>117</v>
      </c>
      <c r="C1497" t="s">
        <v>54</v>
      </c>
      <c r="D1497" t="s">
        <v>155</v>
      </c>
      <c r="E1497" t="s">
        <v>66</v>
      </c>
      <c r="F1497" t="s">
        <v>163</v>
      </c>
      <c r="G1497" t="s">
        <v>114</v>
      </c>
      <c r="H1497" t="s">
        <v>433</v>
      </c>
      <c r="I1497" t="s">
        <v>32</v>
      </c>
      <c r="J1497" t="s">
        <v>82</v>
      </c>
      <c r="K1497">
        <f t="shared" si="4682"/>
        <v>0</v>
      </c>
      <c r="L1497">
        <f t="shared" si="4683"/>
        <v>1</v>
      </c>
      <c r="M1497">
        <f t="shared" si="4684"/>
        <v>1</v>
      </c>
      <c r="N1497">
        <f t="shared" si="4685"/>
        <v>0</v>
      </c>
      <c r="O1497">
        <f t="shared" si="4686"/>
        <v>2</v>
      </c>
      <c r="P1497" t="str">
        <f t="shared" si="4687"/>
        <v>Medium centralized biomass gasification w/ CCS-Public acceptability</v>
      </c>
      <c r="Q1497" t="str">
        <f t="shared" si="4688"/>
        <v>Central gas storage-Public acceptability</v>
      </c>
      <c r="R1497" t="str">
        <f t="shared" si="4689"/>
        <v>Onsite-Public acceptability</v>
      </c>
      <c r="S1497" t="str">
        <f t="shared" si="4690"/>
        <v>Hydrogen turbine (CC)-Public acceptability</v>
      </c>
      <c r="T1497" s="54">
        <f ca="1">VLOOKUP($P1497,'TA database'!$I$8:$J$79,2,FALSE)</f>
        <v>60</v>
      </c>
      <c r="U1497" s="54">
        <f ca="1">VLOOKUP($Q1497,'TA database'!$I$86:$J$105,2,FALSE)</f>
        <v>60</v>
      </c>
      <c r="V1497" s="54">
        <f ca="1">VLOOKUP($R1497,'TA database'!$I$112:$J$139,2,FALSE)</f>
        <v>90</v>
      </c>
      <c r="W1497" s="54">
        <f>IFERROR(VLOOKUP($S1497,'TA database'!$I$146:$J$193,2,FALSE),0)</f>
        <v>0</v>
      </c>
      <c r="X1497" s="54">
        <f ca="1">IFERROR(VLOOKUP($S1497,'TA database'!$I$200:$J$271,2,FALSE),0)</f>
        <v>80</v>
      </c>
      <c r="Y1497" s="59">
        <f t="shared" ca="1" si="4696"/>
        <v>25.92</v>
      </c>
      <c r="Z1497" t="str">
        <f t="shared" si="4692"/>
        <v>BIO_GSF_CCS_MED_C   →   C_GAS_STRG   →   ONSITE_USE   →   H2_CCGT_PWR</v>
      </c>
      <c r="AA1497" t="str">
        <f t="shared" si="4693"/>
        <v>Grid electricity</v>
      </c>
      <c r="AB1497" t="str">
        <f t="shared" si="4694"/>
        <v>Public acceptability</v>
      </c>
      <c r="AC1497">
        <f t="shared" ca="1" si="4695"/>
        <v>25.92</v>
      </c>
      <c r="AD1497">
        <v>1438</v>
      </c>
      <c r="AE1497" t="str">
        <f>IF(AND(ISNUMBER(SEARCH(O1497,4)),ISNUMBER(SEARCH('(4) FCH pathway assessment'!$B$16,AB1497)),ISNUMBER(SEARCH('(4) FCH pathway assessment'!$B$10,AA1497))),AD1497,"")</f>
        <v/>
      </c>
      <c r="AF1497" t="str">
        <f t="shared" si="4569"/>
        <v/>
      </c>
      <c r="AG1497" t="str">
        <f>VLOOKUP(C1497,Assumptions!$B$116:$C$162,2,FALSE)</f>
        <v>BIO_GSF_CCS_MED_C</v>
      </c>
      <c r="AH1497" t="str">
        <f>VLOOKUP(D1497,Assumptions!$B$116:$C$162,2,FALSE)</f>
        <v>C_GAS_STRG</v>
      </c>
      <c r="AI1497" t="str">
        <f>VLOOKUP(E1497,Assumptions!$B$116:$C$162,2,FALSE)</f>
        <v>ONSITE_USE</v>
      </c>
      <c r="AJ1497" t="str">
        <f>VLOOKUP(F1497,Assumptions!$B$116:$C$162,2,FALSE)</f>
        <v>H2_CCGT_PWR</v>
      </c>
    </row>
    <row r="1498" spans="2:36" x14ac:dyDescent="0.25">
      <c r="B1498" t="s">
        <v>117</v>
      </c>
      <c r="C1498" t="s">
        <v>55</v>
      </c>
      <c r="D1498" s="60" t="s">
        <v>130</v>
      </c>
      <c r="E1498" t="s">
        <v>66</v>
      </c>
      <c r="F1498" t="s">
        <v>163</v>
      </c>
      <c r="G1498" t="s">
        <v>114</v>
      </c>
      <c r="H1498" t="s">
        <v>433</v>
      </c>
      <c r="I1498" t="s">
        <v>32</v>
      </c>
      <c r="J1498" t="s">
        <v>82</v>
      </c>
      <c r="K1498">
        <f t="shared" ref="K1498:K1502" si="4697">SUMPRODUCT(($C$7:$C$18=$C1498)*($D$6:$H$6=$D1498)*($D$7:$H$18))</f>
        <v>0</v>
      </c>
      <c r="L1498">
        <f t="shared" ref="L1498:L1502" si="4698">SUMPRODUCT(($C$19:$C$23=$D1498)*($I$6:$O$6=$E1498)*($I$19:$O$23))</f>
        <v>1</v>
      </c>
      <c r="M1498">
        <f t="shared" ref="M1498:M1502" si="4699">SUMPRODUCT(($C$24:$C$30=$E1498)*($P$6:$AI$6=$F1498)*($P$24:$AI$30))</f>
        <v>1</v>
      </c>
      <c r="N1498">
        <f t="shared" ref="N1498:N1502" si="4700">SUMPRODUCT(($C$31:$C$50=$F1498)*($AJ$6:$AM$6=$G1498)*($AJ$31:$AM$50))</f>
        <v>0</v>
      </c>
      <c r="O1498">
        <f t="shared" ref="O1498:O1502" si="4701">K1498+L1498+M1498+N1498</f>
        <v>2</v>
      </c>
      <c r="P1498" t="str">
        <f t="shared" ref="P1498:P1502" si="4702">CONCATENATE(C1498,"-",J1498)</f>
        <v>Small decentralized biomass gasification-Public acceptability</v>
      </c>
      <c r="Q1498" t="str">
        <f t="shared" ref="Q1498:Q1502" si="4703">CONCATENATE(D1498,"-",J1498)</f>
        <v>Distributed gas storage-Public acceptability</v>
      </c>
      <c r="R1498" t="str">
        <f t="shared" ref="R1498:R1502" si="4704">CONCATENATE(E1498,"-",J1498)</f>
        <v>Onsite-Public acceptability</v>
      </c>
      <c r="S1498" t="str">
        <f t="shared" ref="S1498:S1502" si="4705">CONCATENATE(F1498,"-",J1498)</f>
        <v>Hydrogen turbine (CC)-Public acceptability</v>
      </c>
      <c r="T1498" s="54">
        <f ca="1">VLOOKUP($P1498,'TA database'!$I$8:$J$79,2,FALSE)</f>
        <v>70</v>
      </c>
      <c r="U1498" s="54">
        <f ca="1">VLOOKUP($Q1498,'TA database'!$I$86:$J$105,2,FALSE)</f>
        <v>60</v>
      </c>
      <c r="V1498" s="54">
        <f ca="1">VLOOKUP($R1498,'TA database'!$I$112:$J$139,2,FALSE)</f>
        <v>90</v>
      </c>
      <c r="W1498" s="54">
        <f>IFERROR(VLOOKUP($S1498,'TA database'!$I$146:$J$193,2,FALSE),0)</f>
        <v>0</v>
      </c>
      <c r="X1498" s="54">
        <f ca="1">IFERROR(VLOOKUP($S1498,'TA database'!$I$200:$J$271,2,FALSE),0)</f>
        <v>80</v>
      </c>
      <c r="Y1498" s="59">
        <f t="shared" ref="Y1498:Y1508" ca="1" si="4706">IF($W1498=0,(PRODUCT($T1498:$V1498,$X1498))/1000000,(PRODUCT($T1498:$W1498))/1000000)</f>
        <v>30.24</v>
      </c>
      <c r="Z1498" t="str">
        <f t="shared" ref="Z1498:Z1502" si="4707">CONCATENATE(AG1498,"   →   ",AH1498,"   →   ",AI1498,"   →   ",AJ1498)</f>
        <v>BIO_GSF_SML_D   →   D_GAS_STRG   →   ONSITE_USE   →   H2_CCGT_PWR</v>
      </c>
      <c r="AA1498" t="str">
        <f t="shared" ref="AA1498:AA1502" si="4708">G1498</f>
        <v>Grid electricity</v>
      </c>
      <c r="AB1498" t="str">
        <f t="shared" ref="AB1498:AB1502" si="4709">J1498</f>
        <v>Public acceptability</v>
      </c>
      <c r="AC1498">
        <f t="shared" ref="AC1498:AC1502" ca="1" si="4710">Y1498</f>
        <v>30.24</v>
      </c>
      <c r="AD1498">
        <v>1439</v>
      </c>
      <c r="AE1498" t="str">
        <f>IF(AND(ISNUMBER(SEARCH(O1498,4)),ISNUMBER(SEARCH('(4) FCH pathway assessment'!$B$16,AB1498)),ISNUMBER(SEARCH('(4) FCH pathway assessment'!$B$10,AA1498))),AD1498,"")</f>
        <v/>
      </c>
      <c r="AF1498" t="str">
        <f t="shared" si="4569"/>
        <v/>
      </c>
      <c r="AG1498" t="str">
        <f>VLOOKUP(C1498,Assumptions!$B$116:$C$162,2,FALSE)</f>
        <v>BIO_GSF_SML_D</v>
      </c>
      <c r="AH1498" t="str">
        <f>VLOOKUP(D1498,Assumptions!$B$116:$C$162,2,FALSE)</f>
        <v>D_GAS_STRG</v>
      </c>
      <c r="AI1498" t="str">
        <f>VLOOKUP(E1498,Assumptions!$B$116:$C$162,2,FALSE)</f>
        <v>ONSITE_USE</v>
      </c>
      <c r="AJ1498" t="str">
        <f>VLOOKUP(F1498,Assumptions!$B$116:$C$162,2,FALSE)</f>
        <v>H2_CCGT_PWR</v>
      </c>
    </row>
    <row r="1499" spans="2:36" x14ac:dyDescent="0.25">
      <c r="B1499" t="s">
        <v>117</v>
      </c>
      <c r="C1499" t="s">
        <v>56</v>
      </c>
      <c r="D1499" t="s">
        <v>62</v>
      </c>
      <c r="E1499" t="s">
        <v>157</v>
      </c>
      <c r="F1499" t="s">
        <v>163</v>
      </c>
      <c r="G1499" t="s">
        <v>114</v>
      </c>
      <c r="H1499" t="s">
        <v>433</v>
      </c>
      <c r="I1499" t="s">
        <v>32</v>
      </c>
      <c r="J1499" t="s">
        <v>82</v>
      </c>
      <c r="K1499">
        <f t="shared" si="4697"/>
        <v>0</v>
      </c>
      <c r="L1499">
        <f t="shared" si="4698"/>
        <v>0</v>
      </c>
      <c r="M1499">
        <f t="shared" si="4699"/>
        <v>0</v>
      </c>
      <c r="N1499">
        <f t="shared" si="4700"/>
        <v>0</v>
      </c>
      <c r="O1499">
        <f t="shared" si="4701"/>
        <v>0</v>
      </c>
      <c r="P1499" t="str">
        <f t="shared" si="4702"/>
        <v>Large centralized biomass steam reforming -Public acceptability</v>
      </c>
      <c r="Q1499" t="str">
        <f t="shared" si="4703"/>
        <v>Underground storage-Public acceptability</v>
      </c>
      <c r="R1499" t="str">
        <f t="shared" si="4704"/>
        <v>Blending in natural gas pipeline-Public acceptability</v>
      </c>
      <c r="S1499" t="str">
        <f t="shared" si="4705"/>
        <v>Hydrogen turbine (CC)-Public acceptability</v>
      </c>
      <c r="T1499" s="54">
        <f ca="1">VLOOKUP($P1499,'TA database'!$I$8:$J$79,2,FALSE)</f>
        <v>80</v>
      </c>
      <c r="U1499" s="54">
        <f ca="1">VLOOKUP($Q1499,'TA database'!$I$86:$J$105,2,FALSE)</f>
        <v>60</v>
      </c>
      <c r="V1499" s="54">
        <f ca="1">VLOOKUP($R1499,'TA database'!$I$112:$J$139,2,FALSE)</f>
        <v>90</v>
      </c>
      <c r="W1499" s="54">
        <f>IFERROR(VLOOKUP($S1499,'TA database'!$I$146:$J$193,2,FALSE),0)</f>
        <v>0</v>
      </c>
      <c r="X1499" s="54">
        <f ca="1">IFERROR(VLOOKUP($S1499,'TA database'!$I$200:$J$271,2,FALSE),0)</f>
        <v>80</v>
      </c>
      <c r="Y1499" s="59">
        <f t="shared" ca="1" si="4706"/>
        <v>34.56</v>
      </c>
      <c r="Z1499" t="str">
        <f t="shared" si="4707"/>
        <v>BIO_SR_LRG_C   →   C_UNDRGRND_STRG   →   H2_BLND_NG_P   →   H2_CCGT_PWR</v>
      </c>
      <c r="AA1499" t="str">
        <f t="shared" si="4708"/>
        <v>Grid electricity</v>
      </c>
      <c r="AB1499" t="str">
        <f t="shared" si="4709"/>
        <v>Public acceptability</v>
      </c>
      <c r="AC1499">
        <f t="shared" ca="1" si="4710"/>
        <v>34.56</v>
      </c>
      <c r="AD1499">
        <v>1440</v>
      </c>
      <c r="AE1499" t="str">
        <f>IF(AND(ISNUMBER(SEARCH(O1499,4)),ISNUMBER(SEARCH('(4) FCH pathway assessment'!$B$16,AB1499)),ISNUMBER(SEARCH('(4) FCH pathway assessment'!$B$10,AA1499))),AD1499,"")</f>
        <v/>
      </c>
      <c r="AF1499" t="str">
        <f t="shared" si="4569"/>
        <v/>
      </c>
      <c r="AG1499" t="str">
        <f>VLOOKUP(C1499,Assumptions!$B$116:$C$162,2,FALSE)</f>
        <v>BIO_SR_LRG_C</v>
      </c>
      <c r="AH1499" t="str">
        <f>VLOOKUP(D1499,Assumptions!$B$116:$C$162,2,FALSE)</f>
        <v>C_UNDRGRND_STRG</v>
      </c>
      <c r="AI1499" t="str">
        <f>VLOOKUP(E1499,Assumptions!$B$116:$C$162,2,FALSE)</f>
        <v>H2_BLND_NG_P</v>
      </c>
      <c r="AJ1499" t="str">
        <f>VLOOKUP(F1499,Assumptions!$B$116:$C$162,2,FALSE)</f>
        <v>H2_CCGT_PWR</v>
      </c>
    </row>
    <row r="1500" spans="2:36" x14ac:dyDescent="0.25">
      <c r="B1500" t="s">
        <v>117</v>
      </c>
      <c r="C1500" t="s">
        <v>56</v>
      </c>
      <c r="D1500" t="s">
        <v>62</v>
      </c>
      <c r="E1500" t="s">
        <v>122</v>
      </c>
      <c r="F1500" t="s">
        <v>163</v>
      </c>
      <c r="G1500" t="s">
        <v>114</v>
      </c>
      <c r="H1500" t="s">
        <v>433</v>
      </c>
      <c r="I1500" t="s">
        <v>32</v>
      </c>
      <c r="J1500" t="s">
        <v>82</v>
      </c>
      <c r="K1500">
        <f t="shared" si="4697"/>
        <v>0</v>
      </c>
      <c r="L1500">
        <f t="shared" si="4698"/>
        <v>0</v>
      </c>
      <c r="M1500">
        <f t="shared" si="4699"/>
        <v>1</v>
      </c>
      <c r="N1500">
        <f t="shared" si="4700"/>
        <v>0</v>
      </c>
      <c r="O1500">
        <f t="shared" si="4701"/>
        <v>1</v>
      </c>
      <c r="P1500" t="str">
        <f t="shared" si="4702"/>
        <v>Large centralized biomass steam reforming -Public acceptability</v>
      </c>
      <c r="Q1500" t="str">
        <f t="shared" si="4703"/>
        <v>Underground storage-Public acceptability</v>
      </c>
      <c r="R1500" t="str">
        <f t="shared" si="4704"/>
        <v>Hydrogen transmission &amp; distribution pipeline-Public acceptability</v>
      </c>
      <c r="S1500" t="str">
        <f t="shared" si="4705"/>
        <v>Hydrogen turbine (CC)-Public acceptability</v>
      </c>
      <c r="T1500" s="54">
        <f ca="1">VLOOKUP($P1500,'TA database'!$I$8:$J$79,2,FALSE)</f>
        <v>80</v>
      </c>
      <c r="U1500" s="54">
        <f ca="1">VLOOKUP($Q1500,'TA database'!$I$86:$J$105,2,FALSE)</f>
        <v>60</v>
      </c>
      <c r="V1500" s="54">
        <f ca="1">VLOOKUP($R1500,'TA database'!$I$112:$J$139,2,FALSE)</f>
        <v>70</v>
      </c>
      <c r="W1500" s="54">
        <f>IFERROR(VLOOKUP($S1500,'TA database'!$I$146:$J$193,2,FALSE),0)</f>
        <v>0</v>
      </c>
      <c r="X1500" s="54">
        <f ca="1">IFERROR(VLOOKUP($S1500,'TA database'!$I$200:$J$271,2,FALSE),0)</f>
        <v>80</v>
      </c>
      <c r="Y1500" s="59">
        <f t="shared" ca="1" si="4706"/>
        <v>26.88</v>
      </c>
      <c r="Z1500" t="str">
        <f t="shared" si="4707"/>
        <v>BIO_SR_LRG_C   →   C_UNDRGRND_STRG   →   H2_T&amp;D_P   →   H2_CCGT_PWR</v>
      </c>
      <c r="AA1500" t="str">
        <f t="shared" si="4708"/>
        <v>Grid electricity</v>
      </c>
      <c r="AB1500" t="str">
        <f t="shared" si="4709"/>
        <v>Public acceptability</v>
      </c>
      <c r="AC1500">
        <f t="shared" ca="1" si="4710"/>
        <v>26.88</v>
      </c>
      <c r="AD1500">
        <v>1441</v>
      </c>
      <c r="AE1500" t="str">
        <f>IF(AND(ISNUMBER(SEARCH(O1500,4)),ISNUMBER(SEARCH('(4) FCH pathway assessment'!$B$16,AB1500)),ISNUMBER(SEARCH('(4) FCH pathway assessment'!$B$10,AA1500))),AD1500,"")</f>
        <v/>
      </c>
      <c r="AF1500" t="str">
        <f t="shared" si="4569"/>
        <v/>
      </c>
      <c r="AG1500" t="str">
        <f>VLOOKUP(C1500,Assumptions!$B$116:$C$162,2,FALSE)</f>
        <v>BIO_SR_LRG_C</v>
      </c>
      <c r="AH1500" t="str">
        <f>VLOOKUP(D1500,Assumptions!$B$116:$C$162,2,FALSE)</f>
        <v>C_UNDRGRND_STRG</v>
      </c>
      <c r="AI1500" t="str">
        <f>VLOOKUP(E1500,Assumptions!$B$116:$C$162,2,FALSE)</f>
        <v>H2_T&amp;D_P</v>
      </c>
      <c r="AJ1500" t="str">
        <f>VLOOKUP(F1500,Assumptions!$B$116:$C$162,2,FALSE)</f>
        <v>H2_CCGT_PWR</v>
      </c>
    </row>
    <row r="1501" spans="2:36" x14ac:dyDescent="0.25">
      <c r="B1501" t="s">
        <v>117</v>
      </c>
      <c r="C1501" t="s">
        <v>56</v>
      </c>
      <c r="D1501" t="s">
        <v>62</v>
      </c>
      <c r="E1501" t="s">
        <v>116</v>
      </c>
      <c r="F1501" t="s">
        <v>163</v>
      </c>
      <c r="G1501" t="s">
        <v>114</v>
      </c>
      <c r="H1501" t="s">
        <v>433</v>
      </c>
      <c r="I1501" t="s">
        <v>32</v>
      </c>
      <c r="J1501" t="s">
        <v>82</v>
      </c>
      <c r="K1501">
        <f t="shared" si="4697"/>
        <v>0</v>
      </c>
      <c r="L1501">
        <f t="shared" si="4698"/>
        <v>0</v>
      </c>
      <c r="M1501">
        <f t="shared" si="4699"/>
        <v>1</v>
      </c>
      <c r="N1501">
        <f t="shared" si="4700"/>
        <v>0</v>
      </c>
      <c r="O1501">
        <f t="shared" si="4701"/>
        <v>1</v>
      </c>
      <c r="P1501" t="str">
        <f t="shared" si="4702"/>
        <v>Large centralized biomass steam reforming -Public acceptability</v>
      </c>
      <c r="Q1501" t="str">
        <f t="shared" si="4703"/>
        <v>Underground storage-Public acceptability</v>
      </c>
      <c r="R1501" t="str">
        <f t="shared" si="4704"/>
        <v>Liquid hydrogen truck-Public acceptability</v>
      </c>
      <c r="S1501" t="str">
        <f t="shared" si="4705"/>
        <v>Hydrogen turbine (CC)-Public acceptability</v>
      </c>
      <c r="T1501" s="54">
        <f ca="1">VLOOKUP($P1501,'TA database'!$I$8:$J$79,2,FALSE)</f>
        <v>80</v>
      </c>
      <c r="U1501" s="54">
        <f ca="1">VLOOKUP($Q1501,'TA database'!$I$86:$J$105,2,FALSE)</f>
        <v>60</v>
      </c>
      <c r="V1501" s="54">
        <f ca="1">VLOOKUP($R1501,'TA database'!$I$112:$J$139,2,FALSE)</f>
        <v>100</v>
      </c>
      <c r="W1501" s="54">
        <f>IFERROR(VLOOKUP($S1501,'TA database'!$I$146:$J$193,2,FALSE),0)</f>
        <v>0</v>
      </c>
      <c r="X1501" s="54">
        <f ca="1">IFERROR(VLOOKUP($S1501,'TA database'!$I$200:$J$271,2,FALSE),0)</f>
        <v>80</v>
      </c>
      <c r="Y1501" s="59">
        <f t="shared" ca="1" si="4706"/>
        <v>38.4</v>
      </c>
      <c r="Z1501" t="str">
        <f t="shared" si="4707"/>
        <v>BIO_SR_LRG_C   →   C_UNDRGRND_STRG   →   LQ_TRUCK   →   H2_CCGT_PWR</v>
      </c>
      <c r="AA1501" t="str">
        <f t="shared" si="4708"/>
        <v>Grid electricity</v>
      </c>
      <c r="AB1501" t="str">
        <f t="shared" si="4709"/>
        <v>Public acceptability</v>
      </c>
      <c r="AC1501">
        <f t="shared" ca="1" si="4710"/>
        <v>38.4</v>
      </c>
      <c r="AD1501">
        <v>1442</v>
      </c>
      <c r="AE1501" t="str">
        <f>IF(AND(ISNUMBER(SEARCH(O1501,4)),ISNUMBER(SEARCH('(4) FCH pathway assessment'!$B$16,AB1501)),ISNUMBER(SEARCH('(4) FCH pathway assessment'!$B$10,AA1501))),AD1501,"")</f>
        <v/>
      </c>
      <c r="AF1501" t="str">
        <f t="shared" si="4569"/>
        <v/>
      </c>
      <c r="AG1501" t="str">
        <f>VLOOKUP(C1501,Assumptions!$B$116:$C$162,2,FALSE)</f>
        <v>BIO_SR_LRG_C</v>
      </c>
      <c r="AH1501" t="str">
        <f>VLOOKUP(D1501,Assumptions!$B$116:$C$162,2,FALSE)</f>
        <v>C_UNDRGRND_STRG</v>
      </c>
      <c r="AI1501" t="str">
        <f>VLOOKUP(E1501,Assumptions!$B$116:$C$162,2,FALSE)</f>
        <v>LQ_TRUCK</v>
      </c>
      <c r="AJ1501" t="str">
        <f>VLOOKUP(F1501,Assumptions!$B$116:$C$162,2,FALSE)</f>
        <v>H2_CCGT_PWR</v>
      </c>
    </row>
    <row r="1502" spans="2:36" x14ac:dyDescent="0.25">
      <c r="B1502" t="s">
        <v>117</v>
      </c>
      <c r="C1502" t="s">
        <v>56</v>
      </c>
      <c r="D1502" t="s">
        <v>62</v>
      </c>
      <c r="E1502" t="s">
        <v>66</v>
      </c>
      <c r="F1502" t="s">
        <v>163</v>
      </c>
      <c r="G1502" t="s">
        <v>114</v>
      </c>
      <c r="H1502" t="s">
        <v>433</v>
      </c>
      <c r="I1502" t="s">
        <v>32</v>
      </c>
      <c r="J1502" t="s">
        <v>82</v>
      </c>
      <c r="K1502">
        <f t="shared" si="4697"/>
        <v>0</v>
      </c>
      <c r="L1502">
        <f t="shared" si="4698"/>
        <v>0</v>
      </c>
      <c r="M1502">
        <f t="shared" si="4699"/>
        <v>1</v>
      </c>
      <c r="N1502">
        <f t="shared" si="4700"/>
        <v>0</v>
      </c>
      <c r="O1502">
        <f t="shared" si="4701"/>
        <v>1</v>
      </c>
      <c r="P1502" t="str">
        <f t="shared" si="4702"/>
        <v>Large centralized biomass steam reforming -Public acceptability</v>
      </c>
      <c r="Q1502" t="str">
        <f t="shared" si="4703"/>
        <v>Underground storage-Public acceptability</v>
      </c>
      <c r="R1502" t="str">
        <f t="shared" si="4704"/>
        <v>Onsite-Public acceptability</v>
      </c>
      <c r="S1502" t="str">
        <f t="shared" si="4705"/>
        <v>Hydrogen turbine (CC)-Public acceptability</v>
      </c>
      <c r="T1502" s="54">
        <f ca="1">VLOOKUP($P1502,'TA database'!$I$8:$J$79,2,FALSE)</f>
        <v>80</v>
      </c>
      <c r="U1502" s="54">
        <f ca="1">VLOOKUP($Q1502,'TA database'!$I$86:$J$105,2,FALSE)</f>
        <v>60</v>
      </c>
      <c r="V1502" s="54">
        <f ca="1">VLOOKUP($R1502,'TA database'!$I$112:$J$139,2,FALSE)</f>
        <v>90</v>
      </c>
      <c r="W1502" s="54">
        <f>IFERROR(VLOOKUP($S1502,'TA database'!$I$146:$J$193,2,FALSE),0)</f>
        <v>0</v>
      </c>
      <c r="X1502" s="54">
        <f ca="1">IFERROR(VLOOKUP($S1502,'TA database'!$I$200:$J$271,2,FALSE),0)</f>
        <v>80</v>
      </c>
      <c r="Y1502" s="59">
        <f t="shared" ca="1" si="4706"/>
        <v>34.56</v>
      </c>
      <c r="Z1502" t="str">
        <f t="shared" si="4707"/>
        <v>BIO_SR_LRG_C   →   C_UNDRGRND_STRG   →   ONSITE_USE   →   H2_CCGT_PWR</v>
      </c>
      <c r="AA1502" t="str">
        <f t="shared" si="4708"/>
        <v>Grid electricity</v>
      </c>
      <c r="AB1502" t="str">
        <f t="shared" si="4709"/>
        <v>Public acceptability</v>
      </c>
      <c r="AC1502">
        <f t="shared" ca="1" si="4710"/>
        <v>34.56</v>
      </c>
      <c r="AD1502">
        <v>1443</v>
      </c>
      <c r="AE1502" t="str">
        <f>IF(AND(ISNUMBER(SEARCH(O1502,4)),ISNUMBER(SEARCH('(4) FCH pathway assessment'!$B$16,AB1502)),ISNUMBER(SEARCH('(4) FCH pathway assessment'!$B$10,AA1502))),AD1502,"")</f>
        <v/>
      </c>
      <c r="AF1502" t="str">
        <f t="shared" si="4569"/>
        <v/>
      </c>
      <c r="AG1502" t="str">
        <f>VLOOKUP(C1502,Assumptions!$B$116:$C$162,2,FALSE)</f>
        <v>BIO_SR_LRG_C</v>
      </c>
      <c r="AH1502" t="str">
        <f>VLOOKUP(D1502,Assumptions!$B$116:$C$162,2,FALSE)</f>
        <v>C_UNDRGRND_STRG</v>
      </c>
      <c r="AI1502" t="str">
        <f>VLOOKUP(E1502,Assumptions!$B$116:$C$162,2,FALSE)</f>
        <v>ONSITE_USE</v>
      </c>
      <c r="AJ1502" t="str">
        <f>VLOOKUP(F1502,Assumptions!$B$116:$C$162,2,FALSE)</f>
        <v>H2_CCGT_PWR</v>
      </c>
    </row>
    <row r="1503" spans="2:36" x14ac:dyDescent="0.25">
      <c r="B1503" t="s">
        <v>117</v>
      </c>
      <c r="C1503" t="s">
        <v>56</v>
      </c>
      <c r="D1503" s="61" t="s">
        <v>63</v>
      </c>
      <c r="E1503" t="s">
        <v>122</v>
      </c>
      <c r="F1503" t="s">
        <v>163</v>
      </c>
      <c r="G1503" t="s">
        <v>114</v>
      </c>
      <c r="H1503" t="s">
        <v>433</v>
      </c>
      <c r="I1503" t="s">
        <v>32</v>
      </c>
      <c r="J1503" t="s">
        <v>82</v>
      </c>
      <c r="K1503">
        <f t="shared" ref="K1503:K1511" si="4711">SUMPRODUCT(($C$7:$C$18=$C1503)*($D$6:$H$6=$D1503)*($D$7:$H$18))</f>
        <v>0</v>
      </c>
      <c r="L1503">
        <f t="shared" ref="L1503:L1511" si="4712">SUMPRODUCT(($C$19:$C$23=$D1503)*($I$6:$O$6=$E1503)*($I$19:$O$23))</f>
        <v>1</v>
      </c>
      <c r="M1503">
        <f t="shared" ref="M1503:M1511" si="4713">SUMPRODUCT(($C$24:$C$30=$E1503)*($P$6:$AI$6=$F1503)*($P$24:$AI$30))</f>
        <v>1</v>
      </c>
      <c r="N1503">
        <f t="shared" ref="N1503:N1511" si="4714">SUMPRODUCT(($C$31:$C$50=$F1503)*($AJ$6:$AM$6=$G1503)*($AJ$31:$AM$50))</f>
        <v>0</v>
      </c>
      <c r="O1503">
        <f t="shared" ref="O1503:O1511" si="4715">K1503+L1503+M1503+N1503</f>
        <v>2</v>
      </c>
      <c r="P1503" t="str">
        <f t="shared" ref="P1503:P1511" si="4716">CONCATENATE(C1503,"-",J1503)</f>
        <v>Large centralized biomass steam reforming -Public acceptability</v>
      </c>
      <c r="Q1503" t="str">
        <f t="shared" ref="Q1503:Q1511" si="4717">CONCATENATE(D1503,"-",J1503)</f>
        <v>No storage-Public acceptability</v>
      </c>
      <c r="R1503" t="str">
        <f t="shared" ref="R1503:R1511" si="4718">CONCATENATE(E1503,"-",J1503)</f>
        <v>Hydrogen transmission &amp; distribution pipeline-Public acceptability</v>
      </c>
      <c r="S1503" t="str">
        <f t="shared" ref="S1503:S1511" si="4719">CONCATENATE(F1503,"-",J1503)</f>
        <v>Hydrogen turbine (CC)-Public acceptability</v>
      </c>
      <c r="T1503" s="54">
        <f ca="1">VLOOKUP($P1503,'TA database'!$I$8:$J$79,2,FALSE)</f>
        <v>80</v>
      </c>
      <c r="U1503" s="54">
        <f ca="1">VLOOKUP($Q1503,'TA database'!$I$86:$J$105,2,FALSE)</f>
        <v>100</v>
      </c>
      <c r="V1503" s="54">
        <f ca="1">VLOOKUP($R1503,'TA database'!$I$112:$J$139,2,FALSE)</f>
        <v>70</v>
      </c>
      <c r="W1503" s="54">
        <f>IFERROR(VLOOKUP($S1503,'TA database'!$I$146:$J$193,2,FALSE),0)</f>
        <v>0</v>
      </c>
      <c r="X1503" s="54">
        <f ca="1">IFERROR(VLOOKUP($S1503,'TA database'!$I$200:$J$271,2,FALSE),0)</f>
        <v>80</v>
      </c>
      <c r="Y1503" s="59">
        <f t="shared" ca="1" si="4706"/>
        <v>44.8</v>
      </c>
      <c r="Z1503" t="str">
        <f t="shared" ref="Z1503:Z1511" si="4720">CONCATENATE(AG1503,"   →   ",AH1503,"   →   ",AI1503,"   →   ",AJ1503)</f>
        <v>BIO_SR_LRG_C   →   NO_STRG   →   H2_T&amp;D_P   →   H2_CCGT_PWR</v>
      </c>
      <c r="AA1503" t="str">
        <f t="shared" ref="AA1503:AA1511" si="4721">G1503</f>
        <v>Grid electricity</v>
      </c>
      <c r="AB1503" t="str">
        <f t="shared" ref="AB1503:AB1511" si="4722">J1503</f>
        <v>Public acceptability</v>
      </c>
      <c r="AC1503">
        <f t="shared" ref="AC1503:AC1511" ca="1" si="4723">Y1503</f>
        <v>44.8</v>
      </c>
      <c r="AD1503">
        <v>1444</v>
      </c>
      <c r="AE1503" t="str">
        <f>IF(AND(ISNUMBER(SEARCH(O1503,4)),ISNUMBER(SEARCH('(4) FCH pathway assessment'!$B$16,AB1503)),ISNUMBER(SEARCH('(4) FCH pathway assessment'!$B$10,AA1503))),AD1503,"")</f>
        <v/>
      </c>
      <c r="AF1503" t="str">
        <f t="shared" si="4569"/>
        <v/>
      </c>
      <c r="AG1503" t="str">
        <f>VLOOKUP(C1503,Assumptions!$B$116:$C$162,2,FALSE)</f>
        <v>BIO_SR_LRG_C</v>
      </c>
      <c r="AH1503" t="str">
        <f>VLOOKUP(D1503,Assumptions!$B$116:$C$162,2,FALSE)</f>
        <v>NO_STRG</v>
      </c>
      <c r="AI1503" t="str">
        <f>VLOOKUP(E1503,Assumptions!$B$116:$C$162,2,FALSE)</f>
        <v>H2_T&amp;D_P</v>
      </c>
      <c r="AJ1503" t="str">
        <f>VLOOKUP(F1503,Assumptions!$B$116:$C$162,2,FALSE)</f>
        <v>H2_CCGT_PWR</v>
      </c>
    </row>
    <row r="1504" spans="2:36" x14ac:dyDescent="0.25">
      <c r="B1504" t="s">
        <v>112</v>
      </c>
      <c r="C1504" t="s">
        <v>49</v>
      </c>
      <c r="D1504" t="s">
        <v>62</v>
      </c>
      <c r="E1504" t="s">
        <v>157</v>
      </c>
      <c r="F1504" t="s">
        <v>163</v>
      </c>
      <c r="G1504" t="s">
        <v>114</v>
      </c>
      <c r="H1504" t="s">
        <v>433</v>
      </c>
      <c r="I1504" t="s">
        <v>32</v>
      </c>
      <c r="J1504" t="s">
        <v>82</v>
      </c>
      <c r="K1504">
        <f t="shared" si="4711"/>
        <v>1</v>
      </c>
      <c r="L1504">
        <f t="shared" si="4712"/>
        <v>0</v>
      </c>
      <c r="M1504">
        <f t="shared" si="4713"/>
        <v>0</v>
      </c>
      <c r="N1504">
        <f t="shared" si="4714"/>
        <v>0</v>
      </c>
      <c r="O1504">
        <f t="shared" si="4715"/>
        <v>1</v>
      </c>
      <c r="P1504" t="str">
        <f t="shared" si="4716"/>
        <v>Large centralized electrolysis-Public acceptability</v>
      </c>
      <c r="Q1504" t="str">
        <f t="shared" si="4717"/>
        <v>Underground storage-Public acceptability</v>
      </c>
      <c r="R1504" t="str">
        <f t="shared" si="4718"/>
        <v>Blending in natural gas pipeline-Public acceptability</v>
      </c>
      <c r="S1504" t="str">
        <f t="shared" si="4719"/>
        <v>Hydrogen turbine (CC)-Public acceptability</v>
      </c>
      <c r="T1504" s="54">
        <f ca="1">VLOOKUP($P1504,'TA database'!$I$8:$J$79,2,FALSE)</f>
        <v>80</v>
      </c>
      <c r="U1504" s="54">
        <f ca="1">VLOOKUP($Q1504,'TA database'!$I$86:$J$105,2,FALSE)</f>
        <v>60</v>
      </c>
      <c r="V1504" s="54">
        <f ca="1">VLOOKUP($R1504,'TA database'!$I$112:$J$139,2,FALSE)</f>
        <v>90</v>
      </c>
      <c r="W1504" s="54">
        <f>IFERROR(VLOOKUP($S1504,'TA database'!$I$146:$J$193,2,FALSE),0)</f>
        <v>0</v>
      </c>
      <c r="X1504" s="54">
        <f ca="1">IFERROR(VLOOKUP($S1504,'TA database'!$I$200:$J$271,2,FALSE),0)</f>
        <v>80</v>
      </c>
      <c r="Y1504" s="59">
        <f t="shared" ca="1" si="4706"/>
        <v>34.56</v>
      </c>
      <c r="Z1504" t="str">
        <f t="shared" si="4720"/>
        <v>ELCTRLYZ_LRG_C   →   C_UNDRGRND_STRG   →   H2_BLND_NG_P   →   H2_CCGT_PWR</v>
      </c>
      <c r="AA1504" t="str">
        <f t="shared" si="4721"/>
        <v>Grid electricity</v>
      </c>
      <c r="AB1504" t="str">
        <f t="shared" si="4722"/>
        <v>Public acceptability</v>
      </c>
      <c r="AC1504">
        <f t="shared" ca="1" si="4723"/>
        <v>34.56</v>
      </c>
      <c r="AD1504">
        <v>1445</v>
      </c>
      <c r="AE1504" t="str">
        <f>IF(AND(ISNUMBER(SEARCH(O1504,4)),ISNUMBER(SEARCH('(4) FCH pathway assessment'!$B$16,AB1504)),ISNUMBER(SEARCH('(4) FCH pathway assessment'!$B$10,AA1504))),AD1504,"")</f>
        <v/>
      </c>
      <c r="AF1504" t="str">
        <f t="shared" si="4569"/>
        <v/>
      </c>
      <c r="AG1504" t="str">
        <f>VLOOKUP(C1504,Assumptions!$B$116:$C$162,2,FALSE)</f>
        <v>ELCTRLYZ_LRG_C</v>
      </c>
      <c r="AH1504" t="str">
        <f>VLOOKUP(D1504,Assumptions!$B$116:$C$162,2,FALSE)</f>
        <v>C_UNDRGRND_STRG</v>
      </c>
      <c r="AI1504" t="str">
        <f>VLOOKUP(E1504,Assumptions!$B$116:$C$162,2,FALSE)</f>
        <v>H2_BLND_NG_P</v>
      </c>
      <c r="AJ1504" t="str">
        <f>VLOOKUP(F1504,Assumptions!$B$116:$C$162,2,FALSE)</f>
        <v>H2_CCGT_PWR</v>
      </c>
    </row>
    <row r="1505" spans="2:36" x14ac:dyDescent="0.25">
      <c r="B1505" t="s">
        <v>112</v>
      </c>
      <c r="C1505" t="s">
        <v>49</v>
      </c>
      <c r="D1505" t="s">
        <v>62</v>
      </c>
      <c r="E1505" t="s">
        <v>122</v>
      </c>
      <c r="F1505" t="s">
        <v>163</v>
      </c>
      <c r="G1505" t="s">
        <v>114</v>
      </c>
      <c r="H1505" t="s">
        <v>433</v>
      </c>
      <c r="I1505" t="s">
        <v>32</v>
      </c>
      <c r="J1505" t="s">
        <v>82</v>
      </c>
      <c r="K1505">
        <f t="shared" si="4711"/>
        <v>1</v>
      </c>
      <c r="L1505">
        <f t="shared" si="4712"/>
        <v>0</v>
      </c>
      <c r="M1505">
        <f t="shared" si="4713"/>
        <v>1</v>
      </c>
      <c r="N1505">
        <f t="shared" si="4714"/>
        <v>0</v>
      </c>
      <c r="O1505">
        <f t="shared" si="4715"/>
        <v>2</v>
      </c>
      <c r="P1505" t="str">
        <f t="shared" si="4716"/>
        <v>Large centralized electrolysis-Public acceptability</v>
      </c>
      <c r="Q1505" t="str">
        <f t="shared" si="4717"/>
        <v>Underground storage-Public acceptability</v>
      </c>
      <c r="R1505" t="str">
        <f t="shared" si="4718"/>
        <v>Hydrogen transmission &amp; distribution pipeline-Public acceptability</v>
      </c>
      <c r="S1505" t="str">
        <f t="shared" si="4719"/>
        <v>Hydrogen turbine (CC)-Public acceptability</v>
      </c>
      <c r="T1505" s="54">
        <f ca="1">VLOOKUP($P1505,'TA database'!$I$8:$J$79,2,FALSE)</f>
        <v>80</v>
      </c>
      <c r="U1505" s="54">
        <f ca="1">VLOOKUP($Q1505,'TA database'!$I$86:$J$105,2,FALSE)</f>
        <v>60</v>
      </c>
      <c r="V1505" s="54">
        <f ca="1">VLOOKUP($R1505,'TA database'!$I$112:$J$139,2,FALSE)</f>
        <v>70</v>
      </c>
      <c r="W1505" s="54">
        <f>IFERROR(VLOOKUP($S1505,'TA database'!$I$146:$J$193,2,FALSE),0)</f>
        <v>0</v>
      </c>
      <c r="X1505" s="54">
        <f ca="1">IFERROR(VLOOKUP($S1505,'TA database'!$I$200:$J$271,2,FALSE),0)</f>
        <v>80</v>
      </c>
      <c r="Y1505" s="59">
        <f t="shared" ca="1" si="4706"/>
        <v>26.88</v>
      </c>
      <c r="Z1505" t="str">
        <f t="shared" si="4720"/>
        <v>ELCTRLYZ_LRG_C   →   C_UNDRGRND_STRG   →   H2_T&amp;D_P   →   H2_CCGT_PWR</v>
      </c>
      <c r="AA1505" t="str">
        <f t="shared" si="4721"/>
        <v>Grid electricity</v>
      </c>
      <c r="AB1505" t="str">
        <f t="shared" si="4722"/>
        <v>Public acceptability</v>
      </c>
      <c r="AC1505">
        <f t="shared" ca="1" si="4723"/>
        <v>26.88</v>
      </c>
      <c r="AD1505">
        <v>1446</v>
      </c>
      <c r="AE1505" t="str">
        <f>IF(AND(ISNUMBER(SEARCH(O1505,4)),ISNUMBER(SEARCH('(4) FCH pathway assessment'!$B$16,AB1505)),ISNUMBER(SEARCH('(4) FCH pathway assessment'!$B$10,AA1505))),AD1505,"")</f>
        <v/>
      </c>
      <c r="AF1505" t="str">
        <f t="shared" si="4569"/>
        <v/>
      </c>
      <c r="AG1505" t="str">
        <f>VLOOKUP(C1505,Assumptions!$B$116:$C$162,2,FALSE)</f>
        <v>ELCTRLYZ_LRG_C</v>
      </c>
      <c r="AH1505" t="str">
        <f>VLOOKUP(D1505,Assumptions!$B$116:$C$162,2,FALSE)</f>
        <v>C_UNDRGRND_STRG</v>
      </c>
      <c r="AI1505" t="str">
        <f>VLOOKUP(E1505,Assumptions!$B$116:$C$162,2,FALSE)</f>
        <v>H2_T&amp;D_P</v>
      </c>
      <c r="AJ1505" t="str">
        <f>VLOOKUP(F1505,Assumptions!$B$116:$C$162,2,FALSE)</f>
        <v>H2_CCGT_PWR</v>
      </c>
    </row>
    <row r="1506" spans="2:36" x14ac:dyDescent="0.25">
      <c r="B1506" t="s">
        <v>112</v>
      </c>
      <c r="C1506" t="s">
        <v>49</v>
      </c>
      <c r="D1506" t="s">
        <v>62</v>
      </c>
      <c r="E1506" t="s">
        <v>116</v>
      </c>
      <c r="F1506" t="s">
        <v>163</v>
      </c>
      <c r="G1506" t="s">
        <v>114</v>
      </c>
      <c r="H1506" t="s">
        <v>433</v>
      </c>
      <c r="I1506" t="s">
        <v>32</v>
      </c>
      <c r="J1506" t="s">
        <v>82</v>
      </c>
      <c r="K1506">
        <f t="shared" si="4711"/>
        <v>1</v>
      </c>
      <c r="L1506">
        <f t="shared" si="4712"/>
        <v>0</v>
      </c>
      <c r="M1506">
        <f t="shared" si="4713"/>
        <v>1</v>
      </c>
      <c r="N1506">
        <f t="shared" si="4714"/>
        <v>0</v>
      </c>
      <c r="O1506">
        <f t="shared" si="4715"/>
        <v>2</v>
      </c>
      <c r="P1506" t="str">
        <f t="shared" si="4716"/>
        <v>Large centralized electrolysis-Public acceptability</v>
      </c>
      <c r="Q1506" t="str">
        <f t="shared" si="4717"/>
        <v>Underground storage-Public acceptability</v>
      </c>
      <c r="R1506" t="str">
        <f t="shared" si="4718"/>
        <v>Liquid hydrogen truck-Public acceptability</v>
      </c>
      <c r="S1506" t="str">
        <f t="shared" si="4719"/>
        <v>Hydrogen turbine (CC)-Public acceptability</v>
      </c>
      <c r="T1506" s="54">
        <f ca="1">VLOOKUP($P1506,'TA database'!$I$8:$J$79,2,FALSE)</f>
        <v>80</v>
      </c>
      <c r="U1506" s="54">
        <f ca="1">VLOOKUP($Q1506,'TA database'!$I$86:$J$105,2,FALSE)</f>
        <v>60</v>
      </c>
      <c r="V1506" s="54">
        <f ca="1">VLOOKUP($R1506,'TA database'!$I$112:$J$139,2,FALSE)</f>
        <v>100</v>
      </c>
      <c r="W1506" s="54">
        <f>IFERROR(VLOOKUP($S1506,'TA database'!$I$146:$J$193,2,FALSE),0)</f>
        <v>0</v>
      </c>
      <c r="X1506" s="54">
        <f ca="1">IFERROR(VLOOKUP($S1506,'TA database'!$I$200:$J$271,2,FALSE),0)</f>
        <v>80</v>
      </c>
      <c r="Y1506" s="59">
        <f t="shared" ca="1" si="4706"/>
        <v>38.4</v>
      </c>
      <c r="Z1506" t="str">
        <f t="shared" si="4720"/>
        <v>ELCTRLYZ_LRG_C   →   C_UNDRGRND_STRG   →   LQ_TRUCK   →   H2_CCGT_PWR</v>
      </c>
      <c r="AA1506" t="str">
        <f t="shared" si="4721"/>
        <v>Grid electricity</v>
      </c>
      <c r="AB1506" t="str">
        <f t="shared" si="4722"/>
        <v>Public acceptability</v>
      </c>
      <c r="AC1506">
        <f t="shared" ca="1" si="4723"/>
        <v>38.4</v>
      </c>
      <c r="AD1506">
        <v>1447</v>
      </c>
      <c r="AE1506" t="str">
        <f>IF(AND(ISNUMBER(SEARCH(O1506,4)),ISNUMBER(SEARCH('(4) FCH pathway assessment'!$B$16,AB1506)),ISNUMBER(SEARCH('(4) FCH pathway assessment'!$B$10,AA1506))),AD1506,"")</f>
        <v/>
      </c>
      <c r="AF1506" t="str">
        <f t="shared" si="4569"/>
        <v/>
      </c>
      <c r="AG1506" t="str">
        <f>VLOOKUP(C1506,Assumptions!$B$116:$C$162,2,FALSE)</f>
        <v>ELCTRLYZ_LRG_C</v>
      </c>
      <c r="AH1506" t="str">
        <f>VLOOKUP(D1506,Assumptions!$B$116:$C$162,2,FALSE)</f>
        <v>C_UNDRGRND_STRG</v>
      </c>
      <c r="AI1506" t="str">
        <f>VLOOKUP(E1506,Assumptions!$B$116:$C$162,2,FALSE)</f>
        <v>LQ_TRUCK</v>
      </c>
      <c r="AJ1506" t="str">
        <f>VLOOKUP(F1506,Assumptions!$B$116:$C$162,2,FALSE)</f>
        <v>H2_CCGT_PWR</v>
      </c>
    </row>
    <row r="1507" spans="2:36" x14ac:dyDescent="0.25">
      <c r="B1507" t="s">
        <v>112</v>
      </c>
      <c r="C1507" t="s">
        <v>49</v>
      </c>
      <c r="D1507" t="s">
        <v>62</v>
      </c>
      <c r="E1507" t="s">
        <v>66</v>
      </c>
      <c r="F1507" t="s">
        <v>163</v>
      </c>
      <c r="G1507" t="s">
        <v>114</v>
      </c>
      <c r="H1507" t="s">
        <v>433</v>
      </c>
      <c r="I1507" t="s">
        <v>32</v>
      </c>
      <c r="J1507" t="s">
        <v>82</v>
      </c>
      <c r="K1507">
        <f t="shared" si="4711"/>
        <v>1</v>
      </c>
      <c r="L1507">
        <f t="shared" si="4712"/>
        <v>0</v>
      </c>
      <c r="M1507">
        <f t="shared" si="4713"/>
        <v>1</v>
      </c>
      <c r="N1507">
        <f t="shared" si="4714"/>
        <v>0</v>
      </c>
      <c r="O1507">
        <f t="shared" si="4715"/>
        <v>2</v>
      </c>
      <c r="P1507" t="str">
        <f t="shared" si="4716"/>
        <v>Large centralized electrolysis-Public acceptability</v>
      </c>
      <c r="Q1507" t="str">
        <f t="shared" si="4717"/>
        <v>Underground storage-Public acceptability</v>
      </c>
      <c r="R1507" t="str">
        <f t="shared" si="4718"/>
        <v>Onsite-Public acceptability</v>
      </c>
      <c r="S1507" t="str">
        <f t="shared" si="4719"/>
        <v>Hydrogen turbine (CC)-Public acceptability</v>
      </c>
      <c r="T1507" s="54">
        <f ca="1">VLOOKUP($P1507,'TA database'!$I$8:$J$79,2,FALSE)</f>
        <v>80</v>
      </c>
      <c r="U1507" s="54">
        <f ca="1">VLOOKUP($Q1507,'TA database'!$I$86:$J$105,2,FALSE)</f>
        <v>60</v>
      </c>
      <c r="V1507" s="54">
        <f ca="1">VLOOKUP($R1507,'TA database'!$I$112:$J$139,2,FALSE)</f>
        <v>90</v>
      </c>
      <c r="W1507" s="54">
        <f>IFERROR(VLOOKUP($S1507,'TA database'!$I$146:$J$193,2,FALSE),0)</f>
        <v>0</v>
      </c>
      <c r="X1507" s="54">
        <f ca="1">IFERROR(VLOOKUP($S1507,'TA database'!$I$200:$J$271,2,FALSE),0)</f>
        <v>80</v>
      </c>
      <c r="Y1507" s="59">
        <f t="shared" ca="1" si="4706"/>
        <v>34.56</v>
      </c>
      <c r="Z1507" t="str">
        <f t="shared" si="4720"/>
        <v>ELCTRLYZ_LRG_C   →   C_UNDRGRND_STRG   →   ONSITE_USE   →   H2_CCGT_PWR</v>
      </c>
      <c r="AA1507" t="str">
        <f t="shared" si="4721"/>
        <v>Grid electricity</v>
      </c>
      <c r="AB1507" t="str">
        <f t="shared" si="4722"/>
        <v>Public acceptability</v>
      </c>
      <c r="AC1507">
        <f t="shared" ca="1" si="4723"/>
        <v>34.56</v>
      </c>
      <c r="AD1507">
        <v>1448</v>
      </c>
      <c r="AE1507" t="str">
        <f>IF(AND(ISNUMBER(SEARCH(O1507,4)),ISNUMBER(SEARCH('(4) FCH pathway assessment'!$B$16,AB1507)),ISNUMBER(SEARCH('(4) FCH pathway assessment'!$B$10,AA1507))),AD1507,"")</f>
        <v/>
      </c>
      <c r="AF1507" t="str">
        <f t="shared" si="4569"/>
        <v/>
      </c>
      <c r="AG1507" t="str">
        <f>VLOOKUP(C1507,Assumptions!$B$116:$C$162,2,FALSE)</f>
        <v>ELCTRLYZ_LRG_C</v>
      </c>
      <c r="AH1507" t="str">
        <f>VLOOKUP(D1507,Assumptions!$B$116:$C$162,2,FALSE)</f>
        <v>C_UNDRGRND_STRG</v>
      </c>
      <c r="AI1507" t="str">
        <f>VLOOKUP(E1507,Assumptions!$B$116:$C$162,2,FALSE)</f>
        <v>ONSITE_USE</v>
      </c>
      <c r="AJ1507" t="str">
        <f>VLOOKUP(F1507,Assumptions!$B$116:$C$162,2,FALSE)</f>
        <v>H2_CCGT_PWR</v>
      </c>
    </row>
    <row r="1508" spans="2:36" x14ac:dyDescent="0.25">
      <c r="B1508" t="s">
        <v>112</v>
      </c>
      <c r="C1508" t="s">
        <v>49</v>
      </c>
      <c r="D1508" t="s">
        <v>155</v>
      </c>
      <c r="E1508" t="s">
        <v>157</v>
      </c>
      <c r="F1508" t="s">
        <v>163</v>
      </c>
      <c r="G1508" t="s">
        <v>114</v>
      </c>
      <c r="H1508" t="s">
        <v>433</v>
      </c>
      <c r="I1508" t="s">
        <v>32</v>
      </c>
      <c r="J1508" t="s">
        <v>82</v>
      </c>
      <c r="K1508">
        <f t="shared" si="4711"/>
        <v>1</v>
      </c>
      <c r="L1508">
        <f t="shared" si="4712"/>
        <v>1</v>
      </c>
      <c r="M1508">
        <f t="shared" si="4713"/>
        <v>0</v>
      </c>
      <c r="N1508">
        <f t="shared" si="4714"/>
        <v>0</v>
      </c>
      <c r="O1508">
        <f t="shared" si="4715"/>
        <v>2</v>
      </c>
      <c r="P1508" t="str">
        <f t="shared" si="4716"/>
        <v>Large centralized electrolysis-Public acceptability</v>
      </c>
      <c r="Q1508" t="str">
        <f t="shared" si="4717"/>
        <v>Central gas storage-Public acceptability</v>
      </c>
      <c r="R1508" t="str">
        <f t="shared" si="4718"/>
        <v>Blending in natural gas pipeline-Public acceptability</v>
      </c>
      <c r="S1508" t="str">
        <f t="shared" si="4719"/>
        <v>Hydrogen turbine (CC)-Public acceptability</v>
      </c>
      <c r="T1508" s="54">
        <f ca="1">VLOOKUP($P1508,'TA database'!$I$8:$J$79,2,FALSE)</f>
        <v>80</v>
      </c>
      <c r="U1508" s="54">
        <f ca="1">VLOOKUP($Q1508,'TA database'!$I$86:$J$105,2,FALSE)</f>
        <v>60</v>
      </c>
      <c r="V1508" s="54">
        <f ca="1">VLOOKUP($R1508,'TA database'!$I$112:$J$139,2,FALSE)</f>
        <v>90</v>
      </c>
      <c r="W1508" s="54">
        <f>IFERROR(VLOOKUP($S1508,'TA database'!$I$146:$J$193,2,FALSE),0)</f>
        <v>0</v>
      </c>
      <c r="X1508" s="54">
        <f ca="1">IFERROR(VLOOKUP($S1508,'TA database'!$I$200:$J$271,2,FALSE),0)</f>
        <v>80</v>
      </c>
      <c r="Y1508" s="59">
        <f t="shared" ca="1" si="4706"/>
        <v>34.56</v>
      </c>
      <c r="Z1508" t="str">
        <f t="shared" si="4720"/>
        <v>ELCTRLYZ_LRG_C   →   C_GAS_STRG   →   H2_BLND_NG_P   →   H2_CCGT_PWR</v>
      </c>
      <c r="AA1508" t="str">
        <f t="shared" si="4721"/>
        <v>Grid electricity</v>
      </c>
      <c r="AB1508" t="str">
        <f t="shared" si="4722"/>
        <v>Public acceptability</v>
      </c>
      <c r="AC1508">
        <f t="shared" ca="1" si="4723"/>
        <v>34.56</v>
      </c>
      <c r="AD1508">
        <v>1449</v>
      </c>
      <c r="AE1508" t="str">
        <f>IF(AND(ISNUMBER(SEARCH(O1508,4)),ISNUMBER(SEARCH('(4) FCH pathway assessment'!$B$16,AB1508)),ISNUMBER(SEARCH('(4) FCH pathway assessment'!$B$10,AA1508))),AD1508,"")</f>
        <v/>
      </c>
      <c r="AF1508" t="str">
        <f t="shared" si="4569"/>
        <v/>
      </c>
      <c r="AG1508" t="str">
        <f>VLOOKUP(C1508,Assumptions!$B$116:$C$162,2,FALSE)</f>
        <v>ELCTRLYZ_LRG_C</v>
      </c>
      <c r="AH1508" t="str">
        <f>VLOOKUP(D1508,Assumptions!$B$116:$C$162,2,FALSE)</f>
        <v>C_GAS_STRG</v>
      </c>
      <c r="AI1508" t="str">
        <f>VLOOKUP(E1508,Assumptions!$B$116:$C$162,2,FALSE)</f>
        <v>H2_BLND_NG_P</v>
      </c>
      <c r="AJ1508" t="str">
        <f>VLOOKUP(F1508,Assumptions!$B$116:$C$162,2,FALSE)</f>
        <v>H2_CCGT_PWR</v>
      </c>
    </row>
    <row r="1509" spans="2:36" x14ac:dyDescent="0.25">
      <c r="B1509" t="s">
        <v>112</v>
      </c>
      <c r="C1509" t="s">
        <v>49</v>
      </c>
      <c r="D1509" t="s">
        <v>155</v>
      </c>
      <c r="E1509" t="s">
        <v>122</v>
      </c>
      <c r="F1509" t="s">
        <v>163</v>
      </c>
      <c r="G1509" t="s">
        <v>114</v>
      </c>
      <c r="H1509" t="s">
        <v>433</v>
      </c>
      <c r="I1509" t="s">
        <v>32</v>
      </c>
      <c r="J1509" t="s">
        <v>82</v>
      </c>
      <c r="K1509">
        <f t="shared" si="4711"/>
        <v>1</v>
      </c>
      <c r="L1509">
        <f t="shared" si="4712"/>
        <v>1</v>
      </c>
      <c r="M1509">
        <f t="shared" si="4713"/>
        <v>1</v>
      </c>
      <c r="N1509">
        <f t="shared" si="4714"/>
        <v>0</v>
      </c>
      <c r="O1509">
        <f t="shared" si="4715"/>
        <v>3</v>
      </c>
      <c r="P1509" t="str">
        <f t="shared" si="4716"/>
        <v>Large centralized electrolysis-Public acceptability</v>
      </c>
      <c r="Q1509" t="str">
        <f t="shared" si="4717"/>
        <v>Central gas storage-Public acceptability</v>
      </c>
      <c r="R1509" t="str">
        <f t="shared" si="4718"/>
        <v>Hydrogen transmission &amp; distribution pipeline-Public acceptability</v>
      </c>
      <c r="S1509" t="str">
        <f t="shared" si="4719"/>
        <v>Hydrogen turbine (CC)-Public acceptability</v>
      </c>
      <c r="T1509" s="54">
        <f ca="1">VLOOKUP($P1509,'TA database'!$I$8:$J$79,2,FALSE)</f>
        <v>80</v>
      </c>
      <c r="U1509" s="54">
        <f ca="1">VLOOKUP($Q1509,'TA database'!$I$86:$J$105,2,FALSE)</f>
        <v>60</v>
      </c>
      <c r="V1509" s="54">
        <f ca="1">VLOOKUP($R1509,'TA database'!$I$112:$J$139,2,FALSE)</f>
        <v>70</v>
      </c>
      <c r="W1509" s="54">
        <f>IFERROR(VLOOKUP($S1509,'TA database'!$I$146:$J$193,2,FALSE),0)</f>
        <v>0</v>
      </c>
      <c r="X1509" s="54">
        <f ca="1">IFERROR(VLOOKUP($S1509,'TA database'!$I$200:$J$271,2,FALSE),0)</f>
        <v>80</v>
      </c>
      <c r="Y1509" s="59">
        <f t="shared" ref="Y1509:Y1515" ca="1" si="4724">IF($W1509=0,(PRODUCT($T1509:$V1509,$X1509))/1000000,(PRODUCT($T1509:$W1509))/1000000)</f>
        <v>26.88</v>
      </c>
      <c r="Z1509" t="str">
        <f t="shared" si="4720"/>
        <v>ELCTRLYZ_LRG_C   →   C_GAS_STRG   →   H2_T&amp;D_P   →   H2_CCGT_PWR</v>
      </c>
      <c r="AA1509" t="str">
        <f t="shared" si="4721"/>
        <v>Grid electricity</v>
      </c>
      <c r="AB1509" t="str">
        <f t="shared" si="4722"/>
        <v>Public acceptability</v>
      </c>
      <c r="AC1509">
        <f t="shared" ca="1" si="4723"/>
        <v>26.88</v>
      </c>
      <c r="AD1509">
        <v>1450</v>
      </c>
      <c r="AE1509" t="str">
        <f>IF(AND(ISNUMBER(SEARCH(O1509,4)),ISNUMBER(SEARCH('(4) FCH pathway assessment'!$B$16,AB1509)),ISNUMBER(SEARCH('(4) FCH pathway assessment'!$B$10,AA1509))),AD1509,"")</f>
        <v/>
      </c>
      <c r="AF1509" t="str">
        <f t="shared" si="4569"/>
        <v/>
      </c>
      <c r="AG1509" t="str">
        <f>VLOOKUP(C1509,Assumptions!$B$116:$C$162,2,FALSE)</f>
        <v>ELCTRLYZ_LRG_C</v>
      </c>
      <c r="AH1509" t="str">
        <f>VLOOKUP(D1509,Assumptions!$B$116:$C$162,2,FALSE)</f>
        <v>C_GAS_STRG</v>
      </c>
      <c r="AI1509" t="str">
        <f>VLOOKUP(E1509,Assumptions!$B$116:$C$162,2,FALSE)</f>
        <v>H2_T&amp;D_P</v>
      </c>
      <c r="AJ1509" t="str">
        <f>VLOOKUP(F1509,Assumptions!$B$116:$C$162,2,FALSE)</f>
        <v>H2_CCGT_PWR</v>
      </c>
    </row>
    <row r="1510" spans="2:36" x14ac:dyDescent="0.25">
      <c r="B1510" t="s">
        <v>112</v>
      </c>
      <c r="C1510" t="s">
        <v>49</v>
      </c>
      <c r="D1510" t="s">
        <v>155</v>
      </c>
      <c r="E1510" t="s">
        <v>116</v>
      </c>
      <c r="F1510" t="s">
        <v>163</v>
      </c>
      <c r="G1510" t="s">
        <v>114</v>
      </c>
      <c r="H1510" t="s">
        <v>433</v>
      </c>
      <c r="I1510" t="s">
        <v>32</v>
      </c>
      <c r="J1510" t="s">
        <v>82</v>
      </c>
      <c r="K1510">
        <f t="shared" si="4711"/>
        <v>1</v>
      </c>
      <c r="L1510">
        <f t="shared" si="4712"/>
        <v>1</v>
      </c>
      <c r="M1510">
        <f t="shared" si="4713"/>
        <v>1</v>
      </c>
      <c r="N1510">
        <f t="shared" si="4714"/>
        <v>0</v>
      </c>
      <c r="O1510">
        <f t="shared" si="4715"/>
        <v>3</v>
      </c>
      <c r="P1510" t="str">
        <f t="shared" si="4716"/>
        <v>Large centralized electrolysis-Public acceptability</v>
      </c>
      <c r="Q1510" t="str">
        <f t="shared" si="4717"/>
        <v>Central gas storage-Public acceptability</v>
      </c>
      <c r="R1510" t="str">
        <f t="shared" si="4718"/>
        <v>Liquid hydrogen truck-Public acceptability</v>
      </c>
      <c r="S1510" t="str">
        <f t="shared" si="4719"/>
        <v>Hydrogen turbine (CC)-Public acceptability</v>
      </c>
      <c r="T1510" s="54">
        <f ca="1">VLOOKUP($P1510,'TA database'!$I$8:$J$79,2,FALSE)</f>
        <v>80</v>
      </c>
      <c r="U1510" s="54">
        <f ca="1">VLOOKUP($Q1510,'TA database'!$I$86:$J$105,2,FALSE)</f>
        <v>60</v>
      </c>
      <c r="V1510" s="54">
        <f ca="1">VLOOKUP($R1510,'TA database'!$I$112:$J$139,2,FALSE)</f>
        <v>100</v>
      </c>
      <c r="W1510" s="54">
        <f>IFERROR(VLOOKUP($S1510,'TA database'!$I$146:$J$193,2,FALSE),0)</f>
        <v>0</v>
      </c>
      <c r="X1510" s="54">
        <f ca="1">IFERROR(VLOOKUP($S1510,'TA database'!$I$200:$J$271,2,FALSE),0)</f>
        <v>80</v>
      </c>
      <c r="Y1510" s="59">
        <f t="shared" ca="1" si="4724"/>
        <v>38.4</v>
      </c>
      <c r="Z1510" t="str">
        <f t="shared" si="4720"/>
        <v>ELCTRLYZ_LRG_C   →   C_GAS_STRG   →   LQ_TRUCK   →   H2_CCGT_PWR</v>
      </c>
      <c r="AA1510" t="str">
        <f t="shared" si="4721"/>
        <v>Grid electricity</v>
      </c>
      <c r="AB1510" t="str">
        <f t="shared" si="4722"/>
        <v>Public acceptability</v>
      </c>
      <c r="AC1510">
        <f t="shared" ca="1" si="4723"/>
        <v>38.4</v>
      </c>
      <c r="AD1510">
        <v>1451</v>
      </c>
      <c r="AE1510" t="str">
        <f>IF(AND(ISNUMBER(SEARCH(O1510,4)),ISNUMBER(SEARCH('(4) FCH pathway assessment'!$B$16,AB1510)),ISNUMBER(SEARCH('(4) FCH pathway assessment'!$B$10,AA1510))),AD1510,"")</f>
        <v/>
      </c>
      <c r="AF1510" t="str">
        <f t="shared" si="4569"/>
        <v/>
      </c>
      <c r="AG1510" t="str">
        <f>VLOOKUP(C1510,Assumptions!$B$116:$C$162,2,FALSE)</f>
        <v>ELCTRLYZ_LRG_C</v>
      </c>
      <c r="AH1510" t="str">
        <f>VLOOKUP(D1510,Assumptions!$B$116:$C$162,2,FALSE)</f>
        <v>C_GAS_STRG</v>
      </c>
      <c r="AI1510" t="str">
        <f>VLOOKUP(E1510,Assumptions!$B$116:$C$162,2,FALSE)</f>
        <v>LQ_TRUCK</v>
      </c>
      <c r="AJ1510" t="str">
        <f>VLOOKUP(F1510,Assumptions!$B$116:$C$162,2,FALSE)</f>
        <v>H2_CCGT_PWR</v>
      </c>
    </row>
    <row r="1511" spans="2:36" x14ac:dyDescent="0.25">
      <c r="B1511" t="s">
        <v>112</v>
      </c>
      <c r="C1511" t="s">
        <v>49</v>
      </c>
      <c r="D1511" t="s">
        <v>155</v>
      </c>
      <c r="E1511" t="s">
        <v>66</v>
      </c>
      <c r="F1511" t="s">
        <v>163</v>
      </c>
      <c r="G1511" t="s">
        <v>114</v>
      </c>
      <c r="H1511" t="s">
        <v>433</v>
      </c>
      <c r="I1511" t="s">
        <v>32</v>
      </c>
      <c r="J1511" t="s">
        <v>82</v>
      </c>
      <c r="K1511">
        <f t="shared" si="4711"/>
        <v>1</v>
      </c>
      <c r="L1511">
        <f t="shared" si="4712"/>
        <v>1</v>
      </c>
      <c r="M1511">
        <f t="shared" si="4713"/>
        <v>1</v>
      </c>
      <c r="N1511">
        <f t="shared" si="4714"/>
        <v>0</v>
      </c>
      <c r="O1511">
        <f t="shared" si="4715"/>
        <v>3</v>
      </c>
      <c r="P1511" t="str">
        <f t="shared" si="4716"/>
        <v>Large centralized electrolysis-Public acceptability</v>
      </c>
      <c r="Q1511" t="str">
        <f t="shared" si="4717"/>
        <v>Central gas storage-Public acceptability</v>
      </c>
      <c r="R1511" t="str">
        <f t="shared" si="4718"/>
        <v>Onsite-Public acceptability</v>
      </c>
      <c r="S1511" t="str">
        <f t="shared" si="4719"/>
        <v>Hydrogen turbine (CC)-Public acceptability</v>
      </c>
      <c r="T1511" s="54">
        <f ca="1">VLOOKUP($P1511,'TA database'!$I$8:$J$79,2,FALSE)</f>
        <v>80</v>
      </c>
      <c r="U1511" s="54">
        <f ca="1">VLOOKUP($Q1511,'TA database'!$I$86:$J$105,2,FALSE)</f>
        <v>60</v>
      </c>
      <c r="V1511" s="54">
        <f ca="1">VLOOKUP($R1511,'TA database'!$I$112:$J$139,2,FALSE)</f>
        <v>90</v>
      </c>
      <c r="W1511" s="54">
        <f>IFERROR(VLOOKUP($S1511,'TA database'!$I$146:$J$193,2,FALSE),0)</f>
        <v>0</v>
      </c>
      <c r="X1511" s="54">
        <f ca="1">IFERROR(VLOOKUP($S1511,'TA database'!$I$200:$J$271,2,FALSE),0)</f>
        <v>80</v>
      </c>
      <c r="Y1511" s="59">
        <f t="shared" ca="1" si="4724"/>
        <v>34.56</v>
      </c>
      <c r="Z1511" t="str">
        <f t="shared" si="4720"/>
        <v>ELCTRLYZ_LRG_C   →   C_GAS_STRG   →   ONSITE_USE   →   H2_CCGT_PWR</v>
      </c>
      <c r="AA1511" t="str">
        <f t="shared" si="4721"/>
        <v>Grid electricity</v>
      </c>
      <c r="AB1511" t="str">
        <f t="shared" si="4722"/>
        <v>Public acceptability</v>
      </c>
      <c r="AC1511">
        <f t="shared" ca="1" si="4723"/>
        <v>34.56</v>
      </c>
      <c r="AD1511">
        <v>1452</v>
      </c>
      <c r="AE1511" t="str">
        <f>IF(AND(ISNUMBER(SEARCH(O1511,4)),ISNUMBER(SEARCH('(4) FCH pathway assessment'!$B$16,AB1511)),ISNUMBER(SEARCH('(4) FCH pathway assessment'!$B$10,AA1511))),AD1511,"")</f>
        <v/>
      </c>
      <c r="AF1511" t="str">
        <f t="shared" si="4569"/>
        <v/>
      </c>
      <c r="AG1511" t="str">
        <f>VLOOKUP(C1511,Assumptions!$B$116:$C$162,2,FALSE)</f>
        <v>ELCTRLYZ_LRG_C</v>
      </c>
      <c r="AH1511" t="str">
        <f>VLOOKUP(D1511,Assumptions!$B$116:$C$162,2,FALSE)</f>
        <v>C_GAS_STRG</v>
      </c>
      <c r="AI1511" t="str">
        <f>VLOOKUP(E1511,Assumptions!$B$116:$C$162,2,FALSE)</f>
        <v>ONSITE_USE</v>
      </c>
      <c r="AJ1511" t="str">
        <f>VLOOKUP(F1511,Assumptions!$B$116:$C$162,2,FALSE)</f>
        <v>H2_CCGT_PWR</v>
      </c>
    </row>
    <row r="1512" spans="2:36" x14ac:dyDescent="0.25">
      <c r="B1512" t="s">
        <v>112</v>
      </c>
      <c r="C1512" t="s">
        <v>51</v>
      </c>
      <c r="D1512" t="s">
        <v>155</v>
      </c>
      <c r="E1512" t="s">
        <v>157</v>
      </c>
      <c r="F1512" t="s">
        <v>163</v>
      </c>
      <c r="G1512" t="s">
        <v>114</v>
      </c>
      <c r="H1512" t="s">
        <v>433</v>
      </c>
      <c r="I1512" t="s">
        <v>32</v>
      </c>
      <c r="J1512" t="s">
        <v>82</v>
      </c>
      <c r="K1512">
        <f t="shared" ref="K1512:K1516" si="4725">SUMPRODUCT(($C$7:$C$18=$C1512)*($D$6:$H$6=$D1512)*($D$7:$H$18))</f>
        <v>1</v>
      </c>
      <c r="L1512">
        <f t="shared" ref="L1512:L1516" si="4726">SUMPRODUCT(($C$19:$C$23=$D1512)*($I$6:$O$6=$E1512)*($I$19:$O$23))</f>
        <v>1</v>
      </c>
      <c r="M1512">
        <f t="shared" ref="M1512:M1516" si="4727">SUMPRODUCT(($C$24:$C$30=$E1512)*($P$6:$AI$6=$F1512)*($P$24:$AI$30))</f>
        <v>0</v>
      </c>
      <c r="N1512">
        <f t="shared" ref="N1512:N1516" si="4728">SUMPRODUCT(($C$31:$C$50=$F1512)*($AJ$6:$AM$6=$G1512)*($AJ$31:$AM$50))</f>
        <v>0</v>
      </c>
      <c r="O1512">
        <f t="shared" ref="O1512:O1516" si="4729">K1512+L1512+M1512+N1512</f>
        <v>2</v>
      </c>
      <c r="P1512" t="str">
        <f t="shared" ref="P1512:P1516" si="4730">CONCATENATE(C1512,"-",J1512)</f>
        <v>Medium centralized electrolysis-Public acceptability</v>
      </c>
      <c r="Q1512" t="str">
        <f t="shared" ref="Q1512:Q1516" si="4731">CONCATENATE(D1512,"-",J1512)</f>
        <v>Central gas storage-Public acceptability</v>
      </c>
      <c r="R1512" t="str">
        <f t="shared" ref="R1512:R1516" si="4732">CONCATENATE(E1512,"-",J1512)</f>
        <v>Blending in natural gas pipeline-Public acceptability</v>
      </c>
      <c r="S1512" t="str">
        <f t="shared" ref="S1512:S1516" si="4733">CONCATENATE(F1512,"-",J1512)</f>
        <v>Hydrogen turbine (CC)-Public acceptability</v>
      </c>
      <c r="T1512" s="54">
        <f ca="1">VLOOKUP($P1512,'TA database'!$I$8:$J$79,2,FALSE)</f>
        <v>90</v>
      </c>
      <c r="U1512" s="54">
        <f ca="1">VLOOKUP($Q1512,'TA database'!$I$86:$J$105,2,FALSE)</f>
        <v>60</v>
      </c>
      <c r="V1512" s="54">
        <f ca="1">VLOOKUP($R1512,'TA database'!$I$112:$J$139,2,FALSE)</f>
        <v>90</v>
      </c>
      <c r="W1512" s="54">
        <f>IFERROR(VLOOKUP($S1512,'TA database'!$I$146:$J$193,2,FALSE),0)</f>
        <v>0</v>
      </c>
      <c r="X1512" s="54">
        <f ca="1">IFERROR(VLOOKUP($S1512,'TA database'!$I$200:$J$271,2,FALSE),0)</f>
        <v>80</v>
      </c>
      <c r="Y1512" s="59">
        <f t="shared" ca="1" si="4724"/>
        <v>38.880000000000003</v>
      </c>
      <c r="Z1512" t="str">
        <f t="shared" ref="Z1512:Z1516" si="4734">CONCATENATE(AG1512,"   →   ",AH1512,"   →   ",AI1512,"   →   ",AJ1512)</f>
        <v>ELCTRLYZ_MED_C   →   C_GAS_STRG   →   H2_BLND_NG_P   →   H2_CCGT_PWR</v>
      </c>
      <c r="AA1512" t="str">
        <f t="shared" ref="AA1512:AA1516" si="4735">G1512</f>
        <v>Grid electricity</v>
      </c>
      <c r="AB1512" t="str">
        <f t="shared" ref="AB1512:AB1516" si="4736">J1512</f>
        <v>Public acceptability</v>
      </c>
      <c r="AC1512">
        <f t="shared" ref="AC1512:AC1516" ca="1" si="4737">Y1512</f>
        <v>38.880000000000003</v>
      </c>
      <c r="AD1512">
        <v>1453</v>
      </c>
      <c r="AE1512" t="str">
        <f>IF(AND(ISNUMBER(SEARCH(O1512,4)),ISNUMBER(SEARCH('(4) FCH pathway assessment'!$B$16,AB1512)),ISNUMBER(SEARCH('(4) FCH pathway assessment'!$B$10,AA1512))),AD1512,"")</f>
        <v/>
      </c>
      <c r="AF1512" t="str">
        <f t="shared" si="4569"/>
        <v/>
      </c>
      <c r="AG1512" t="str">
        <f>VLOOKUP(C1512,Assumptions!$B$116:$C$162,2,FALSE)</f>
        <v>ELCTRLYZ_MED_C</v>
      </c>
      <c r="AH1512" t="str">
        <f>VLOOKUP(D1512,Assumptions!$B$116:$C$162,2,FALSE)</f>
        <v>C_GAS_STRG</v>
      </c>
      <c r="AI1512" t="str">
        <f>VLOOKUP(E1512,Assumptions!$B$116:$C$162,2,FALSE)</f>
        <v>H2_BLND_NG_P</v>
      </c>
      <c r="AJ1512" t="str">
        <f>VLOOKUP(F1512,Assumptions!$B$116:$C$162,2,FALSE)</f>
        <v>H2_CCGT_PWR</v>
      </c>
    </row>
    <row r="1513" spans="2:36" x14ac:dyDescent="0.25">
      <c r="B1513" t="s">
        <v>112</v>
      </c>
      <c r="C1513" t="s">
        <v>51</v>
      </c>
      <c r="D1513" t="s">
        <v>155</v>
      </c>
      <c r="E1513" t="s">
        <v>122</v>
      </c>
      <c r="F1513" t="s">
        <v>163</v>
      </c>
      <c r="G1513" t="s">
        <v>114</v>
      </c>
      <c r="H1513" t="s">
        <v>433</v>
      </c>
      <c r="I1513" t="s">
        <v>32</v>
      </c>
      <c r="J1513" t="s">
        <v>82</v>
      </c>
      <c r="K1513">
        <f t="shared" si="4725"/>
        <v>1</v>
      </c>
      <c r="L1513">
        <f t="shared" si="4726"/>
        <v>1</v>
      </c>
      <c r="M1513">
        <f t="shared" si="4727"/>
        <v>1</v>
      </c>
      <c r="N1513">
        <f t="shared" si="4728"/>
        <v>0</v>
      </c>
      <c r="O1513">
        <f t="shared" si="4729"/>
        <v>3</v>
      </c>
      <c r="P1513" t="str">
        <f t="shared" si="4730"/>
        <v>Medium centralized electrolysis-Public acceptability</v>
      </c>
      <c r="Q1513" t="str">
        <f t="shared" si="4731"/>
        <v>Central gas storage-Public acceptability</v>
      </c>
      <c r="R1513" t="str">
        <f t="shared" si="4732"/>
        <v>Hydrogen transmission &amp; distribution pipeline-Public acceptability</v>
      </c>
      <c r="S1513" t="str">
        <f t="shared" si="4733"/>
        <v>Hydrogen turbine (CC)-Public acceptability</v>
      </c>
      <c r="T1513" s="54">
        <f ca="1">VLOOKUP($P1513,'TA database'!$I$8:$J$79,2,FALSE)</f>
        <v>90</v>
      </c>
      <c r="U1513" s="54">
        <f ca="1">VLOOKUP($Q1513,'TA database'!$I$86:$J$105,2,FALSE)</f>
        <v>60</v>
      </c>
      <c r="V1513" s="54">
        <f ca="1">VLOOKUP($R1513,'TA database'!$I$112:$J$139,2,FALSE)</f>
        <v>70</v>
      </c>
      <c r="W1513" s="54">
        <f>IFERROR(VLOOKUP($S1513,'TA database'!$I$146:$J$193,2,FALSE),0)</f>
        <v>0</v>
      </c>
      <c r="X1513" s="54">
        <f ca="1">IFERROR(VLOOKUP($S1513,'TA database'!$I$200:$J$271,2,FALSE),0)</f>
        <v>80</v>
      </c>
      <c r="Y1513" s="59">
        <f t="shared" ca="1" si="4724"/>
        <v>30.24</v>
      </c>
      <c r="Z1513" t="str">
        <f t="shared" si="4734"/>
        <v>ELCTRLYZ_MED_C   →   C_GAS_STRG   →   H2_T&amp;D_P   →   H2_CCGT_PWR</v>
      </c>
      <c r="AA1513" t="str">
        <f t="shared" si="4735"/>
        <v>Grid electricity</v>
      </c>
      <c r="AB1513" t="str">
        <f t="shared" si="4736"/>
        <v>Public acceptability</v>
      </c>
      <c r="AC1513">
        <f t="shared" ca="1" si="4737"/>
        <v>30.24</v>
      </c>
      <c r="AD1513">
        <v>1454</v>
      </c>
      <c r="AE1513" t="str">
        <f>IF(AND(ISNUMBER(SEARCH(O1513,4)),ISNUMBER(SEARCH('(4) FCH pathway assessment'!$B$16,AB1513)),ISNUMBER(SEARCH('(4) FCH pathway assessment'!$B$10,AA1513))),AD1513,"")</f>
        <v/>
      </c>
      <c r="AF1513" t="str">
        <f t="shared" si="4569"/>
        <v/>
      </c>
      <c r="AG1513" t="str">
        <f>VLOOKUP(C1513,Assumptions!$B$116:$C$162,2,FALSE)</f>
        <v>ELCTRLYZ_MED_C</v>
      </c>
      <c r="AH1513" t="str">
        <f>VLOOKUP(D1513,Assumptions!$B$116:$C$162,2,FALSE)</f>
        <v>C_GAS_STRG</v>
      </c>
      <c r="AI1513" t="str">
        <f>VLOOKUP(E1513,Assumptions!$B$116:$C$162,2,FALSE)</f>
        <v>H2_T&amp;D_P</v>
      </c>
      <c r="AJ1513" t="str">
        <f>VLOOKUP(F1513,Assumptions!$B$116:$C$162,2,FALSE)</f>
        <v>H2_CCGT_PWR</v>
      </c>
    </row>
    <row r="1514" spans="2:36" x14ac:dyDescent="0.25">
      <c r="B1514" t="s">
        <v>112</v>
      </c>
      <c r="C1514" t="s">
        <v>51</v>
      </c>
      <c r="D1514" t="s">
        <v>155</v>
      </c>
      <c r="E1514" t="s">
        <v>116</v>
      </c>
      <c r="F1514" t="s">
        <v>163</v>
      </c>
      <c r="G1514" t="s">
        <v>114</v>
      </c>
      <c r="H1514" t="s">
        <v>433</v>
      </c>
      <c r="I1514" t="s">
        <v>32</v>
      </c>
      <c r="J1514" t="s">
        <v>82</v>
      </c>
      <c r="K1514">
        <f t="shared" si="4725"/>
        <v>1</v>
      </c>
      <c r="L1514">
        <f t="shared" si="4726"/>
        <v>1</v>
      </c>
      <c r="M1514">
        <f t="shared" si="4727"/>
        <v>1</v>
      </c>
      <c r="N1514">
        <f t="shared" si="4728"/>
        <v>0</v>
      </c>
      <c r="O1514">
        <f t="shared" si="4729"/>
        <v>3</v>
      </c>
      <c r="P1514" t="str">
        <f t="shared" si="4730"/>
        <v>Medium centralized electrolysis-Public acceptability</v>
      </c>
      <c r="Q1514" t="str">
        <f t="shared" si="4731"/>
        <v>Central gas storage-Public acceptability</v>
      </c>
      <c r="R1514" t="str">
        <f t="shared" si="4732"/>
        <v>Liquid hydrogen truck-Public acceptability</v>
      </c>
      <c r="S1514" t="str">
        <f t="shared" si="4733"/>
        <v>Hydrogen turbine (CC)-Public acceptability</v>
      </c>
      <c r="T1514" s="54">
        <f ca="1">VLOOKUP($P1514,'TA database'!$I$8:$J$79,2,FALSE)</f>
        <v>90</v>
      </c>
      <c r="U1514" s="54">
        <f ca="1">VLOOKUP($Q1514,'TA database'!$I$86:$J$105,2,FALSE)</f>
        <v>60</v>
      </c>
      <c r="V1514" s="54">
        <f ca="1">VLOOKUP($R1514,'TA database'!$I$112:$J$139,2,FALSE)</f>
        <v>100</v>
      </c>
      <c r="W1514" s="54">
        <f>IFERROR(VLOOKUP($S1514,'TA database'!$I$146:$J$193,2,FALSE),0)</f>
        <v>0</v>
      </c>
      <c r="X1514" s="54">
        <f ca="1">IFERROR(VLOOKUP($S1514,'TA database'!$I$200:$J$271,2,FALSE),0)</f>
        <v>80</v>
      </c>
      <c r="Y1514" s="59">
        <f t="shared" ca="1" si="4724"/>
        <v>43.2</v>
      </c>
      <c r="Z1514" t="str">
        <f t="shared" si="4734"/>
        <v>ELCTRLYZ_MED_C   →   C_GAS_STRG   →   LQ_TRUCK   →   H2_CCGT_PWR</v>
      </c>
      <c r="AA1514" t="str">
        <f t="shared" si="4735"/>
        <v>Grid electricity</v>
      </c>
      <c r="AB1514" t="str">
        <f t="shared" si="4736"/>
        <v>Public acceptability</v>
      </c>
      <c r="AC1514">
        <f t="shared" ca="1" si="4737"/>
        <v>43.2</v>
      </c>
      <c r="AD1514">
        <v>1455</v>
      </c>
      <c r="AE1514" t="str">
        <f>IF(AND(ISNUMBER(SEARCH(O1514,4)),ISNUMBER(SEARCH('(4) FCH pathway assessment'!$B$16,AB1514)),ISNUMBER(SEARCH('(4) FCH pathway assessment'!$B$10,AA1514))),AD1514,"")</f>
        <v/>
      </c>
      <c r="AF1514" t="str">
        <f t="shared" si="4569"/>
        <v/>
      </c>
      <c r="AG1514" t="str">
        <f>VLOOKUP(C1514,Assumptions!$B$116:$C$162,2,FALSE)</f>
        <v>ELCTRLYZ_MED_C</v>
      </c>
      <c r="AH1514" t="str">
        <f>VLOOKUP(D1514,Assumptions!$B$116:$C$162,2,FALSE)</f>
        <v>C_GAS_STRG</v>
      </c>
      <c r="AI1514" t="str">
        <f>VLOOKUP(E1514,Assumptions!$B$116:$C$162,2,FALSE)</f>
        <v>LQ_TRUCK</v>
      </c>
      <c r="AJ1514" t="str">
        <f>VLOOKUP(F1514,Assumptions!$B$116:$C$162,2,FALSE)</f>
        <v>H2_CCGT_PWR</v>
      </c>
    </row>
    <row r="1515" spans="2:36" x14ac:dyDescent="0.25">
      <c r="B1515" t="s">
        <v>112</v>
      </c>
      <c r="C1515" t="s">
        <v>51</v>
      </c>
      <c r="D1515" t="s">
        <v>155</v>
      </c>
      <c r="E1515" t="s">
        <v>66</v>
      </c>
      <c r="F1515" t="s">
        <v>163</v>
      </c>
      <c r="G1515" t="s">
        <v>114</v>
      </c>
      <c r="H1515" t="s">
        <v>433</v>
      </c>
      <c r="I1515" t="s">
        <v>32</v>
      </c>
      <c r="J1515" t="s">
        <v>82</v>
      </c>
      <c r="K1515">
        <f t="shared" si="4725"/>
        <v>1</v>
      </c>
      <c r="L1515">
        <f t="shared" si="4726"/>
        <v>1</v>
      </c>
      <c r="M1515">
        <f t="shared" si="4727"/>
        <v>1</v>
      </c>
      <c r="N1515">
        <f t="shared" si="4728"/>
        <v>0</v>
      </c>
      <c r="O1515">
        <f t="shared" si="4729"/>
        <v>3</v>
      </c>
      <c r="P1515" t="str">
        <f t="shared" si="4730"/>
        <v>Medium centralized electrolysis-Public acceptability</v>
      </c>
      <c r="Q1515" t="str">
        <f t="shared" si="4731"/>
        <v>Central gas storage-Public acceptability</v>
      </c>
      <c r="R1515" t="str">
        <f t="shared" si="4732"/>
        <v>Onsite-Public acceptability</v>
      </c>
      <c r="S1515" t="str">
        <f t="shared" si="4733"/>
        <v>Hydrogen turbine (CC)-Public acceptability</v>
      </c>
      <c r="T1515" s="54">
        <f ca="1">VLOOKUP($P1515,'TA database'!$I$8:$J$79,2,FALSE)</f>
        <v>90</v>
      </c>
      <c r="U1515" s="54">
        <f ca="1">VLOOKUP($Q1515,'TA database'!$I$86:$J$105,2,FALSE)</f>
        <v>60</v>
      </c>
      <c r="V1515" s="54">
        <f ca="1">VLOOKUP($R1515,'TA database'!$I$112:$J$139,2,FALSE)</f>
        <v>90</v>
      </c>
      <c r="W1515" s="54">
        <f>IFERROR(VLOOKUP($S1515,'TA database'!$I$146:$J$193,2,FALSE),0)</f>
        <v>0</v>
      </c>
      <c r="X1515" s="54">
        <f ca="1">IFERROR(VLOOKUP($S1515,'TA database'!$I$200:$J$271,2,FALSE),0)</f>
        <v>80</v>
      </c>
      <c r="Y1515" s="59">
        <f t="shared" ca="1" si="4724"/>
        <v>38.880000000000003</v>
      </c>
      <c r="Z1515" t="str">
        <f t="shared" si="4734"/>
        <v>ELCTRLYZ_MED_C   →   C_GAS_STRG   →   ONSITE_USE   →   H2_CCGT_PWR</v>
      </c>
      <c r="AA1515" t="str">
        <f t="shared" si="4735"/>
        <v>Grid electricity</v>
      </c>
      <c r="AB1515" t="str">
        <f t="shared" si="4736"/>
        <v>Public acceptability</v>
      </c>
      <c r="AC1515">
        <f t="shared" ca="1" si="4737"/>
        <v>38.880000000000003</v>
      </c>
      <c r="AD1515">
        <v>1456</v>
      </c>
      <c r="AE1515" t="str">
        <f>IF(AND(ISNUMBER(SEARCH(O1515,4)),ISNUMBER(SEARCH('(4) FCH pathway assessment'!$B$16,AB1515)),ISNUMBER(SEARCH('(4) FCH pathway assessment'!$B$10,AA1515))),AD1515,"")</f>
        <v/>
      </c>
      <c r="AF1515" t="str">
        <f t="shared" si="4569"/>
        <v/>
      </c>
      <c r="AG1515" t="str">
        <f>VLOOKUP(C1515,Assumptions!$B$116:$C$162,2,FALSE)</f>
        <v>ELCTRLYZ_MED_C</v>
      </c>
      <c r="AH1515" t="str">
        <f>VLOOKUP(D1515,Assumptions!$B$116:$C$162,2,FALSE)</f>
        <v>C_GAS_STRG</v>
      </c>
      <c r="AI1515" t="str">
        <f>VLOOKUP(E1515,Assumptions!$B$116:$C$162,2,FALSE)</f>
        <v>ONSITE_USE</v>
      </c>
      <c r="AJ1515" t="str">
        <f>VLOOKUP(F1515,Assumptions!$B$116:$C$162,2,FALSE)</f>
        <v>H2_CCGT_PWR</v>
      </c>
    </row>
    <row r="1516" spans="2:36" x14ac:dyDescent="0.25">
      <c r="B1516" t="s">
        <v>112</v>
      </c>
      <c r="C1516" t="s">
        <v>52</v>
      </c>
      <c r="D1516" s="60" t="s">
        <v>130</v>
      </c>
      <c r="E1516" t="s">
        <v>66</v>
      </c>
      <c r="F1516" t="s">
        <v>163</v>
      </c>
      <c r="G1516" t="s">
        <v>114</v>
      </c>
      <c r="H1516" t="s">
        <v>433</v>
      </c>
      <c r="I1516" t="s">
        <v>32</v>
      </c>
      <c r="J1516" t="s">
        <v>82</v>
      </c>
      <c r="K1516">
        <f t="shared" si="4725"/>
        <v>1</v>
      </c>
      <c r="L1516">
        <f t="shared" si="4726"/>
        <v>1</v>
      </c>
      <c r="M1516">
        <f t="shared" si="4727"/>
        <v>1</v>
      </c>
      <c r="N1516">
        <f t="shared" si="4728"/>
        <v>0</v>
      </c>
      <c r="O1516">
        <f t="shared" si="4729"/>
        <v>3</v>
      </c>
      <c r="P1516" t="str">
        <f t="shared" si="4730"/>
        <v>Small decentralized electrolysis-Public acceptability</v>
      </c>
      <c r="Q1516" t="str">
        <f t="shared" si="4731"/>
        <v>Distributed gas storage-Public acceptability</v>
      </c>
      <c r="R1516" t="str">
        <f t="shared" si="4732"/>
        <v>Onsite-Public acceptability</v>
      </c>
      <c r="S1516" t="str">
        <f t="shared" si="4733"/>
        <v>Hydrogen turbine (CC)-Public acceptability</v>
      </c>
      <c r="T1516" s="54">
        <f ca="1">VLOOKUP($P1516,'TA database'!$I$8:$J$79,2,FALSE)</f>
        <v>90</v>
      </c>
      <c r="U1516" s="54">
        <f ca="1">VLOOKUP($Q1516,'TA database'!$I$86:$J$105,2,FALSE)</f>
        <v>60</v>
      </c>
      <c r="V1516" s="54">
        <f ca="1">VLOOKUP($R1516,'TA database'!$I$112:$J$139,2,FALSE)</f>
        <v>90</v>
      </c>
      <c r="W1516" s="54">
        <f>IFERROR(VLOOKUP($S1516,'TA database'!$I$146:$J$193,2,FALSE),0)</f>
        <v>0</v>
      </c>
      <c r="X1516" s="54">
        <f ca="1">IFERROR(VLOOKUP($S1516,'TA database'!$I$200:$J$271,2,FALSE),0)</f>
        <v>80</v>
      </c>
      <c r="Y1516" s="59">
        <f t="shared" ref="Y1516:Y1521" ca="1" si="4738">IF($W1516=0,(PRODUCT($T1516:$V1516,$X1516))/1000000,(PRODUCT($T1516:$W1516))/1000000)</f>
        <v>38.880000000000003</v>
      </c>
      <c r="Z1516" t="str">
        <f t="shared" si="4734"/>
        <v>ELCTRLYZ_SML_D   →   D_GAS_STRG   →   ONSITE_USE   →   H2_CCGT_PWR</v>
      </c>
      <c r="AA1516" t="str">
        <f t="shared" si="4735"/>
        <v>Grid electricity</v>
      </c>
      <c r="AB1516" t="str">
        <f t="shared" si="4736"/>
        <v>Public acceptability</v>
      </c>
      <c r="AC1516">
        <f t="shared" ca="1" si="4737"/>
        <v>38.880000000000003</v>
      </c>
      <c r="AD1516">
        <v>1457</v>
      </c>
      <c r="AE1516" t="str">
        <f>IF(AND(ISNUMBER(SEARCH(O1516,4)),ISNUMBER(SEARCH('(4) FCH pathway assessment'!$B$16,AB1516)),ISNUMBER(SEARCH('(4) FCH pathway assessment'!$B$10,AA1516))),AD1516,"")</f>
        <v/>
      </c>
      <c r="AF1516" t="str">
        <f t="shared" si="4569"/>
        <v/>
      </c>
      <c r="AG1516" t="str">
        <f>VLOOKUP(C1516,Assumptions!$B$116:$C$162,2,FALSE)</f>
        <v>ELCTRLYZ_SML_D</v>
      </c>
      <c r="AH1516" t="str">
        <f>VLOOKUP(D1516,Assumptions!$B$116:$C$162,2,FALSE)</f>
        <v>D_GAS_STRG</v>
      </c>
      <c r="AI1516" t="str">
        <f>VLOOKUP(E1516,Assumptions!$B$116:$C$162,2,FALSE)</f>
        <v>ONSITE_USE</v>
      </c>
      <c r="AJ1516" t="str">
        <f>VLOOKUP(F1516,Assumptions!$B$116:$C$162,2,FALSE)</f>
        <v>H2_CCGT_PWR</v>
      </c>
    </row>
    <row r="1517" spans="2:36" x14ac:dyDescent="0.25">
      <c r="B1517" t="s">
        <v>127</v>
      </c>
      <c r="C1517" t="s">
        <v>57</v>
      </c>
      <c r="D1517" t="s">
        <v>62</v>
      </c>
      <c r="E1517" t="s">
        <v>157</v>
      </c>
      <c r="F1517" t="s">
        <v>163</v>
      </c>
      <c r="G1517" t="s">
        <v>114</v>
      </c>
      <c r="H1517" t="s">
        <v>433</v>
      </c>
      <c r="I1517" t="s">
        <v>32</v>
      </c>
      <c r="J1517" t="s">
        <v>82</v>
      </c>
      <c r="K1517">
        <f t="shared" ref="K1517:K1525" si="4739">SUMPRODUCT(($C$7:$C$18=$C1517)*($D$6:$H$6=$D1517)*($D$7:$H$18))</f>
        <v>1</v>
      </c>
      <c r="L1517">
        <f t="shared" ref="L1517:L1525" si="4740">SUMPRODUCT(($C$19:$C$23=$D1517)*($I$6:$O$6=$E1517)*($I$19:$O$23))</f>
        <v>0</v>
      </c>
      <c r="M1517">
        <f t="shared" ref="M1517:M1525" si="4741">SUMPRODUCT(($C$24:$C$30=$E1517)*($P$6:$AI$6=$F1517)*($P$24:$AI$30))</f>
        <v>0</v>
      </c>
      <c r="N1517">
        <f t="shared" ref="N1517:N1525" si="4742">SUMPRODUCT(($C$31:$C$50=$F1517)*($AJ$6:$AM$6=$G1517)*($AJ$31:$AM$50))</f>
        <v>0</v>
      </c>
      <c r="O1517">
        <f t="shared" ref="O1517:O1525" si="4743">K1517+L1517+M1517+N1517</f>
        <v>1</v>
      </c>
      <c r="P1517" t="str">
        <f t="shared" ref="P1517:P1525" si="4744">CONCATENATE(C1517,"-",J1517)</f>
        <v>Large centralized natural gas steam reforming-Public acceptability</v>
      </c>
      <c r="Q1517" t="str">
        <f t="shared" ref="Q1517:Q1525" si="4745">CONCATENATE(D1517,"-",J1517)</f>
        <v>Underground storage-Public acceptability</v>
      </c>
      <c r="R1517" t="str">
        <f t="shared" ref="R1517:R1525" si="4746">CONCATENATE(E1517,"-",J1517)</f>
        <v>Blending in natural gas pipeline-Public acceptability</v>
      </c>
      <c r="S1517" t="str">
        <f t="shared" ref="S1517:S1525" si="4747">CONCATENATE(F1517,"-",J1517)</f>
        <v>Hydrogen turbine (CC)-Public acceptability</v>
      </c>
      <c r="T1517" s="54">
        <f ca="1">VLOOKUP($P1517,'TA database'!$I$8:$J$79,2,FALSE)</f>
        <v>90</v>
      </c>
      <c r="U1517" s="54">
        <f ca="1">VLOOKUP($Q1517,'TA database'!$I$86:$J$105,2,FALSE)</f>
        <v>60</v>
      </c>
      <c r="V1517" s="54">
        <f ca="1">VLOOKUP($R1517,'TA database'!$I$112:$J$139,2,FALSE)</f>
        <v>90</v>
      </c>
      <c r="W1517" s="54">
        <f>IFERROR(VLOOKUP($S1517,'TA database'!$I$146:$J$193,2,FALSE),0)</f>
        <v>0</v>
      </c>
      <c r="X1517" s="54">
        <f ca="1">IFERROR(VLOOKUP($S1517,'TA database'!$I$200:$J$271,2,FALSE),0)</f>
        <v>80</v>
      </c>
      <c r="Y1517" s="59">
        <f t="shared" ca="1" si="4738"/>
        <v>38.880000000000003</v>
      </c>
      <c r="Z1517" t="str">
        <f t="shared" ref="Z1517:Z1525" si="4748">CONCATENATE(AG1517,"   →   ",AH1517,"   →   ",AI1517,"   →   ",AJ1517)</f>
        <v>NG_SR_LRG_C   →   C_UNDRGRND_STRG   →   H2_BLND_NG_P   →   H2_CCGT_PWR</v>
      </c>
      <c r="AA1517" t="str">
        <f t="shared" ref="AA1517:AA1525" si="4749">G1517</f>
        <v>Grid electricity</v>
      </c>
      <c r="AB1517" t="str">
        <f t="shared" ref="AB1517:AB1525" si="4750">J1517</f>
        <v>Public acceptability</v>
      </c>
      <c r="AC1517">
        <f t="shared" ref="AC1517:AC1525" ca="1" si="4751">Y1517</f>
        <v>38.880000000000003</v>
      </c>
      <c r="AD1517">
        <v>1458</v>
      </c>
      <c r="AE1517" t="str">
        <f>IF(AND(ISNUMBER(SEARCH(O1517,4)),ISNUMBER(SEARCH('(4) FCH pathway assessment'!$B$16,AB1517)),ISNUMBER(SEARCH('(4) FCH pathway assessment'!$B$10,AA1517))),AD1517,"")</f>
        <v/>
      </c>
      <c r="AF1517" t="str">
        <f t="shared" si="4569"/>
        <v/>
      </c>
      <c r="AG1517" t="str">
        <f>VLOOKUP(C1517,Assumptions!$B$116:$C$162,2,FALSE)</f>
        <v>NG_SR_LRG_C</v>
      </c>
      <c r="AH1517" t="str">
        <f>VLOOKUP(D1517,Assumptions!$B$116:$C$162,2,FALSE)</f>
        <v>C_UNDRGRND_STRG</v>
      </c>
      <c r="AI1517" t="str">
        <f>VLOOKUP(E1517,Assumptions!$B$116:$C$162,2,FALSE)</f>
        <v>H2_BLND_NG_P</v>
      </c>
      <c r="AJ1517" t="str">
        <f>VLOOKUP(F1517,Assumptions!$B$116:$C$162,2,FALSE)</f>
        <v>H2_CCGT_PWR</v>
      </c>
    </row>
    <row r="1518" spans="2:36" x14ac:dyDescent="0.25">
      <c r="B1518" t="s">
        <v>127</v>
      </c>
      <c r="C1518" t="s">
        <v>57</v>
      </c>
      <c r="D1518" t="s">
        <v>62</v>
      </c>
      <c r="E1518" t="s">
        <v>122</v>
      </c>
      <c r="F1518" t="s">
        <v>163</v>
      </c>
      <c r="G1518" t="s">
        <v>114</v>
      </c>
      <c r="H1518" t="s">
        <v>433</v>
      </c>
      <c r="I1518" t="s">
        <v>32</v>
      </c>
      <c r="J1518" t="s">
        <v>82</v>
      </c>
      <c r="K1518">
        <f t="shared" si="4739"/>
        <v>1</v>
      </c>
      <c r="L1518">
        <f t="shared" si="4740"/>
        <v>0</v>
      </c>
      <c r="M1518">
        <f t="shared" si="4741"/>
        <v>1</v>
      </c>
      <c r="N1518">
        <f t="shared" si="4742"/>
        <v>0</v>
      </c>
      <c r="O1518">
        <f t="shared" si="4743"/>
        <v>2</v>
      </c>
      <c r="P1518" t="str">
        <f t="shared" si="4744"/>
        <v>Large centralized natural gas steam reforming-Public acceptability</v>
      </c>
      <c r="Q1518" t="str">
        <f t="shared" si="4745"/>
        <v>Underground storage-Public acceptability</v>
      </c>
      <c r="R1518" t="str">
        <f t="shared" si="4746"/>
        <v>Hydrogen transmission &amp; distribution pipeline-Public acceptability</v>
      </c>
      <c r="S1518" t="str">
        <f t="shared" si="4747"/>
        <v>Hydrogen turbine (CC)-Public acceptability</v>
      </c>
      <c r="T1518" s="54">
        <f ca="1">VLOOKUP($P1518,'TA database'!$I$8:$J$79,2,FALSE)</f>
        <v>90</v>
      </c>
      <c r="U1518" s="54">
        <f ca="1">VLOOKUP($Q1518,'TA database'!$I$86:$J$105,2,FALSE)</f>
        <v>60</v>
      </c>
      <c r="V1518" s="54">
        <f ca="1">VLOOKUP($R1518,'TA database'!$I$112:$J$139,2,FALSE)</f>
        <v>70</v>
      </c>
      <c r="W1518" s="54">
        <f>IFERROR(VLOOKUP($S1518,'TA database'!$I$146:$J$193,2,FALSE),0)</f>
        <v>0</v>
      </c>
      <c r="X1518" s="54">
        <f ca="1">IFERROR(VLOOKUP($S1518,'TA database'!$I$200:$J$271,2,FALSE),0)</f>
        <v>80</v>
      </c>
      <c r="Y1518" s="59">
        <f t="shared" ca="1" si="4738"/>
        <v>30.24</v>
      </c>
      <c r="Z1518" t="str">
        <f t="shared" si="4748"/>
        <v>NG_SR_LRG_C   →   C_UNDRGRND_STRG   →   H2_T&amp;D_P   →   H2_CCGT_PWR</v>
      </c>
      <c r="AA1518" t="str">
        <f t="shared" si="4749"/>
        <v>Grid electricity</v>
      </c>
      <c r="AB1518" t="str">
        <f t="shared" si="4750"/>
        <v>Public acceptability</v>
      </c>
      <c r="AC1518">
        <f t="shared" ca="1" si="4751"/>
        <v>30.24</v>
      </c>
      <c r="AD1518">
        <v>1459</v>
      </c>
      <c r="AE1518" t="str">
        <f>IF(AND(ISNUMBER(SEARCH(O1518,4)),ISNUMBER(SEARCH('(4) FCH pathway assessment'!$B$16,AB1518)),ISNUMBER(SEARCH('(4) FCH pathway assessment'!$B$10,AA1518))),AD1518,"")</f>
        <v/>
      </c>
      <c r="AF1518" t="str">
        <f t="shared" si="4569"/>
        <v/>
      </c>
      <c r="AG1518" t="str">
        <f>VLOOKUP(C1518,Assumptions!$B$116:$C$162,2,FALSE)</f>
        <v>NG_SR_LRG_C</v>
      </c>
      <c r="AH1518" t="str">
        <f>VLOOKUP(D1518,Assumptions!$B$116:$C$162,2,FALSE)</f>
        <v>C_UNDRGRND_STRG</v>
      </c>
      <c r="AI1518" t="str">
        <f>VLOOKUP(E1518,Assumptions!$B$116:$C$162,2,FALSE)</f>
        <v>H2_T&amp;D_P</v>
      </c>
      <c r="AJ1518" t="str">
        <f>VLOOKUP(F1518,Assumptions!$B$116:$C$162,2,FALSE)</f>
        <v>H2_CCGT_PWR</v>
      </c>
    </row>
    <row r="1519" spans="2:36" x14ac:dyDescent="0.25">
      <c r="B1519" t="s">
        <v>127</v>
      </c>
      <c r="C1519" t="s">
        <v>57</v>
      </c>
      <c r="D1519" t="s">
        <v>62</v>
      </c>
      <c r="E1519" t="s">
        <v>116</v>
      </c>
      <c r="F1519" t="s">
        <v>163</v>
      </c>
      <c r="G1519" t="s">
        <v>114</v>
      </c>
      <c r="H1519" t="s">
        <v>433</v>
      </c>
      <c r="I1519" t="s">
        <v>32</v>
      </c>
      <c r="J1519" t="s">
        <v>82</v>
      </c>
      <c r="K1519">
        <f t="shared" si="4739"/>
        <v>1</v>
      </c>
      <c r="L1519">
        <f t="shared" si="4740"/>
        <v>0</v>
      </c>
      <c r="M1519">
        <f t="shared" si="4741"/>
        <v>1</v>
      </c>
      <c r="N1519">
        <f t="shared" si="4742"/>
        <v>0</v>
      </c>
      <c r="O1519">
        <f t="shared" si="4743"/>
        <v>2</v>
      </c>
      <c r="P1519" t="str">
        <f t="shared" si="4744"/>
        <v>Large centralized natural gas steam reforming-Public acceptability</v>
      </c>
      <c r="Q1519" t="str">
        <f t="shared" si="4745"/>
        <v>Underground storage-Public acceptability</v>
      </c>
      <c r="R1519" t="str">
        <f t="shared" si="4746"/>
        <v>Liquid hydrogen truck-Public acceptability</v>
      </c>
      <c r="S1519" t="str">
        <f t="shared" si="4747"/>
        <v>Hydrogen turbine (CC)-Public acceptability</v>
      </c>
      <c r="T1519" s="54">
        <f ca="1">VLOOKUP($P1519,'TA database'!$I$8:$J$79,2,FALSE)</f>
        <v>90</v>
      </c>
      <c r="U1519" s="54">
        <f ca="1">VLOOKUP($Q1519,'TA database'!$I$86:$J$105,2,FALSE)</f>
        <v>60</v>
      </c>
      <c r="V1519" s="54">
        <f ca="1">VLOOKUP($R1519,'TA database'!$I$112:$J$139,2,FALSE)</f>
        <v>100</v>
      </c>
      <c r="W1519" s="54">
        <f>IFERROR(VLOOKUP($S1519,'TA database'!$I$146:$J$193,2,FALSE),0)</f>
        <v>0</v>
      </c>
      <c r="X1519" s="54">
        <f ca="1">IFERROR(VLOOKUP($S1519,'TA database'!$I$200:$J$271,2,FALSE),0)</f>
        <v>80</v>
      </c>
      <c r="Y1519" s="59">
        <f t="shared" ca="1" si="4738"/>
        <v>43.2</v>
      </c>
      <c r="Z1519" t="str">
        <f t="shared" si="4748"/>
        <v>NG_SR_LRG_C   →   C_UNDRGRND_STRG   →   LQ_TRUCK   →   H2_CCGT_PWR</v>
      </c>
      <c r="AA1519" t="str">
        <f t="shared" si="4749"/>
        <v>Grid electricity</v>
      </c>
      <c r="AB1519" t="str">
        <f t="shared" si="4750"/>
        <v>Public acceptability</v>
      </c>
      <c r="AC1519">
        <f t="shared" ca="1" si="4751"/>
        <v>43.2</v>
      </c>
      <c r="AD1519">
        <v>1460</v>
      </c>
      <c r="AE1519" t="str">
        <f>IF(AND(ISNUMBER(SEARCH(O1519,4)),ISNUMBER(SEARCH('(4) FCH pathway assessment'!$B$16,AB1519)),ISNUMBER(SEARCH('(4) FCH pathway assessment'!$B$10,AA1519))),AD1519,"")</f>
        <v/>
      </c>
      <c r="AF1519" t="str">
        <f t="shared" si="4569"/>
        <v/>
      </c>
      <c r="AG1519" t="str">
        <f>VLOOKUP(C1519,Assumptions!$B$116:$C$162,2,FALSE)</f>
        <v>NG_SR_LRG_C</v>
      </c>
      <c r="AH1519" t="str">
        <f>VLOOKUP(D1519,Assumptions!$B$116:$C$162,2,FALSE)</f>
        <v>C_UNDRGRND_STRG</v>
      </c>
      <c r="AI1519" t="str">
        <f>VLOOKUP(E1519,Assumptions!$B$116:$C$162,2,FALSE)</f>
        <v>LQ_TRUCK</v>
      </c>
      <c r="AJ1519" t="str">
        <f>VLOOKUP(F1519,Assumptions!$B$116:$C$162,2,FALSE)</f>
        <v>H2_CCGT_PWR</v>
      </c>
    </row>
    <row r="1520" spans="2:36" x14ac:dyDescent="0.25">
      <c r="B1520" t="s">
        <v>127</v>
      </c>
      <c r="C1520" t="s">
        <v>57</v>
      </c>
      <c r="D1520" t="s">
        <v>62</v>
      </c>
      <c r="E1520" t="s">
        <v>66</v>
      </c>
      <c r="F1520" t="s">
        <v>163</v>
      </c>
      <c r="G1520" t="s">
        <v>114</v>
      </c>
      <c r="H1520" t="s">
        <v>433</v>
      </c>
      <c r="I1520" t="s">
        <v>32</v>
      </c>
      <c r="J1520" t="s">
        <v>82</v>
      </c>
      <c r="K1520">
        <f t="shared" si="4739"/>
        <v>1</v>
      </c>
      <c r="L1520">
        <f t="shared" si="4740"/>
        <v>0</v>
      </c>
      <c r="M1520">
        <f t="shared" si="4741"/>
        <v>1</v>
      </c>
      <c r="N1520">
        <f t="shared" si="4742"/>
        <v>0</v>
      </c>
      <c r="O1520">
        <f t="shared" si="4743"/>
        <v>2</v>
      </c>
      <c r="P1520" t="str">
        <f t="shared" si="4744"/>
        <v>Large centralized natural gas steam reforming-Public acceptability</v>
      </c>
      <c r="Q1520" t="str">
        <f t="shared" si="4745"/>
        <v>Underground storage-Public acceptability</v>
      </c>
      <c r="R1520" t="str">
        <f t="shared" si="4746"/>
        <v>Onsite-Public acceptability</v>
      </c>
      <c r="S1520" t="str">
        <f t="shared" si="4747"/>
        <v>Hydrogen turbine (CC)-Public acceptability</v>
      </c>
      <c r="T1520" s="54">
        <f ca="1">VLOOKUP($P1520,'TA database'!$I$8:$J$79,2,FALSE)</f>
        <v>90</v>
      </c>
      <c r="U1520" s="54">
        <f ca="1">VLOOKUP($Q1520,'TA database'!$I$86:$J$105,2,FALSE)</f>
        <v>60</v>
      </c>
      <c r="V1520" s="54">
        <f ca="1">VLOOKUP($R1520,'TA database'!$I$112:$J$139,2,FALSE)</f>
        <v>90</v>
      </c>
      <c r="W1520" s="54">
        <f>IFERROR(VLOOKUP($S1520,'TA database'!$I$146:$J$193,2,FALSE),0)</f>
        <v>0</v>
      </c>
      <c r="X1520" s="54">
        <f ca="1">IFERROR(VLOOKUP($S1520,'TA database'!$I$200:$J$271,2,FALSE),0)</f>
        <v>80</v>
      </c>
      <c r="Y1520" s="59">
        <f t="shared" ca="1" si="4738"/>
        <v>38.880000000000003</v>
      </c>
      <c r="Z1520" t="str">
        <f t="shared" si="4748"/>
        <v>NG_SR_LRG_C   →   C_UNDRGRND_STRG   →   ONSITE_USE   →   H2_CCGT_PWR</v>
      </c>
      <c r="AA1520" t="str">
        <f t="shared" si="4749"/>
        <v>Grid electricity</v>
      </c>
      <c r="AB1520" t="str">
        <f t="shared" si="4750"/>
        <v>Public acceptability</v>
      </c>
      <c r="AC1520">
        <f t="shared" ca="1" si="4751"/>
        <v>38.880000000000003</v>
      </c>
      <c r="AD1520">
        <v>1461</v>
      </c>
      <c r="AE1520" t="str">
        <f>IF(AND(ISNUMBER(SEARCH(O1520,4)),ISNUMBER(SEARCH('(4) FCH pathway assessment'!$B$16,AB1520)),ISNUMBER(SEARCH('(4) FCH pathway assessment'!$B$10,AA1520))),AD1520,"")</f>
        <v/>
      </c>
      <c r="AF1520" t="str">
        <f t="shared" si="4569"/>
        <v/>
      </c>
      <c r="AG1520" t="str">
        <f>VLOOKUP(C1520,Assumptions!$B$116:$C$162,2,FALSE)</f>
        <v>NG_SR_LRG_C</v>
      </c>
      <c r="AH1520" t="str">
        <f>VLOOKUP(D1520,Assumptions!$B$116:$C$162,2,FALSE)</f>
        <v>C_UNDRGRND_STRG</v>
      </c>
      <c r="AI1520" t="str">
        <f>VLOOKUP(E1520,Assumptions!$B$116:$C$162,2,FALSE)</f>
        <v>ONSITE_USE</v>
      </c>
      <c r="AJ1520" t="str">
        <f>VLOOKUP(F1520,Assumptions!$B$116:$C$162,2,FALSE)</f>
        <v>H2_CCGT_PWR</v>
      </c>
    </row>
    <row r="1521" spans="2:36" x14ac:dyDescent="0.25">
      <c r="B1521" t="s">
        <v>127</v>
      </c>
      <c r="C1521" t="s">
        <v>57</v>
      </c>
      <c r="D1521" s="61" t="s">
        <v>63</v>
      </c>
      <c r="E1521" t="s">
        <v>122</v>
      </c>
      <c r="F1521" t="s">
        <v>163</v>
      </c>
      <c r="G1521" t="s">
        <v>114</v>
      </c>
      <c r="H1521" t="s">
        <v>433</v>
      </c>
      <c r="I1521" t="s">
        <v>32</v>
      </c>
      <c r="J1521" t="s">
        <v>82</v>
      </c>
      <c r="K1521">
        <f t="shared" si="4739"/>
        <v>1</v>
      </c>
      <c r="L1521">
        <f t="shared" si="4740"/>
        <v>1</v>
      </c>
      <c r="M1521">
        <f t="shared" si="4741"/>
        <v>1</v>
      </c>
      <c r="N1521">
        <f t="shared" si="4742"/>
        <v>0</v>
      </c>
      <c r="O1521">
        <f t="shared" si="4743"/>
        <v>3</v>
      </c>
      <c r="P1521" t="str">
        <f t="shared" si="4744"/>
        <v>Large centralized natural gas steam reforming-Public acceptability</v>
      </c>
      <c r="Q1521" t="str">
        <f t="shared" si="4745"/>
        <v>No storage-Public acceptability</v>
      </c>
      <c r="R1521" t="str">
        <f t="shared" si="4746"/>
        <v>Hydrogen transmission &amp; distribution pipeline-Public acceptability</v>
      </c>
      <c r="S1521" t="str">
        <f t="shared" si="4747"/>
        <v>Hydrogen turbine (CC)-Public acceptability</v>
      </c>
      <c r="T1521" s="54">
        <f ca="1">VLOOKUP($P1521,'TA database'!$I$8:$J$79,2,FALSE)</f>
        <v>90</v>
      </c>
      <c r="U1521" s="54">
        <f ca="1">VLOOKUP($Q1521,'TA database'!$I$86:$J$105,2,FALSE)</f>
        <v>100</v>
      </c>
      <c r="V1521" s="54">
        <f ca="1">VLOOKUP($R1521,'TA database'!$I$112:$J$139,2,FALSE)</f>
        <v>70</v>
      </c>
      <c r="W1521" s="54">
        <f>IFERROR(VLOOKUP($S1521,'TA database'!$I$146:$J$193,2,FALSE),0)</f>
        <v>0</v>
      </c>
      <c r="X1521" s="54">
        <f ca="1">IFERROR(VLOOKUP($S1521,'TA database'!$I$200:$J$271,2,FALSE),0)</f>
        <v>80</v>
      </c>
      <c r="Y1521" s="59">
        <f t="shared" ca="1" si="4738"/>
        <v>50.4</v>
      </c>
      <c r="Z1521" t="str">
        <f t="shared" si="4748"/>
        <v>NG_SR_LRG_C   →   NO_STRG   →   H2_T&amp;D_P   →   H2_CCGT_PWR</v>
      </c>
      <c r="AA1521" t="str">
        <f t="shared" si="4749"/>
        <v>Grid electricity</v>
      </c>
      <c r="AB1521" t="str">
        <f t="shared" si="4750"/>
        <v>Public acceptability</v>
      </c>
      <c r="AC1521">
        <f t="shared" ca="1" si="4751"/>
        <v>50.4</v>
      </c>
      <c r="AD1521">
        <v>1462</v>
      </c>
      <c r="AE1521" t="str">
        <f>IF(AND(ISNUMBER(SEARCH(O1521,4)),ISNUMBER(SEARCH('(4) FCH pathway assessment'!$B$16,AB1521)),ISNUMBER(SEARCH('(4) FCH pathway assessment'!$B$10,AA1521))),AD1521,"")</f>
        <v/>
      </c>
      <c r="AF1521" t="str">
        <f t="shared" si="4569"/>
        <v/>
      </c>
      <c r="AG1521" t="str">
        <f>VLOOKUP(C1521,Assumptions!$B$116:$C$162,2,FALSE)</f>
        <v>NG_SR_LRG_C</v>
      </c>
      <c r="AH1521" t="str">
        <f>VLOOKUP(D1521,Assumptions!$B$116:$C$162,2,FALSE)</f>
        <v>NO_STRG</v>
      </c>
      <c r="AI1521" t="str">
        <f>VLOOKUP(E1521,Assumptions!$B$116:$C$162,2,FALSE)</f>
        <v>H2_T&amp;D_P</v>
      </c>
      <c r="AJ1521" t="str">
        <f>VLOOKUP(F1521,Assumptions!$B$116:$C$162,2,FALSE)</f>
        <v>H2_CCGT_PWR</v>
      </c>
    </row>
    <row r="1522" spans="2:36" x14ac:dyDescent="0.25">
      <c r="B1522" t="s">
        <v>127</v>
      </c>
      <c r="C1522" t="s">
        <v>58</v>
      </c>
      <c r="D1522" t="s">
        <v>155</v>
      </c>
      <c r="E1522" t="s">
        <v>157</v>
      </c>
      <c r="F1522" t="s">
        <v>163</v>
      </c>
      <c r="G1522" t="s">
        <v>114</v>
      </c>
      <c r="H1522" t="s">
        <v>433</v>
      </c>
      <c r="I1522" t="s">
        <v>32</v>
      </c>
      <c r="J1522" t="s">
        <v>82</v>
      </c>
      <c r="K1522">
        <f t="shared" si="4739"/>
        <v>1</v>
      </c>
      <c r="L1522">
        <f t="shared" si="4740"/>
        <v>1</v>
      </c>
      <c r="M1522">
        <f t="shared" si="4741"/>
        <v>0</v>
      </c>
      <c r="N1522">
        <f t="shared" si="4742"/>
        <v>0</v>
      </c>
      <c r="O1522">
        <f t="shared" si="4743"/>
        <v>2</v>
      </c>
      <c r="P1522" t="str">
        <f t="shared" si="4744"/>
        <v>Small centralized natural gas steam reforming-Public acceptability</v>
      </c>
      <c r="Q1522" t="str">
        <f t="shared" si="4745"/>
        <v>Central gas storage-Public acceptability</v>
      </c>
      <c r="R1522" t="str">
        <f t="shared" si="4746"/>
        <v>Blending in natural gas pipeline-Public acceptability</v>
      </c>
      <c r="S1522" t="str">
        <f t="shared" si="4747"/>
        <v>Hydrogen turbine (CC)-Public acceptability</v>
      </c>
      <c r="T1522" s="54">
        <f ca="1">VLOOKUP($P1522,'TA database'!$I$8:$J$79,2,FALSE)</f>
        <v>90</v>
      </c>
      <c r="U1522" s="54">
        <f ca="1">VLOOKUP($Q1522,'TA database'!$I$86:$J$105,2,FALSE)</f>
        <v>60</v>
      </c>
      <c r="V1522" s="54">
        <f ca="1">VLOOKUP($R1522,'TA database'!$I$112:$J$139,2,FALSE)</f>
        <v>90</v>
      </c>
      <c r="W1522" s="54">
        <f>IFERROR(VLOOKUP($S1522,'TA database'!$I$146:$J$193,2,FALSE),0)</f>
        <v>0</v>
      </c>
      <c r="X1522" s="54">
        <f ca="1">IFERROR(VLOOKUP($S1522,'TA database'!$I$200:$J$271,2,FALSE),0)</f>
        <v>80</v>
      </c>
      <c r="Y1522" s="59">
        <f t="shared" ref="Y1522:Y1526" ca="1" si="4752">IF($W1522=0,(PRODUCT($T1522:$V1522,$X1522))/1000000,(PRODUCT($T1522:$W1522))/1000000)</f>
        <v>38.880000000000003</v>
      </c>
      <c r="Z1522" t="str">
        <f t="shared" si="4748"/>
        <v>NG_SR_SML_C   →   C_GAS_STRG   →   H2_BLND_NG_P   →   H2_CCGT_PWR</v>
      </c>
      <c r="AA1522" t="str">
        <f t="shared" si="4749"/>
        <v>Grid electricity</v>
      </c>
      <c r="AB1522" t="str">
        <f t="shared" si="4750"/>
        <v>Public acceptability</v>
      </c>
      <c r="AC1522">
        <f t="shared" ca="1" si="4751"/>
        <v>38.880000000000003</v>
      </c>
      <c r="AD1522">
        <v>1463</v>
      </c>
      <c r="AE1522" t="str">
        <f>IF(AND(ISNUMBER(SEARCH(O1522,4)),ISNUMBER(SEARCH('(4) FCH pathway assessment'!$B$16,AB1522)),ISNUMBER(SEARCH('(4) FCH pathway assessment'!$B$10,AA1522))),AD1522,"")</f>
        <v/>
      </c>
      <c r="AF1522" t="str">
        <f t="shared" si="4569"/>
        <v/>
      </c>
      <c r="AG1522" t="str">
        <f>VLOOKUP(C1522,Assumptions!$B$116:$C$162,2,FALSE)</f>
        <v>NG_SR_SML_C</v>
      </c>
      <c r="AH1522" t="str">
        <f>VLOOKUP(D1522,Assumptions!$B$116:$C$162,2,FALSE)</f>
        <v>C_GAS_STRG</v>
      </c>
      <c r="AI1522" t="str">
        <f>VLOOKUP(E1522,Assumptions!$B$116:$C$162,2,FALSE)</f>
        <v>H2_BLND_NG_P</v>
      </c>
      <c r="AJ1522" t="str">
        <f>VLOOKUP(F1522,Assumptions!$B$116:$C$162,2,FALSE)</f>
        <v>H2_CCGT_PWR</v>
      </c>
    </row>
    <row r="1523" spans="2:36" x14ac:dyDescent="0.25">
      <c r="B1523" t="s">
        <v>127</v>
      </c>
      <c r="C1523" t="s">
        <v>58</v>
      </c>
      <c r="D1523" t="s">
        <v>155</v>
      </c>
      <c r="E1523" t="s">
        <v>122</v>
      </c>
      <c r="F1523" t="s">
        <v>163</v>
      </c>
      <c r="G1523" t="s">
        <v>114</v>
      </c>
      <c r="H1523" t="s">
        <v>433</v>
      </c>
      <c r="I1523" t="s">
        <v>32</v>
      </c>
      <c r="J1523" t="s">
        <v>82</v>
      </c>
      <c r="K1523">
        <f t="shared" si="4739"/>
        <v>1</v>
      </c>
      <c r="L1523">
        <f t="shared" si="4740"/>
        <v>1</v>
      </c>
      <c r="M1523">
        <f t="shared" si="4741"/>
        <v>1</v>
      </c>
      <c r="N1523">
        <f t="shared" si="4742"/>
        <v>0</v>
      </c>
      <c r="O1523">
        <f t="shared" si="4743"/>
        <v>3</v>
      </c>
      <c r="P1523" t="str">
        <f t="shared" si="4744"/>
        <v>Small centralized natural gas steam reforming-Public acceptability</v>
      </c>
      <c r="Q1523" t="str">
        <f t="shared" si="4745"/>
        <v>Central gas storage-Public acceptability</v>
      </c>
      <c r="R1523" t="str">
        <f t="shared" si="4746"/>
        <v>Hydrogen transmission &amp; distribution pipeline-Public acceptability</v>
      </c>
      <c r="S1523" t="str">
        <f t="shared" si="4747"/>
        <v>Hydrogen turbine (CC)-Public acceptability</v>
      </c>
      <c r="T1523" s="54">
        <f ca="1">VLOOKUP($P1523,'TA database'!$I$8:$J$79,2,FALSE)</f>
        <v>90</v>
      </c>
      <c r="U1523" s="54">
        <f ca="1">VLOOKUP($Q1523,'TA database'!$I$86:$J$105,2,FALSE)</f>
        <v>60</v>
      </c>
      <c r="V1523" s="54">
        <f ca="1">VLOOKUP($R1523,'TA database'!$I$112:$J$139,2,FALSE)</f>
        <v>70</v>
      </c>
      <c r="W1523" s="54">
        <f>IFERROR(VLOOKUP($S1523,'TA database'!$I$146:$J$193,2,FALSE),0)</f>
        <v>0</v>
      </c>
      <c r="X1523" s="54">
        <f ca="1">IFERROR(VLOOKUP($S1523,'TA database'!$I$200:$J$271,2,FALSE),0)</f>
        <v>80</v>
      </c>
      <c r="Y1523" s="59">
        <f t="shared" ca="1" si="4752"/>
        <v>30.24</v>
      </c>
      <c r="Z1523" t="str">
        <f t="shared" si="4748"/>
        <v>NG_SR_SML_C   →   C_GAS_STRG   →   H2_T&amp;D_P   →   H2_CCGT_PWR</v>
      </c>
      <c r="AA1523" t="str">
        <f t="shared" si="4749"/>
        <v>Grid electricity</v>
      </c>
      <c r="AB1523" t="str">
        <f t="shared" si="4750"/>
        <v>Public acceptability</v>
      </c>
      <c r="AC1523">
        <f t="shared" ca="1" si="4751"/>
        <v>30.24</v>
      </c>
      <c r="AD1523">
        <v>1464</v>
      </c>
      <c r="AE1523" t="str">
        <f>IF(AND(ISNUMBER(SEARCH(O1523,4)),ISNUMBER(SEARCH('(4) FCH pathway assessment'!$B$16,AB1523)),ISNUMBER(SEARCH('(4) FCH pathway assessment'!$B$10,AA1523))),AD1523,"")</f>
        <v/>
      </c>
      <c r="AF1523" t="str">
        <f t="shared" si="4569"/>
        <v/>
      </c>
      <c r="AG1523" t="str">
        <f>VLOOKUP(C1523,Assumptions!$B$116:$C$162,2,FALSE)</f>
        <v>NG_SR_SML_C</v>
      </c>
      <c r="AH1523" t="str">
        <f>VLOOKUP(D1523,Assumptions!$B$116:$C$162,2,FALSE)</f>
        <v>C_GAS_STRG</v>
      </c>
      <c r="AI1523" t="str">
        <f>VLOOKUP(E1523,Assumptions!$B$116:$C$162,2,FALSE)</f>
        <v>H2_T&amp;D_P</v>
      </c>
      <c r="AJ1523" t="str">
        <f>VLOOKUP(F1523,Assumptions!$B$116:$C$162,2,FALSE)</f>
        <v>H2_CCGT_PWR</v>
      </c>
    </row>
    <row r="1524" spans="2:36" x14ac:dyDescent="0.25">
      <c r="B1524" t="s">
        <v>127</v>
      </c>
      <c r="C1524" t="s">
        <v>58</v>
      </c>
      <c r="D1524" t="s">
        <v>155</v>
      </c>
      <c r="E1524" t="s">
        <v>116</v>
      </c>
      <c r="F1524" t="s">
        <v>163</v>
      </c>
      <c r="G1524" t="s">
        <v>114</v>
      </c>
      <c r="H1524" t="s">
        <v>433</v>
      </c>
      <c r="I1524" t="s">
        <v>32</v>
      </c>
      <c r="J1524" t="s">
        <v>82</v>
      </c>
      <c r="K1524">
        <f t="shared" si="4739"/>
        <v>1</v>
      </c>
      <c r="L1524">
        <f t="shared" si="4740"/>
        <v>1</v>
      </c>
      <c r="M1524">
        <f t="shared" si="4741"/>
        <v>1</v>
      </c>
      <c r="N1524">
        <f t="shared" si="4742"/>
        <v>0</v>
      </c>
      <c r="O1524">
        <f t="shared" si="4743"/>
        <v>3</v>
      </c>
      <c r="P1524" t="str">
        <f t="shared" si="4744"/>
        <v>Small centralized natural gas steam reforming-Public acceptability</v>
      </c>
      <c r="Q1524" t="str">
        <f t="shared" si="4745"/>
        <v>Central gas storage-Public acceptability</v>
      </c>
      <c r="R1524" t="str">
        <f t="shared" si="4746"/>
        <v>Liquid hydrogen truck-Public acceptability</v>
      </c>
      <c r="S1524" t="str">
        <f t="shared" si="4747"/>
        <v>Hydrogen turbine (CC)-Public acceptability</v>
      </c>
      <c r="T1524" s="54">
        <f ca="1">VLOOKUP($P1524,'TA database'!$I$8:$J$79,2,FALSE)</f>
        <v>90</v>
      </c>
      <c r="U1524" s="54">
        <f ca="1">VLOOKUP($Q1524,'TA database'!$I$86:$J$105,2,FALSE)</f>
        <v>60</v>
      </c>
      <c r="V1524" s="54">
        <f ca="1">VLOOKUP($R1524,'TA database'!$I$112:$J$139,2,FALSE)</f>
        <v>100</v>
      </c>
      <c r="W1524" s="54">
        <f>IFERROR(VLOOKUP($S1524,'TA database'!$I$146:$J$193,2,FALSE),0)</f>
        <v>0</v>
      </c>
      <c r="X1524" s="54">
        <f ca="1">IFERROR(VLOOKUP($S1524,'TA database'!$I$200:$J$271,2,FALSE),0)</f>
        <v>80</v>
      </c>
      <c r="Y1524" s="59">
        <f t="shared" ca="1" si="4752"/>
        <v>43.2</v>
      </c>
      <c r="Z1524" t="str">
        <f t="shared" si="4748"/>
        <v>NG_SR_SML_C   →   C_GAS_STRG   →   LQ_TRUCK   →   H2_CCGT_PWR</v>
      </c>
      <c r="AA1524" t="str">
        <f t="shared" si="4749"/>
        <v>Grid electricity</v>
      </c>
      <c r="AB1524" t="str">
        <f t="shared" si="4750"/>
        <v>Public acceptability</v>
      </c>
      <c r="AC1524">
        <f t="shared" ca="1" si="4751"/>
        <v>43.2</v>
      </c>
      <c r="AD1524">
        <v>1465</v>
      </c>
      <c r="AE1524" t="str">
        <f>IF(AND(ISNUMBER(SEARCH(O1524,4)),ISNUMBER(SEARCH('(4) FCH pathway assessment'!$B$16,AB1524)),ISNUMBER(SEARCH('(4) FCH pathway assessment'!$B$10,AA1524))),AD1524,"")</f>
        <v/>
      </c>
      <c r="AF1524" t="str">
        <f t="shared" si="4569"/>
        <v/>
      </c>
      <c r="AG1524" t="str">
        <f>VLOOKUP(C1524,Assumptions!$B$116:$C$162,2,FALSE)</f>
        <v>NG_SR_SML_C</v>
      </c>
      <c r="AH1524" t="str">
        <f>VLOOKUP(D1524,Assumptions!$B$116:$C$162,2,FALSE)</f>
        <v>C_GAS_STRG</v>
      </c>
      <c r="AI1524" t="str">
        <f>VLOOKUP(E1524,Assumptions!$B$116:$C$162,2,FALSE)</f>
        <v>LQ_TRUCK</v>
      </c>
      <c r="AJ1524" t="str">
        <f>VLOOKUP(F1524,Assumptions!$B$116:$C$162,2,FALSE)</f>
        <v>H2_CCGT_PWR</v>
      </c>
    </row>
    <row r="1525" spans="2:36" x14ac:dyDescent="0.25">
      <c r="B1525" t="s">
        <v>127</v>
      </c>
      <c r="C1525" t="s">
        <v>58</v>
      </c>
      <c r="D1525" t="s">
        <v>155</v>
      </c>
      <c r="E1525" t="s">
        <v>66</v>
      </c>
      <c r="F1525" t="s">
        <v>163</v>
      </c>
      <c r="G1525" t="s">
        <v>114</v>
      </c>
      <c r="H1525" t="s">
        <v>433</v>
      </c>
      <c r="I1525" t="s">
        <v>32</v>
      </c>
      <c r="J1525" t="s">
        <v>82</v>
      </c>
      <c r="K1525">
        <f t="shared" si="4739"/>
        <v>1</v>
      </c>
      <c r="L1525">
        <f t="shared" si="4740"/>
        <v>1</v>
      </c>
      <c r="M1525">
        <f t="shared" si="4741"/>
        <v>1</v>
      </c>
      <c r="N1525">
        <f t="shared" si="4742"/>
        <v>0</v>
      </c>
      <c r="O1525">
        <f t="shared" si="4743"/>
        <v>3</v>
      </c>
      <c r="P1525" t="str">
        <f t="shared" si="4744"/>
        <v>Small centralized natural gas steam reforming-Public acceptability</v>
      </c>
      <c r="Q1525" t="str">
        <f t="shared" si="4745"/>
        <v>Central gas storage-Public acceptability</v>
      </c>
      <c r="R1525" t="str">
        <f t="shared" si="4746"/>
        <v>Onsite-Public acceptability</v>
      </c>
      <c r="S1525" t="str">
        <f t="shared" si="4747"/>
        <v>Hydrogen turbine (CC)-Public acceptability</v>
      </c>
      <c r="T1525" s="54">
        <f ca="1">VLOOKUP($P1525,'TA database'!$I$8:$J$79,2,FALSE)</f>
        <v>90</v>
      </c>
      <c r="U1525" s="54">
        <f ca="1">VLOOKUP($Q1525,'TA database'!$I$86:$J$105,2,FALSE)</f>
        <v>60</v>
      </c>
      <c r="V1525" s="54">
        <f ca="1">VLOOKUP($R1525,'TA database'!$I$112:$J$139,2,FALSE)</f>
        <v>90</v>
      </c>
      <c r="W1525" s="54">
        <f>IFERROR(VLOOKUP($S1525,'TA database'!$I$146:$J$193,2,FALSE),0)</f>
        <v>0</v>
      </c>
      <c r="X1525" s="54">
        <f ca="1">IFERROR(VLOOKUP($S1525,'TA database'!$I$200:$J$271,2,FALSE),0)</f>
        <v>80</v>
      </c>
      <c r="Y1525" s="59">
        <f t="shared" ca="1" si="4752"/>
        <v>38.880000000000003</v>
      </c>
      <c r="Z1525" t="str">
        <f t="shared" si="4748"/>
        <v>NG_SR_SML_C   →   C_GAS_STRG   →   ONSITE_USE   →   H2_CCGT_PWR</v>
      </c>
      <c r="AA1525" t="str">
        <f t="shared" si="4749"/>
        <v>Grid electricity</v>
      </c>
      <c r="AB1525" t="str">
        <f t="shared" si="4750"/>
        <v>Public acceptability</v>
      </c>
      <c r="AC1525">
        <f t="shared" ca="1" si="4751"/>
        <v>38.880000000000003</v>
      </c>
      <c r="AD1525">
        <v>1466</v>
      </c>
      <c r="AE1525" t="str">
        <f>IF(AND(ISNUMBER(SEARCH(O1525,4)),ISNUMBER(SEARCH('(4) FCH pathway assessment'!$B$16,AB1525)),ISNUMBER(SEARCH('(4) FCH pathway assessment'!$B$10,AA1525))),AD1525,"")</f>
        <v/>
      </c>
      <c r="AF1525" t="str">
        <f t="shared" si="4569"/>
        <v/>
      </c>
      <c r="AG1525" t="str">
        <f>VLOOKUP(C1525,Assumptions!$B$116:$C$162,2,FALSE)</f>
        <v>NG_SR_SML_C</v>
      </c>
      <c r="AH1525" t="str">
        <f>VLOOKUP(D1525,Assumptions!$B$116:$C$162,2,FALSE)</f>
        <v>C_GAS_STRG</v>
      </c>
      <c r="AI1525" t="str">
        <f>VLOOKUP(E1525,Assumptions!$B$116:$C$162,2,FALSE)</f>
        <v>ONSITE_USE</v>
      </c>
      <c r="AJ1525" t="str">
        <f>VLOOKUP(F1525,Assumptions!$B$116:$C$162,2,FALSE)</f>
        <v>H2_CCGT_PWR</v>
      </c>
    </row>
    <row r="1526" spans="2:36" x14ac:dyDescent="0.25">
      <c r="B1526" t="s">
        <v>127</v>
      </c>
      <c r="C1526" t="s">
        <v>59</v>
      </c>
      <c r="D1526" s="60" t="s">
        <v>130</v>
      </c>
      <c r="E1526" t="s">
        <v>66</v>
      </c>
      <c r="F1526" t="s">
        <v>163</v>
      </c>
      <c r="G1526" t="s">
        <v>114</v>
      </c>
      <c r="H1526" t="s">
        <v>433</v>
      </c>
      <c r="I1526" t="s">
        <v>32</v>
      </c>
      <c r="J1526" t="s">
        <v>82</v>
      </c>
      <c r="K1526">
        <f t="shared" ref="K1526" si="4753">SUMPRODUCT(($C$7:$C$18=$C1526)*($D$6:$H$6=$D1526)*($D$7:$H$18))</f>
        <v>1</v>
      </c>
      <c r="L1526">
        <f t="shared" ref="L1526" si="4754">SUMPRODUCT(($C$19:$C$23=$D1526)*($I$6:$O$6=$E1526)*($I$19:$O$23))</f>
        <v>1</v>
      </c>
      <c r="M1526">
        <f t="shared" ref="M1526" si="4755">SUMPRODUCT(($C$24:$C$30=$E1526)*($P$6:$AI$6=$F1526)*($P$24:$AI$30))</f>
        <v>1</v>
      </c>
      <c r="N1526">
        <f t="shared" ref="N1526" si="4756">SUMPRODUCT(($C$31:$C$50=$F1526)*($AJ$6:$AM$6=$G1526)*($AJ$31:$AM$50))</f>
        <v>0</v>
      </c>
      <c r="O1526">
        <f t="shared" ref="O1526" si="4757">K1526+L1526+M1526+N1526</f>
        <v>3</v>
      </c>
      <c r="P1526" t="str">
        <f t="shared" ref="P1526" si="4758">CONCATENATE(C1526,"-",J1526)</f>
        <v>Medium decentralized natural gas steam reforming-Public acceptability</v>
      </c>
      <c r="Q1526" t="str">
        <f t="shared" ref="Q1526" si="4759">CONCATENATE(D1526,"-",J1526)</f>
        <v>Distributed gas storage-Public acceptability</v>
      </c>
      <c r="R1526" t="str">
        <f t="shared" ref="R1526" si="4760">CONCATENATE(E1526,"-",J1526)</f>
        <v>Onsite-Public acceptability</v>
      </c>
      <c r="S1526" t="str">
        <f t="shared" ref="S1526" si="4761">CONCATENATE(F1526,"-",J1526)</f>
        <v>Hydrogen turbine (CC)-Public acceptability</v>
      </c>
      <c r="T1526" s="54">
        <f ca="1">VLOOKUP($P1526,'TA database'!$I$8:$J$79,2,FALSE)</f>
        <v>100</v>
      </c>
      <c r="U1526" s="54">
        <f ca="1">VLOOKUP($Q1526,'TA database'!$I$86:$J$105,2,FALSE)</f>
        <v>60</v>
      </c>
      <c r="V1526" s="54">
        <f ca="1">VLOOKUP($R1526,'TA database'!$I$112:$J$139,2,FALSE)</f>
        <v>90</v>
      </c>
      <c r="W1526" s="54">
        <f>IFERROR(VLOOKUP($S1526,'TA database'!$I$146:$J$193,2,FALSE),0)</f>
        <v>0</v>
      </c>
      <c r="X1526" s="54">
        <f ca="1">IFERROR(VLOOKUP($S1526,'TA database'!$I$200:$J$271,2,FALSE),0)</f>
        <v>80</v>
      </c>
      <c r="Y1526" s="59">
        <f t="shared" ca="1" si="4752"/>
        <v>43.2</v>
      </c>
      <c r="Z1526" t="str">
        <f t="shared" ref="Z1526" si="4762">CONCATENATE(AG1526,"   →   ",AH1526,"   →   ",AI1526,"   →   ",AJ1526)</f>
        <v>NG_SR_MED_D   →   D_GAS_STRG   →   ONSITE_USE   →   H2_CCGT_PWR</v>
      </c>
      <c r="AA1526" t="str">
        <f t="shared" ref="AA1526" si="4763">G1526</f>
        <v>Grid electricity</v>
      </c>
      <c r="AB1526" t="str">
        <f t="shared" ref="AB1526" si="4764">J1526</f>
        <v>Public acceptability</v>
      </c>
      <c r="AC1526">
        <f t="shared" ref="AC1526" ca="1" si="4765">Y1526</f>
        <v>43.2</v>
      </c>
      <c r="AD1526">
        <v>1467</v>
      </c>
      <c r="AE1526" t="str">
        <f>IF(AND(ISNUMBER(SEARCH(O1526,4)),ISNUMBER(SEARCH('(4) FCH pathway assessment'!$B$16,AB1526)),ISNUMBER(SEARCH('(4) FCH pathway assessment'!$B$10,AA1526))),AD1526,"")</f>
        <v/>
      </c>
      <c r="AF1526" t="str">
        <f t="shared" si="4569"/>
        <v/>
      </c>
      <c r="AG1526" t="str">
        <f>VLOOKUP(C1526,Assumptions!$B$116:$C$162,2,FALSE)</f>
        <v>NG_SR_MED_D</v>
      </c>
      <c r="AH1526" t="str">
        <f>VLOOKUP(D1526,Assumptions!$B$116:$C$162,2,FALSE)</f>
        <v>D_GAS_STRG</v>
      </c>
      <c r="AI1526" t="str">
        <f>VLOOKUP(E1526,Assumptions!$B$116:$C$162,2,FALSE)</f>
        <v>ONSITE_USE</v>
      </c>
      <c r="AJ1526" t="str">
        <f>VLOOKUP(F1526,Assumptions!$B$116:$C$162,2,FALSE)</f>
        <v>H2_CCGT_PWR</v>
      </c>
    </row>
    <row r="1527" spans="2:36" x14ac:dyDescent="0.25">
      <c r="B1527" t="s">
        <v>127</v>
      </c>
      <c r="C1527" t="s">
        <v>60</v>
      </c>
      <c r="D1527" s="60" t="s">
        <v>130</v>
      </c>
      <c r="E1527" t="s">
        <v>66</v>
      </c>
      <c r="F1527" t="s">
        <v>163</v>
      </c>
      <c r="G1527" t="s">
        <v>114</v>
      </c>
      <c r="H1527" t="s">
        <v>433</v>
      </c>
      <c r="I1527" t="s">
        <v>32</v>
      </c>
      <c r="J1527" t="s">
        <v>82</v>
      </c>
      <c r="K1527">
        <f t="shared" ref="K1527:K1531" si="4766">SUMPRODUCT(($C$7:$C$18=$C1527)*($D$6:$H$6=$D1527)*($D$7:$H$18))</f>
        <v>1</v>
      </c>
      <c r="L1527">
        <f t="shared" ref="L1527:L1531" si="4767">SUMPRODUCT(($C$19:$C$23=$D1527)*($I$6:$O$6=$E1527)*($I$19:$O$23))</f>
        <v>1</v>
      </c>
      <c r="M1527">
        <f t="shared" ref="M1527:M1531" si="4768">SUMPRODUCT(($C$24:$C$30=$E1527)*($P$6:$AI$6=$F1527)*($P$24:$AI$30))</f>
        <v>1</v>
      </c>
      <c r="N1527">
        <f t="shared" ref="N1527:N1531" si="4769">SUMPRODUCT(($C$31:$C$50=$F1527)*($AJ$6:$AM$6=$G1527)*($AJ$31:$AM$50))</f>
        <v>0</v>
      </c>
      <c r="O1527">
        <f t="shared" ref="O1527:O1530" si="4770">K1527+L1527+M1527+N1527</f>
        <v>3</v>
      </c>
      <c r="P1527" t="str">
        <f t="shared" ref="P1527:P1531" si="4771">CONCATENATE(C1527,"-",J1527)</f>
        <v>Small decentralized natural gas steam reforming-Public acceptability</v>
      </c>
      <c r="Q1527" t="str">
        <f t="shared" ref="Q1527:Q1531" si="4772">CONCATENATE(D1527,"-",J1527)</f>
        <v>Distributed gas storage-Public acceptability</v>
      </c>
      <c r="R1527" t="str">
        <f t="shared" ref="R1527:R1531" si="4773">CONCATENATE(E1527,"-",J1527)</f>
        <v>Onsite-Public acceptability</v>
      </c>
      <c r="S1527" t="str">
        <f t="shared" ref="S1527:S1531" si="4774">CONCATENATE(F1527,"-",J1527)</f>
        <v>Hydrogen turbine (CC)-Public acceptability</v>
      </c>
      <c r="T1527" s="54">
        <f ca="1">VLOOKUP($P1527,'TA database'!$I$8:$J$79,2,FALSE)</f>
        <v>100</v>
      </c>
      <c r="U1527" s="54">
        <f ca="1">VLOOKUP($Q1527,'TA database'!$I$86:$J$105,2,FALSE)</f>
        <v>60</v>
      </c>
      <c r="V1527" s="54">
        <f ca="1">VLOOKUP($R1527,'TA database'!$I$112:$J$139,2,FALSE)</f>
        <v>90</v>
      </c>
      <c r="W1527" s="54">
        <f>IFERROR(VLOOKUP($S1527,'TA database'!$I$146:$J$193,2,FALSE),0)</f>
        <v>0</v>
      </c>
      <c r="X1527" s="54">
        <f ca="1">IFERROR(VLOOKUP($S1527,'TA database'!$I$200:$J$271,2,FALSE),0)</f>
        <v>80</v>
      </c>
      <c r="Y1527" s="59">
        <f t="shared" ref="Y1527" ca="1" si="4775">IF($W1527=0,(PRODUCT($T1527:$V1527,$X1527))/1000000,(PRODUCT($T1527:$W1527))/1000000)</f>
        <v>43.2</v>
      </c>
      <c r="Z1527" t="str">
        <f t="shared" ref="Z1527:Z1530" si="4776">CONCATENATE(AG1527,"   →   ",AH1527,"   →   ",AI1527,"   →   ",AJ1527)</f>
        <v>NG_SR_SML_D   →   D_GAS_STRG   →   ONSITE_USE   →   H2_CCGT_PWR</v>
      </c>
      <c r="AA1527" t="str">
        <f t="shared" ref="AA1527:AA1530" si="4777">G1527</f>
        <v>Grid electricity</v>
      </c>
      <c r="AB1527" t="str">
        <f t="shared" ref="AB1527:AB1530" si="4778">J1527</f>
        <v>Public acceptability</v>
      </c>
      <c r="AC1527">
        <f t="shared" ref="AC1527:AC1530" ca="1" si="4779">Y1527</f>
        <v>43.2</v>
      </c>
      <c r="AD1527">
        <v>1468</v>
      </c>
      <c r="AE1527" t="str">
        <f>IF(AND(ISNUMBER(SEARCH(O1527,4)),ISNUMBER(SEARCH('(4) FCH pathway assessment'!$B$16,AB1527)),ISNUMBER(SEARCH('(4) FCH pathway assessment'!$B$10,AA1527))),AD1527,"")</f>
        <v/>
      </c>
      <c r="AF1527" t="str">
        <f t="shared" si="4569"/>
        <v/>
      </c>
      <c r="AG1527" t="str">
        <f>VLOOKUP(C1527,Assumptions!$B$116:$C$162,2,FALSE)</f>
        <v>NG_SR_SML_D</v>
      </c>
      <c r="AH1527" t="str">
        <f>VLOOKUP(D1527,Assumptions!$B$116:$C$162,2,FALSE)</f>
        <v>D_GAS_STRG</v>
      </c>
      <c r="AI1527" t="str">
        <f>VLOOKUP(E1527,Assumptions!$B$116:$C$162,2,FALSE)</f>
        <v>ONSITE_USE</v>
      </c>
      <c r="AJ1527" t="str">
        <f>VLOOKUP(F1527,Assumptions!$B$116:$C$162,2,FALSE)</f>
        <v>H2_CCGT_PWR</v>
      </c>
    </row>
    <row r="1528" spans="2:36" x14ac:dyDescent="0.25">
      <c r="B1528" t="s">
        <v>117</v>
      </c>
      <c r="C1528" t="s">
        <v>53</v>
      </c>
      <c r="D1528" t="s">
        <v>155</v>
      </c>
      <c r="E1528" t="s">
        <v>157</v>
      </c>
      <c r="F1528" t="s">
        <v>162</v>
      </c>
      <c r="G1528" t="s">
        <v>114</v>
      </c>
      <c r="H1528" t="s">
        <v>433</v>
      </c>
      <c r="I1528" t="s">
        <v>32</v>
      </c>
      <c r="J1528" t="s">
        <v>82</v>
      </c>
      <c r="K1528">
        <f t="shared" si="4766"/>
        <v>0</v>
      </c>
      <c r="L1528">
        <f t="shared" si="4767"/>
        <v>1</v>
      </c>
      <c r="M1528">
        <f t="shared" si="4768"/>
        <v>0</v>
      </c>
      <c r="N1528">
        <f t="shared" si="4769"/>
        <v>0</v>
      </c>
      <c r="O1528">
        <f t="shared" si="4770"/>
        <v>1</v>
      </c>
      <c r="P1528" t="str">
        <f t="shared" si="4771"/>
        <v>Medium centralized biomass gasification-Public acceptability</v>
      </c>
      <c r="Q1528" t="str">
        <f t="shared" si="4772"/>
        <v>Central gas storage-Public acceptability</v>
      </c>
      <c r="R1528" t="str">
        <f t="shared" si="4773"/>
        <v>Blending in natural gas pipeline-Public acceptability</v>
      </c>
      <c r="S1528" t="str">
        <f t="shared" si="4774"/>
        <v>Hydrogen turbine (OC)-Public acceptability</v>
      </c>
      <c r="T1528" s="54">
        <f ca="1">VLOOKUP($P1528,'TA database'!$I$8:$J$79,2,FALSE)</f>
        <v>70</v>
      </c>
      <c r="U1528" s="54">
        <f ca="1">VLOOKUP($Q1528,'TA database'!$I$86:$J$105,2,FALSE)</f>
        <v>60</v>
      </c>
      <c r="V1528" s="54">
        <f ca="1">VLOOKUP($R1528,'TA database'!$I$112:$J$139,2,FALSE)</f>
        <v>90</v>
      </c>
      <c r="W1528" s="54">
        <f>IFERROR(VLOOKUP($S1528,'TA database'!$I$146:$J$193,2,FALSE),0)</f>
        <v>0</v>
      </c>
      <c r="X1528" s="54">
        <f ca="1">IFERROR(VLOOKUP($S1528,'TA database'!$I$200:$J$271,2,FALSE),0)</f>
        <v>80</v>
      </c>
      <c r="Y1528" s="59">
        <f t="shared" ref="Y1528:Y1535" ca="1" si="4780">IF($W1528=0,(PRODUCT($T1528:$V1528,$X1528))/1000000,(PRODUCT($T1528:$W1528))/1000000)</f>
        <v>30.24</v>
      </c>
      <c r="Z1528" t="str">
        <f t="shared" si="4776"/>
        <v>BIO_GSF_MED_C   →   C_GAS_STRG   →   H2_BLND_NG_P   →   H2_OCGT_PWR</v>
      </c>
      <c r="AA1528" t="str">
        <f t="shared" si="4777"/>
        <v>Grid electricity</v>
      </c>
      <c r="AB1528" t="str">
        <f t="shared" si="4778"/>
        <v>Public acceptability</v>
      </c>
      <c r="AC1528">
        <f t="shared" ca="1" si="4779"/>
        <v>30.24</v>
      </c>
      <c r="AD1528">
        <v>1469</v>
      </c>
      <c r="AE1528" t="str">
        <f>IF(AND(ISNUMBER(SEARCH(O1528,4)),ISNUMBER(SEARCH('(4) FCH pathway assessment'!$B$16,AB1528)),ISNUMBER(SEARCH('(4) FCH pathway assessment'!$B$10,AA1528))),AD1528,"")</f>
        <v/>
      </c>
      <c r="AF1528" t="str">
        <f t="shared" si="4569"/>
        <v/>
      </c>
      <c r="AG1528" t="str">
        <f>VLOOKUP(C1528,Assumptions!$B$116:$C$162,2,FALSE)</f>
        <v>BIO_GSF_MED_C</v>
      </c>
      <c r="AH1528" t="str">
        <f>VLOOKUP(D1528,Assumptions!$B$116:$C$162,2,FALSE)</f>
        <v>C_GAS_STRG</v>
      </c>
      <c r="AI1528" t="str">
        <f>VLOOKUP(E1528,Assumptions!$B$116:$C$162,2,FALSE)</f>
        <v>H2_BLND_NG_P</v>
      </c>
      <c r="AJ1528" t="str">
        <f>VLOOKUP(F1528,Assumptions!$B$116:$C$162,2,FALSE)</f>
        <v>H2_OCGT_PWR</v>
      </c>
    </row>
    <row r="1529" spans="2:36" x14ac:dyDescent="0.25">
      <c r="B1529" t="s">
        <v>117</v>
      </c>
      <c r="C1529" t="s">
        <v>53</v>
      </c>
      <c r="D1529" t="s">
        <v>155</v>
      </c>
      <c r="E1529" t="s">
        <v>122</v>
      </c>
      <c r="F1529" t="s">
        <v>162</v>
      </c>
      <c r="G1529" t="s">
        <v>114</v>
      </c>
      <c r="H1529" t="s">
        <v>433</v>
      </c>
      <c r="I1529" t="s">
        <v>32</v>
      </c>
      <c r="J1529" t="s">
        <v>82</v>
      </c>
      <c r="K1529">
        <f t="shared" si="4766"/>
        <v>0</v>
      </c>
      <c r="L1529">
        <f t="shared" si="4767"/>
        <v>1</v>
      </c>
      <c r="M1529">
        <f t="shared" si="4768"/>
        <v>1</v>
      </c>
      <c r="N1529">
        <f t="shared" si="4769"/>
        <v>0</v>
      </c>
      <c r="O1529">
        <f t="shared" si="4770"/>
        <v>2</v>
      </c>
      <c r="P1529" t="str">
        <f t="shared" si="4771"/>
        <v>Medium centralized biomass gasification-Public acceptability</v>
      </c>
      <c r="Q1529" t="str">
        <f t="shared" si="4772"/>
        <v>Central gas storage-Public acceptability</v>
      </c>
      <c r="R1529" t="str">
        <f t="shared" si="4773"/>
        <v>Hydrogen transmission &amp; distribution pipeline-Public acceptability</v>
      </c>
      <c r="S1529" t="str">
        <f t="shared" si="4774"/>
        <v>Hydrogen turbine (OC)-Public acceptability</v>
      </c>
      <c r="T1529" s="54">
        <f ca="1">VLOOKUP($P1529,'TA database'!$I$8:$J$79,2,FALSE)</f>
        <v>70</v>
      </c>
      <c r="U1529" s="54">
        <f ca="1">VLOOKUP($Q1529,'TA database'!$I$86:$J$105,2,FALSE)</f>
        <v>60</v>
      </c>
      <c r="V1529" s="54">
        <f ca="1">VLOOKUP($R1529,'TA database'!$I$112:$J$139,2,FALSE)</f>
        <v>70</v>
      </c>
      <c r="W1529" s="54">
        <f>IFERROR(VLOOKUP($S1529,'TA database'!$I$146:$J$193,2,FALSE),0)</f>
        <v>0</v>
      </c>
      <c r="X1529" s="54">
        <f ca="1">IFERROR(VLOOKUP($S1529,'TA database'!$I$200:$J$271,2,FALSE),0)</f>
        <v>80</v>
      </c>
      <c r="Y1529" s="59">
        <f t="shared" ca="1" si="4780"/>
        <v>23.52</v>
      </c>
      <c r="Z1529" t="str">
        <f t="shared" si="4776"/>
        <v>BIO_GSF_MED_C   →   C_GAS_STRG   →   H2_T&amp;D_P   →   H2_OCGT_PWR</v>
      </c>
      <c r="AA1529" t="str">
        <f t="shared" si="4777"/>
        <v>Grid electricity</v>
      </c>
      <c r="AB1529" t="str">
        <f t="shared" si="4778"/>
        <v>Public acceptability</v>
      </c>
      <c r="AC1529">
        <f t="shared" ca="1" si="4779"/>
        <v>23.52</v>
      </c>
      <c r="AD1529">
        <v>1470</v>
      </c>
      <c r="AE1529" t="str">
        <f>IF(AND(ISNUMBER(SEARCH(O1529,4)),ISNUMBER(SEARCH('(4) FCH pathway assessment'!$B$16,AB1529)),ISNUMBER(SEARCH('(4) FCH pathway assessment'!$B$10,AA1529))),AD1529,"")</f>
        <v/>
      </c>
      <c r="AF1529" t="str">
        <f t="shared" si="4569"/>
        <v/>
      </c>
      <c r="AG1529" t="str">
        <f>VLOOKUP(C1529,Assumptions!$B$116:$C$162,2,FALSE)</f>
        <v>BIO_GSF_MED_C</v>
      </c>
      <c r="AH1529" t="str">
        <f>VLOOKUP(D1529,Assumptions!$B$116:$C$162,2,FALSE)</f>
        <v>C_GAS_STRG</v>
      </c>
      <c r="AI1529" t="str">
        <f>VLOOKUP(E1529,Assumptions!$B$116:$C$162,2,FALSE)</f>
        <v>H2_T&amp;D_P</v>
      </c>
      <c r="AJ1529" t="str">
        <f>VLOOKUP(F1529,Assumptions!$B$116:$C$162,2,FALSE)</f>
        <v>H2_OCGT_PWR</v>
      </c>
    </row>
    <row r="1530" spans="2:36" x14ac:dyDescent="0.25">
      <c r="B1530" t="s">
        <v>117</v>
      </c>
      <c r="C1530" t="s">
        <v>53</v>
      </c>
      <c r="D1530" t="s">
        <v>155</v>
      </c>
      <c r="E1530" t="s">
        <v>116</v>
      </c>
      <c r="F1530" t="s">
        <v>162</v>
      </c>
      <c r="G1530" t="s">
        <v>114</v>
      </c>
      <c r="H1530" t="s">
        <v>433</v>
      </c>
      <c r="I1530" t="s">
        <v>32</v>
      </c>
      <c r="J1530" t="s">
        <v>82</v>
      </c>
      <c r="K1530">
        <f t="shared" si="4766"/>
        <v>0</v>
      </c>
      <c r="L1530">
        <f t="shared" si="4767"/>
        <v>1</v>
      </c>
      <c r="M1530">
        <f t="shared" si="4768"/>
        <v>1</v>
      </c>
      <c r="N1530">
        <f t="shared" si="4769"/>
        <v>0</v>
      </c>
      <c r="O1530">
        <f t="shared" si="4770"/>
        <v>2</v>
      </c>
      <c r="P1530" t="str">
        <f t="shared" si="4771"/>
        <v>Medium centralized biomass gasification-Public acceptability</v>
      </c>
      <c r="Q1530" t="str">
        <f t="shared" si="4772"/>
        <v>Central gas storage-Public acceptability</v>
      </c>
      <c r="R1530" t="str">
        <f t="shared" si="4773"/>
        <v>Liquid hydrogen truck-Public acceptability</v>
      </c>
      <c r="S1530" t="str">
        <f t="shared" si="4774"/>
        <v>Hydrogen turbine (OC)-Public acceptability</v>
      </c>
      <c r="T1530" s="54">
        <f ca="1">VLOOKUP($P1530,'TA database'!$I$8:$J$79,2,FALSE)</f>
        <v>70</v>
      </c>
      <c r="U1530" s="54">
        <f ca="1">VLOOKUP($Q1530,'TA database'!$I$86:$J$105,2,FALSE)</f>
        <v>60</v>
      </c>
      <c r="V1530" s="54">
        <f ca="1">VLOOKUP($R1530,'TA database'!$I$112:$J$139,2,FALSE)</f>
        <v>100</v>
      </c>
      <c r="W1530" s="54">
        <f>IFERROR(VLOOKUP($S1530,'TA database'!$I$146:$J$193,2,FALSE),0)</f>
        <v>0</v>
      </c>
      <c r="X1530" s="54">
        <f ca="1">IFERROR(VLOOKUP($S1530,'TA database'!$I$200:$J$271,2,FALSE),0)</f>
        <v>80</v>
      </c>
      <c r="Y1530" s="59">
        <f t="shared" ca="1" si="4780"/>
        <v>33.6</v>
      </c>
      <c r="Z1530" t="str">
        <f t="shared" si="4776"/>
        <v>BIO_GSF_MED_C   →   C_GAS_STRG   →   LQ_TRUCK   →   H2_OCGT_PWR</v>
      </c>
      <c r="AA1530" t="str">
        <f t="shared" si="4777"/>
        <v>Grid electricity</v>
      </c>
      <c r="AB1530" t="str">
        <f t="shared" si="4778"/>
        <v>Public acceptability</v>
      </c>
      <c r="AC1530">
        <f t="shared" ca="1" si="4779"/>
        <v>33.6</v>
      </c>
      <c r="AD1530">
        <v>1471</v>
      </c>
      <c r="AE1530" t="str">
        <f>IF(AND(ISNUMBER(SEARCH(O1530,4)),ISNUMBER(SEARCH('(4) FCH pathway assessment'!$B$16,AB1530)),ISNUMBER(SEARCH('(4) FCH pathway assessment'!$B$10,AA1530))),AD1530,"")</f>
        <v/>
      </c>
      <c r="AF1530" t="str">
        <f t="shared" si="4569"/>
        <v/>
      </c>
      <c r="AG1530" t="str">
        <f>VLOOKUP(C1530,Assumptions!$B$116:$C$162,2,FALSE)</f>
        <v>BIO_GSF_MED_C</v>
      </c>
      <c r="AH1530" t="str">
        <f>VLOOKUP(D1530,Assumptions!$B$116:$C$162,2,FALSE)</f>
        <v>C_GAS_STRG</v>
      </c>
      <c r="AI1530" t="str">
        <f>VLOOKUP(E1530,Assumptions!$B$116:$C$162,2,FALSE)</f>
        <v>LQ_TRUCK</v>
      </c>
      <c r="AJ1530" t="str">
        <f>VLOOKUP(F1530,Assumptions!$B$116:$C$162,2,FALSE)</f>
        <v>H2_OCGT_PWR</v>
      </c>
    </row>
    <row r="1531" spans="2:36" x14ac:dyDescent="0.25">
      <c r="B1531" t="s">
        <v>117</v>
      </c>
      <c r="C1531" t="s">
        <v>53</v>
      </c>
      <c r="D1531" t="s">
        <v>155</v>
      </c>
      <c r="E1531" t="s">
        <v>66</v>
      </c>
      <c r="F1531" t="s">
        <v>162</v>
      </c>
      <c r="G1531" t="s">
        <v>114</v>
      </c>
      <c r="H1531" t="s">
        <v>433</v>
      </c>
      <c r="I1531" t="s">
        <v>32</v>
      </c>
      <c r="J1531" t="s">
        <v>82</v>
      </c>
      <c r="K1531">
        <f t="shared" si="4766"/>
        <v>0</v>
      </c>
      <c r="L1531">
        <f t="shared" si="4767"/>
        <v>1</v>
      </c>
      <c r="M1531">
        <f t="shared" si="4768"/>
        <v>1</v>
      </c>
      <c r="N1531">
        <f t="shared" si="4769"/>
        <v>0</v>
      </c>
      <c r="O1531">
        <f t="shared" ref="O1531:O1535" si="4781">K1531+L1531+M1531+N1531</f>
        <v>2</v>
      </c>
      <c r="P1531" t="str">
        <f t="shared" si="4771"/>
        <v>Medium centralized biomass gasification-Public acceptability</v>
      </c>
      <c r="Q1531" t="str">
        <f t="shared" si="4772"/>
        <v>Central gas storage-Public acceptability</v>
      </c>
      <c r="R1531" t="str">
        <f t="shared" si="4773"/>
        <v>Onsite-Public acceptability</v>
      </c>
      <c r="S1531" t="str">
        <f t="shared" si="4774"/>
        <v>Hydrogen turbine (OC)-Public acceptability</v>
      </c>
      <c r="T1531" s="54">
        <f ca="1">VLOOKUP($P1531,'TA database'!$I$8:$J$79,2,FALSE)</f>
        <v>70</v>
      </c>
      <c r="U1531" s="54">
        <f ca="1">VLOOKUP($Q1531,'TA database'!$I$86:$J$105,2,FALSE)</f>
        <v>60</v>
      </c>
      <c r="V1531" s="54">
        <f ca="1">VLOOKUP($R1531,'TA database'!$I$112:$J$139,2,FALSE)</f>
        <v>90</v>
      </c>
      <c r="W1531" s="54">
        <f>IFERROR(VLOOKUP($S1531,'TA database'!$I$146:$J$193,2,FALSE),0)</f>
        <v>0</v>
      </c>
      <c r="X1531" s="54">
        <f ca="1">IFERROR(VLOOKUP($S1531,'TA database'!$I$200:$J$271,2,FALSE),0)</f>
        <v>80</v>
      </c>
      <c r="Y1531" s="59">
        <f t="shared" ca="1" si="4780"/>
        <v>30.24</v>
      </c>
      <c r="Z1531" t="str">
        <f t="shared" ref="Z1531:Z1535" si="4782">CONCATENATE(AG1531,"   →   ",AH1531,"   →   ",AI1531,"   →   ",AJ1531)</f>
        <v>BIO_GSF_MED_C   →   C_GAS_STRG   →   ONSITE_USE   →   H2_OCGT_PWR</v>
      </c>
      <c r="AA1531" t="str">
        <f t="shared" ref="AA1531:AA1535" si="4783">G1531</f>
        <v>Grid electricity</v>
      </c>
      <c r="AB1531" t="str">
        <f t="shared" ref="AB1531:AB1535" si="4784">J1531</f>
        <v>Public acceptability</v>
      </c>
      <c r="AC1531">
        <f t="shared" ref="AC1531:AC1535" ca="1" si="4785">Y1531</f>
        <v>30.24</v>
      </c>
      <c r="AD1531">
        <v>1472</v>
      </c>
      <c r="AE1531" t="str">
        <f>IF(AND(ISNUMBER(SEARCH(O1531,4)),ISNUMBER(SEARCH('(4) FCH pathway assessment'!$B$16,AB1531)),ISNUMBER(SEARCH('(4) FCH pathway assessment'!$B$10,AA1531))),AD1531,"")</f>
        <v/>
      </c>
      <c r="AF1531" t="str">
        <f t="shared" si="4569"/>
        <v/>
      </c>
      <c r="AG1531" t="str">
        <f>VLOOKUP(C1531,Assumptions!$B$116:$C$162,2,FALSE)</f>
        <v>BIO_GSF_MED_C</v>
      </c>
      <c r="AH1531" t="str">
        <f>VLOOKUP(D1531,Assumptions!$B$116:$C$162,2,FALSE)</f>
        <v>C_GAS_STRG</v>
      </c>
      <c r="AI1531" t="str">
        <f>VLOOKUP(E1531,Assumptions!$B$116:$C$162,2,FALSE)</f>
        <v>ONSITE_USE</v>
      </c>
      <c r="AJ1531" t="str">
        <f>VLOOKUP(F1531,Assumptions!$B$116:$C$162,2,FALSE)</f>
        <v>H2_OCGT_PWR</v>
      </c>
    </row>
    <row r="1532" spans="2:36" x14ac:dyDescent="0.25">
      <c r="B1532" t="s">
        <v>117</v>
      </c>
      <c r="C1532" t="s">
        <v>54</v>
      </c>
      <c r="D1532" t="s">
        <v>155</v>
      </c>
      <c r="E1532" t="s">
        <v>157</v>
      </c>
      <c r="F1532" t="s">
        <v>162</v>
      </c>
      <c r="G1532" t="s">
        <v>114</v>
      </c>
      <c r="H1532" t="s">
        <v>433</v>
      </c>
      <c r="I1532" t="s">
        <v>32</v>
      </c>
      <c r="J1532" t="s">
        <v>82</v>
      </c>
      <c r="K1532">
        <f t="shared" ref="K1532:K1535" si="4786">SUMPRODUCT(($C$7:$C$18=$C1532)*($D$6:$H$6=$D1532)*($D$7:$H$18))</f>
        <v>0</v>
      </c>
      <c r="L1532">
        <f t="shared" ref="L1532:L1535" si="4787">SUMPRODUCT(($C$19:$C$23=$D1532)*($I$6:$O$6=$E1532)*($I$19:$O$23))</f>
        <v>1</v>
      </c>
      <c r="M1532">
        <f t="shared" ref="M1532:M1535" si="4788">SUMPRODUCT(($C$24:$C$30=$E1532)*($P$6:$AI$6=$F1532)*($P$24:$AI$30))</f>
        <v>0</v>
      </c>
      <c r="N1532">
        <f t="shared" ref="N1532:N1535" si="4789">SUMPRODUCT(($C$31:$C$50=$F1532)*($AJ$6:$AM$6=$G1532)*($AJ$31:$AM$50))</f>
        <v>0</v>
      </c>
      <c r="O1532">
        <f t="shared" si="4781"/>
        <v>1</v>
      </c>
      <c r="P1532" t="str">
        <f t="shared" ref="P1532:P1535" si="4790">CONCATENATE(C1532,"-",J1532)</f>
        <v>Medium centralized biomass gasification w/ CCS-Public acceptability</v>
      </c>
      <c r="Q1532" t="str">
        <f t="shared" ref="Q1532:Q1535" si="4791">CONCATENATE(D1532,"-",J1532)</f>
        <v>Central gas storage-Public acceptability</v>
      </c>
      <c r="R1532" t="str">
        <f t="shared" ref="R1532:R1535" si="4792">CONCATENATE(E1532,"-",J1532)</f>
        <v>Blending in natural gas pipeline-Public acceptability</v>
      </c>
      <c r="S1532" t="str">
        <f t="shared" ref="S1532:S1535" si="4793">CONCATENATE(F1532,"-",J1532)</f>
        <v>Hydrogen turbine (OC)-Public acceptability</v>
      </c>
      <c r="T1532" s="54">
        <f ca="1">VLOOKUP($P1532,'TA database'!$I$8:$J$79,2,FALSE)</f>
        <v>60</v>
      </c>
      <c r="U1532" s="54">
        <f ca="1">VLOOKUP($Q1532,'TA database'!$I$86:$J$105,2,FALSE)</f>
        <v>60</v>
      </c>
      <c r="V1532" s="54">
        <f ca="1">VLOOKUP($R1532,'TA database'!$I$112:$J$139,2,FALSE)</f>
        <v>90</v>
      </c>
      <c r="W1532" s="54">
        <f>IFERROR(VLOOKUP($S1532,'TA database'!$I$146:$J$193,2,FALSE),0)</f>
        <v>0</v>
      </c>
      <c r="X1532" s="54">
        <f ca="1">IFERROR(VLOOKUP($S1532,'TA database'!$I$200:$J$271,2,FALSE),0)</f>
        <v>80</v>
      </c>
      <c r="Y1532" s="59">
        <f t="shared" ca="1" si="4780"/>
        <v>25.92</v>
      </c>
      <c r="Z1532" t="str">
        <f t="shared" si="4782"/>
        <v>BIO_GSF_CCS_MED_C   →   C_GAS_STRG   →   H2_BLND_NG_P   →   H2_OCGT_PWR</v>
      </c>
      <c r="AA1532" t="str">
        <f t="shared" si="4783"/>
        <v>Grid electricity</v>
      </c>
      <c r="AB1532" t="str">
        <f t="shared" si="4784"/>
        <v>Public acceptability</v>
      </c>
      <c r="AC1532">
        <f t="shared" ca="1" si="4785"/>
        <v>25.92</v>
      </c>
      <c r="AD1532">
        <v>1473</v>
      </c>
      <c r="AE1532" t="str">
        <f>IF(AND(ISNUMBER(SEARCH(O1532,4)),ISNUMBER(SEARCH('(4) FCH pathway assessment'!$B$16,AB1532)),ISNUMBER(SEARCH('(4) FCH pathway assessment'!$B$10,AA1532))),AD1532,"")</f>
        <v/>
      </c>
      <c r="AF1532" t="str">
        <f t="shared" ref="AF1532:AF1595" si="4794">IFERROR(SMALL($AE$60:$AE$1991,AD1532),"")</f>
        <v/>
      </c>
      <c r="AG1532" t="str">
        <f>VLOOKUP(C1532,Assumptions!$B$116:$C$162,2,FALSE)</f>
        <v>BIO_GSF_CCS_MED_C</v>
      </c>
      <c r="AH1532" t="str">
        <f>VLOOKUP(D1532,Assumptions!$B$116:$C$162,2,FALSE)</f>
        <v>C_GAS_STRG</v>
      </c>
      <c r="AI1532" t="str">
        <f>VLOOKUP(E1532,Assumptions!$B$116:$C$162,2,FALSE)</f>
        <v>H2_BLND_NG_P</v>
      </c>
      <c r="AJ1532" t="str">
        <f>VLOOKUP(F1532,Assumptions!$B$116:$C$162,2,FALSE)</f>
        <v>H2_OCGT_PWR</v>
      </c>
    </row>
    <row r="1533" spans="2:36" x14ac:dyDescent="0.25">
      <c r="B1533" t="s">
        <v>117</v>
      </c>
      <c r="C1533" t="s">
        <v>54</v>
      </c>
      <c r="D1533" t="s">
        <v>155</v>
      </c>
      <c r="E1533" t="s">
        <v>122</v>
      </c>
      <c r="F1533" t="s">
        <v>162</v>
      </c>
      <c r="G1533" t="s">
        <v>114</v>
      </c>
      <c r="H1533" t="s">
        <v>433</v>
      </c>
      <c r="I1533" t="s">
        <v>32</v>
      </c>
      <c r="J1533" t="s">
        <v>82</v>
      </c>
      <c r="K1533">
        <f t="shared" si="4786"/>
        <v>0</v>
      </c>
      <c r="L1533">
        <f t="shared" si="4787"/>
        <v>1</v>
      </c>
      <c r="M1533">
        <f t="shared" si="4788"/>
        <v>1</v>
      </c>
      <c r="N1533">
        <f t="shared" si="4789"/>
        <v>0</v>
      </c>
      <c r="O1533">
        <f t="shared" si="4781"/>
        <v>2</v>
      </c>
      <c r="P1533" t="str">
        <f t="shared" si="4790"/>
        <v>Medium centralized biomass gasification w/ CCS-Public acceptability</v>
      </c>
      <c r="Q1533" t="str">
        <f t="shared" si="4791"/>
        <v>Central gas storage-Public acceptability</v>
      </c>
      <c r="R1533" t="str">
        <f t="shared" si="4792"/>
        <v>Hydrogen transmission &amp; distribution pipeline-Public acceptability</v>
      </c>
      <c r="S1533" t="str">
        <f t="shared" si="4793"/>
        <v>Hydrogen turbine (OC)-Public acceptability</v>
      </c>
      <c r="T1533" s="54">
        <f ca="1">VLOOKUP($P1533,'TA database'!$I$8:$J$79,2,FALSE)</f>
        <v>60</v>
      </c>
      <c r="U1533" s="54">
        <f ca="1">VLOOKUP($Q1533,'TA database'!$I$86:$J$105,2,FALSE)</f>
        <v>60</v>
      </c>
      <c r="V1533" s="54">
        <f ca="1">VLOOKUP($R1533,'TA database'!$I$112:$J$139,2,FALSE)</f>
        <v>70</v>
      </c>
      <c r="W1533" s="54">
        <f>IFERROR(VLOOKUP($S1533,'TA database'!$I$146:$J$193,2,FALSE),0)</f>
        <v>0</v>
      </c>
      <c r="X1533" s="54">
        <f ca="1">IFERROR(VLOOKUP($S1533,'TA database'!$I$200:$J$271,2,FALSE),0)</f>
        <v>80</v>
      </c>
      <c r="Y1533" s="59">
        <f t="shared" ca="1" si="4780"/>
        <v>20.16</v>
      </c>
      <c r="Z1533" t="str">
        <f t="shared" si="4782"/>
        <v>BIO_GSF_CCS_MED_C   →   C_GAS_STRG   →   H2_T&amp;D_P   →   H2_OCGT_PWR</v>
      </c>
      <c r="AA1533" t="str">
        <f t="shared" si="4783"/>
        <v>Grid electricity</v>
      </c>
      <c r="AB1533" t="str">
        <f t="shared" si="4784"/>
        <v>Public acceptability</v>
      </c>
      <c r="AC1533">
        <f t="shared" ca="1" si="4785"/>
        <v>20.16</v>
      </c>
      <c r="AD1533">
        <v>1474</v>
      </c>
      <c r="AE1533" t="str">
        <f>IF(AND(ISNUMBER(SEARCH(O1533,4)),ISNUMBER(SEARCH('(4) FCH pathway assessment'!$B$16,AB1533)),ISNUMBER(SEARCH('(4) FCH pathway assessment'!$B$10,AA1533))),AD1533,"")</f>
        <v/>
      </c>
      <c r="AF1533" t="str">
        <f t="shared" si="4794"/>
        <v/>
      </c>
      <c r="AG1533" t="str">
        <f>VLOOKUP(C1533,Assumptions!$B$116:$C$162,2,FALSE)</f>
        <v>BIO_GSF_CCS_MED_C</v>
      </c>
      <c r="AH1533" t="str">
        <f>VLOOKUP(D1533,Assumptions!$B$116:$C$162,2,FALSE)</f>
        <v>C_GAS_STRG</v>
      </c>
      <c r="AI1533" t="str">
        <f>VLOOKUP(E1533,Assumptions!$B$116:$C$162,2,FALSE)</f>
        <v>H2_T&amp;D_P</v>
      </c>
      <c r="AJ1533" t="str">
        <f>VLOOKUP(F1533,Assumptions!$B$116:$C$162,2,FALSE)</f>
        <v>H2_OCGT_PWR</v>
      </c>
    </row>
    <row r="1534" spans="2:36" x14ac:dyDescent="0.25">
      <c r="B1534" t="s">
        <v>117</v>
      </c>
      <c r="C1534" t="s">
        <v>54</v>
      </c>
      <c r="D1534" t="s">
        <v>155</v>
      </c>
      <c r="E1534" t="s">
        <v>116</v>
      </c>
      <c r="F1534" t="s">
        <v>162</v>
      </c>
      <c r="G1534" t="s">
        <v>114</v>
      </c>
      <c r="H1534" t="s">
        <v>433</v>
      </c>
      <c r="I1534" t="s">
        <v>32</v>
      </c>
      <c r="J1534" t="s">
        <v>82</v>
      </c>
      <c r="K1534">
        <f t="shared" si="4786"/>
        <v>0</v>
      </c>
      <c r="L1534">
        <f t="shared" si="4787"/>
        <v>1</v>
      </c>
      <c r="M1534">
        <f t="shared" si="4788"/>
        <v>1</v>
      </c>
      <c r="N1534">
        <f t="shared" si="4789"/>
        <v>0</v>
      </c>
      <c r="O1534">
        <f t="shared" si="4781"/>
        <v>2</v>
      </c>
      <c r="P1534" t="str">
        <f t="shared" si="4790"/>
        <v>Medium centralized biomass gasification w/ CCS-Public acceptability</v>
      </c>
      <c r="Q1534" t="str">
        <f t="shared" si="4791"/>
        <v>Central gas storage-Public acceptability</v>
      </c>
      <c r="R1534" t="str">
        <f t="shared" si="4792"/>
        <v>Liquid hydrogen truck-Public acceptability</v>
      </c>
      <c r="S1534" t="str">
        <f t="shared" si="4793"/>
        <v>Hydrogen turbine (OC)-Public acceptability</v>
      </c>
      <c r="T1534" s="54">
        <f ca="1">VLOOKUP($P1534,'TA database'!$I$8:$J$79,2,FALSE)</f>
        <v>60</v>
      </c>
      <c r="U1534" s="54">
        <f ca="1">VLOOKUP($Q1534,'TA database'!$I$86:$J$105,2,FALSE)</f>
        <v>60</v>
      </c>
      <c r="V1534" s="54">
        <f ca="1">VLOOKUP($R1534,'TA database'!$I$112:$J$139,2,FALSE)</f>
        <v>100</v>
      </c>
      <c r="W1534" s="54">
        <f>IFERROR(VLOOKUP($S1534,'TA database'!$I$146:$J$193,2,FALSE),0)</f>
        <v>0</v>
      </c>
      <c r="X1534" s="54">
        <f ca="1">IFERROR(VLOOKUP($S1534,'TA database'!$I$200:$J$271,2,FALSE),0)</f>
        <v>80</v>
      </c>
      <c r="Y1534" s="59">
        <f t="shared" ca="1" si="4780"/>
        <v>28.8</v>
      </c>
      <c r="Z1534" t="str">
        <f t="shared" si="4782"/>
        <v>BIO_GSF_CCS_MED_C   →   C_GAS_STRG   →   LQ_TRUCK   →   H2_OCGT_PWR</v>
      </c>
      <c r="AA1534" t="str">
        <f t="shared" si="4783"/>
        <v>Grid electricity</v>
      </c>
      <c r="AB1534" t="str">
        <f t="shared" si="4784"/>
        <v>Public acceptability</v>
      </c>
      <c r="AC1534">
        <f t="shared" ca="1" si="4785"/>
        <v>28.8</v>
      </c>
      <c r="AD1534">
        <v>1475</v>
      </c>
      <c r="AE1534" t="str">
        <f>IF(AND(ISNUMBER(SEARCH(O1534,4)),ISNUMBER(SEARCH('(4) FCH pathway assessment'!$B$16,AB1534)),ISNUMBER(SEARCH('(4) FCH pathway assessment'!$B$10,AA1534))),AD1534,"")</f>
        <v/>
      </c>
      <c r="AF1534" t="str">
        <f t="shared" si="4794"/>
        <v/>
      </c>
      <c r="AG1534" t="str">
        <f>VLOOKUP(C1534,Assumptions!$B$116:$C$162,2,FALSE)</f>
        <v>BIO_GSF_CCS_MED_C</v>
      </c>
      <c r="AH1534" t="str">
        <f>VLOOKUP(D1534,Assumptions!$B$116:$C$162,2,FALSE)</f>
        <v>C_GAS_STRG</v>
      </c>
      <c r="AI1534" t="str">
        <f>VLOOKUP(E1534,Assumptions!$B$116:$C$162,2,FALSE)</f>
        <v>LQ_TRUCK</v>
      </c>
      <c r="AJ1534" t="str">
        <f>VLOOKUP(F1534,Assumptions!$B$116:$C$162,2,FALSE)</f>
        <v>H2_OCGT_PWR</v>
      </c>
    </row>
    <row r="1535" spans="2:36" x14ac:dyDescent="0.25">
      <c r="B1535" t="s">
        <v>117</v>
      </c>
      <c r="C1535" t="s">
        <v>54</v>
      </c>
      <c r="D1535" t="s">
        <v>155</v>
      </c>
      <c r="E1535" t="s">
        <v>66</v>
      </c>
      <c r="F1535" t="s">
        <v>162</v>
      </c>
      <c r="G1535" t="s">
        <v>114</v>
      </c>
      <c r="H1535" t="s">
        <v>433</v>
      </c>
      <c r="I1535" t="s">
        <v>32</v>
      </c>
      <c r="J1535" t="s">
        <v>82</v>
      </c>
      <c r="K1535">
        <f t="shared" si="4786"/>
        <v>0</v>
      </c>
      <c r="L1535">
        <f t="shared" si="4787"/>
        <v>1</v>
      </c>
      <c r="M1535">
        <f t="shared" si="4788"/>
        <v>1</v>
      </c>
      <c r="N1535">
        <f t="shared" si="4789"/>
        <v>0</v>
      </c>
      <c r="O1535">
        <f t="shared" si="4781"/>
        <v>2</v>
      </c>
      <c r="P1535" t="str">
        <f t="shared" si="4790"/>
        <v>Medium centralized biomass gasification w/ CCS-Public acceptability</v>
      </c>
      <c r="Q1535" t="str">
        <f t="shared" si="4791"/>
        <v>Central gas storage-Public acceptability</v>
      </c>
      <c r="R1535" t="str">
        <f t="shared" si="4792"/>
        <v>Onsite-Public acceptability</v>
      </c>
      <c r="S1535" t="str">
        <f t="shared" si="4793"/>
        <v>Hydrogen turbine (OC)-Public acceptability</v>
      </c>
      <c r="T1535" s="54">
        <f ca="1">VLOOKUP($P1535,'TA database'!$I$8:$J$79,2,FALSE)</f>
        <v>60</v>
      </c>
      <c r="U1535" s="54">
        <f ca="1">VLOOKUP($Q1535,'TA database'!$I$86:$J$105,2,FALSE)</f>
        <v>60</v>
      </c>
      <c r="V1535" s="54">
        <f ca="1">VLOOKUP($R1535,'TA database'!$I$112:$J$139,2,FALSE)</f>
        <v>90</v>
      </c>
      <c r="W1535" s="54">
        <f>IFERROR(VLOOKUP($S1535,'TA database'!$I$146:$J$193,2,FALSE),0)</f>
        <v>0</v>
      </c>
      <c r="X1535" s="54">
        <f ca="1">IFERROR(VLOOKUP($S1535,'TA database'!$I$200:$J$271,2,FALSE),0)</f>
        <v>80</v>
      </c>
      <c r="Y1535" s="59">
        <f t="shared" ca="1" si="4780"/>
        <v>25.92</v>
      </c>
      <c r="Z1535" t="str">
        <f t="shared" si="4782"/>
        <v>BIO_GSF_CCS_MED_C   →   C_GAS_STRG   →   ONSITE_USE   →   H2_OCGT_PWR</v>
      </c>
      <c r="AA1535" t="str">
        <f t="shared" si="4783"/>
        <v>Grid electricity</v>
      </c>
      <c r="AB1535" t="str">
        <f t="shared" si="4784"/>
        <v>Public acceptability</v>
      </c>
      <c r="AC1535">
        <f t="shared" ca="1" si="4785"/>
        <v>25.92</v>
      </c>
      <c r="AD1535">
        <v>1476</v>
      </c>
      <c r="AE1535" t="str">
        <f>IF(AND(ISNUMBER(SEARCH(O1535,4)),ISNUMBER(SEARCH('(4) FCH pathway assessment'!$B$16,AB1535)),ISNUMBER(SEARCH('(4) FCH pathway assessment'!$B$10,AA1535))),AD1535,"")</f>
        <v/>
      </c>
      <c r="AF1535" t="str">
        <f t="shared" si="4794"/>
        <v/>
      </c>
      <c r="AG1535" t="str">
        <f>VLOOKUP(C1535,Assumptions!$B$116:$C$162,2,FALSE)</f>
        <v>BIO_GSF_CCS_MED_C</v>
      </c>
      <c r="AH1535" t="str">
        <f>VLOOKUP(D1535,Assumptions!$B$116:$C$162,2,FALSE)</f>
        <v>C_GAS_STRG</v>
      </c>
      <c r="AI1535" t="str">
        <f>VLOOKUP(E1535,Assumptions!$B$116:$C$162,2,FALSE)</f>
        <v>ONSITE_USE</v>
      </c>
      <c r="AJ1535" t="str">
        <f>VLOOKUP(F1535,Assumptions!$B$116:$C$162,2,FALSE)</f>
        <v>H2_OCGT_PWR</v>
      </c>
    </row>
    <row r="1536" spans="2:36" x14ac:dyDescent="0.25">
      <c r="B1536" t="s">
        <v>117</v>
      </c>
      <c r="C1536" t="s">
        <v>55</v>
      </c>
      <c r="D1536" s="60" t="s">
        <v>130</v>
      </c>
      <c r="E1536" t="s">
        <v>66</v>
      </c>
      <c r="F1536" t="s">
        <v>162</v>
      </c>
      <c r="G1536" t="s">
        <v>114</v>
      </c>
      <c r="H1536" t="s">
        <v>433</v>
      </c>
      <c r="I1536" t="s">
        <v>32</v>
      </c>
      <c r="J1536" t="s">
        <v>82</v>
      </c>
      <c r="K1536">
        <f t="shared" ref="K1536:K1541" si="4795">SUMPRODUCT(($C$7:$C$18=$C1536)*($D$6:$H$6=$D1536)*($D$7:$H$18))</f>
        <v>0</v>
      </c>
      <c r="L1536">
        <f t="shared" ref="L1536:L1541" si="4796">SUMPRODUCT(($C$19:$C$23=$D1536)*($I$6:$O$6=$E1536)*($I$19:$O$23))</f>
        <v>1</v>
      </c>
      <c r="M1536">
        <f t="shared" ref="M1536:M1541" si="4797">SUMPRODUCT(($C$24:$C$30=$E1536)*($P$6:$AI$6=$F1536)*($P$24:$AI$30))</f>
        <v>1</v>
      </c>
      <c r="N1536">
        <f t="shared" ref="N1536:N1541" si="4798">SUMPRODUCT(($C$31:$C$50=$F1536)*($AJ$6:$AM$6=$G1536)*($AJ$31:$AM$50))</f>
        <v>0</v>
      </c>
      <c r="O1536">
        <f t="shared" ref="O1536:O1541" si="4799">K1536+L1536+M1536+N1536</f>
        <v>2</v>
      </c>
      <c r="P1536" t="str">
        <f t="shared" ref="P1536:P1541" si="4800">CONCATENATE(C1536,"-",J1536)</f>
        <v>Small decentralized biomass gasification-Public acceptability</v>
      </c>
      <c r="Q1536" t="str">
        <f t="shared" ref="Q1536:Q1541" si="4801">CONCATENATE(D1536,"-",J1536)</f>
        <v>Distributed gas storage-Public acceptability</v>
      </c>
      <c r="R1536" t="str">
        <f t="shared" ref="R1536:R1541" si="4802">CONCATENATE(E1536,"-",J1536)</f>
        <v>Onsite-Public acceptability</v>
      </c>
      <c r="S1536" t="str">
        <f t="shared" ref="S1536:S1541" si="4803">CONCATENATE(F1536,"-",J1536)</f>
        <v>Hydrogen turbine (OC)-Public acceptability</v>
      </c>
      <c r="T1536" s="54">
        <f ca="1">VLOOKUP($P1536,'TA database'!$I$8:$J$79,2,FALSE)</f>
        <v>70</v>
      </c>
      <c r="U1536" s="54">
        <f ca="1">VLOOKUP($Q1536,'TA database'!$I$86:$J$105,2,FALSE)</f>
        <v>60</v>
      </c>
      <c r="V1536" s="54">
        <f ca="1">VLOOKUP($R1536,'TA database'!$I$112:$J$139,2,FALSE)</f>
        <v>90</v>
      </c>
      <c r="W1536" s="54">
        <f>IFERROR(VLOOKUP($S1536,'TA database'!$I$146:$J$193,2,FALSE),0)</f>
        <v>0</v>
      </c>
      <c r="X1536" s="54">
        <f ca="1">IFERROR(VLOOKUP($S1536,'TA database'!$I$200:$J$271,2,FALSE),0)</f>
        <v>80</v>
      </c>
      <c r="Y1536" s="59">
        <f t="shared" ref="Y1536:Y1540" ca="1" si="4804">IF($W1536=0,(PRODUCT($T1536:$V1536,$X1536))/1000000,(PRODUCT($T1536:$W1536))/1000000)</f>
        <v>30.24</v>
      </c>
      <c r="Z1536" t="str">
        <f t="shared" ref="Z1536:Z1541" si="4805">CONCATENATE(AG1536,"   →   ",AH1536,"   →   ",AI1536,"   →   ",AJ1536)</f>
        <v>BIO_GSF_SML_D   →   D_GAS_STRG   →   ONSITE_USE   →   H2_OCGT_PWR</v>
      </c>
      <c r="AA1536" t="str">
        <f t="shared" ref="AA1536:AA1541" si="4806">G1536</f>
        <v>Grid electricity</v>
      </c>
      <c r="AB1536" t="str">
        <f t="shared" ref="AB1536:AB1541" si="4807">J1536</f>
        <v>Public acceptability</v>
      </c>
      <c r="AC1536">
        <f t="shared" ref="AC1536:AC1541" ca="1" si="4808">Y1536</f>
        <v>30.24</v>
      </c>
      <c r="AD1536">
        <v>1477</v>
      </c>
      <c r="AE1536" t="str">
        <f>IF(AND(ISNUMBER(SEARCH(O1536,4)),ISNUMBER(SEARCH('(4) FCH pathway assessment'!$B$16,AB1536)),ISNUMBER(SEARCH('(4) FCH pathway assessment'!$B$10,AA1536))),AD1536,"")</f>
        <v/>
      </c>
      <c r="AF1536" t="str">
        <f t="shared" si="4794"/>
        <v/>
      </c>
      <c r="AG1536" t="str">
        <f>VLOOKUP(C1536,Assumptions!$B$116:$C$162,2,FALSE)</f>
        <v>BIO_GSF_SML_D</v>
      </c>
      <c r="AH1536" t="str">
        <f>VLOOKUP(D1536,Assumptions!$B$116:$C$162,2,FALSE)</f>
        <v>D_GAS_STRG</v>
      </c>
      <c r="AI1536" t="str">
        <f>VLOOKUP(E1536,Assumptions!$B$116:$C$162,2,FALSE)</f>
        <v>ONSITE_USE</v>
      </c>
      <c r="AJ1536" t="str">
        <f>VLOOKUP(F1536,Assumptions!$B$116:$C$162,2,FALSE)</f>
        <v>H2_OCGT_PWR</v>
      </c>
    </row>
    <row r="1537" spans="2:36" x14ac:dyDescent="0.25">
      <c r="B1537" t="s">
        <v>117</v>
      </c>
      <c r="C1537" t="s">
        <v>56</v>
      </c>
      <c r="D1537" t="s">
        <v>62</v>
      </c>
      <c r="E1537" t="s">
        <v>157</v>
      </c>
      <c r="F1537" t="s">
        <v>162</v>
      </c>
      <c r="G1537" t="s">
        <v>114</v>
      </c>
      <c r="H1537" t="s">
        <v>433</v>
      </c>
      <c r="I1537" t="s">
        <v>32</v>
      </c>
      <c r="J1537" t="s">
        <v>82</v>
      </c>
      <c r="K1537">
        <f t="shared" si="4795"/>
        <v>0</v>
      </c>
      <c r="L1537">
        <f t="shared" si="4796"/>
        <v>0</v>
      </c>
      <c r="M1537">
        <f t="shared" si="4797"/>
        <v>0</v>
      </c>
      <c r="N1537">
        <f t="shared" si="4798"/>
        <v>0</v>
      </c>
      <c r="O1537">
        <f t="shared" si="4799"/>
        <v>0</v>
      </c>
      <c r="P1537" t="str">
        <f t="shared" si="4800"/>
        <v>Large centralized biomass steam reforming -Public acceptability</v>
      </c>
      <c r="Q1537" t="str">
        <f t="shared" si="4801"/>
        <v>Underground storage-Public acceptability</v>
      </c>
      <c r="R1537" t="str">
        <f t="shared" si="4802"/>
        <v>Blending in natural gas pipeline-Public acceptability</v>
      </c>
      <c r="S1537" t="str">
        <f t="shared" si="4803"/>
        <v>Hydrogen turbine (OC)-Public acceptability</v>
      </c>
      <c r="T1537" s="54">
        <f ca="1">VLOOKUP($P1537,'TA database'!$I$8:$J$79,2,FALSE)</f>
        <v>80</v>
      </c>
      <c r="U1537" s="54">
        <f ca="1">VLOOKUP($Q1537,'TA database'!$I$86:$J$105,2,FALSE)</f>
        <v>60</v>
      </c>
      <c r="V1537" s="54">
        <f ca="1">VLOOKUP($R1537,'TA database'!$I$112:$J$139,2,FALSE)</f>
        <v>90</v>
      </c>
      <c r="W1537" s="54">
        <f>IFERROR(VLOOKUP($S1537,'TA database'!$I$146:$J$193,2,FALSE),0)</f>
        <v>0</v>
      </c>
      <c r="X1537" s="54">
        <f ca="1">IFERROR(VLOOKUP($S1537,'TA database'!$I$200:$J$271,2,FALSE),0)</f>
        <v>80</v>
      </c>
      <c r="Y1537" s="59">
        <f t="shared" ca="1" si="4804"/>
        <v>34.56</v>
      </c>
      <c r="Z1537" t="str">
        <f t="shared" si="4805"/>
        <v>BIO_SR_LRG_C   →   C_UNDRGRND_STRG   →   H2_BLND_NG_P   →   H2_OCGT_PWR</v>
      </c>
      <c r="AA1537" t="str">
        <f t="shared" si="4806"/>
        <v>Grid electricity</v>
      </c>
      <c r="AB1537" t="str">
        <f t="shared" si="4807"/>
        <v>Public acceptability</v>
      </c>
      <c r="AC1537">
        <f t="shared" ca="1" si="4808"/>
        <v>34.56</v>
      </c>
      <c r="AD1537">
        <v>1478</v>
      </c>
      <c r="AE1537" t="str">
        <f>IF(AND(ISNUMBER(SEARCH(O1537,4)),ISNUMBER(SEARCH('(4) FCH pathway assessment'!$B$16,AB1537)),ISNUMBER(SEARCH('(4) FCH pathway assessment'!$B$10,AA1537))),AD1537,"")</f>
        <v/>
      </c>
      <c r="AF1537" t="str">
        <f t="shared" si="4794"/>
        <v/>
      </c>
      <c r="AG1537" t="str">
        <f>VLOOKUP(C1537,Assumptions!$B$116:$C$162,2,FALSE)</f>
        <v>BIO_SR_LRG_C</v>
      </c>
      <c r="AH1537" t="str">
        <f>VLOOKUP(D1537,Assumptions!$B$116:$C$162,2,FALSE)</f>
        <v>C_UNDRGRND_STRG</v>
      </c>
      <c r="AI1537" t="str">
        <f>VLOOKUP(E1537,Assumptions!$B$116:$C$162,2,FALSE)</f>
        <v>H2_BLND_NG_P</v>
      </c>
      <c r="AJ1537" t="str">
        <f>VLOOKUP(F1537,Assumptions!$B$116:$C$162,2,FALSE)</f>
        <v>H2_OCGT_PWR</v>
      </c>
    </row>
    <row r="1538" spans="2:36" x14ac:dyDescent="0.25">
      <c r="B1538" t="s">
        <v>117</v>
      </c>
      <c r="C1538" t="s">
        <v>56</v>
      </c>
      <c r="D1538" t="s">
        <v>62</v>
      </c>
      <c r="E1538" t="s">
        <v>122</v>
      </c>
      <c r="F1538" t="s">
        <v>162</v>
      </c>
      <c r="G1538" t="s">
        <v>114</v>
      </c>
      <c r="H1538" t="s">
        <v>433</v>
      </c>
      <c r="I1538" t="s">
        <v>32</v>
      </c>
      <c r="J1538" t="s">
        <v>82</v>
      </c>
      <c r="K1538">
        <f t="shared" si="4795"/>
        <v>0</v>
      </c>
      <c r="L1538">
        <f t="shared" si="4796"/>
        <v>0</v>
      </c>
      <c r="M1538">
        <f t="shared" si="4797"/>
        <v>1</v>
      </c>
      <c r="N1538">
        <f t="shared" si="4798"/>
        <v>0</v>
      </c>
      <c r="O1538">
        <f t="shared" si="4799"/>
        <v>1</v>
      </c>
      <c r="P1538" t="str">
        <f t="shared" si="4800"/>
        <v>Large centralized biomass steam reforming -Public acceptability</v>
      </c>
      <c r="Q1538" t="str">
        <f t="shared" si="4801"/>
        <v>Underground storage-Public acceptability</v>
      </c>
      <c r="R1538" t="str">
        <f t="shared" si="4802"/>
        <v>Hydrogen transmission &amp; distribution pipeline-Public acceptability</v>
      </c>
      <c r="S1538" t="str">
        <f t="shared" si="4803"/>
        <v>Hydrogen turbine (OC)-Public acceptability</v>
      </c>
      <c r="T1538" s="54">
        <f ca="1">VLOOKUP($P1538,'TA database'!$I$8:$J$79,2,FALSE)</f>
        <v>80</v>
      </c>
      <c r="U1538" s="54">
        <f ca="1">VLOOKUP($Q1538,'TA database'!$I$86:$J$105,2,FALSE)</f>
        <v>60</v>
      </c>
      <c r="V1538" s="54">
        <f ca="1">VLOOKUP($R1538,'TA database'!$I$112:$J$139,2,FALSE)</f>
        <v>70</v>
      </c>
      <c r="W1538" s="54">
        <f>IFERROR(VLOOKUP($S1538,'TA database'!$I$146:$J$193,2,FALSE),0)</f>
        <v>0</v>
      </c>
      <c r="X1538" s="54">
        <f ca="1">IFERROR(VLOOKUP($S1538,'TA database'!$I$200:$J$271,2,FALSE),0)</f>
        <v>80</v>
      </c>
      <c r="Y1538" s="59">
        <f t="shared" ca="1" si="4804"/>
        <v>26.88</v>
      </c>
      <c r="Z1538" t="str">
        <f t="shared" si="4805"/>
        <v>BIO_SR_LRG_C   →   C_UNDRGRND_STRG   →   H2_T&amp;D_P   →   H2_OCGT_PWR</v>
      </c>
      <c r="AA1538" t="str">
        <f t="shared" si="4806"/>
        <v>Grid electricity</v>
      </c>
      <c r="AB1538" t="str">
        <f t="shared" si="4807"/>
        <v>Public acceptability</v>
      </c>
      <c r="AC1538">
        <f t="shared" ca="1" si="4808"/>
        <v>26.88</v>
      </c>
      <c r="AD1538">
        <v>1479</v>
      </c>
      <c r="AE1538" t="str">
        <f>IF(AND(ISNUMBER(SEARCH(O1538,4)),ISNUMBER(SEARCH('(4) FCH pathway assessment'!$B$16,AB1538)),ISNUMBER(SEARCH('(4) FCH pathway assessment'!$B$10,AA1538))),AD1538,"")</f>
        <v/>
      </c>
      <c r="AF1538" t="str">
        <f t="shared" si="4794"/>
        <v/>
      </c>
      <c r="AG1538" t="str">
        <f>VLOOKUP(C1538,Assumptions!$B$116:$C$162,2,FALSE)</f>
        <v>BIO_SR_LRG_C</v>
      </c>
      <c r="AH1538" t="str">
        <f>VLOOKUP(D1538,Assumptions!$B$116:$C$162,2,FALSE)</f>
        <v>C_UNDRGRND_STRG</v>
      </c>
      <c r="AI1538" t="str">
        <f>VLOOKUP(E1538,Assumptions!$B$116:$C$162,2,FALSE)</f>
        <v>H2_T&amp;D_P</v>
      </c>
      <c r="AJ1538" t="str">
        <f>VLOOKUP(F1538,Assumptions!$B$116:$C$162,2,FALSE)</f>
        <v>H2_OCGT_PWR</v>
      </c>
    </row>
    <row r="1539" spans="2:36" x14ac:dyDescent="0.25">
      <c r="B1539" t="s">
        <v>117</v>
      </c>
      <c r="C1539" t="s">
        <v>56</v>
      </c>
      <c r="D1539" t="s">
        <v>62</v>
      </c>
      <c r="E1539" t="s">
        <v>116</v>
      </c>
      <c r="F1539" t="s">
        <v>162</v>
      </c>
      <c r="G1539" t="s">
        <v>114</v>
      </c>
      <c r="H1539" t="s">
        <v>433</v>
      </c>
      <c r="I1539" t="s">
        <v>32</v>
      </c>
      <c r="J1539" t="s">
        <v>82</v>
      </c>
      <c r="K1539">
        <f t="shared" si="4795"/>
        <v>0</v>
      </c>
      <c r="L1539">
        <f t="shared" si="4796"/>
        <v>0</v>
      </c>
      <c r="M1539">
        <f t="shared" si="4797"/>
        <v>1</v>
      </c>
      <c r="N1539">
        <f t="shared" si="4798"/>
        <v>0</v>
      </c>
      <c r="O1539">
        <f t="shared" si="4799"/>
        <v>1</v>
      </c>
      <c r="P1539" t="str">
        <f t="shared" si="4800"/>
        <v>Large centralized biomass steam reforming -Public acceptability</v>
      </c>
      <c r="Q1539" t="str">
        <f t="shared" si="4801"/>
        <v>Underground storage-Public acceptability</v>
      </c>
      <c r="R1539" t="str">
        <f t="shared" si="4802"/>
        <v>Liquid hydrogen truck-Public acceptability</v>
      </c>
      <c r="S1539" t="str">
        <f t="shared" si="4803"/>
        <v>Hydrogen turbine (OC)-Public acceptability</v>
      </c>
      <c r="T1539" s="54">
        <f ca="1">VLOOKUP($P1539,'TA database'!$I$8:$J$79,2,FALSE)</f>
        <v>80</v>
      </c>
      <c r="U1539" s="54">
        <f ca="1">VLOOKUP($Q1539,'TA database'!$I$86:$J$105,2,FALSE)</f>
        <v>60</v>
      </c>
      <c r="V1539" s="54">
        <f ca="1">VLOOKUP($R1539,'TA database'!$I$112:$J$139,2,FALSE)</f>
        <v>100</v>
      </c>
      <c r="W1539" s="54">
        <f>IFERROR(VLOOKUP($S1539,'TA database'!$I$146:$J$193,2,FALSE),0)</f>
        <v>0</v>
      </c>
      <c r="X1539" s="54">
        <f ca="1">IFERROR(VLOOKUP($S1539,'TA database'!$I$200:$J$271,2,FALSE),0)</f>
        <v>80</v>
      </c>
      <c r="Y1539" s="59">
        <f t="shared" ca="1" si="4804"/>
        <v>38.4</v>
      </c>
      <c r="Z1539" t="str">
        <f t="shared" si="4805"/>
        <v>BIO_SR_LRG_C   →   C_UNDRGRND_STRG   →   LQ_TRUCK   →   H2_OCGT_PWR</v>
      </c>
      <c r="AA1539" t="str">
        <f t="shared" si="4806"/>
        <v>Grid electricity</v>
      </c>
      <c r="AB1539" t="str">
        <f t="shared" si="4807"/>
        <v>Public acceptability</v>
      </c>
      <c r="AC1539">
        <f t="shared" ca="1" si="4808"/>
        <v>38.4</v>
      </c>
      <c r="AD1539">
        <v>1480</v>
      </c>
      <c r="AE1539" t="str">
        <f>IF(AND(ISNUMBER(SEARCH(O1539,4)),ISNUMBER(SEARCH('(4) FCH pathway assessment'!$B$16,AB1539)),ISNUMBER(SEARCH('(4) FCH pathway assessment'!$B$10,AA1539))),AD1539,"")</f>
        <v/>
      </c>
      <c r="AF1539" t="str">
        <f t="shared" si="4794"/>
        <v/>
      </c>
      <c r="AG1539" t="str">
        <f>VLOOKUP(C1539,Assumptions!$B$116:$C$162,2,FALSE)</f>
        <v>BIO_SR_LRG_C</v>
      </c>
      <c r="AH1539" t="str">
        <f>VLOOKUP(D1539,Assumptions!$B$116:$C$162,2,FALSE)</f>
        <v>C_UNDRGRND_STRG</v>
      </c>
      <c r="AI1539" t="str">
        <f>VLOOKUP(E1539,Assumptions!$B$116:$C$162,2,FALSE)</f>
        <v>LQ_TRUCK</v>
      </c>
      <c r="AJ1539" t="str">
        <f>VLOOKUP(F1539,Assumptions!$B$116:$C$162,2,FALSE)</f>
        <v>H2_OCGT_PWR</v>
      </c>
    </row>
    <row r="1540" spans="2:36" x14ac:dyDescent="0.25">
      <c r="B1540" t="s">
        <v>117</v>
      </c>
      <c r="C1540" t="s">
        <v>56</v>
      </c>
      <c r="D1540" t="s">
        <v>62</v>
      </c>
      <c r="E1540" t="s">
        <v>66</v>
      </c>
      <c r="F1540" t="s">
        <v>162</v>
      </c>
      <c r="G1540" t="s">
        <v>114</v>
      </c>
      <c r="H1540" t="s">
        <v>433</v>
      </c>
      <c r="I1540" t="s">
        <v>32</v>
      </c>
      <c r="J1540" t="s">
        <v>82</v>
      </c>
      <c r="K1540">
        <f t="shared" si="4795"/>
        <v>0</v>
      </c>
      <c r="L1540">
        <f t="shared" si="4796"/>
        <v>0</v>
      </c>
      <c r="M1540">
        <f t="shared" si="4797"/>
        <v>1</v>
      </c>
      <c r="N1540">
        <f t="shared" si="4798"/>
        <v>0</v>
      </c>
      <c r="O1540">
        <f t="shared" si="4799"/>
        <v>1</v>
      </c>
      <c r="P1540" t="str">
        <f t="shared" si="4800"/>
        <v>Large centralized biomass steam reforming -Public acceptability</v>
      </c>
      <c r="Q1540" t="str">
        <f t="shared" si="4801"/>
        <v>Underground storage-Public acceptability</v>
      </c>
      <c r="R1540" t="str">
        <f t="shared" si="4802"/>
        <v>Onsite-Public acceptability</v>
      </c>
      <c r="S1540" t="str">
        <f t="shared" si="4803"/>
        <v>Hydrogen turbine (OC)-Public acceptability</v>
      </c>
      <c r="T1540" s="54">
        <f ca="1">VLOOKUP($P1540,'TA database'!$I$8:$J$79,2,FALSE)</f>
        <v>80</v>
      </c>
      <c r="U1540" s="54">
        <f ca="1">VLOOKUP($Q1540,'TA database'!$I$86:$J$105,2,FALSE)</f>
        <v>60</v>
      </c>
      <c r="V1540" s="54">
        <f ca="1">VLOOKUP($R1540,'TA database'!$I$112:$J$139,2,FALSE)</f>
        <v>90</v>
      </c>
      <c r="W1540" s="54">
        <f>IFERROR(VLOOKUP($S1540,'TA database'!$I$146:$J$193,2,FALSE),0)</f>
        <v>0</v>
      </c>
      <c r="X1540" s="54">
        <f ca="1">IFERROR(VLOOKUP($S1540,'TA database'!$I$200:$J$271,2,FALSE),0)</f>
        <v>80</v>
      </c>
      <c r="Y1540" s="59">
        <f t="shared" ca="1" si="4804"/>
        <v>34.56</v>
      </c>
      <c r="Z1540" t="str">
        <f t="shared" si="4805"/>
        <v>BIO_SR_LRG_C   →   C_UNDRGRND_STRG   →   ONSITE_USE   →   H2_OCGT_PWR</v>
      </c>
      <c r="AA1540" t="str">
        <f t="shared" si="4806"/>
        <v>Grid electricity</v>
      </c>
      <c r="AB1540" t="str">
        <f t="shared" si="4807"/>
        <v>Public acceptability</v>
      </c>
      <c r="AC1540">
        <f t="shared" ca="1" si="4808"/>
        <v>34.56</v>
      </c>
      <c r="AD1540">
        <v>1481</v>
      </c>
      <c r="AE1540" t="str">
        <f>IF(AND(ISNUMBER(SEARCH(O1540,4)),ISNUMBER(SEARCH('(4) FCH pathway assessment'!$B$16,AB1540)),ISNUMBER(SEARCH('(4) FCH pathway assessment'!$B$10,AA1540))),AD1540,"")</f>
        <v/>
      </c>
      <c r="AF1540" t="str">
        <f t="shared" si="4794"/>
        <v/>
      </c>
      <c r="AG1540" t="str">
        <f>VLOOKUP(C1540,Assumptions!$B$116:$C$162,2,FALSE)</f>
        <v>BIO_SR_LRG_C</v>
      </c>
      <c r="AH1540" t="str">
        <f>VLOOKUP(D1540,Assumptions!$B$116:$C$162,2,FALSE)</f>
        <v>C_UNDRGRND_STRG</v>
      </c>
      <c r="AI1540" t="str">
        <f>VLOOKUP(E1540,Assumptions!$B$116:$C$162,2,FALSE)</f>
        <v>ONSITE_USE</v>
      </c>
      <c r="AJ1540" t="str">
        <f>VLOOKUP(F1540,Assumptions!$B$116:$C$162,2,FALSE)</f>
        <v>H2_OCGT_PWR</v>
      </c>
    </row>
    <row r="1541" spans="2:36" x14ac:dyDescent="0.25">
      <c r="B1541" t="s">
        <v>117</v>
      </c>
      <c r="C1541" t="s">
        <v>56</v>
      </c>
      <c r="D1541" s="61" t="s">
        <v>63</v>
      </c>
      <c r="E1541" t="s">
        <v>122</v>
      </c>
      <c r="F1541" t="s">
        <v>162</v>
      </c>
      <c r="G1541" t="s">
        <v>114</v>
      </c>
      <c r="H1541" t="s">
        <v>433</v>
      </c>
      <c r="I1541" t="s">
        <v>32</v>
      </c>
      <c r="J1541" t="s">
        <v>82</v>
      </c>
      <c r="K1541">
        <f t="shared" si="4795"/>
        <v>0</v>
      </c>
      <c r="L1541">
        <f t="shared" si="4796"/>
        <v>1</v>
      </c>
      <c r="M1541">
        <f t="shared" si="4797"/>
        <v>1</v>
      </c>
      <c r="N1541">
        <f t="shared" si="4798"/>
        <v>0</v>
      </c>
      <c r="O1541">
        <f t="shared" si="4799"/>
        <v>2</v>
      </c>
      <c r="P1541" t="str">
        <f t="shared" si="4800"/>
        <v>Large centralized biomass steam reforming -Public acceptability</v>
      </c>
      <c r="Q1541" t="str">
        <f t="shared" si="4801"/>
        <v>No storage-Public acceptability</v>
      </c>
      <c r="R1541" t="str">
        <f t="shared" si="4802"/>
        <v>Hydrogen transmission &amp; distribution pipeline-Public acceptability</v>
      </c>
      <c r="S1541" t="str">
        <f t="shared" si="4803"/>
        <v>Hydrogen turbine (OC)-Public acceptability</v>
      </c>
      <c r="T1541" s="54">
        <f ca="1">VLOOKUP($P1541,'TA database'!$I$8:$J$79,2,FALSE)</f>
        <v>80</v>
      </c>
      <c r="U1541" s="54">
        <f ca="1">VLOOKUP($Q1541,'TA database'!$I$86:$J$105,2,FALSE)</f>
        <v>100</v>
      </c>
      <c r="V1541" s="54">
        <f ca="1">VLOOKUP($R1541,'TA database'!$I$112:$J$139,2,FALSE)</f>
        <v>70</v>
      </c>
      <c r="W1541" s="54">
        <f>IFERROR(VLOOKUP($S1541,'TA database'!$I$146:$J$193,2,FALSE),0)</f>
        <v>0</v>
      </c>
      <c r="X1541" s="54">
        <f ca="1">IFERROR(VLOOKUP($S1541,'TA database'!$I$200:$J$271,2,FALSE),0)</f>
        <v>80</v>
      </c>
      <c r="Y1541" s="59">
        <f t="shared" ref="Y1541:Y1549" ca="1" si="4809">IF($W1541=0,(PRODUCT($T1541:$V1541,$X1541))/1000000,(PRODUCT($T1541:$W1541))/1000000)</f>
        <v>44.8</v>
      </c>
      <c r="Z1541" t="str">
        <f t="shared" si="4805"/>
        <v>BIO_SR_LRG_C   →   NO_STRG   →   H2_T&amp;D_P   →   H2_OCGT_PWR</v>
      </c>
      <c r="AA1541" t="str">
        <f t="shared" si="4806"/>
        <v>Grid electricity</v>
      </c>
      <c r="AB1541" t="str">
        <f t="shared" si="4807"/>
        <v>Public acceptability</v>
      </c>
      <c r="AC1541">
        <f t="shared" ca="1" si="4808"/>
        <v>44.8</v>
      </c>
      <c r="AD1541">
        <v>1482</v>
      </c>
      <c r="AE1541" t="str">
        <f>IF(AND(ISNUMBER(SEARCH(O1541,4)),ISNUMBER(SEARCH('(4) FCH pathway assessment'!$B$16,AB1541)),ISNUMBER(SEARCH('(4) FCH pathway assessment'!$B$10,AA1541))),AD1541,"")</f>
        <v/>
      </c>
      <c r="AF1541" t="str">
        <f t="shared" si="4794"/>
        <v/>
      </c>
      <c r="AG1541" t="str">
        <f>VLOOKUP(C1541,Assumptions!$B$116:$C$162,2,FALSE)</f>
        <v>BIO_SR_LRG_C</v>
      </c>
      <c r="AH1541" t="str">
        <f>VLOOKUP(D1541,Assumptions!$B$116:$C$162,2,FALSE)</f>
        <v>NO_STRG</v>
      </c>
      <c r="AI1541" t="str">
        <f>VLOOKUP(E1541,Assumptions!$B$116:$C$162,2,FALSE)</f>
        <v>H2_T&amp;D_P</v>
      </c>
      <c r="AJ1541" t="str">
        <f>VLOOKUP(F1541,Assumptions!$B$116:$C$162,2,FALSE)</f>
        <v>H2_OCGT_PWR</v>
      </c>
    </row>
    <row r="1542" spans="2:36" x14ac:dyDescent="0.25">
      <c r="B1542" t="s">
        <v>112</v>
      </c>
      <c r="C1542" t="s">
        <v>49</v>
      </c>
      <c r="D1542" t="s">
        <v>62</v>
      </c>
      <c r="E1542" t="s">
        <v>157</v>
      </c>
      <c r="F1542" t="s">
        <v>162</v>
      </c>
      <c r="G1542" t="s">
        <v>114</v>
      </c>
      <c r="H1542" t="s">
        <v>433</v>
      </c>
      <c r="I1542" t="s">
        <v>32</v>
      </c>
      <c r="J1542" t="s">
        <v>82</v>
      </c>
      <c r="K1542">
        <f t="shared" ref="K1542:K1553" si="4810">SUMPRODUCT(($C$7:$C$18=$C1542)*($D$6:$H$6=$D1542)*($D$7:$H$18))</f>
        <v>1</v>
      </c>
      <c r="L1542">
        <f t="shared" ref="L1542:L1553" si="4811">SUMPRODUCT(($C$19:$C$23=$D1542)*($I$6:$O$6=$E1542)*($I$19:$O$23))</f>
        <v>0</v>
      </c>
      <c r="M1542">
        <f t="shared" ref="M1542:M1553" si="4812">SUMPRODUCT(($C$24:$C$30=$E1542)*($P$6:$AI$6=$F1542)*($P$24:$AI$30))</f>
        <v>0</v>
      </c>
      <c r="N1542">
        <f t="shared" ref="N1542:N1553" si="4813">SUMPRODUCT(($C$31:$C$50=$F1542)*($AJ$6:$AM$6=$G1542)*($AJ$31:$AM$50))</f>
        <v>0</v>
      </c>
      <c r="O1542">
        <f t="shared" ref="O1542:O1553" si="4814">K1542+L1542+M1542+N1542</f>
        <v>1</v>
      </c>
      <c r="P1542" t="str">
        <f t="shared" ref="P1542:P1553" si="4815">CONCATENATE(C1542,"-",J1542)</f>
        <v>Large centralized electrolysis-Public acceptability</v>
      </c>
      <c r="Q1542" t="str">
        <f t="shared" ref="Q1542:Q1553" si="4816">CONCATENATE(D1542,"-",J1542)</f>
        <v>Underground storage-Public acceptability</v>
      </c>
      <c r="R1542" t="str">
        <f t="shared" ref="R1542:R1553" si="4817">CONCATENATE(E1542,"-",J1542)</f>
        <v>Blending in natural gas pipeline-Public acceptability</v>
      </c>
      <c r="S1542" t="str">
        <f t="shared" ref="S1542:S1553" si="4818">CONCATENATE(F1542,"-",J1542)</f>
        <v>Hydrogen turbine (OC)-Public acceptability</v>
      </c>
      <c r="T1542" s="54">
        <f ca="1">VLOOKUP($P1542,'TA database'!$I$8:$J$79,2,FALSE)</f>
        <v>80</v>
      </c>
      <c r="U1542" s="54">
        <f ca="1">VLOOKUP($Q1542,'TA database'!$I$86:$J$105,2,FALSE)</f>
        <v>60</v>
      </c>
      <c r="V1542" s="54">
        <f ca="1">VLOOKUP($R1542,'TA database'!$I$112:$J$139,2,FALSE)</f>
        <v>90</v>
      </c>
      <c r="W1542" s="54">
        <f>IFERROR(VLOOKUP($S1542,'TA database'!$I$146:$J$193,2,FALSE),0)</f>
        <v>0</v>
      </c>
      <c r="X1542" s="54">
        <f ca="1">IFERROR(VLOOKUP($S1542,'TA database'!$I$200:$J$271,2,FALSE),0)</f>
        <v>80</v>
      </c>
      <c r="Y1542" s="59">
        <f t="shared" ca="1" si="4809"/>
        <v>34.56</v>
      </c>
      <c r="Z1542" t="str">
        <f t="shared" ref="Z1542:Z1553" si="4819">CONCATENATE(AG1542,"   →   ",AH1542,"   →   ",AI1542,"   →   ",AJ1542)</f>
        <v>ELCTRLYZ_LRG_C   →   C_UNDRGRND_STRG   →   H2_BLND_NG_P   →   H2_OCGT_PWR</v>
      </c>
      <c r="AA1542" t="str">
        <f t="shared" ref="AA1542:AA1553" si="4820">G1542</f>
        <v>Grid electricity</v>
      </c>
      <c r="AB1542" t="str">
        <f t="shared" ref="AB1542:AB1553" si="4821">J1542</f>
        <v>Public acceptability</v>
      </c>
      <c r="AC1542">
        <f t="shared" ref="AC1542:AC1553" ca="1" si="4822">Y1542</f>
        <v>34.56</v>
      </c>
      <c r="AD1542">
        <v>1483</v>
      </c>
      <c r="AE1542" t="str">
        <f>IF(AND(ISNUMBER(SEARCH(O1542,4)),ISNUMBER(SEARCH('(4) FCH pathway assessment'!$B$16,AB1542)),ISNUMBER(SEARCH('(4) FCH pathway assessment'!$B$10,AA1542))),AD1542,"")</f>
        <v/>
      </c>
      <c r="AF1542" t="str">
        <f t="shared" si="4794"/>
        <v/>
      </c>
      <c r="AG1542" t="str">
        <f>VLOOKUP(C1542,Assumptions!$B$116:$C$162,2,FALSE)</f>
        <v>ELCTRLYZ_LRG_C</v>
      </c>
      <c r="AH1542" t="str">
        <f>VLOOKUP(D1542,Assumptions!$B$116:$C$162,2,FALSE)</f>
        <v>C_UNDRGRND_STRG</v>
      </c>
      <c r="AI1542" t="str">
        <f>VLOOKUP(E1542,Assumptions!$B$116:$C$162,2,FALSE)</f>
        <v>H2_BLND_NG_P</v>
      </c>
      <c r="AJ1542" t="str">
        <f>VLOOKUP(F1542,Assumptions!$B$116:$C$162,2,FALSE)</f>
        <v>H2_OCGT_PWR</v>
      </c>
    </row>
    <row r="1543" spans="2:36" x14ac:dyDescent="0.25">
      <c r="B1543" t="s">
        <v>112</v>
      </c>
      <c r="C1543" t="s">
        <v>49</v>
      </c>
      <c r="D1543" t="s">
        <v>62</v>
      </c>
      <c r="E1543" t="s">
        <v>122</v>
      </c>
      <c r="F1543" t="s">
        <v>162</v>
      </c>
      <c r="G1543" t="s">
        <v>114</v>
      </c>
      <c r="H1543" t="s">
        <v>433</v>
      </c>
      <c r="I1543" t="s">
        <v>32</v>
      </c>
      <c r="J1543" t="s">
        <v>82</v>
      </c>
      <c r="K1543">
        <f t="shared" si="4810"/>
        <v>1</v>
      </c>
      <c r="L1543">
        <f t="shared" si="4811"/>
        <v>0</v>
      </c>
      <c r="M1543">
        <f t="shared" si="4812"/>
        <v>1</v>
      </c>
      <c r="N1543">
        <f t="shared" si="4813"/>
        <v>0</v>
      </c>
      <c r="O1543">
        <f t="shared" si="4814"/>
        <v>2</v>
      </c>
      <c r="P1543" t="str">
        <f t="shared" si="4815"/>
        <v>Large centralized electrolysis-Public acceptability</v>
      </c>
      <c r="Q1543" t="str">
        <f t="shared" si="4816"/>
        <v>Underground storage-Public acceptability</v>
      </c>
      <c r="R1543" t="str">
        <f t="shared" si="4817"/>
        <v>Hydrogen transmission &amp; distribution pipeline-Public acceptability</v>
      </c>
      <c r="S1543" t="str">
        <f t="shared" si="4818"/>
        <v>Hydrogen turbine (OC)-Public acceptability</v>
      </c>
      <c r="T1543" s="54">
        <f ca="1">VLOOKUP($P1543,'TA database'!$I$8:$J$79,2,FALSE)</f>
        <v>80</v>
      </c>
      <c r="U1543" s="54">
        <f ca="1">VLOOKUP($Q1543,'TA database'!$I$86:$J$105,2,FALSE)</f>
        <v>60</v>
      </c>
      <c r="V1543" s="54">
        <f ca="1">VLOOKUP($R1543,'TA database'!$I$112:$J$139,2,FALSE)</f>
        <v>70</v>
      </c>
      <c r="W1543" s="54">
        <f>IFERROR(VLOOKUP($S1543,'TA database'!$I$146:$J$193,2,FALSE),0)</f>
        <v>0</v>
      </c>
      <c r="X1543" s="54">
        <f ca="1">IFERROR(VLOOKUP($S1543,'TA database'!$I$200:$J$271,2,FALSE),0)</f>
        <v>80</v>
      </c>
      <c r="Y1543" s="59">
        <f t="shared" ca="1" si="4809"/>
        <v>26.88</v>
      </c>
      <c r="Z1543" t="str">
        <f t="shared" si="4819"/>
        <v>ELCTRLYZ_LRG_C   →   C_UNDRGRND_STRG   →   H2_T&amp;D_P   →   H2_OCGT_PWR</v>
      </c>
      <c r="AA1543" t="str">
        <f t="shared" si="4820"/>
        <v>Grid electricity</v>
      </c>
      <c r="AB1543" t="str">
        <f t="shared" si="4821"/>
        <v>Public acceptability</v>
      </c>
      <c r="AC1543">
        <f t="shared" ca="1" si="4822"/>
        <v>26.88</v>
      </c>
      <c r="AD1543">
        <v>1484</v>
      </c>
      <c r="AE1543" t="str">
        <f>IF(AND(ISNUMBER(SEARCH(O1543,4)),ISNUMBER(SEARCH('(4) FCH pathway assessment'!$B$16,AB1543)),ISNUMBER(SEARCH('(4) FCH pathway assessment'!$B$10,AA1543))),AD1543,"")</f>
        <v/>
      </c>
      <c r="AF1543" t="str">
        <f t="shared" si="4794"/>
        <v/>
      </c>
      <c r="AG1543" t="str">
        <f>VLOOKUP(C1543,Assumptions!$B$116:$C$162,2,FALSE)</f>
        <v>ELCTRLYZ_LRG_C</v>
      </c>
      <c r="AH1543" t="str">
        <f>VLOOKUP(D1543,Assumptions!$B$116:$C$162,2,FALSE)</f>
        <v>C_UNDRGRND_STRG</v>
      </c>
      <c r="AI1543" t="str">
        <f>VLOOKUP(E1543,Assumptions!$B$116:$C$162,2,FALSE)</f>
        <v>H2_T&amp;D_P</v>
      </c>
      <c r="AJ1543" t="str">
        <f>VLOOKUP(F1543,Assumptions!$B$116:$C$162,2,FALSE)</f>
        <v>H2_OCGT_PWR</v>
      </c>
    </row>
    <row r="1544" spans="2:36" x14ac:dyDescent="0.25">
      <c r="B1544" t="s">
        <v>112</v>
      </c>
      <c r="C1544" t="s">
        <v>49</v>
      </c>
      <c r="D1544" t="s">
        <v>62</v>
      </c>
      <c r="E1544" t="s">
        <v>116</v>
      </c>
      <c r="F1544" t="s">
        <v>162</v>
      </c>
      <c r="G1544" t="s">
        <v>114</v>
      </c>
      <c r="H1544" t="s">
        <v>433</v>
      </c>
      <c r="I1544" t="s">
        <v>32</v>
      </c>
      <c r="J1544" t="s">
        <v>82</v>
      </c>
      <c r="K1544">
        <f t="shared" si="4810"/>
        <v>1</v>
      </c>
      <c r="L1544">
        <f t="shared" si="4811"/>
        <v>0</v>
      </c>
      <c r="M1544">
        <f t="shared" si="4812"/>
        <v>1</v>
      </c>
      <c r="N1544">
        <f t="shared" si="4813"/>
        <v>0</v>
      </c>
      <c r="O1544">
        <f t="shared" si="4814"/>
        <v>2</v>
      </c>
      <c r="P1544" t="str">
        <f t="shared" si="4815"/>
        <v>Large centralized electrolysis-Public acceptability</v>
      </c>
      <c r="Q1544" t="str">
        <f t="shared" si="4816"/>
        <v>Underground storage-Public acceptability</v>
      </c>
      <c r="R1544" t="str">
        <f t="shared" si="4817"/>
        <v>Liquid hydrogen truck-Public acceptability</v>
      </c>
      <c r="S1544" t="str">
        <f t="shared" si="4818"/>
        <v>Hydrogen turbine (OC)-Public acceptability</v>
      </c>
      <c r="T1544" s="54">
        <f ca="1">VLOOKUP($P1544,'TA database'!$I$8:$J$79,2,FALSE)</f>
        <v>80</v>
      </c>
      <c r="U1544" s="54">
        <f ca="1">VLOOKUP($Q1544,'TA database'!$I$86:$J$105,2,FALSE)</f>
        <v>60</v>
      </c>
      <c r="V1544" s="54">
        <f ca="1">VLOOKUP($R1544,'TA database'!$I$112:$J$139,2,FALSE)</f>
        <v>100</v>
      </c>
      <c r="W1544" s="54">
        <f>IFERROR(VLOOKUP($S1544,'TA database'!$I$146:$J$193,2,FALSE),0)</f>
        <v>0</v>
      </c>
      <c r="X1544" s="54">
        <f ca="1">IFERROR(VLOOKUP($S1544,'TA database'!$I$200:$J$271,2,FALSE),0)</f>
        <v>80</v>
      </c>
      <c r="Y1544" s="59">
        <f t="shared" ca="1" si="4809"/>
        <v>38.4</v>
      </c>
      <c r="Z1544" t="str">
        <f t="shared" si="4819"/>
        <v>ELCTRLYZ_LRG_C   →   C_UNDRGRND_STRG   →   LQ_TRUCK   →   H2_OCGT_PWR</v>
      </c>
      <c r="AA1544" t="str">
        <f t="shared" si="4820"/>
        <v>Grid electricity</v>
      </c>
      <c r="AB1544" t="str">
        <f t="shared" si="4821"/>
        <v>Public acceptability</v>
      </c>
      <c r="AC1544">
        <f t="shared" ca="1" si="4822"/>
        <v>38.4</v>
      </c>
      <c r="AD1544">
        <v>1485</v>
      </c>
      <c r="AE1544" t="str">
        <f>IF(AND(ISNUMBER(SEARCH(O1544,4)),ISNUMBER(SEARCH('(4) FCH pathway assessment'!$B$16,AB1544)),ISNUMBER(SEARCH('(4) FCH pathway assessment'!$B$10,AA1544))),AD1544,"")</f>
        <v/>
      </c>
      <c r="AF1544" t="str">
        <f t="shared" si="4794"/>
        <v/>
      </c>
      <c r="AG1544" t="str">
        <f>VLOOKUP(C1544,Assumptions!$B$116:$C$162,2,FALSE)</f>
        <v>ELCTRLYZ_LRG_C</v>
      </c>
      <c r="AH1544" t="str">
        <f>VLOOKUP(D1544,Assumptions!$B$116:$C$162,2,FALSE)</f>
        <v>C_UNDRGRND_STRG</v>
      </c>
      <c r="AI1544" t="str">
        <f>VLOOKUP(E1544,Assumptions!$B$116:$C$162,2,FALSE)</f>
        <v>LQ_TRUCK</v>
      </c>
      <c r="AJ1544" t="str">
        <f>VLOOKUP(F1544,Assumptions!$B$116:$C$162,2,FALSE)</f>
        <v>H2_OCGT_PWR</v>
      </c>
    </row>
    <row r="1545" spans="2:36" x14ac:dyDescent="0.25">
      <c r="B1545" t="s">
        <v>112</v>
      </c>
      <c r="C1545" t="s">
        <v>49</v>
      </c>
      <c r="D1545" t="s">
        <v>62</v>
      </c>
      <c r="E1545" t="s">
        <v>66</v>
      </c>
      <c r="F1545" t="s">
        <v>162</v>
      </c>
      <c r="G1545" t="s">
        <v>114</v>
      </c>
      <c r="H1545" t="s">
        <v>433</v>
      </c>
      <c r="I1545" t="s">
        <v>32</v>
      </c>
      <c r="J1545" t="s">
        <v>82</v>
      </c>
      <c r="K1545">
        <f t="shared" si="4810"/>
        <v>1</v>
      </c>
      <c r="L1545">
        <f t="shared" si="4811"/>
        <v>0</v>
      </c>
      <c r="M1545">
        <f t="shared" si="4812"/>
        <v>1</v>
      </c>
      <c r="N1545">
        <f t="shared" si="4813"/>
        <v>0</v>
      </c>
      <c r="O1545">
        <f t="shared" si="4814"/>
        <v>2</v>
      </c>
      <c r="P1545" t="str">
        <f t="shared" si="4815"/>
        <v>Large centralized electrolysis-Public acceptability</v>
      </c>
      <c r="Q1545" t="str">
        <f t="shared" si="4816"/>
        <v>Underground storage-Public acceptability</v>
      </c>
      <c r="R1545" t="str">
        <f t="shared" si="4817"/>
        <v>Onsite-Public acceptability</v>
      </c>
      <c r="S1545" t="str">
        <f t="shared" si="4818"/>
        <v>Hydrogen turbine (OC)-Public acceptability</v>
      </c>
      <c r="T1545" s="54">
        <f ca="1">VLOOKUP($P1545,'TA database'!$I$8:$J$79,2,FALSE)</f>
        <v>80</v>
      </c>
      <c r="U1545" s="54">
        <f ca="1">VLOOKUP($Q1545,'TA database'!$I$86:$J$105,2,FALSE)</f>
        <v>60</v>
      </c>
      <c r="V1545" s="54">
        <f ca="1">VLOOKUP($R1545,'TA database'!$I$112:$J$139,2,FALSE)</f>
        <v>90</v>
      </c>
      <c r="W1545" s="54">
        <f>IFERROR(VLOOKUP($S1545,'TA database'!$I$146:$J$193,2,FALSE),0)</f>
        <v>0</v>
      </c>
      <c r="X1545" s="54">
        <f ca="1">IFERROR(VLOOKUP($S1545,'TA database'!$I$200:$J$271,2,FALSE),0)</f>
        <v>80</v>
      </c>
      <c r="Y1545" s="59">
        <f t="shared" ca="1" si="4809"/>
        <v>34.56</v>
      </c>
      <c r="Z1545" t="str">
        <f t="shared" si="4819"/>
        <v>ELCTRLYZ_LRG_C   →   C_UNDRGRND_STRG   →   ONSITE_USE   →   H2_OCGT_PWR</v>
      </c>
      <c r="AA1545" t="str">
        <f t="shared" si="4820"/>
        <v>Grid electricity</v>
      </c>
      <c r="AB1545" t="str">
        <f t="shared" si="4821"/>
        <v>Public acceptability</v>
      </c>
      <c r="AC1545">
        <f t="shared" ca="1" si="4822"/>
        <v>34.56</v>
      </c>
      <c r="AD1545">
        <v>1486</v>
      </c>
      <c r="AE1545" t="str">
        <f>IF(AND(ISNUMBER(SEARCH(O1545,4)),ISNUMBER(SEARCH('(4) FCH pathway assessment'!$B$16,AB1545)),ISNUMBER(SEARCH('(4) FCH pathway assessment'!$B$10,AA1545))),AD1545,"")</f>
        <v/>
      </c>
      <c r="AF1545" t="str">
        <f t="shared" si="4794"/>
        <v/>
      </c>
      <c r="AG1545" t="str">
        <f>VLOOKUP(C1545,Assumptions!$B$116:$C$162,2,FALSE)</f>
        <v>ELCTRLYZ_LRG_C</v>
      </c>
      <c r="AH1545" t="str">
        <f>VLOOKUP(D1545,Assumptions!$B$116:$C$162,2,FALSE)</f>
        <v>C_UNDRGRND_STRG</v>
      </c>
      <c r="AI1545" t="str">
        <f>VLOOKUP(E1545,Assumptions!$B$116:$C$162,2,FALSE)</f>
        <v>ONSITE_USE</v>
      </c>
      <c r="AJ1545" t="str">
        <f>VLOOKUP(F1545,Assumptions!$B$116:$C$162,2,FALSE)</f>
        <v>H2_OCGT_PWR</v>
      </c>
    </row>
    <row r="1546" spans="2:36" x14ac:dyDescent="0.25">
      <c r="B1546" t="s">
        <v>112</v>
      </c>
      <c r="C1546" t="s">
        <v>49</v>
      </c>
      <c r="D1546" t="s">
        <v>155</v>
      </c>
      <c r="E1546" t="s">
        <v>157</v>
      </c>
      <c r="F1546" t="s">
        <v>162</v>
      </c>
      <c r="G1546" t="s">
        <v>114</v>
      </c>
      <c r="H1546" t="s">
        <v>433</v>
      </c>
      <c r="I1546" t="s">
        <v>32</v>
      </c>
      <c r="J1546" t="s">
        <v>82</v>
      </c>
      <c r="K1546">
        <f t="shared" si="4810"/>
        <v>1</v>
      </c>
      <c r="L1546">
        <f t="shared" si="4811"/>
        <v>1</v>
      </c>
      <c r="M1546">
        <f t="shared" si="4812"/>
        <v>0</v>
      </c>
      <c r="N1546">
        <f t="shared" si="4813"/>
        <v>0</v>
      </c>
      <c r="O1546">
        <f t="shared" si="4814"/>
        <v>2</v>
      </c>
      <c r="P1546" t="str">
        <f t="shared" si="4815"/>
        <v>Large centralized electrolysis-Public acceptability</v>
      </c>
      <c r="Q1546" t="str">
        <f t="shared" si="4816"/>
        <v>Central gas storage-Public acceptability</v>
      </c>
      <c r="R1546" t="str">
        <f t="shared" si="4817"/>
        <v>Blending in natural gas pipeline-Public acceptability</v>
      </c>
      <c r="S1546" t="str">
        <f t="shared" si="4818"/>
        <v>Hydrogen turbine (OC)-Public acceptability</v>
      </c>
      <c r="T1546" s="54">
        <f ca="1">VLOOKUP($P1546,'TA database'!$I$8:$J$79,2,FALSE)</f>
        <v>80</v>
      </c>
      <c r="U1546" s="54">
        <f ca="1">VLOOKUP($Q1546,'TA database'!$I$86:$J$105,2,FALSE)</f>
        <v>60</v>
      </c>
      <c r="V1546" s="54">
        <f ca="1">VLOOKUP($R1546,'TA database'!$I$112:$J$139,2,FALSE)</f>
        <v>90</v>
      </c>
      <c r="W1546" s="54">
        <f>IFERROR(VLOOKUP($S1546,'TA database'!$I$146:$J$193,2,FALSE),0)</f>
        <v>0</v>
      </c>
      <c r="X1546" s="54">
        <f ca="1">IFERROR(VLOOKUP($S1546,'TA database'!$I$200:$J$271,2,FALSE),0)</f>
        <v>80</v>
      </c>
      <c r="Y1546" s="59">
        <f t="shared" ca="1" si="4809"/>
        <v>34.56</v>
      </c>
      <c r="Z1546" t="str">
        <f t="shared" si="4819"/>
        <v>ELCTRLYZ_LRG_C   →   C_GAS_STRG   →   H2_BLND_NG_P   →   H2_OCGT_PWR</v>
      </c>
      <c r="AA1546" t="str">
        <f t="shared" si="4820"/>
        <v>Grid electricity</v>
      </c>
      <c r="AB1546" t="str">
        <f t="shared" si="4821"/>
        <v>Public acceptability</v>
      </c>
      <c r="AC1546">
        <f t="shared" ca="1" si="4822"/>
        <v>34.56</v>
      </c>
      <c r="AD1546">
        <v>1487</v>
      </c>
      <c r="AE1546" t="str">
        <f>IF(AND(ISNUMBER(SEARCH(O1546,4)),ISNUMBER(SEARCH('(4) FCH pathway assessment'!$B$16,AB1546)),ISNUMBER(SEARCH('(4) FCH pathway assessment'!$B$10,AA1546))),AD1546,"")</f>
        <v/>
      </c>
      <c r="AF1546" t="str">
        <f t="shared" si="4794"/>
        <v/>
      </c>
      <c r="AG1546" t="str">
        <f>VLOOKUP(C1546,Assumptions!$B$116:$C$162,2,FALSE)</f>
        <v>ELCTRLYZ_LRG_C</v>
      </c>
      <c r="AH1546" t="str">
        <f>VLOOKUP(D1546,Assumptions!$B$116:$C$162,2,FALSE)</f>
        <v>C_GAS_STRG</v>
      </c>
      <c r="AI1546" t="str">
        <f>VLOOKUP(E1546,Assumptions!$B$116:$C$162,2,FALSE)</f>
        <v>H2_BLND_NG_P</v>
      </c>
      <c r="AJ1546" t="str">
        <f>VLOOKUP(F1546,Assumptions!$B$116:$C$162,2,FALSE)</f>
        <v>H2_OCGT_PWR</v>
      </c>
    </row>
    <row r="1547" spans="2:36" x14ac:dyDescent="0.25">
      <c r="B1547" t="s">
        <v>112</v>
      </c>
      <c r="C1547" t="s">
        <v>49</v>
      </c>
      <c r="D1547" t="s">
        <v>155</v>
      </c>
      <c r="E1547" t="s">
        <v>122</v>
      </c>
      <c r="F1547" t="s">
        <v>162</v>
      </c>
      <c r="G1547" t="s">
        <v>114</v>
      </c>
      <c r="H1547" t="s">
        <v>433</v>
      </c>
      <c r="I1547" t="s">
        <v>32</v>
      </c>
      <c r="J1547" t="s">
        <v>82</v>
      </c>
      <c r="K1547">
        <f t="shared" si="4810"/>
        <v>1</v>
      </c>
      <c r="L1547">
        <f t="shared" si="4811"/>
        <v>1</v>
      </c>
      <c r="M1547">
        <f t="shared" si="4812"/>
        <v>1</v>
      </c>
      <c r="N1547">
        <f t="shared" si="4813"/>
        <v>0</v>
      </c>
      <c r="O1547">
        <f t="shared" si="4814"/>
        <v>3</v>
      </c>
      <c r="P1547" t="str">
        <f t="shared" si="4815"/>
        <v>Large centralized electrolysis-Public acceptability</v>
      </c>
      <c r="Q1547" t="str">
        <f t="shared" si="4816"/>
        <v>Central gas storage-Public acceptability</v>
      </c>
      <c r="R1547" t="str">
        <f t="shared" si="4817"/>
        <v>Hydrogen transmission &amp; distribution pipeline-Public acceptability</v>
      </c>
      <c r="S1547" t="str">
        <f t="shared" si="4818"/>
        <v>Hydrogen turbine (OC)-Public acceptability</v>
      </c>
      <c r="T1547" s="54">
        <f ca="1">VLOOKUP($P1547,'TA database'!$I$8:$J$79,2,FALSE)</f>
        <v>80</v>
      </c>
      <c r="U1547" s="54">
        <f ca="1">VLOOKUP($Q1547,'TA database'!$I$86:$J$105,2,FALSE)</f>
        <v>60</v>
      </c>
      <c r="V1547" s="54">
        <f ca="1">VLOOKUP($R1547,'TA database'!$I$112:$J$139,2,FALSE)</f>
        <v>70</v>
      </c>
      <c r="W1547" s="54">
        <f>IFERROR(VLOOKUP($S1547,'TA database'!$I$146:$J$193,2,FALSE),0)</f>
        <v>0</v>
      </c>
      <c r="X1547" s="54">
        <f ca="1">IFERROR(VLOOKUP($S1547,'TA database'!$I$200:$J$271,2,FALSE),0)</f>
        <v>80</v>
      </c>
      <c r="Y1547" s="59">
        <f t="shared" ca="1" si="4809"/>
        <v>26.88</v>
      </c>
      <c r="Z1547" t="str">
        <f t="shared" si="4819"/>
        <v>ELCTRLYZ_LRG_C   →   C_GAS_STRG   →   H2_T&amp;D_P   →   H2_OCGT_PWR</v>
      </c>
      <c r="AA1547" t="str">
        <f t="shared" si="4820"/>
        <v>Grid electricity</v>
      </c>
      <c r="AB1547" t="str">
        <f t="shared" si="4821"/>
        <v>Public acceptability</v>
      </c>
      <c r="AC1547">
        <f t="shared" ca="1" si="4822"/>
        <v>26.88</v>
      </c>
      <c r="AD1547">
        <v>1488</v>
      </c>
      <c r="AE1547" t="str">
        <f>IF(AND(ISNUMBER(SEARCH(O1547,4)),ISNUMBER(SEARCH('(4) FCH pathway assessment'!$B$16,AB1547)),ISNUMBER(SEARCH('(4) FCH pathway assessment'!$B$10,AA1547))),AD1547,"")</f>
        <v/>
      </c>
      <c r="AF1547" t="str">
        <f t="shared" si="4794"/>
        <v/>
      </c>
      <c r="AG1547" t="str">
        <f>VLOOKUP(C1547,Assumptions!$B$116:$C$162,2,FALSE)</f>
        <v>ELCTRLYZ_LRG_C</v>
      </c>
      <c r="AH1547" t="str">
        <f>VLOOKUP(D1547,Assumptions!$B$116:$C$162,2,FALSE)</f>
        <v>C_GAS_STRG</v>
      </c>
      <c r="AI1547" t="str">
        <f>VLOOKUP(E1547,Assumptions!$B$116:$C$162,2,FALSE)</f>
        <v>H2_T&amp;D_P</v>
      </c>
      <c r="AJ1547" t="str">
        <f>VLOOKUP(F1547,Assumptions!$B$116:$C$162,2,FALSE)</f>
        <v>H2_OCGT_PWR</v>
      </c>
    </row>
    <row r="1548" spans="2:36" x14ac:dyDescent="0.25">
      <c r="B1548" t="s">
        <v>112</v>
      </c>
      <c r="C1548" t="s">
        <v>49</v>
      </c>
      <c r="D1548" t="s">
        <v>155</v>
      </c>
      <c r="E1548" t="s">
        <v>116</v>
      </c>
      <c r="F1548" t="s">
        <v>162</v>
      </c>
      <c r="G1548" t="s">
        <v>114</v>
      </c>
      <c r="H1548" t="s">
        <v>433</v>
      </c>
      <c r="I1548" t="s">
        <v>32</v>
      </c>
      <c r="J1548" t="s">
        <v>82</v>
      </c>
      <c r="K1548">
        <f t="shared" si="4810"/>
        <v>1</v>
      </c>
      <c r="L1548">
        <f t="shared" si="4811"/>
        <v>1</v>
      </c>
      <c r="M1548">
        <f t="shared" si="4812"/>
        <v>1</v>
      </c>
      <c r="N1548">
        <f t="shared" si="4813"/>
        <v>0</v>
      </c>
      <c r="O1548">
        <f t="shared" si="4814"/>
        <v>3</v>
      </c>
      <c r="P1548" t="str">
        <f t="shared" si="4815"/>
        <v>Large centralized electrolysis-Public acceptability</v>
      </c>
      <c r="Q1548" t="str">
        <f t="shared" si="4816"/>
        <v>Central gas storage-Public acceptability</v>
      </c>
      <c r="R1548" t="str">
        <f t="shared" si="4817"/>
        <v>Liquid hydrogen truck-Public acceptability</v>
      </c>
      <c r="S1548" t="str">
        <f t="shared" si="4818"/>
        <v>Hydrogen turbine (OC)-Public acceptability</v>
      </c>
      <c r="T1548" s="54">
        <f ca="1">VLOOKUP($P1548,'TA database'!$I$8:$J$79,2,FALSE)</f>
        <v>80</v>
      </c>
      <c r="U1548" s="54">
        <f ca="1">VLOOKUP($Q1548,'TA database'!$I$86:$J$105,2,FALSE)</f>
        <v>60</v>
      </c>
      <c r="V1548" s="54">
        <f ca="1">VLOOKUP($R1548,'TA database'!$I$112:$J$139,2,FALSE)</f>
        <v>100</v>
      </c>
      <c r="W1548" s="54">
        <f>IFERROR(VLOOKUP($S1548,'TA database'!$I$146:$J$193,2,FALSE),0)</f>
        <v>0</v>
      </c>
      <c r="X1548" s="54">
        <f ca="1">IFERROR(VLOOKUP($S1548,'TA database'!$I$200:$J$271,2,FALSE),0)</f>
        <v>80</v>
      </c>
      <c r="Y1548" s="59">
        <f t="shared" ca="1" si="4809"/>
        <v>38.4</v>
      </c>
      <c r="Z1548" t="str">
        <f t="shared" si="4819"/>
        <v>ELCTRLYZ_LRG_C   →   C_GAS_STRG   →   LQ_TRUCK   →   H2_OCGT_PWR</v>
      </c>
      <c r="AA1548" t="str">
        <f t="shared" si="4820"/>
        <v>Grid electricity</v>
      </c>
      <c r="AB1548" t="str">
        <f t="shared" si="4821"/>
        <v>Public acceptability</v>
      </c>
      <c r="AC1548">
        <f t="shared" ca="1" si="4822"/>
        <v>38.4</v>
      </c>
      <c r="AD1548">
        <v>1489</v>
      </c>
      <c r="AE1548" t="str">
        <f>IF(AND(ISNUMBER(SEARCH(O1548,4)),ISNUMBER(SEARCH('(4) FCH pathway assessment'!$B$16,AB1548)),ISNUMBER(SEARCH('(4) FCH pathway assessment'!$B$10,AA1548))),AD1548,"")</f>
        <v/>
      </c>
      <c r="AF1548" t="str">
        <f t="shared" si="4794"/>
        <v/>
      </c>
      <c r="AG1548" t="str">
        <f>VLOOKUP(C1548,Assumptions!$B$116:$C$162,2,FALSE)</f>
        <v>ELCTRLYZ_LRG_C</v>
      </c>
      <c r="AH1548" t="str">
        <f>VLOOKUP(D1548,Assumptions!$B$116:$C$162,2,FALSE)</f>
        <v>C_GAS_STRG</v>
      </c>
      <c r="AI1548" t="str">
        <f>VLOOKUP(E1548,Assumptions!$B$116:$C$162,2,FALSE)</f>
        <v>LQ_TRUCK</v>
      </c>
      <c r="AJ1548" t="str">
        <f>VLOOKUP(F1548,Assumptions!$B$116:$C$162,2,FALSE)</f>
        <v>H2_OCGT_PWR</v>
      </c>
    </row>
    <row r="1549" spans="2:36" x14ac:dyDescent="0.25">
      <c r="B1549" t="s">
        <v>112</v>
      </c>
      <c r="C1549" t="s">
        <v>49</v>
      </c>
      <c r="D1549" t="s">
        <v>155</v>
      </c>
      <c r="E1549" t="s">
        <v>66</v>
      </c>
      <c r="F1549" t="s">
        <v>162</v>
      </c>
      <c r="G1549" t="s">
        <v>114</v>
      </c>
      <c r="H1549" t="s">
        <v>433</v>
      </c>
      <c r="I1549" t="s">
        <v>32</v>
      </c>
      <c r="J1549" t="s">
        <v>82</v>
      </c>
      <c r="K1549">
        <f t="shared" si="4810"/>
        <v>1</v>
      </c>
      <c r="L1549">
        <f t="shared" si="4811"/>
        <v>1</v>
      </c>
      <c r="M1549">
        <f t="shared" si="4812"/>
        <v>1</v>
      </c>
      <c r="N1549">
        <f t="shared" si="4813"/>
        <v>0</v>
      </c>
      <c r="O1549">
        <f t="shared" si="4814"/>
        <v>3</v>
      </c>
      <c r="P1549" t="str">
        <f t="shared" si="4815"/>
        <v>Large centralized electrolysis-Public acceptability</v>
      </c>
      <c r="Q1549" t="str">
        <f t="shared" si="4816"/>
        <v>Central gas storage-Public acceptability</v>
      </c>
      <c r="R1549" t="str">
        <f t="shared" si="4817"/>
        <v>Onsite-Public acceptability</v>
      </c>
      <c r="S1549" t="str">
        <f t="shared" si="4818"/>
        <v>Hydrogen turbine (OC)-Public acceptability</v>
      </c>
      <c r="T1549" s="54">
        <f ca="1">VLOOKUP($P1549,'TA database'!$I$8:$J$79,2,FALSE)</f>
        <v>80</v>
      </c>
      <c r="U1549" s="54">
        <f ca="1">VLOOKUP($Q1549,'TA database'!$I$86:$J$105,2,FALSE)</f>
        <v>60</v>
      </c>
      <c r="V1549" s="54">
        <f ca="1">VLOOKUP($R1549,'TA database'!$I$112:$J$139,2,FALSE)</f>
        <v>90</v>
      </c>
      <c r="W1549" s="54">
        <f>IFERROR(VLOOKUP($S1549,'TA database'!$I$146:$J$193,2,FALSE),0)</f>
        <v>0</v>
      </c>
      <c r="X1549" s="54">
        <f ca="1">IFERROR(VLOOKUP($S1549,'TA database'!$I$200:$J$271,2,FALSE),0)</f>
        <v>80</v>
      </c>
      <c r="Y1549" s="59">
        <f t="shared" ca="1" si="4809"/>
        <v>34.56</v>
      </c>
      <c r="Z1549" t="str">
        <f t="shared" si="4819"/>
        <v>ELCTRLYZ_LRG_C   →   C_GAS_STRG   →   ONSITE_USE   →   H2_OCGT_PWR</v>
      </c>
      <c r="AA1549" t="str">
        <f t="shared" si="4820"/>
        <v>Grid electricity</v>
      </c>
      <c r="AB1549" t="str">
        <f t="shared" si="4821"/>
        <v>Public acceptability</v>
      </c>
      <c r="AC1549">
        <f t="shared" ca="1" si="4822"/>
        <v>34.56</v>
      </c>
      <c r="AD1549">
        <v>1490</v>
      </c>
      <c r="AE1549" t="str">
        <f>IF(AND(ISNUMBER(SEARCH(O1549,4)),ISNUMBER(SEARCH('(4) FCH pathway assessment'!$B$16,AB1549)),ISNUMBER(SEARCH('(4) FCH pathway assessment'!$B$10,AA1549))),AD1549,"")</f>
        <v/>
      </c>
      <c r="AF1549" t="str">
        <f t="shared" si="4794"/>
        <v/>
      </c>
      <c r="AG1549" t="str">
        <f>VLOOKUP(C1549,Assumptions!$B$116:$C$162,2,FALSE)</f>
        <v>ELCTRLYZ_LRG_C</v>
      </c>
      <c r="AH1549" t="str">
        <f>VLOOKUP(D1549,Assumptions!$B$116:$C$162,2,FALSE)</f>
        <v>C_GAS_STRG</v>
      </c>
      <c r="AI1549" t="str">
        <f>VLOOKUP(E1549,Assumptions!$B$116:$C$162,2,FALSE)</f>
        <v>ONSITE_USE</v>
      </c>
      <c r="AJ1549" t="str">
        <f>VLOOKUP(F1549,Assumptions!$B$116:$C$162,2,FALSE)</f>
        <v>H2_OCGT_PWR</v>
      </c>
    </row>
    <row r="1550" spans="2:36" x14ac:dyDescent="0.25">
      <c r="B1550" t="s">
        <v>112</v>
      </c>
      <c r="C1550" t="s">
        <v>51</v>
      </c>
      <c r="D1550" t="s">
        <v>155</v>
      </c>
      <c r="E1550" t="s">
        <v>157</v>
      </c>
      <c r="F1550" t="s">
        <v>162</v>
      </c>
      <c r="G1550" t="s">
        <v>114</v>
      </c>
      <c r="H1550" t="s">
        <v>433</v>
      </c>
      <c r="I1550" t="s">
        <v>32</v>
      </c>
      <c r="J1550" t="s">
        <v>82</v>
      </c>
      <c r="K1550">
        <f t="shared" si="4810"/>
        <v>1</v>
      </c>
      <c r="L1550">
        <f t="shared" si="4811"/>
        <v>1</v>
      </c>
      <c r="M1550">
        <f t="shared" si="4812"/>
        <v>0</v>
      </c>
      <c r="N1550">
        <f t="shared" si="4813"/>
        <v>0</v>
      </c>
      <c r="O1550">
        <f t="shared" si="4814"/>
        <v>2</v>
      </c>
      <c r="P1550" t="str">
        <f t="shared" si="4815"/>
        <v>Medium centralized electrolysis-Public acceptability</v>
      </c>
      <c r="Q1550" t="str">
        <f t="shared" si="4816"/>
        <v>Central gas storage-Public acceptability</v>
      </c>
      <c r="R1550" t="str">
        <f t="shared" si="4817"/>
        <v>Blending in natural gas pipeline-Public acceptability</v>
      </c>
      <c r="S1550" t="str">
        <f t="shared" si="4818"/>
        <v>Hydrogen turbine (OC)-Public acceptability</v>
      </c>
      <c r="T1550" s="54">
        <f ca="1">VLOOKUP($P1550,'TA database'!$I$8:$J$79,2,FALSE)</f>
        <v>90</v>
      </c>
      <c r="U1550" s="54">
        <f ca="1">VLOOKUP($Q1550,'TA database'!$I$86:$J$105,2,FALSE)</f>
        <v>60</v>
      </c>
      <c r="V1550" s="54">
        <f ca="1">VLOOKUP($R1550,'TA database'!$I$112:$J$139,2,FALSE)</f>
        <v>90</v>
      </c>
      <c r="W1550" s="54">
        <f>IFERROR(VLOOKUP($S1550,'TA database'!$I$146:$J$193,2,FALSE),0)</f>
        <v>0</v>
      </c>
      <c r="X1550" s="54">
        <f ca="1">IFERROR(VLOOKUP($S1550,'TA database'!$I$200:$J$271,2,FALSE),0)</f>
        <v>80</v>
      </c>
      <c r="Y1550" s="59">
        <f t="shared" ref="Y1550:Y1554" ca="1" si="4823">IF($W1550=0,(PRODUCT($T1550:$V1550,$X1550))/1000000,(PRODUCT($T1550:$W1550))/1000000)</f>
        <v>38.880000000000003</v>
      </c>
      <c r="Z1550" t="str">
        <f t="shared" si="4819"/>
        <v>ELCTRLYZ_MED_C   →   C_GAS_STRG   →   H2_BLND_NG_P   →   H2_OCGT_PWR</v>
      </c>
      <c r="AA1550" t="str">
        <f t="shared" si="4820"/>
        <v>Grid electricity</v>
      </c>
      <c r="AB1550" t="str">
        <f t="shared" si="4821"/>
        <v>Public acceptability</v>
      </c>
      <c r="AC1550">
        <f t="shared" ca="1" si="4822"/>
        <v>38.880000000000003</v>
      </c>
      <c r="AD1550">
        <v>1491</v>
      </c>
      <c r="AE1550" t="str">
        <f>IF(AND(ISNUMBER(SEARCH(O1550,4)),ISNUMBER(SEARCH('(4) FCH pathway assessment'!$B$16,AB1550)),ISNUMBER(SEARCH('(4) FCH pathway assessment'!$B$10,AA1550))),AD1550,"")</f>
        <v/>
      </c>
      <c r="AF1550" t="str">
        <f t="shared" si="4794"/>
        <v/>
      </c>
      <c r="AG1550" t="str">
        <f>VLOOKUP(C1550,Assumptions!$B$116:$C$162,2,FALSE)</f>
        <v>ELCTRLYZ_MED_C</v>
      </c>
      <c r="AH1550" t="str">
        <f>VLOOKUP(D1550,Assumptions!$B$116:$C$162,2,FALSE)</f>
        <v>C_GAS_STRG</v>
      </c>
      <c r="AI1550" t="str">
        <f>VLOOKUP(E1550,Assumptions!$B$116:$C$162,2,FALSE)</f>
        <v>H2_BLND_NG_P</v>
      </c>
      <c r="AJ1550" t="str">
        <f>VLOOKUP(F1550,Assumptions!$B$116:$C$162,2,FALSE)</f>
        <v>H2_OCGT_PWR</v>
      </c>
    </row>
    <row r="1551" spans="2:36" x14ac:dyDescent="0.25">
      <c r="B1551" t="s">
        <v>112</v>
      </c>
      <c r="C1551" t="s">
        <v>51</v>
      </c>
      <c r="D1551" t="s">
        <v>155</v>
      </c>
      <c r="E1551" t="s">
        <v>122</v>
      </c>
      <c r="F1551" t="s">
        <v>162</v>
      </c>
      <c r="G1551" t="s">
        <v>114</v>
      </c>
      <c r="H1551" t="s">
        <v>433</v>
      </c>
      <c r="I1551" t="s">
        <v>32</v>
      </c>
      <c r="J1551" t="s">
        <v>82</v>
      </c>
      <c r="K1551">
        <f t="shared" si="4810"/>
        <v>1</v>
      </c>
      <c r="L1551">
        <f t="shared" si="4811"/>
        <v>1</v>
      </c>
      <c r="M1551">
        <f t="shared" si="4812"/>
        <v>1</v>
      </c>
      <c r="N1551">
        <f t="shared" si="4813"/>
        <v>0</v>
      </c>
      <c r="O1551">
        <f t="shared" si="4814"/>
        <v>3</v>
      </c>
      <c r="P1551" t="str">
        <f t="shared" si="4815"/>
        <v>Medium centralized electrolysis-Public acceptability</v>
      </c>
      <c r="Q1551" t="str">
        <f t="shared" si="4816"/>
        <v>Central gas storage-Public acceptability</v>
      </c>
      <c r="R1551" t="str">
        <f t="shared" si="4817"/>
        <v>Hydrogen transmission &amp; distribution pipeline-Public acceptability</v>
      </c>
      <c r="S1551" t="str">
        <f t="shared" si="4818"/>
        <v>Hydrogen turbine (OC)-Public acceptability</v>
      </c>
      <c r="T1551" s="54">
        <f ca="1">VLOOKUP($P1551,'TA database'!$I$8:$J$79,2,FALSE)</f>
        <v>90</v>
      </c>
      <c r="U1551" s="54">
        <f ca="1">VLOOKUP($Q1551,'TA database'!$I$86:$J$105,2,FALSE)</f>
        <v>60</v>
      </c>
      <c r="V1551" s="54">
        <f ca="1">VLOOKUP($R1551,'TA database'!$I$112:$J$139,2,FALSE)</f>
        <v>70</v>
      </c>
      <c r="W1551" s="54">
        <f>IFERROR(VLOOKUP($S1551,'TA database'!$I$146:$J$193,2,FALSE),0)</f>
        <v>0</v>
      </c>
      <c r="X1551" s="54">
        <f ca="1">IFERROR(VLOOKUP($S1551,'TA database'!$I$200:$J$271,2,FALSE),0)</f>
        <v>80</v>
      </c>
      <c r="Y1551" s="59">
        <f t="shared" ca="1" si="4823"/>
        <v>30.24</v>
      </c>
      <c r="Z1551" t="str">
        <f t="shared" si="4819"/>
        <v>ELCTRLYZ_MED_C   →   C_GAS_STRG   →   H2_T&amp;D_P   →   H2_OCGT_PWR</v>
      </c>
      <c r="AA1551" t="str">
        <f t="shared" si="4820"/>
        <v>Grid electricity</v>
      </c>
      <c r="AB1551" t="str">
        <f t="shared" si="4821"/>
        <v>Public acceptability</v>
      </c>
      <c r="AC1551">
        <f t="shared" ca="1" si="4822"/>
        <v>30.24</v>
      </c>
      <c r="AD1551">
        <v>1492</v>
      </c>
      <c r="AE1551" t="str">
        <f>IF(AND(ISNUMBER(SEARCH(O1551,4)),ISNUMBER(SEARCH('(4) FCH pathway assessment'!$B$16,AB1551)),ISNUMBER(SEARCH('(4) FCH pathway assessment'!$B$10,AA1551))),AD1551,"")</f>
        <v/>
      </c>
      <c r="AF1551" t="str">
        <f t="shared" si="4794"/>
        <v/>
      </c>
      <c r="AG1551" t="str">
        <f>VLOOKUP(C1551,Assumptions!$B$116:$C$162,2,FALSE)</f>
        <v>ELCTRLYZ_MED_C</v>
      </c>
      <c r="AH1551" t="str">
        <f>VLOOKUP(D1551,Assumptions!$B$116:$C$162,2,FALSE)</f>
        <v>C_GAS_STRG</v>
      </c>
      <c r="AI1551" t="str">
        <f>VLOOKUP(E1551,Assumptions!$B$116:$C$162,2,FALSE)</f>
        <v>H2_T&amp;D_P</v>
      </c>
      <c r="AJ1551" t="str">
        <f>VLOOKUP(F1551,Assumptions!$B$116:$C$162,2,FALSE)</f>
        <v>H2_OCGT_PWR</v>
      </c>
    </row>
    <row r="1552" spans="2:36" x14ac:dyDescent="0.25">
      <c r="B1552" t="s">
        <v>112</v>
      </c>
      <c r="C1552" t="s">
        <v>51</v>
      </c>
      <c r="D1552" t="s">
        <v>155</v>
      </c>
      <c r="E1552" t="s">
        <v>116</v>
      </c>
      <c r="F1552" t="s">
        <v>162</v>
      </c>
      <c r="G1552" t="s">
        <v>114</v>
      </c>
      <c r="H1552" t="s">
        <v>433</v>
      </c>
      <c r="I1552" t="s">
        <v>32</v>
      </c>
      <c r="J1552" t="s">
        <v>82</v>
      </c>
      <c r="K1552">
        <f t="shared" si="4810"/>
        <v>1</v>
      </c>
      <c r="L1552">
        <f t="shared" si="4811"/>
        <v>1</v>
      </c>
      <c r="M1552">
        <f t="shared" si="4812"/>
        <v>1</v>
      </c>
      <c r="N1552">
        <f t="shared" si="4813"/>
        <v>0</v>
      </c>
      <c r="O1552">
        <f t="shared" si="4814"/>
        <v>3</v>
      </c>
      <c r="P1552" t="str">
        <f t="shared" si="4815"/>
        <v>Medium centralized electrolysis-Public acceptability</v>
      </c>
      <c r="Q1552" t="str">
        <f t="shared" si="4816"/>
        <v>Central gas storage-Public acceptability</v>
      </c>
      <c r="R1552" t="str">
        <f t="shared" si="4817"/>
        <v>Liquid hydrogen truck-Public acceptability</v>
      </c>
      <c r="S1552" t="str">
        <f t="shared" si="4818"/>
        <v>Hydrogen turbine (OC)-Public acceptability</v>
      </c>
      <c r="T1552" s="54">
        <f ca="1">VLOOKUP($P1552,'TA database'!$I$8:$J$79,2,FALSE)</f>
        <v>90</v>
      </c>
      <c r="U1552" s="54">
        <f ca="1">VLOOKUP($Q1552,'TA database'!$I$86:$J$105,2,FALSE)</f>
        <v>60</v>
      </c>
      <c r="V1552" s="54">
        <f ca="1">VLOOKUP($R1552,'TA database'!$I$112:$J$139,2,FALSE)</f>
        <v>100</v>
      </c>
      <c r="W1552" s="54">
        <f>IFERROR(VLOOKUP($S1552,'TA database'!$I$146:$J$193,2,FALSE),0)</f>
        <v>0</v>
      </c>
      <c r="X1552" s="54">
        <f ca="1">IFERROR(VLOOKUP($S1552,'TA database'!$I$200:$J$271,2,FALSE),0)</f>
        <v>80</v>
      </c>
      <c r="Y1552" s="59">
        <f t="shared" ca="1" si="4823"/>
        <v>43.2</v>
      </c>
      <c r="Z1552" t="str">
        <f t="shared" si="4819"/>
        <v>ELCTRLYZ_MED_C   →   C_GAS_STRG   →   LQ_TRUCK   →   H2_OCGT_PWR</v>
      </c>
      <c r="AA1552" t="str">
        <f t="shared" si="4820"/>
        <v>Grid electricity</v>
      </c>
      <c r="AB1552" t="str">
        <f t="shared" si="4821"/>
        <v>Public acceptability</v>
      </c>
      <c r="AC1552">
        <f t="shared" ca="1" si="4822"/>
        <v>43.2</v>
      </c>
      <c r="AD1552">
        <v>1493</v>
      </c>
      <c r="AE1552" t="str">
        <f>IF(AND(ISNUMBER(SEARCH(O1552,4)),ISNUMBER(SEARCH('(4) FCH pathway assessment'!$B$16,AB1552)),ISNUMBER(SEARCH('(4) FCH pathway assessment'!$B$10,AA1552))),AD1552,"")</f>
        <v/>
      </c>
      <c r="AF1552" t="str">
        <f t="shared" si="4794"/>
        <v/>
      </c>
      <c r="AG1552" t="str">
        <f>VLOOKUP(C1552,Assumptions!$B$116:$C$162,2,FALSE)</f>
        <v>ELCTRLYZ_MED_C</v>
      </c>
      <c r="AH1552" t="str">
        <f>VLOOKUP(D1552,Assumptions!$B$116:$C$162,2,FALSE)</f>
        <v>C_GAS_STRG</v>
      </c>
      <c r="AI1552" t="str">
        <f>VLOOKUP(E1552,Assumptions!$B$116:$C$162,2,FALSE)</f>
        <v>LQ_TRUCK</v>
      </c>
      <c r="AJ1552" t="str">
        <f>VLOOKUP(F1552,Assumptions!$B$116:$C$162,2,FALSE)</f>
        <v>H2_OCGT_PWR</v>
      </c>
    </row>
    <row r="1553" spans="2:36" x14ac:dyDescent="0.25">
      <c r="B1553" t="s">
        <v>112</v>
      </c>
      <c r="C1553" t="s">
        <v>51</v>
      </c>
      <c r="D1553" t="s">
        <v>155</v>
      </c>
      <c r="E1553" t="s">
        <v>66</v>
      </c>
      <c r="F1553" t="s">
        <v>162</v>
      </c>
      <c r="G1553" t="s">
        <v>114</v>
      </c>
      <c r="H1553" t="s">
        <v>433</v>
      </c>
      <c r="I1553" t="s">
        <v>32</v>
      </c>
      <c r="J1553" t="s">
        <v>82</v>
      </c>
      <c r="K1553">
        <f t="shared" si="4810"/>
        <v>1</v>
      </c>
      <c r="L1553">
        <f t="shared" si="4811"/>
        <v>1</v>
      </c>
      <c r="M1553">
        <f t="shared" si="4812"/>
        <v>1</v>
      </c>
      <c r="N1553">
        <f t="shared" si="4813"/>
        <v>0</v>
      </c>
      <c r="O1553">
        <f t="shared" si="4814"/>
        <v>3</v>
      </c>
      <c r="P1553" t="str">
        <f t="shared" si="4815"/>
        <v>Medium centralized electrolysis-Public acceptability</v>
      </c>
      <c r="Q1553" t="str">
        <f t="shared" si="4816"/>
        <v>Central gas storage-Public acceptability</v>
      </c>
      <c r="R1553" t="str">
        <f t="shared" si="4817"/>
        <v>Onsite-Public acceptability</v>
      </c>
      <c r="S1553" t="str">
        <f t="shared" si="4818"/>
        <v>Hydrogen turbine (OC)-Public acceptability</v>
      </c>
      <c r="T1553" s="54">
        <f ca="1">VLOOKUP($P1553,'TA database'!$I$8:$J$79,2,FALSE)</f>
        <v>90</v>
      </c>
      <c r="U1553" s="54">
        <f ca="1">VLOOKUP($Q1553,'TA database'!$I$86:$J$105,2,FALSE)</f>
        <v>60</v>
      </c>
      <c r="V1553" s="54">
        <f ca="1">VLOOKUP($R1553,'TA database'!$I$112:$J$139,2,FALSE)</f>
        <v>90</v>
      </c>
      <c r="W1553" s="54">
        <f>IFERROR(VLOOKUP($S1553,'TA database'!$I$146:$J$193,2,FALSE),0)</f>
        <v>0</v>
      </c>
      <c r="X1553" s="54">
        <f ca="1">IFERROR(VLOOKUP($S1553,'TA database'!$I$200:$J$271,2,FALSE),0)</f>
        <v>80</v>
      </c>
      <c r="Y1553" s="59">
        <f t="shared" ca="1" si="4823"/>
        <v>38.880000000000003</v>
      </c>
      <c r="Z1553" t="str">
        <f t="shared" si="4819"/>
        <v>ELCTRLYZ_MED_C   →   C_GAS_STRG   →   ONSITE_USE   →   H2_OCGT_PWR</v>
      </c>
      <c r="AA1553" t="str">
        <f t="shared" si="4820"/>
        <v>Grid electricity</v>
      </c>
      <c r="AB1553" t="str">
        <f t="shared" si="4821"/>
        <v>Public acceptability</v>
      </c>
      <c r="AC1553">
        <f t="shared" ca="1" si="4822"/>
        <v>38.880000000000003</v>
      </c>
      <c r="AD1553">
        <v>1494</v>
      </c>
      <c r="AE1553" t="str">
        <f>IF(AND(ISNUMBER(SEARCH(O1553,4)),ISNUMBER(SEARCH('(4) FCH pathway assessment'!$B$16,AB1553)),ISNUMBER(SEARCH('(4) FCH pathway assessment'!$B$10,AA1553))),AD1553,"")</f>
        <v/>
      </c>
      <c r="AF1553" t="str">
        <f t="shared" si="4794"/>
        <v/>
      </c>
      <c r="AG1553" t="str">
        <f>VLOOKUP(C1553,Assumptions!$B$116:$C$162,2,FALSE)</f>
        <v>ELCTRLYZ_MED_C</v>
      </c>
      <c r="AH1553" t="str">
        <f>VLOOKUP(D1553,Assumptions!$B$116:$C$162,2,FALSE)</f>
        <v>C_GAS_STRG</v>
      </c>
      <c r="AI1553" t="str">
        <f>VLOOKUP(E1553,Assumptions!$B$116:$C$162,2,FALSE)</f>
        <v>ONSITE_USE</v>
      </c>
      <c r="AJ1553" t="str">
        <f>VLOOKUP(F1553,Assumptions!$B$116:$C$162,2,FALSE)</f>
        <v>H2_OCGT_PWR</v>
      </c>
    </row>
    <row r="1554" spans="2:36" x14ac:dyDescent="0.25">
      <c r="B1554" t="s">
        <v>112</v>
      </c>
      <c r="C1554" t="s">
        <v>52</v>
      </c>
      <c r="D1554" s="60" t="s">
        <v>130</v>
      </c>
      <c r="E1554" t="s">
        <v>66</v>
      </c>
      <c r="F1554" t="s">
        <v>162</v>
      </c>
      <c r="G1554" t="s">
        <v>114</v>
      </c>
      <c r="H1554" t="s">
        <v>433</v>
      </c>
      <c r="I1554" t="s">
        <v>32</v>
      </c>
      <c r="J1554" t="s">
        <v>82</v>
      </c>
      <c r="K1554">
        <f t="shared" ref="K1554:K1559" si="4824">SUMPRODUCT(($C$7:$C$18=$C1554)*($D$6:$H$6=$D1554)*($D$7:$H$18))</f>
        <v>1</v>
      </c>
      <c r="L1554">
        <f t="shared" ref="L1554:L1559" si="4825">SUMPRODUCT(($C$19:$C$23=$D1554)*($I$6:$O$6=$E1554)*($I$19:$O$23))</f>
        <v>1</v>
      </c>
      <c r="M1554">
        <f t="shared" ref="M1554:M1559" si="4826">SUMPRODUCT(($C$24:$C$30=$E1554)*($P$6:$AI$6=$F1554)*($P$24:$AI$30))</f>
        <v>1</v>
      </c>
      <c r="N1554">
        <f t="shared" ref="N1554:N1559" si="4827">SUMPRODUCT(($C$31:$C$50=$F1554)*($AJ$6:$AM$6=$G1554)*($AJ$31:$AM$50))</f>
        <v>0</v>
      </c>
      <c r="O1554">
        <f t="shared" ref="O1554:O1558" si="4828">K1554+L1554+M1554+N1554</f>
        <v>3</v>
      </c>
      <c r="P1554" t="str">
        <f t="shared" ref="P1554:P1559" si="4829">CONCATENATE(C1554,"-",J1554)</f>
        <v>Small decentralized electrolysis-Public acceptability</v>
      </c>
      <c r="Q1554" t="str">
        <f t="shared" ref="Q1554:Q1559" si="4830">CONCATENATE(D1554,"-",J1554)</f>
        <v>Distributed gas storage-Public acceptability</v>
      </c>
      <c r="R1554" t="str">
        <f t="shared" ref="R1554:R1559" si="4831">CONCATENATE(E1554,"-",J1554)</f>
        <v>Onsite-Public acceptability</v>
      </c>
      <c r="S1554" t="str">
        <f t="shared" ref="S1554:S1559" si="4832">CONCATENATE(F1554,"-",J1554)</f>
        <v>Hydrogen turbine (OC)-Public acceptability</v>
      </c>
      <c r="T1554" s="54">
        <f ca="1">VLOOKUP($P1554,'TA database'!$I$8:$J$79,2,FALSE)</f>
        <v>90</v>
      </c>
      <c r="U1554" s="54">
        <f ca="1">VLOOKUP($Q1554,'TA database'!$I$86:$J$105,2,FALSE)</f>
        <v>60</v>
      </c>
      <c r="V1554" s="54">
        <f ca="1">VLOOKUP($R1554,'TA database'!$I$112:$J$139,2,FALSE)</f>
        <v>90</v>
      </c>
      <c r="W1554" s="54">
        <f>IFERROR(VLOOKUP($S1554,'TA database'!$I$146:$J$193,2,FALSE),0)</f>
        <v>0</v>
      </c>
      <c r="X1554" s="54">
        <f ca="1">IFERROR(VLOOKUP($S1554,'TA database'!$I$200:$J$271,2,FALSE),0)</f>
        <v>80</v>
      </c>
      <c r="Y1554" s="59">
        <f t="shared" ca="1" si="4823"/>
        <v>38.880000000000003</v>
      </c>
      <c r="Z1554" t="str">
        <f t="shared" ref="Z1554:Z1558" si="4833">CONCATENATE(AG1554,"   →   ",AH1554,"   →   ",AI1554,"   →   ",AJ1554)</f>
        <v>ELCTRLYZ_SML_D   →   D_GAS_STRG   →   ONSITE_USE   →   H2_OCGT_PWR</v>
      </c>
      <c r="AA1554" t="str">
        <f t="shared" ref="AA1554:AA1558" si="4834">G1554</f>
        <v>Grid electricity</v>
      </c>
      <c r="AB1554" t="str">
        <f t="shared" ref="AB1554:AB1558" si="4835">J1554</f>
        <v>Public acceptability</v>
      </c>
      <c r="AC1554">
        <f t="shared" ref="AC1554:AC1558" ca="1" si="4836">Y1554</f>
        <v>38.880000000000003</v>
      </c>
      <c r="AD1554">
        <v>1495</v>
      </c>
      <c r="AE1554" t="str">
        <f>IF(AND(ISNUMBER(SEARCH(O1554,4)),ISNUMBER(SEARCH('(4) FCH pathway assessment'!$B$16,AB1554)),ISNUMBER(SEARCH('(4) FCH pathway assessment'!$B$10,AA1554))),AD1554,"")</f>
        <v/>
      </c>
      <c r="AF1554" t="str">
        <f t="shared" si="4794"/>
        <v/>
      </c>
      <c r="AG1554" t="str">
        <f>VLOOKUP(C1554,Assumptions!$B$116:$C$162,2,FALSE)</f>
        <v>ELCTRLYZ_SML_D</v>
      </c>
      <c r="AH1554" t="str">
        <f>VLOOKUP(D1554,Assumptions!$B$116:$C$162,2,FALSE)</f>
        <v>D_GAS_STRG</v>
      </c>
      <c r="AI1554" t="str">
        <f>VLOOKUP(E1554,Assumptions!$B$116:$C$162,2,FALSE)</f>
        <v>ONSITE_USE</v>
      </c>
      <c r="AJ1554" t="str">
        <f>VLOOKUP(F1554,Assumptions!$B$116:$C$162,2,FALSE)</f>
        <v>H2_OCGT_PWR</v>
      </c>
    </row>
    <row r="1555" spans="2:36" x14ac:dyDescent="0.25">
      <c r="B1555" t="s">
        <v>127</v>
      </c>
      <c r="C1555" t="s">
        <v>57</v>
      </c>
      <c r="D1555" t="s">
        <v>62</v>
      </c>
      <c r="E1555" t="s">
        <v>157</v>
      </c>
      <c r="F1555" t="s">
        <v>162</v>
      </c>
      <c r="G1555" t="s">
        <v>114</v>
      </c>
      <c r="H1555" t="s">
        <v>433</v>
      </c>
      <c r="I1555" t="s">
        <v>32</v>
      </c>
      <c r="J1555" t="s">
        <v>82</v>
      </c>
      <c r="K1555">
        <f t="shared" si="4824"/>
        <v>1</v>
      </c>
      <c r="L1555">
        <f t="shared" si="4825"/>
        <v>0</v>
      </c>
      <c r="M1555">
        <f t="shared" si="4826"/>
        <v>0</v>
      </c>
      <c r="N1555">
        <f t="shared" si="4827"/>
        <v>0</v>
      </c>
      <c r="O1555">
        <f t="shared" si="4828"/>
        <v>1</v>
      </c>
      <c r="P1555" t="str">
        <f t="shared" si="4829"/>
        <v>Large centralized natural gas steam reforming-Public acceptability</v>
      </c>
      <c r="Q1555" t="str">
        <f t="shared" si="4830"/>
        <v>Underground storage-Public acceptability</v>
      </c>
      <c r="R1555" t="str">
        <f t="shared" si="4831"/>
        <v>Blending in natural gas pipeline-Public acceptability</v>
      </c>
      <c r="S1555" t="str">
        <f t="shared" si="4832"/>
        <v>Hydrogen turbine (OC)-Public acceptability</v>
      </c>
      <c r="T1555" s="54">
        <f ca="1">VLOOKUP($P1555,'TA database'!$I$8:$J$79,2,FALSE)</f>
        <v>90</v>
      </c>
      <c r="U1555" s="54">
        <f ca="1">VLOOKUP($Q1555,'TA database'!$I$86:$J$105,2,FALSE)</f>
        <v>60</v>
      </c>
      <c r="V1555" s="54">
        <f ca="1">VLOOKUP($R1555,'TA database'!$I$112:$J$139,2,FALSE)</f>
        <v>90</v>
      </c>
      <c r="W1555" s="54">
        <f>IFERROR(VLOOKUP($S1555,'TA database'!$I$146:$J$193,2,FALSE),0)</f>
        <v>0</v>
      </c>
      <c r="X1555" s="54">
        <f ca="1">IFERROR(VLOOKUP($S1555,'TA database'!$I$200:$J$271,2,FALSE),0)</f>
        <v>80</v>
      </c>
      <c r="Y1555" s="59">
        <f t="shared" ref="Y1555:Y1563" ca="1" si="4837">IF($W1555=0,(PRODUCT($T1555:$V1555,$X1555))/1000000,(PRODUCT($T1555:$W1555))/1000000)</f>
        <v>38.880000000000003</v>
      </c>
      <c r="Z1555" t="str">
        <f t="shared" si="4833"/>
        <v>NG_SR_LRG_C   →   C_UNDRGRND_STRG   →   H2_BLND_NG_P   →   H2_OCGT_PWR</v>
      </c>
      <c r="AA1555" t="str">
        <f t="shared" si="4834"/>
        <v>Grid electricity</v>
      </c>
      <c r="AB1555" t="str">
        <f t="shared" si="4835"/>
        <v>Public acceptability</v>
      </c>
      <c r="AC1555">
        <f t="shared" ca="1" si="4836"/>
        <v>38.880000000000003</v>
      </c>
      <c r="AD1555">
        <v>1496</v>
      </c>
      <c r="AE1555" t="str">
        <f>IF(AND(ISNUMBER(SEARCH(O1555,4)),ISNUMBER(SEARCH('(4) FCH pathway assessment'!$B$16,AB1555)),ISNUMBER(SEARCH('(4) FCH pathway assessment'!$B$10,AA1555))),AD1555,"")</f>
        <v/>
      </c>
      <c r="AF1555" t="str">
        <f t="shared" si="4794"/>
        <v/>
      </c>
      <c r="AG1555" t="str">
        <f>VLOOKUP(C1555,Assumptions!$B$116:$C$162,2,FALSE)</f>
        <v>NG_SR_LRG_C</v>
      </c>
      <c r="AH1555" t="str">
        <f>VLOOKUP(D1555,Assumptions!$B$116:$C$162,2,FALSE)</f>
        <v>C_UNDRGRND_STRG</v>
      </c>
      <c r="AI1555" t="str">
        <f>VLOOKUP(E1555,Assumptions!$B$116:$C$162,2,FALSE)</f>
        <v>H2_BLND_NG_P</v>
      </c>
      <c r="AJ1555" t="str">
        <f>VLOOKUP(F1555,Assumptions!$B$116:$C$162,2,FALSE)</f>
        <v>H2_OCGT_PWR</v>
      </c>
    </row>
    <row r="1556" spans="2:36" x14ac:dyDescent="0.25">
      <c r="B1556" t="s">
        <v>127</v>
      </c>
      <c r="C1556" t="s">
        <v>57</v>
      </c>
      <c r="D1556" t="s">
        <v>62</v>
      </c>
      <c r="E1556" t="s">
        <v>122</v>
      </c>
      <c r="F1556" t="s">
        <v>162</v>
      </c>
      <c r="G1556" t="s">
        <v>114</v>
      </c>
      <c r="H1556" t="s">
        <v>433</v>
      </c>
      <c r="I1556" t="s">
        <v>32</v>
      </c>
      <c r="J1556" t="s">
        <v>82</v>
      </c>
      <c r="K1556">
        <f t="shared" si="4824"/>
        <v>1</v>
      </c>
      <c r="L1556">
        <f t="shared" si="4825"/>
        <v>0</v>
      </c>
      <c r="M1556">
        <f t="shared" si="4826"/>
        <v>1</v>
      </c>
      <c r="N1556">
        <f t="shared" si="4827"/>
        <v>0</v>
      </c>
      <c r="O1556">
        <f t="shared" si="4828"/>
        <v>2</v>
      </c>
      <c r="P1556" t="str">
        <f t="shared" si="4829"/>
        <v>Large centralized natural gas steam reforming-Public acceptability</v>
      </c>
      <c r="Q1556" t="str">
        <f t="shared" si="4830"/>
        <v>Underground storage-Public acceptability</v>
      </c>
      <c r="R1556" t="str">
        <f t="shared" si="4831"/>
        <v>Hydrogen transmission &amp; distribution pipeline-Public acceptability</v>
      </c>
      <c r="S1556" t="str">
        <f t="shared" si="4832"/>
        <v>Hydrogen turbine (OC)-Public acceptability</v>
      </c>
      <c r="T1556" s="54">
        <f ca="1">VLOOKUP($P1556,'TA database'!$I$8:$J$79,2,FALSE)</f>
        <v>90</v>
      </c>
      <c r="U1556" s="54">
        <f ca="1">VLOOKUP($Q1556,'TA database'!$I$86:$J$105,2,FALSE)</f>
        <v>60</v>
      </c>
      <c r="V1556" s="54">
        <f ca="1">VLOOKUP($R1556,'TA database'!$I$112:$J$139,2,FALSE)</f>
        <v>70</v>
      </c>
      <c r="W1556" s="54">
        <f>IFERROR(VLOOKUP($S1556,'TA database'!$I$146:$J$193,2,FALSE),0)</f>
        <v>0</v>
      </c>
      <c r="X1556" s="54">
        <f ca="1">IFERROR(VLOOKUP($S1556,'TA database'!$I$200:$J$271,2,FALSE),0)</f>
        <v>80</v>
      </c>
      <c r="Y1556" s="59">
        <f t="shared" ca="1" si="4837"/>
        <v>30.24</v>
      </c>
      <c r="Z1556" t="str">
        <f t="shared" si="4833"/>
        <v>NG_SR_LRG_C   →   C_UNDRGRND_STRG   →   H2_T&amp;D_P   →   H2_OCGT_PWR</v>
      </c>
      <c r="AA1556" t="str">
        <f t="shared" si="4834"/>
        <v>Grid electricity</v>
      </c>
      <c r="AB1556" t="str">
        <f t="shared" si="4835"/>
        <v>Public acceptability</v>
      </c>
      <c r="AC1556">
        <f t="shared" ca="1" si="4836"/>
        <v>30.24</v>
      </c>
      <c r="AD1556">
        <v>1497</v>
      </c>
      <c r="AE1556" t="str">
        <f>IF(AND(ISNUMBER(SEARCH(O1556,4)),ISNUMBER(SEARCH('(4) FCH pathway assessment'!$B$16,AB1556)),ISNUMBER(SEARCH('(4) FCH pathway assessment'!$B$10,AA1556))),AD1556,"")</f>
        <v/>
      </c>
      <c r="AF1556" t="str">
        <f t="shared" si="4794"/>
        <v/>
      </c>
      <c r="AG1556" t="str">
        <f>VLOOKUP(C1556,Assumptions!$B$116:$C$162,2,FALSE)</f>
        <v>NG_SR_LRG_C</v>
      </c>
      <c r="AH1556" t="str">
        <f>VLOOKUP(D1556,Assumptions!$B$116:$C$162,2,FALSE)</f>
        <v>C_UNDRGRND_STRG</v>
      </c>
      <c r="AI1556" t="str">
        <f>VLOOKUP(E1556,Assumptions!$B$116:$C$162,2,FALSE)</f>
        <v>H2_T&amp;D_P</v>
      </c>
      <c r="AJ1556" t="str">
        <f>VLOOKUP(F1556,Assumptions!$B$116:$C$162,2,FALSE)</f>
        <v>H2_OCGT_PWR</v>
      </c>
    </row>
    <row r="1557" spans="2:36" x14ac:dyDescent="0.25">
      <c r="B1557" t="s">
        <v>127</v>
      </c>
      <c r="C1557" t="s">
        <v>57</v>
      </c>
      <c r="D1557" t="s">
        <v>62</v>
      </c>
      <c r="E1557" t="s">
        <v>116</v>
      </c>
      <c r="F1557" t="s">
        <v>162</v>
      </c>
      <c r="G1557" t="s">
        <v>114</v>
      </c>
      <c r="H1557" t="s">
        <v>433</v>
      </c>
      <c r="I1557" t="s">
        <v>32</v>
      </c>
      <c r="J1557" t="s">
        <v>82</v>
      </c>
      <c r="K1557">
        <f t="shared" si="4824"/>
        <v>1</v>
      </c>
      <c r="L1557">
        <f t="shared" si="4825"/>
        <v>0</v>
      </c>
      <c r="M1557">
        <f t="shared" si="4826"/>
        <v>1</v>
      </c>
      <c r="N1557">
        <f t="shared" si="4827"/>
        <v>0</v>
      </c>
      <c r="O1557">
        <f t="shared" si="4828"/>
        <v>2</v>
      </c>
      <c r="P1557" t="str">
        <f t="shared" si="4829"/>
        <v>Large centralized natural gas steam reforming-Public acceptability</v>
      </c>
      <c r="Q1557" t="str">
        <f t="shared" si="4830"/>
        <v>Underground storage-Public acceptability</v>
      </c>
      <c r="R1557" t="str">
        <f t="shared" si="4831"/>
        <v>Liquid hydrogen truck-Public acceptability</v>
      </c>
      <c r="S1557" t="str">
        <f t="shared" si="4832"/>
        <v>Hydrogen turbine (OC)-Public acceptability</v>
      </c>
      <c r="T1557" s="54">
        <f ca="1">VLOOKUP($P1557,'TA database'!$I$8:$J$79,2,FALSE)</f>
        <v>90</v>
      </c>
      <c r="U1557" s="54">
        <f ca="1">VLOOKUP($Q1557,'TA database'!$I$86:$J$105,2,FALSE)</f>
        <v>60</v>
      </c>
      <c r="V1557" s="54">
        <f ca="1">VLOOKUP($R1557,'TA database'!$I$112:$J$139,2,FALSE)</f>
        <v>100</v>
      </c>
      <c r="W1557" s="54">
        <f>IFERROR(VLOOKUP($S1557,'TA database'!$I$146:$J$193,2,FALSE),0)</f>
        <v>0</v>
      </c>
      <c r="X1557" s="54">
        <f ca="1">IFERROR(VLOOKUP($S1557,'TA database'!$I$200:$J$271,2,FALSE),0)</f>
        <v>80</v>
      </c>
      <c r="Y1557" s="59">
        <f t="shared" ca="1" si="4837"/>
        <v>43.2</v>
      </c>
      <c r="Z1557" t="str">
        <f t="shared" si="4833"/>
        <v>NG_SR_LRG_C   →   C_UNDRGRND_STRG   →   LQ_TRUCK   →   H2_OCGT_PWR</v>
      </c>
      <c r="AA1557" t="str">
        <f t="shared" si="4834"/>
        <v>Grid electricity</v>
      </c>
      <c r="AB1557" t="str">
        <f t="shared" si="4835"/>
        <v>Public acceptability</v>
      </c>
      <c r="AC1557">
        <f t="shared" ca="1" si="4836"/>
        <v>43.2</v>
      </c>
      <c r="AD1557">
        <v>1498</v>
      </c>
      <c r="AE1557" t="str">
        <f>IF(AND(ISNUMBER(SEARCH(O1557,4)),ISNUMBER(SEARCH('(4) FCH pathway assessment'!$B$16,AB1557)),ISNUMBER(SEARCH('(4) FCH pathway assessment'!$B$10,AA1557))),AD1557,"")</f>
        <v/>
      </c>
      <c r="AF1557" t="str">
        <f t="shared" si="4794"/>
        <v/>
      </c>
      <c r="AG1557" t="str">
        <f>VLOOKUP(C1557,Assumptions!$B$116:$C$162,2,FALSE)</f>
        <v>NG_SR_LRG_C</v>
      </c>
      <c r="AH1557" t="str">
        <f>VLOOKUP(D1557,Assumptions!$B$116:$C$162,2,FALSE)</f>
        <v>C_UNDRGRND_STRG</v>
      </c>
      <c r="AI1557" t="str">
        <f>VLOOKUP(E1557,Assumptions!$B$116:$C$162,2,FALSE)</f>
        <v>LQ_TRUCK</v>
      </c>
      <c r="AJ1557" t="str">
        <f>VLOOKUP(F1557,Assumptions!$B$116:$C$162,2,FALSE)</f>
        <v>H2_OCGT_PWR</v>
      </c>
    </row>
    <row r="1558" spans="2:36" x14ac:dyDescent="0.25">
      <c r="B1558" t="s">
        <v>127</v>
      </c>
      <c r="C1558" t="s">
        <v>57</v>
      </c>
      <c r="D1558" t="s">
        <v>62</v>
      </c>
      <c r="E1558" t="s">
        <v>66</v>
      </c>
      <c r="F1558" t="s">
        <v>162</v>
      </c>
      <c r="G1558" t="s">
        <v>114</v>
      </c>
      <c r="H1558" t="s">
        <v>433</v>
      </c>
      <c r="I1558" t="s">
        <v>32</v>
      </c>
      <c r="J1558" t="s">
        <v>82</v>
      </c>
      <c r="K1558">
        <f t="shared" si="4824"/>
        <v>1</v>
      </c>
      <c r="L1558">
        <f t="shared" si="4825"/>
        <v>0</v>
      </c>
      <c r="M1558">
        <f t="shared" si="4826"/>
        <v>1</v>
      </c>
      <c r="N1558">
        <f t="shared" si="4827"/>
        <v>0</v>
      </c>
      <c r="O1558">
        <f t="shared" si="4828"/>
        <v>2</v>
      </c>
      <c r="P1558" t="str">
        <f t="shared" si="4829"/>
        <v>Large centralized natural gas steam reforming-Public acceptability</v>
      </c>
      <c r="Q1558" t="str">
        <f t="shared" si="4830"/>
        <v>Underground storage-Public acceptability</v>
      </c>
      <c r="R1558" t="str">
        <f t="shared" si="4831"/>
        <v>Onsite-Public acceptability</v>
      </c>
      <c r="S1558" t="str">
        <f t="shared" si="4832"/>
        <v>Hydrogen turbine (OC)-Public acceptability</v>
      </c>
      <c r="T1558" s="54">
        <f ca="1">VLOOKUP($P1558,'TA database'!$I$8:$J$79,2,FALSE)</f>
        <v>90</v>
      </c>
      <c r="U1558" s="54">
        <f ca="1">VLOOKUP($Q1558,'TA database'!$I$86:$J$105,2,FALSE)</f>
        <v>60</v>
      </c>
      <c r="V1558" s="54">
        <f ca="1">VLOOKUP($R1558,'TA database'!$I$112:$J$139,2,FALSE)</f>
        <v>90</v>
      </c>
      <c r="W1558" s="54">
        <f>IFERROR(VLOOKUP($S1558,'TA database'!$I$146:$J$193,2,FALSE),0)</f>
        <v>0</v>
      </c>
      <c r="X1558" s="54">
        <f ca="1">IFERROR(VLOOKUP($S1558,'TA database'!$I$200:$J$271,2,FALSE),0)</f>
        <v>80</v>
      </c>
      <c r="Y1558" s="59">
        <f t="shared" ca="1" si="4837"/>
        <v>38.880000000000003</v>
      </c>
      <c r="Z1558" t="str">
        <f t="shared" si="4833"/>
        <v>NG_SR_LRG_C   →   C_UNDRGRND_STRG   →   ONSITE_USE   →   H2_OCGT_PWR</v>
      </c>
      <c r="AA1558" t="str">
        <f t="shared" si="4834"/>
        <v>Grid electricity</v>
      </c>
      <c r="AB1558" t="str">
        <f t="shared" si="4835"/>
        <v>Public acceptability</v>
      </c>
      <c r="AC1558">
        <f t="shared" ca="1" si="4836"/>
        <v>38.880000000000003</v>
      </c>
      <c r="AD1558">
        <v>1499</v>
      </c>
      <c r="AE1558" t="str">
        <f>IF(AND(ISNUMBER(SEARCH(O1558,4)),ISNUMBER(SEARCH('(4) FCH pathway assessment'!$B$16,AB1558)),ISNUMBER(SEARCH('(4) FCH pathway assessment'!$B$10,AA1558))),AD1558,"")</f>
        <v/>
      </c>
      <c r="AF1558" t="str">
        <f t="shared" si="4794"/>
        <v/>
      </c>
      <c r="AG1558" t="str">
        <f>VLOOKUP(C1558,Assumptions!$B$116:$C$162,2,FALSE)</f>
        <v>NG_SR_LRG_C</v>
      </c>
      <c r="AH1558" t="str">
        <f>VLOOKUP(D1558,Assumptions!$B$116:$C$162,2,FALSE)</f>
        <v>C_UNDRGRND_STRG</v>
      </c>
      <c r="AI1558" t="str">
        <f>VLOOKUP(E1558,Assumptions!$B$116:$C$162,2,FALSE)</f>
        <v>ONSITE_USE</v>
      </c>
      <c r="AJ1558" t="str">
        <f>VLOOKUP(F1558,Assumptions!$B$116:$C$162,2,FALSE)</f>
        <v>H2_OCGT_PWR</v>
      </c>
    </row>
    <row r="1559" spans="2:36" x14ac:dyDescent="0.25">
      <c r="B1559" t="s">
        <v>127</v>
      </c>
      <c r="C1559" t="s">
        <v>57</v>
      </c>
      <c r="D1559" s="61" t="s">
        <v>63</v>
      </c>
      <c r="E1559" t="s">
        <v>122</v>
      </c>
      <c r="F1559" t="s">
        <v>162</v>
      </c>
      <c r="G1559" t="s">
        <v>114</v>
      </c>
      <c r="H1559" t="s">
        <v>433</v>
      </c>
      <c r="I1559" t="s">
        <v>32</v>
      </c>
      <c r="J1559" t="s">
        <v>82</v>
      </c>
      <c r="K1559">
        <f t="shared" si="4824"/>
        <v>1</v>
      </c>
      <c r="L1559">
        <f t="shared" si="4825"/>
        <v>1</v>
      </c>
      <c r="M1559">
        <f t="shared" si="4826"/>
        <v>1</v>
      </c>
      <c r="N1559">
        <f t="shared" si="4827"/>
        <v>0</v>
      </c>
      <c r="O1559">
        <f t="shared" ref="O1559:O1563" si="4838">K1559+L1559+M1559+N1559</f>
        <v>3</v>
      </c>
      <c r="P1559" t="str">
        <f t="shared" si="4829"/>
        <v>Large centralized natural gas steam reforming-Public acceptability</v>
      </c>
      <c r="Q1559" t="str">
        <f t="shared" si="4830"/>
        <v>No storage-Public acceptability</v>
      </c>
      <c r="R1559" t="str">
        <f t="shared" si="4831"/>
        <v>Hydrogen transmission &amp; distribution pipeline-Public acceptability</v>
      </c>
      <c r="S1559" t="str">
        <f t="shared" si="4832"/>
        <v>Hydrogen turbine (OC)-Public acceptability</v>
      </c>
      <c r="T1559" s="54">
        <f ca="1">VLOOKUP($P1559,'TA database'!$I$8:$J$79,2,FALSE)</f>
        <v>90</v>
      </c>
      <c r="U1559" s="54">
        <f ca="1">VLOOKUP($Q1559,'TA database'!$I$86:$J$105,2,FALSE)</f>
        <v>100</v>
      </c>
      <c r="V1559" s="54">
        <f ca="1">VLOOKUP($R1559,'TA database'!$I$112:$J$139,2,FALSE)</f>
        <v>70</v>
      </c>
      <c r="W1559" s="54">
        <f>IFERROR(VLOOKUP($S1559,'TA database'!$I$146:$J$193,2,FALSE),0)</f>
        <v>0</v>
      </c>
      <c r="X1559" s="54">
        <f ca="1">IFERROR(VLOOKUP($S1559,'TA database'!$I$200:$J$271,2,FALSE),0)</f>
        <v>80</v>
      </c>
      <c r="Y1559" s="59">
        <f t="shared" ca="1" si="4837"/>
        <v>50.4</v>
      </c>
      <c r="Z1559" t="str">
        <f t="shared" ref="Z1559:Z1563" si="4839">CONCATENATE(AG1559,"   →   ",AH1559,"   →   ",AI1559,"   →   ",AJ1559)</f>
        <v>NG_SR_LRG_C   →   NO_STRG   →   H2_T&amp;D_P   →   H2_OCGT_PWR</v>
      </c>
      <c r="AA1559" t="str">
        <f t="shared" ref="AA1559:AA1563" si="4840">G1559</f>
        <v>Grid electricity</v>
      </c>
      <c r="AB1559" t="str">
        <f t="shared" ref="AB1559:AB1563" si="4841">J1559</f>
        <v>Public acceptability</v>
      </c>
      <c r="AC1559">
        <f t="shared" ref="AC1559:AC1563" ca="1" si="4842">Y1559</f>
        <v>50.4</v>
      </c>
      <c r="AD1559">
        <v>1500</v>
      </c>
      <c r="AE1559" t="str">
        <f>IF(AND(ISNUMBER(SEARCH(O1559,4)),ISNUMBER(SEARCH('(4) FCH pathway assessment'!$B$16,AB1559)),ISNUMBER(SEARCH('(4) FCH pathway assessment'!$B$10,AA1559))),AD1559,"")</f>
        <v/>
      </c>
      <c r="AF1559" t="str">
        <f t="shared" si="4794"/>
        <v/>
      </c>
      <c r="AG1559" t="str">
        <f>VLOOKUP(C1559,Assumptions!$B$116:$C$162,2,FALSE)</f>
        <v>NG_SR_LRG_C</v>
      </c>
      <c r="AH1559" t="str">
        <f>VLOOKUP(D1559,Assumptions!$B$116:$C$162,2,FALSE)</f>
        <v>NO_STRG</v>
      </c>
      <c r="AI1559" t="str">
        <f>VLOOKUP(E1559,Assumptions!$B$116:$C$162,2,FALSE)</f>
        <v>H2_T&amp;D_P</v>
      </c>
      <c r="AJ1559" t="str">
        <f>VLOOKUP(F1559,Assumptions!$B$116:$C$162,2,FALSE)</f>
        <v>H2_OCGT_PWR</v>
      </c>
    </row>
    <row r="1560" spans="2:36" x14ac:dyDescent="0.25">
      <c r="B1560" t="s">
        <v>127</v>
      </c>
      <c r="C1560" t="s">
        <v>58</v>
      </c>
      <c r="D1560" t="s">
        <v>155</v>
      </c>
      <c r="E1560" t="s">
        <v>157</v>
      </c>
      <c r="F1560" t="s">
        <v>162</v>
      </c>
      <c r="G1560" t="s">
        <v>114</v>
      </c>
      <c r="H1560" t="s">
        <v>433</v>
      </c>
      <c r="I1560" t="s">
        <v>32</v>
      </c>
      <c r="J1560" t="s">
        <v>82</v>
      </c>
      <c r="K1560">
        <f t="shared" ref="K1560:K1563" si="4843">SUMPRODUCT(($C$7:$C$18=$C1560)*($D$6:$H$6=$D1560)*($D$7:$H$18))</f>
        <v>1</v>
      </c>
      <c r="L1560">
        <f t="shared" ref="L1560:L1563" si="4844">SUMPRODUCT(($C$19:$C$23=$D1560)*($I$6:$O$6=$E1560)*($I$19:$O$23))</f>
        <v>1</v>
      </c>
      <c r="M1560">
        <f t="shared" ref="M1560:M1563" si="4845">SUMPRODUCT(($C$24:$C$30=$E1560)*($P$6:$AI$6=$F1560)*($P$24:$AI$30))</f>
        <v>0</v>
      </c>
      <c r="N1560">
        <f t="shared" ref="N1560:N1563" si="4846">SUMPRODUCT(($C$31:$C$50=$F1560)*($AJ$6:$AM$6=$G1560)*($AJ$31:$AM$50))</f>
        <v>0</v>
      </c>
      <c r="O1560">
        <f t="shared" si="4838"/>
        <v>2</v>
      </c>
      <c r="P1560" t="str">
        <f t="shared" ref="P1560:P1563" si="4847">CONCATENATE(C1560,"-",J1560)</f>
        <v>Small centralized natural gas steam reforming-Public acceptability</v>
      </c>
      <c r="Q1560" t="str">
        <f t="shared" ref="Q1560:Q1563" si="4848">CONCATENATE(D1560,"-",J1560)</f>
        <v>Central gas storage-Public acceptability</v>
      </c>
      <c r="R1560" t="str">
        <f t="shared" ref="R1560:R1563" si="4849">CONCATENATE(E1560,"-",J1560)</f>
        <v>Blending in natural gas pipeline-Public acceptability</v>
      </c>
      <c r="S1560" t="str">
        <f t="shared" ref="S1560:S1563" si="4850">CONCATENATE(F1560,"-",J1560)</f>
        <v>Hydrogen turbine (OC)-Public acceptability</v>
      </c>
      <c r="T1560" s="54">
        <f ca="1">VLOOKUP($P1560,'TA database'!$I$8:$J$79,2,FALSE)</f>
        <v>90</v>
      </c>
      <c r="U1560" s="54">
        <f ca="1">VLOOKUP($Q1560,'TA database'!$I$86:$J$105,2,FALSE)</f>
        <v>60</v>
      </c>
      <c r="V1560" s="54">
        <f ca="1">VLOOKUP($R1560,'TA database'!$I$112:$J$139,2,FALSE)</f>
        <v>90</v>
      </c>
      <c r="W1560" s="54">
        <f>IFERROR(VLOOKUP($S1560,'TA database'!$I$146:$J$193,2,FALSE),0)</f>
        <v>0</v>
      </c>
      <c r="X1560" s="54">
        <f ca="1">IFERROR(VLOOKUP($S1560,'TA database'!$I$200:$J$271,2,FALSE),0)</f>
        <v>80</v>
      </c>
      <c r="Y1560" s="59">
        <f t="shared" ca="1" si="4837"/>
        <v>38.880000000000003</v>
      </c>
      <c r="Z1560" t="str">
        <f t="shared" si="4839"/>
        <v>NG_SR_SML_C   →   C_GAS_STRG   →   H2_BLND_NG_P   →   H2_OCGT_PWR</v>
      </c>
      <c r="AA1560" t="str">
        <f t="shared" si="4840"/>
        <v>Grid electricity</v>
      </c>
      <c r="AB1560" t="str">
        <f t="shared" si="4841"/>
        <v>Public acceptability</v>
      </c>
      <c r="AC1560">
        <f t="shared" ca="1" si="4842"/>
        <v>38.880000000000003</v>
      </c>
      <c r="AD1560">
        <v>1501</v>
      </c>
      <c r="AE1560" t="str">
        <f>IF(AND(ISNUMBER(SEARCH(O1560,4)),ISNUMBER(SEARCH('(4) FCH pathway assessment'!$B$16,AB1560)),ISNUMBER(SEARCH('(4) FCH pathway assessment'!$B$10,AA1560))),AD1560,"")</f>
        <v/>
      </c>
      <c r="AF1560" t="str">
        <f t="shared" si="4794"/>
        <v/>
      </c>
      <c r="AG1560" t="str">
        <f>VLOOKUP(C1560,Assumptions!$B$116:$C$162,2,FALSE)</f>
        <v>NG_SR_SML_C</v>
      </c>
      <c r="AH1560" t="str">
        <f>VLOOKUP(D1560,Assumptions!$B$116:$C$162,2,FALSE)</f>
        <v>C_GAS_STRG</v>
      </c>
      <c r="AI1560" t="str">
        <f>VLOOKUP(E1560,Assumptions!$B$116:$C$162,2,FALSE)</f>
        <v>H2_BLND_NG_P</v>
      </c>
      <c r="AJ1560" t="str">
        <f>VLOOKUP(F1560,Assumptions!$B$116:$C$162,2,FALSE)</f>
        <v>H2_OCGT_PWR</v>
      </c>
    </row>
    <row r="1561" spans="2:36" x14ac:dyDescent="0.25">
      <c r="B1561" t="s">
        <v>127</v>
      </c>
      <c r="C1561" t="s">
        <v>58</v>
      </c>
      <c r="D1561" t="s">
        <v>155</v>
      </c>
      <c r="E1561" t="s">
        <v>122</v>
      </c>
      <c r="F1561" t="s">
        <v>162</v>
      </c>
      <c r="G1561" t="s">
        <v>114</v>
      </c>
      <c r="H1561" t="s">
        <v>433</v>
      </c>
      <c r="I1561" t="s">
        <v>32</v>
      </c>
      <c r="J1561" t="s">
        <v>82</v>
      </c>
      <c r="K1561">
        <f t="shared" si="4843"/>
        <v>1</v>
      </c>
      <c r="L1561">
        <f t="shared" si="4844"/>
        <v>1</v>
      </c>
      <c r="M1561">
        <f t="shared" si="4845"/>
        <v>1</v>
      </c>
      <c r="N1561">
        <f t="shared" si="4846"/>
        <v>0</v>
      </c>
      <c r="O1561">
        <f t="shared" si="4838"/>
        <v>3</v>
      </c>
      <c r="P1561" t="str">
        <f t="shared" si="4847"/>
        <v>Small centralized natural gas steam reforming-Public acceptability</v>
      </c>
      <c r="Q1561" t="str">
        <f t="shared" si="4848"/>
        <v>Central gas storage-Public acceptability</v>
      </c>
      <c r="R1561" t="str">
        <f t="shared" si="4849"/>
        <v>Hydrogen transmission &amp; distribution pipeline-Public acceptability</v>
      </c>
      <c r="S1561" t="str">
        <f t="shared" si="4850"/>
        <v>Hydrogen turbine (OC)-Public acceptability</v>
      </c>
      <c r="T1561" s="54">
        <f ca="1">VLOOKUP($P1561,'TA database'!$I$8:$J$79,2,FALSE)</f>
        <v>90</v>
      </c>
      <c r="U1561" s="54">
        <f ca="1">VLOOKUP($Q1561,'TA database'!$I$86:$J$105,2,FALSE)</f>
        <v>60</v>
      </c>
      <c r="V1561" s="54">
        <f ca="1">VLOOKUP($R1561,'TA database'!$I$112:$J$139,2,FALSE)</f>
        <v>70</v>
      </c>
      <c r="W1561" s="54">
        <f>IFERROR(VLOOKUP($S1561,'TA database'!$I$146:$J$193,2,FALSE),0)</f>
        <v>0</v>
      </c>
      <c r="X1561" s="54">
        <f ca="1">IFERROR(VLOOKUP($S1561,'TA database'!$I$200:$J$271,2,FALSE),0)</f>
        <v>80</v>
      </c>
      <c r="Y1561" s="59">
        <f t="shared" ca="1" si="4837"/>
        <v>30.24</v>
      </c>
      <c r="Z1561" t="str">
        <f t="shared" si="4839"/>
        <v>NG_SR_SML_C   →   C_GAS_STRG   →   H2_T&amp;D_P   →   H2_OCGT_PWR</v>
      </c>
      <c r="AA1561" t="str">
        <f t="shared" si="4840"/>
        <v>Grid electricity</v>
      </c>
      <c r="AB1561" t="str">
        <f t="shared" si="4841"/>
        <v>Public acceptability</v>
      </c>
      <c r="AC1561">
        <f t="shared" ca="1" si="4842"/>
        <v>30.24</v>
      </c>
      <c r="AD1561">
        <v>1502</v>
      </c>
      <c r="AE1561" t="str">
        <f>IF(AND(ISNUMBER(SEARCH(O1561,4)),ISNUMBER(SEARCH('(4) FCH pathway assessment'!$B$16,AB1561)),ISNUMBER(SEARCH('(4) FCH pathway assessment'!$B$10,AA1561))),AD1561,"")</f>
        <v/>
      </c>
      <c r="AF1561" t="str">
        <f t="shared" si="4794"/>
        <v/>
      </c>
      <c r="AG1561" t="str">
        <f>VLOOKUP(C1561,Assumptions!$B$116:$C$162,2,FALSE)</f>
        <v>NG_SR_SML_C</v>
      </c>
      <c r="AH1561" t="str">
        <f>VLOOKUP(D1561,Assumptions!$B$116:$C$162,2,FALSE)</f>
        <v>C_GAS_STRG</v>
      </c>
      <c r="AI1561" t="str">
        <f>VLOOKUP(E1561,Assumptions!$B$116:$C$162,2,FALSE)</f>
        <v>H2_T&amp;D_P</v>
      </c>
      <c r="AJ1561" t="str">
        <f>VLOOKUP(F1561,Assumptions!$B$116:$C$162,2,FALSE)</f>
        <v>H2_OCGT_PWR</v>
      </c>
    </row>
    <row r="1562" spans="2:36" x14ac:dyDescent="0.25">
      <c r="B1562" t="s">
        <v>127</v>
      </c>
      <c r="C1562" t="s">
        <v>58</v>
      </c>
      <c r="D1562" t="s">
        <v>155</v>
      </c>
      <c r="E1562" t="s">
        <v>116</v>
      </c>
      <c r="F1562" t="s">
        <v>162</v>
      </c>
      <c r="G1562" t="s">
        <v>114</v>
      </c>
      <c r="H1562" t="s">
        <v>433</v>
      </c>
      <c r="I1562" t="s">
        <v>32</v>
      </c>
      <c r="J1562" t="s">
        <v>82</v>
      </c>
      <c r="K1562">
        <f t="shared" si="4843"/>
        <v>1</v>
      </c>
      <c r="L1562">
        <f t="shared" si="4844"/>
        <v>1</v>
      </c>
      <c r="M1562">
        <f t="shared" si="4845"/>
        <v>1</v>
      </c>
      <c r="N1562">
        <f t="shared" si="4846"/>
        <v>0</v>
      </c>
      <c r="O1562">
        <f t="shared" si="4838"/>
        <v>3</v>
      </c>
      <c r="P1562" t="str">
        <f t="shared" si="4847"/>
        <v>Small centralized natural gas steam reforming-Public acceptability</v>
      </c>
      <c r="Q1562" t="str">
        <f t="shared" si="4848"/>
        <v>Central gas storage-Public acceptability</v>
      </c>
      <c r="R1562" t="str">
        <f t="shared" si="4849"/>
        <v>Liquid hydrogen truck-Public acceptability</v>
      </c>
      <c r="S1562" t="str">
        <f t="shared" si="4850"/>
        <v>Hydrogen turbine (OC)-Public acceptability</v>
      </c>
      <c r="T1562" s="54">
        <f ca="1">VLOOKUP($P1562,'TA database'!$I$8:$J$79,2,FALSE)</f>
        <v>90</v>
      </c>
      <c r="U1562" s="54">
        <f ca="1">VLOOKUP($Q1562,'TA database'!$I$86:$J$105,2,FALSE)</f>
        <v>60</v>
      </c>
      <c r="V1562" s="54">
        <f ca="1">VLOOKUP($R1562,'TA database'!$I$112:$J$139,2,FALSE)</f>
        <v>100</v>
      </c>
      <c r="W1562" s="54">
        <f>IFERROR(VLOOKUP($S1562,'TA database'!$I$146:$J$193,2,FALSE),0)</f>
        <v>0</v>
      </c>
      <c r="X1562" s="54">
        <f ca="1">IFERROR(VLOOKUP($S1562,'TA database'!$I$200:$J$271,2,FALSE),0)</f>
        <v>80</v>
      </c>
      <c r="Y1562" s="59">
        <f t="shared" ca="1" si="4837"/>
        <v>43.2</v>
      </c>
      <c r="Z1562" t="str">
        <f t="shared" si="4839"/>
        <v>NG_SR_SML_C   →   C_GAS_STRG   →   LQ_TRUCK   →   H2_OCGT_PWR</v>
      </c>
      <c r="AA1562" t="str">
        <f t="shared" si="4840"/>
        <v>Grid electricity</v>
      </c>
      <c r="AB1562" t="str">
        <f t="shared" si="4841"/>
        <v>Public acceptability</v>
      </c>
      <c r="AC1562">
        <f t="shared" ca="1" si="4842"/>
        <v>43.2</v>
      </c>
      <c r="AD1562">
        <v>1503</v>
      </c>
      <c r="AE1562" t="str">
        <f>IF(AND(ISNUMBER(SEARCH(O1562,4)),ISNUMBER(SEARCH('(4) FCH pathway assessment'!$B$16,AB1562)),ISNUMBER(SEARCH('(4) FCH pathway assessment'!$B$10,AA1562))),AD1562,"")</f>
        <v/>
      </c>
      <c r="AF1562" t="str">
        <f t="shared" si="4794"/>
        <v/>
      </c>
      <c r="AG1562" t="str">
        <f>VLOOKUP(C1562,Assumptions!$B$116:$C$162,2,FALSE)</f>
        <v>NG_SR_SML_C</v>
      </c>
      <c r="AH1562" t="str">
        <f>VLOOKUP(D1562,Assumptions!$B$116:$C$162,2,FALSE)</f>
        <v>C_GAS_STRG</v>
      </c>
      <c r="AI1562" t="str">
        <f>VLOOKUP(E1562,Assumptions!$B$116:$C$162,2,FALSE)</f>
        <v>LQ_TRUCK</v>
      </c>
      <c r="AJ1562" t="str">
        <f>VLOOKUP(F1562,Assumptions!$B$116:$C$162,2,FALSE)</f>
        <v>H2_OCGT_PWR</v>
      </c>
    </row>
    <row r="1563" spans="2:36" x14ac:dyDescent="0.25">
      <c r="B1563" t="s">
        <v>127</v>
      </c>
      <c r="C1563" t="s">
        <v>58</v>
      </c>
      <c r="D1563" t="s">
        <v>155</v>
      </c>
      <c r="E1563" t="s">
        <v>66</v>
      </c>
      <c r="F1563" t="s">
        <v>162</v>
      </c>
      <c r="G1563" t="s">
        <v>114</v>
      </c>
      <c r="H1563" t="s">
        <v>433</v>
      </c>
      <c r="I1563" t="s">
        <v>32</v>
      </c>
      <c r="J1563" t="s">
        <v>82</v>
      </c>
      <c r="K1563">
        <f t="shared" si="4843"/>
        <v>1</v>
      </c>
      <c r="L1563">
        <f t="shared" si="4844"/>
        <v>1</v>
      </c>
      <c r="M1563">
        <f t="shared" si="4845"/>
        <v>1</v>
      </c>
      <c r="N1563">
        <f t="shared" si="4846"/>
        <v>0</v>
      </c>
      <c r="O1563">
        <f t="shared" si="4838"/>
        <v>3</v>
      </c>
      <c r="P1563" t="str">
        <f t="shared" si="4847"/>
        <v>Small centralized natural gas steam reforming-Public acceptability</v>
      </c>
      <c r="Q1563" t="str">
        <f t="shared" si="4848"/>
        <v>Central gas storage-Public acceptability</v>
      </c>
      <c r="R1563" t="str">
        <f t="shared" si="4849"/>
        <v>Onsite-Public acceptability</v>
      </c>
      <c r="S1563" t="str">
        <f t="shared" si="4850"/>
        <v>Hydrogen turbine (OC)-Public acceptability</v>
      </c>
      <c r="T1563" s="54">
        <f ca="1">VLOOKUP($P1563,'TA database'!$I$8:$J$79,2,FALSE)</f>
        <v>90</v>
      </c>
      <c r="U1563" s="54">
        <f ca="1">VLOOKUP($Q1563,'TA database'!$I$86:$J$105,2,FALSE)</f>
        <v>60</v>
      </c>
      <c r="V1563" s="54">
        <f ca="1">VLOOKUP($R1563,'TA database'!$I$112:$J$139,2,FALSE)</f>
        <v>90</v>
      </c>
      <c r="W1563" s="54">
        <f>IFERROR(VLOOKUP($S1563,'TA database'!$I$146:$J$193,2,FALSE),0)</f>
        <v>0</v>
      </c>
      <c r="X1563" s="54">
        <f ca="1">IFERROR(VLOOKUP($S1563,'TA database'!$I$200:$J$271,2,FALSE),0)</f>
        <v>80</v>
      </c>
      <c r="Y1563" s="59">
        <f t="shared" ca="1" si="4837"/>
        <v>38.880000000000003</v>
      </c>
      <c r="Z1563" t="str">
        <f t="shared" si="4839"/>
        <v>NG_SR_SML_C   →   C_GAS_STRG   →   ONSITE_USE   →   H2_OCGT_PWR</v>
      </c>
      <c r="AA1563" t="str">
        <f t="shared" si="4840"/>
        <v>Grid electricity</v>
      </c>
      <c r="AB1563" t="str">
        <f t="shared" si="4841"/>
        <v>Public acceptability</v>
      </c>
      <c r="AC1563">
        <f t="shared" ca="1" si="4842"/>
        <v>38.880000000000003</v>
      </c>
      <c r="AD1563">
        <v>1504</v>
      </c>
      <c r="AE1563" t="str">
        <f>IF(AND(ISNUMBER(SEARCH(O1563,4)),ISNUMBER(SEARCH('(4) FCH pathway assessment'!$B$16,AB1563)),ISNUMBER(SEARCH('(4) FCH pathway assessment'!$B$10,AA1563))),AD1563,"")</f>
        <v/>
      </c>
      <c r="AF1563" t="str">
        <f t="shared" si="4794"/>
        <v/>
      </c>
      <c r="AG1563" t="str">
        <f>VLOOKUP(C1563,Assumptions!$B$116:$C$162,2,FALSE)</f>
        <v>NG_SR_SML_C</v>
      </c>
      <c r="AH1563" t="str">
        <f>VLOOKUP(D1563,Assumptions!$B$116:$C$162,2,FALSE)</f>
        <v>C_GAS_STRG</v>
      </c>
      <c r="AI1563" t="str">
        <f>VLOOKUP(E1563,Assumptions!$B$116:$C$162,2,FALSE)</f>
        <v>ONSITE_USE</v>
      </c>
      <c r="AJ1563" t="str">
        <f>VLOOKUP(F1563,Assumptions!$B$116:$C$162,2,FALSE)</f>
        <v>H2_OCGT_PWR</v>
      </c>
    </row>
    <row r="1564" spans="2:36" x14ac:dyDescent="0.25">
      <c r="B1564" t="s">
        <v>127</v>
      </c>
      <c r="C1564" t="s">
        <v>59</v>
      </c>
      <c r="D1564" s="60" t="s">
        <v>130</v>
      </c>
      <c r="E1564" t="s">
        <v>66</v>
      </c>
      <c r="F1564" t="s">
        <v>162</v>
      </c>
      <c r="G1564" t="s">
        <v>114</v>
      </c>
      <c r="H1564" t="s">
        <v>433</v>
      </c>
      <c r="I1564" t="s">
        <v>32</v>
      </c>
      <c r="J1564" t="s">
        <v>82</v>
      </c>
      <c r="K1564">
        <f t="shared" ref="K1564:K1565" si="4851">SUMPRODUCT(($C$7:$C$18=$C1564)*($D$6:$H$6=$D1564)*($D$7:$H$18))</f>
        <v>1</v>
      </c>
      <c r="L1564">
        <f t="shared" ref="L1564:L1565" si="4852">SUMPRODUCT(($C$19:$C$23=$D1564)*($I$6:$O$6=$E1564)*($I$19:$O$23))</f>
        <v>1</v>
      </c>
      <c r="M1564">
        <f t="shared" ref="M1564:M1565" si="4853">SUMPRODUCT(($C$24:$C$30=$E1564)*($P$6:$AI$6=$F1564)*($P$24:$AI$30))</f>
        <v>1</v>
      </c>
      <c r="N1564">
        <f t="shared" ref="N1564:N1565" si="4854">SUMPRODUCT(($C$31:$C$50=$F1564)*($AJ$6:$AM$6=$G1564)*($AJ$31:$AM$50))</f>
        <v>0</v>
      </c>
      <c r="O1564">
        <f t="shared" ref="O1564:O1565" si="4855">K1564+L1564+M1564+N1564</f>
        <v>3</v>
      </c>
      <c r="P1564" t="str">
        <f t="shared" ref="P1564:P1565" si="4856">CONCATENATE(C1564,"-",J1564)</f>
        <v>Medium decentralized natural gas steam reforming-Public acceptability</v>
      </c>
      <c r="Q1564" t="str">
        <f t="shared" ref="Q1564:Q1565" si="4857">CONCATENATE(D1564,"-",J1564)</f>
        <v>Distributed gas storage-Public acceptability</v>
      </c>
      <c r="R1564" t="str">
        <f t="shared" ref="R1564:R1565" si="4858">CONCATENATE(E1564,"-",J1564)</f>
        <v>Onsite-Public acceptability</v>
      </c>
      <c r="S1564" t="str">
        <f t="shared" ref="S1564:S1565" si="4859">CONCATENATE(F1564,"-",J1564)</f>
        <v>Hydrogen turbine (OC)-Public acceptability</v>
      </c>
      <c r="T1564" s="54">
        <f ca="1">VLOOKUP($P1564,'TA database'!$I$8:$J$79,2,FALSE)</f>
        <v>100</v>
      </c>
      <c r="U1564" s="54">
        <f ca="1">VLOOKUP($Q1564,'TA database'!$I$86:$J$105,2,FALSE)</f>
        <v>60</v>
      </c>
      <c r="V1564" s="54">
        <f ca="1">VLOOKUP($R1564,'TA database'!$I$112:$J$139,2,FALSE)</f>
        <v>90</v>
      </c>
      <c r="W1564" s="54">
        <f>IFERROR(VLOOKUP($S1564,'TA database'!$I$146:$J$193,2,FALSE),0)</f>
        <v>0</v>
      </c>
      <c r="X1564" s="54">
        <f ca="1">IFERROR(VLOOKUP($S1564,'TA database'!$I$200:$J$271,2,FALSE),0)</f>
        <v>80</v>
      </c>
      <c r="Y1564" s="59">
        <f t="shared" ref="Y1564" ca="1" si="4860">IF($W1564=0,(PRODUCT($T1564:$V1564,$X1564))/1000000,(PRODUCT($T1564:$W1564))/1000000)</f>
        <v>43.2</v>
      </c>
      <c r="Z1564" t="str">
        <f t="shared" ref="Z1564:Z1565" si="4861">CONCATENATE(AG1564,"   →   ",AH1564,"   →   ",AI1564,"   →   ",AJ1564)</f>
        <v>NG_SR_MED_D   →   D_GAS_STRG   →   ONSITE_USE   →   H2_OCGT_PWR</v>
      </c>
      <c r="AA1564" t="str">
        <f t="shared" ref="AA1564:AA1565" si="4862">G1564</f>
        <v>Grid electricity</v>
      </c>
      <c r="AB1564" t="str">
        <f t="shared" ref="AB1564:AB1565" si="4863">J1564</f>
        <v>Public acceptability</v>
      </c>
      <c r="AC1564">
        <f t="shared" ref="AC1564:AC1565" ca="1" si="4864">Y1564</f>
        <v>43.2</v>
      </c>
      <c r="AD1564">
        <v>1505</v>
      </c>
      <c r="AE1564" t="str">
        <f>IF(AND(ISNUMBER(SEARCH(O1564,4)),ISNUMBER(SEARCH('(4) FCH pathway assessment'!$B$16,AB1564)),ISNUMBER(SEARCH('(4) FCH pathway assessment'!$B$10,AA1564))),AD1564,"")</f>
        <v/>
      </c>
      <c r="AF1564" t="str">
        <f t="shared" si="4794"/>
        <v/>
      </c>
      <c r="AG1564" t="str">
        <f>VLOOKUP(C1564,Assumptions!$B$116:$C$162,2,FALSE)</f>
        <v>NG_SR_MED_D</v>
      </c>
      <c r="AH1564" t="str">
        <f>VLOOKUP(D1564,Assumptions!$B$116:$C$162,2,FALSE)</f>
        <v>D_GAS_STRG</v>
      </c>
      <c r="AI1564" t="str">
        <f>VLOOKUP(E1564,Assumptions!$B$116:$C$162,2,FALSE)</f>
        <v>ONSITE_USE</v>
      </c>
      <c r="AJ1564" t="str">
        <f>VLOOKUP(F1564,Assumptions!$B$116:$C$162,2,FALSE)</f>
        <v>H2_OCGT_PWR</v>
      </c>
    </row>
    <row r="1565" spans="2:36" x14ac:dyDescent="0.25">
      <c r="B1565" t="s">
        <v>127</v>
      </c>
      <c r="C1565" t="s">
        <v>60</v>
      </c>
      <c r="D1565" s="60" t="s">
        <v>130</v>
      </c>
      <c r="E1565" t="s">
        <v>66</v>
      </c>
      <c r="F1565" t="s">
        <v>162</v>
      </c>
      <c r="G1565" t="s">
        <v>114</v>
      </c>
      <c r="H1565" t="s">
        <v>433</v>
      </c>
      <c r="I1565" t="s">
        <v>32</v>
      </c>
      <c r="J1565" t="s">
        <v>82</v>
      </c>
      <c r="K1565">
        <f t="shared" si="4851"/>
        <v>1</v>
      </c>
      <c r="L1565">
        <f t="shared" si="4852"/>
        <v>1</v>
      </c>
      <c r="M1565">
        <f t="shared" si="4853"/>
        <v>1</v>
      </c>
      <c r="N1565">
        <f t="shared" si="4854"/>
        <v>0</v>
      </c>
      <c r="O1565">
        <f t="shared" si="4855"/>
        <v>3</v>
      </c>
      <c r="P1565" t="str">
        <f t="shared" si="4856"/>
        <v>Small decentralized natural gas steam reforming-Public acceptability</v>
      </c>
      <c r="Q1565" t="str">
        <f t="shared" si="4857"/>
        <v>Distributed gas storage-Public acceptability</v>
      </c>
      <c r="R1565" t="str">
        <f t="shared" si="4858"/>
        <v>Onsite-Public acceptability</v>
      </c>
      <c r="S1565" t="str">
        <f t="shared" si="4859"/>
        <v>Hydrogen turbine (OC)-Public acceptability</v>
      </c>
      <c r="T1565" s="54">
        <f ca="1">VLOOKUP($P1565,'TA database'!$I$8:$J$79,2,FALSE)</f>
        <v>100</v>
      </c>
      <c r="U1565" s="54">
        <f ca="1">VLOOKUP($Q1565,'TA database'!$I$86:$J$105,2,FALSE)</f>
        <v>60</v>
      </c>
      <c r="V1565" s="54">
        <f ca="1">VLOOKUP($R1565,'TA database'!$I$112:$J$139,2,FALSE)</f>
        <v>90</v>
      </c>
      <c r="W1565" s="54">
        <f>IFERROR(VLOOKUP($S1565,'TA database'!$I$146:$J$193,2,FALSE),0)</f>
        <v>0</v>
      </c>
      <c r="X1565" s="54">
        <f ca="1">IFERROR(VLOOKUP($S1565,'TA database'!$I$200:$J$271,2,FALSE),0)</f>
        <v>80</v>
      </c>
      <c r="Y1565" s="59">
        <f t="shared" ref="Y1565" ca="1" si="4865">IF($W1565=0,(PRODUCT($T1565:$V1565,$X1565))/1000000,(PRODUCT($T1565:$W1565))/1000000)</f>
        <v>43.2</v>
      </c>
      <c r="Z1565" t="str">
        <f t="shared" si="4861"/>
        <v>NG_SR_SML_D   →   D_GAS_STRG   →   ONSITE_USE   →   H2_OCGT_PWR</v>
      </c>
      <c r="AA1565" t="str">
        <f t="shared" si="4862"/>
        <v>Grid electricity</v>
      </c>
      <c r="AB1565" t="str">
        <f t="shared" si="4863"/>
        <v>Public acceptability</v>
      </c>
      <c r="AC1565">
        <f t="shared" ca="1" si="4864"/>
        <v>43.2</v>
      </c>
      <c r="AD1565">
        <v>1506</v>
      </c>
      <c r="AE1565" t="str">
        <f>IF(AND(ISNUMBER(SEARCH(O1565,4)),ISNUMBER(SEARCH('(4) FCH pathway assessment'!$B$16,AB1565)),ISNUMBER(SEARCH('(4) FCH pathway assessment'!$B$10,AA1565))),AD1565,"")</f>
        <v/>
      </c>
      <c r="AF1565" t="str">
        <f t="shared" si="4794"/>
        <v/>
      </c>
      <c r="AG1565" t="str">
        <f>VLOOKUP(C1565,Assumptions!$B$116:$C$162,2,FALSE)</f>
        <v>NG_SR_SML_D</v>
      </c>
      <c r="AH1565" t="str">
        <f>VLOOKUP(D1565,Assumptions!$B$116:$C$162,2,FALSE)</f>
        <v>D_GAS_STRG</v>
      </c>
      <c r="AI1565" t="str">
        <f>VLOOKUP(E1565,Assumptions!$B$116:$C$162,2,FALSE)</f>
        <v>ONSITE_USE</v>
      </c>
      <c r="AJ1565" t="str">
        <f>VLOOKUP(F1565,Assumptions!$B$116:$C$162,2,FALSE)</f>
        <v>H2_OCGT_PWR</v>
      </c>
    </row>
    <row r="1566" spans="2:36" x14ac:dyDescent="0.25">
      <c r="B1566" t="s">
        <v>117</v>
      </c>
      <c r="C1566" t="s">
        <v>53</v>
      </c>
      <c r="D1566" t="s">
        <v>155</v>
      </c>
      <c r="E1566" t="s">
        <v>157</v>
      </c>
      <c r="F1566" t="s">
        <v>164</v>
      </c>
      <c r="G1566" t="s">
        <v>126</v>
      </c>
      <c r="H1566" t="s">
        <v>433</v>
      </c>
      <c r="I1566" t="s">
        <v>32</v>
      </c>
      <c r="J1566" t="s">
        <v>82</v>
      </c>
      <c r="K1566">
        <f t="shared" ref="K1566:K1568" si="4866">SUMPRODUCT(($C$7:$C$18=$C1566)*($D$6:$H$6=$D1566)*($D$7:$H$18))</f>
        <v>0</v>
      </c>
      <c r="L1566">
        <f t="shared" ref="L1566:L1568" si="4867">SUMPRODUCT(($C$19:$C$23=$D1566)*($I$6:$O$6=$E1566)*($I$19:$O$23))</f>
        <v>1</v>
      </c>
      <c r="M1566">
        <f t="shared" ref="M1566:M1568" si="4868">SUMPRODUCT(($C$24:$C$30=$E1566)*($P$6:$AI$6=$F1566)*($P$24:$AI$30))</f>
        <v>0</v>
      </c>
      <c r="N1566">
        <f t="shared" ref="N1566:N1568" si="4869">SUMPRODUCT(($C$31:$C$50=$F1566)*($AJ$6:$AM$6=$G1566)*($AJ$31:$AM$50))</f>
        <v>1</v>
      </c>
      <c r="O1566">
        <f t="shared" ref="O1566:O1568" si="4870">K1566+L1566+M1566+N1566</f>
        <v>2</v>
      </c>
      <c r="P1566" t="str">
        <f t="shared" ref="P1566:P1568" si="4871">CONCATENATE(C1566,"-",J1566)</f>
        <v>Medium centralized biomass gasification-Public acceptability</v>
      </c>
      <c r="Q1566" t="str">
        <f t="shared" ref="Q1566:Q1568" si="4872">CONCATENATE(D1566,"-",J1566)</f>
        <v>Central gas storage-Public acceptability</v>
      </c>
      <c r="R1566" t="str">
        <f t="shared" ref="R1566:R1568" si="4873">CONCATENATE(E1566,"-",J1566)</f>
        <v>Blending in natural gas pipeline-Public acceptability</v>
      </c>
      <c r="S1566" t="str">
        <f t="shared" ref="S1566:S1568" si="4874">CONCATENATE(F1566,"-",J1566)</f>
        <v>Prime power H2 fuel cell-Public acceptability</v>
      </c>
      <c r="T1566" s="54">
        <f ca="1">VLOOKUP($P1566,'TA database'!$I$8:$J$79,2,FALSE)</f>
        <v>70</v>
      </c>
      <c r="U1566" s="54">
        <f ca="1">VLOOKUP($Q1566,'TA database'!$I$86:$J$105,2,FALSE)</f>
        <v>60</v>
      </c>
      <c r="V1566" s="54">
        <f ca="1">VLOOKUP($R1566,'TA database'!$I$112:$J$139,2,FALSE)</f>
        <v>90</v>
      </c>
      <c r="W1566" s="54">
        <f>IFERROR(VLOOKUP($S1566,'TA database'!$I$146:$J$193,2,FALSE),0)</f>
        <v>0</v>
      </c>
      <c r="X1566" s="54">
        <f ca="1">IFERROR(VLOOKUP($S1566,'TA database'!$I$200:$J$271,2,FALSE),0)</f>
        <v>80</v>
      </c>
      <c r="Y1566" s="59">
        <f t="shared" ref="Y1566:Y1571" ca="1" si="4875">IF($W1566=0,(PRODUCT($T1566:$V1566,$X1566))/1000000,(PRODUCT($T1566:$W1566))/1000000)</f>
        <v>30.24</v>
      </c>
      <c r="Z1566" t="str">
        <f t="shared" ref="Z1566:Z1568" si="4876">CONCATENATE(AG1566,"   →   ",AH1566,"   →   ",AI1566,"   →   ",AJ1566)</f>
        <v>BIO_GSF_MED_C   →   C_GAS_STRG   →   H2_BLND_NG_P   →   H2_FC_PWR</v>
      </c>
      <c r="AA1566" t="str">
        <f t="shared" ref="AA1566:AA1568" si="4877">G1566</f>
        <v>Onsite / Back-up power</v>
      </c>
      <c r="AB1566" t="str">
        <f t="shared" ref="AB1566:AB1568" si="4878">J1566</f>
        <v>Public acceptability</v>
      </c>
      <c r="AC1566">
        <f t="shared" ref="AC1566:AC1568" ca="1" si="4879">Y1566</f>
        <v>30.24</v>
      </c>
      <c r="AD1566">
        <v>1507</v>
      </c>
      <c r="AE1566" t="str">
        <f>IF(AND(ISNUMBER(SEARCH(O1566,4)),ISNUMBER(SEARCH('(4) FCH pathway assessment'!$B$16,AB1566)),ISNUMBER(SEARCH('(4) FCH pathway assessment'!$B$10,AA1566))),AD1566,"")</f>
        <v/>
      </c>
      <c r="AF1566" t="str">
        <f t="shared" si="4794"/>
        <v/>
      </c>
      <c r="AG1566" t="str">
        <f>VLOOKUP(C1566,Assumptions!$B$116:$C$162,2,FALSE)</f>
        <v>BIO_GSF_MED_C</v>
      </c>
      <c r="AH1566" t="str">
        <f>VLOOKUP(D1566,Assumptions!$B$116:$C$162,2,FALSE)</f>
        <v>C_GAS_STRG</v>
      </c>
      <c r="AI1566" t="str">
        <f>VLOOKUP(E1566,Assumptions!$B$116:$C$162,2,FALSE)</f>
        <v>H2_BLND_NG_P</v>
      </c>
      <c r="AJ1566" t="str">
        <f>VLOOKUP(F1566,Assumptions!$B$116:$C$162,2,FALSE)</f>
        <v>H2_FC_PWR</v>
      </c>
    </row>
    <row r="1567" spans="2:36" x14ac:dyDescent="0.25">
      <c r="B1567" t="s">
        <v>117</v>
      </c>
      <c r="C1567" t="s">
        <v>53</v>
      </c>
      <c r="D1567" t="s">
        <v>155</v>
      </c>
      <c r="E1567" t="s">
        <v>122</v>
      </c>
      <c r="F1567" t="s">
        <v>164</v>
      </c>
      <c r="G1567" t="s">
        <v>126</v>
      </c>
      <c r="H1567" t="s">
        <v>433</v>
      </c>
      <c r="I1567" t="s">
        <v>32</v>
      </c>
      <c r="J1567" t="s">
        <v>82</v>
      </c>
      <c r="K1567">
        <f t="shared" si="4866"/>
        <v>0</v>
      </c>
      <c r="L1567">
        <f t="shared" si="4867"/>
        <v>1</v>
      </c>
      <c r="M1567">
        <f t="shared" si="4868"/>
        <v>1</v>
      </c>
      <c r="N1567">
        <f t="shared" si="4869"/>
        <v>1</v>
      </c>
      <c r="O1567">
        <f t="shared" si="4870"/>
        <v>3</v>
      </c>
      <c r="P1567" t="str">
        <f t="shared" si="4871"/>
        <v>Medium centralized biomass gasification-Public acceptability</v>
      </c>
      <c r="Q1567" t="str">
        <f t="shared" si="4872"/>
        <v>Central gas storage-Public acceptability</v>
      </c>
      <c r="R1567" t="str">
        <f t="shared" si="4873"/>
        <v>Hydrogen transmission &amp; distribution pipeline-Public acceptability</v>
      </c>
      <c r="S1567" t="str">
        <f t="shared" si="4874"/>
        <v>Prime power H2 fuel cell-Public acceptability</v>
      </c>
      <c r="T1567" s="54">
        <f ca="1">VLOOKUP($P1567,'TA database'!$I$8:$J$79,2,FALSE)</f>
        <v>70</v>
      </c>
      <c r="U1567" s="54">
        <f ca="1">VLOOKUP($Q1567,'TA database'!$I$86:$J$105,2,FALSE)</f>
        <v>60</v>
      </c>
      <c r="V1567" s="54">
        <f ca="1">VLOOKUP($R1567,'TA database'!$I$112:$J$139,2,FALSE)</f>
        <v>70</v>
      </c>
      <c r="W1567" s="54">
        <f>IFERROR(VLOOKUP($S1567,'TA database'!$I$146:$J$193,2,FALSE),0)</f>
        <v>0</v>
      </c>
      <c r="X1567" s="54">
        <f ca="1">IFERROR(VLOOKUP($S1567,'TA database'!$I$200:$J$271,2,FALSE),0)</f>
        <v>80</v>
      </c>
      <c r="Y1567" s="59">
        <f t="shared" ca="1" si="4875"/>
        <v>23.52</v>
      </c>
      <c r="Z1567" t="str">
        <f t="shared" si="4876"/>
        <v>BIO_GSF_MED_C   →   C_GAS_STRG   →   H2_T&amp;D_P   →   H2_FC_PWR</v>
      </c>
      <c r="AA1567" t="str">
        <f t="shared" si="4877"/>
        <v>Onsite / Back-up power</v>
      </c>
      <c r="AB1567" t="str">
        <f t="shared" si="4878"/>
        <v>Public acceptability</v>
      </c>
      <c r="AC1567">
        <f t="shared" ca="1" si="4879"/>
        <v>23.52</v>
      </c>
      <c r="AD1567">
        <v>1508</v>
      </c>
      <c r="AE1567" t="str">
        <f>IF(AND(ISNUMBER(SEARCH(O1567,4)),ISNUMBER(SEARCH('(4) FCH pathway assessment'!$B$16,AB1567)),ISNUMBER(SEARCH('(4) FCH pathway assessment'!$B$10,AA1567))),AD1567,"")</f>
        <v/>
      </c>
      <c r="AF1567" t="str">
        <f t="shared" si="4794"/>
        <v/>
      </c>
      <c r="AG1567" t="str">
        <f>VLOOKUP(C1567,Assumptions!$B$116:$C$162,2,FALSE)</f>
        <v>BIO_GSF_MED_C</v>
      </c>
      <c r="AH1567" t="str">
        <f>VLOOKUP(D1567,Assumptions!$B$116:$C$162,2,FALSE)</f>
        <v>C_GAS_STRG</v>
      </c>
      <c r="AI1567" t="str">
        <f>VLOOKUP(E1567,Assumptions!$B$116:$C$162,2,FALSE)</f>
        <v>H2_T&amp;D_P</v>
      </c>
      <c r="AJ1567" t="str">
        <f>VLOOKUP(F1567,Assumptions!$B$116:$C$162,2,FALSE)</f>
        <v>H2_FC_PWR</v>
      </c>
    </row>
    <row r="1568" spans="2:36" x14ac:dyDescent="0.25">
      <c r="B1568" t="s">
        <v>117</v>
      </c>
      <c r="C1568" t="s">
        <v>53</v>
      </c>
      <c r="D1568" t="s">
        <v>155</v>
      </c>
      <c r="E1568" t="s">
        <v>66</v>
      </c>
      <c r="F1568" t="s">
        <v>164</v>
      </c>
      <c r="G1568" t="s">
        <v>126</v>
      </c>
      <c r="H1568" t="s">
        <v>433</v>
      </c>
      <c r="I1568" t="s">
        <v>32</v>
      </c>
      <c r="J1568" t="s">
        <v>82</v>
      </c>
      <c r="K1568">
        <f t="shared" si="4866"/>
        <v>0</v>
      </c>
      <c r="L1568">
        <f t="shared" si="4867"/>
        <v>1</v>
      </c>
      <c r="M1568">
        <f t="shared" si="4868"/>
        <v>1</v>
      </c>
      <c r="N1568">
        <f t="shared" si="4869"/>
        <v>1</v>
      </c>
      <c r="O1568">
        <f t="shared" si="4870"/>
        <v>3</v>
      </c>
      <c r="P1568" t="str">
        <f t="shared" si="4871"/>
        <v>Medium centralized biomass gasification-Public acceptability</v>
      </c>
      <c r="Q1568" t="str">
        <f t="shared" si="4872"/>
        <v>Central gas storage-Public acceptability</v>
      </c>
      <c r="R1568" t="str">
        <f t="shared" si="4873"/>
        <v>Onsite-Public acceptability</v>
      </c>
      <c r="S1568" t="str">
        <f t="shared" si="4874"/>
        <v>Prime power H2 fuel cell-Public acceptability</v>
      </c>
      <c r="T1568" s="54">
        <f ca="1">VLOOKUP($P1568,'TA database'!$I$8:$J$79,2,FALSE)</f>
        <v>70</v>
      </c>
      <c r="U1568" s="54">
        <f ca="1">VLOOKUP($Q1568,'TA database'!$I$86:$J$105,2,FALSE)</f>
        <v>60</v>
      </c>
      <c r="V1568" s="54">
        <f ca="1">VLOOKUP($R1568,'TA database'!$I$112:$J$139,2,FALSE)</f>
        <v>90</v>
      </c>
      <c r="W1568" s="54">
        <f>IFERROR(VLOOKUP($S1568,'TA database'!$I$146:$J$193,2,FALSE),0)</f>
        <v>0</v>
      </c>
      <c r="X1568" s="54">
        <f ca="1">IFERROR(VLOOKUP($S1568,'TA database'!$I$200:$J$271,2,FALSE),0)</f>
        <v>80</v>
      </c>
      <c r="Y1568" s="59">
        <f t="shared" ca="1" si="4875"/>
        <v>30.24</v>
      </c>
      <c r="Z1568" t="str">
        <f t="shared" si="4876"/>
        <v>BIO_GSF_MED_C   →   C_GAS_STRG   →   ONSITE_USE   →   H2_FC_PWR</v>
      </c>
      <c r="AA1568" t="str">
        <f t="shared" si="4877"/>
        <v>Onsite / Back-up power</v>
      </c>
      <c r="AB1568" t="str">
        <f t="shared" si="4878"/>
        <v>Public acceptability</v>
      </c>
      <c r="AC1568">
        <f t="shared" ca="1" si="4879"/>
        <v>30.24</v>
      </c>
      <c r="AD1568">
        <v>1509</v>
      </c>
      <c r="AE1568" t="str">
        <f>IF(AND(ISNUMBER(SEARCH(O1568,4)),ISNUMBER(SEARCH('(4) FCH pathway assessment'!$B$16,AB1568)),ISNUMBER(SEARCH('(4) FCH pathway assessment'!$B$10,AA1568))),AD1568,"")</f>
        <v/>
      </c>
      <c r="AF1568" t="str">
        <f t="shared" si="4794"/>
        <v/>
      </c>
      <c r="AG1568" t="str">
        <f>VLOOKUP(C1568,Assumptions!$B$116:$C$162,2,FALSE)</f>
        <v>BIO_GSF_MED_C</v>
      </c>
      <c r="AH1568" t="str">
        <f>VLOOKUP(D1568,Assumptions!$B$116:$C$162,2,FALSE)</f>
        <v>C_GAS_STRG</v>
      </c>
      <c r="AI1568" t="str">
        <f>VLOOKUP(E1568,Assumptions!$B$116:$C$162,2,FALSE)</f>
        <v>ONSITE_USE</v>
      </c>
      <c r="AJ1568" t="str">
        <f>VLOOKUP(F1568,Assumptions!$B$116:$C$162,2,FALSE)</f>
        <v>H2_FC_PWR</v>
      </c>
    </row>
    <row r="1569" spans="2:36" x14ac:dyDescent="0.25">
      <c r="B1569" t="s">
        <v>117</v>
      </c>
      <c r="C1569" t="s">
        <v>54</v>
      </c>
      <c r="D1569" t="s">
        <v>155</v>
      </c>
      <c r="E1569" t="s">
        <v>157</v>
      </c>
      <c r="F1569" t="s">
        <v>164</v>
      </c>
      <c r="G1569" t="s">
        <v>126</v>
      </c>
      <c r="H1569" t="s">
        <v>433</v>
      </c>
      <c r="I1569" t="s">
        <v>32</v>
      </c>
      <c r="J1569" t="s">
        <v>82</v>
      </c>
      <c r="K1569">
        <f t="shared" ref="K1569:K1572" si="4880">SUMPRODUCT(($C$7:$C$18=$C1569)*($D$6:$H$6=$D1569)*($D$7:$H$18))</f>
        <v>0</v>
      </c>
      <c r="L1569">
        <f t="shared" ref="L1569:L1572" si="4881">SUMPRODUCT(($C$19:$C$23=$D1569)*($I$6:$O$6=$E1569)*($I$19:$O$23))</f>
        <v>1</v>
      </c>
      <c r="M1569">
        <f t="shared" ref="M1569:M1572" si="4882">SUMPRODUCT(($C$24:$C$30=$E1569)*($P$6:$AI$6=$F1569)*($P$24:$AI$30))</f>
        <v>0</v>
      </c>
      <c r="N1569">
        <f t="shared" ref="N1569:N1572" si="4883">SUMPRODUCT(($C$31:$C$50=$F1569)*($AJ$6:$AM$6=$G1569)*($AJ$31:$AM$50))</f>
        <v>1</v>
      </c>
      <c r="O1569">
        <f t="shared" ref="O1569:O1572" si="4884">K1569+L1569+M1569+N1569</f>
        <v>2</v>
      </c>
      <c r="P1569" t="str">
        <f t="shared" ref="P1569:P1572" si="4885">CONCATENATE(C1569,"-",J1569)</f>
        <v>Medium centralized biomass gasification w/ CCS-Public acceptability</v>
      </c>
      <c r="Q1569" t="str">
        <f t="shared" ref="Q1569:Q1572" si="4886">CONCATENATE(D1569,"-",J1569)</f>
        <v>Central gas storage-Public acceptability</v>
      </c>
      <c r="R1569" t="str">
        <f t="shared" ref="R1569:R1572" si="4887">CONCATENATE(E1569,"-",J1569)</f>
        <v>Blending in natural gas pipeline-Public acceptability</v>
      </c>
      <c r="S1569" t="str">
        <f t="shared" ref="S1569:S1572" si="4888">CONCATENATE(F1569,"-",J1569)</f>
        <v>Prime power H2 fuel cell-Public acceptability</v>
      </c>
      <c r="T1569" s="54">
        <f ca="1">VLOOKUP($P1569,'TA database'!$I$8:$J$79,2,FALSE)</f>
        <v>60</v>
      </c>
      <c r="U1569" s="54">
        <f ca="1">VLOOKUP($Q1569,'TA database'!$I$86:$J$105,2,FALSE)</f>
        <v>60</v>
      </c>
      <c r="V1569" s="54">
        <f ca="1">VLOOKUP($R1569,'TA database'!$I$112:$J$139,2,FALSE)</f>
        <v>90</v>
      </c>
      <c r="W1569" s="54">
        <f>IFERROR(VLOOKUP($S1569,'TA database'!$I$146:$J$193,2,FALSE),0)</f>
        <v>0</v>
      </c>
      <c r="X1569" s="54">
        <f ca="1">IFERROR(VLOOKUP($S1569,'TA database'!$I$200:$J$271,2,FALSE),0)</f>
        <v>80</v>
      </c>
      <c r="Y1569" s="59">
        <f t="shared" ca="1" si="4875"/>
        <v>25.92</v>
      </c>
      <c r="Z1569" t="str">
        <f t="shared" ref="Z1569:Z1572" si="4889">CONCATENATE(AG1569,"   →   ",AH1569,"   →   ",AI1569,"   →   ",AJ1569)</f>
        <v>BIO_GSF_CCS_MED_C   →   C_GAS_STRG   →   H2_BLND_NG_P   →   H2_FC_PWR</v>
      </c>
      <c r="AA1569" t="str">
        <f t="shared" ref="AA1569:AA1572" si="4890">G1569</f>
        <v>Onsite / Back-up power</v>
      </c>
      <c r="AB1569" t="str">
        <f t="shared" ref="AB1569:AB1572" si="4891">J1569</f>
        <v>Public acceptability</v>
      </c>
      <c r="AC1569">
        <f t="shared" ref="AC1569:AC1572" ca="1" si="4892">Y1569</f>
        <v>25.92</v>
      </c>
      <c r="AD1569">
        <v>1510</v>
      </c>
      <c r="AE1569" t="str">
        <f>IF(AND(ISNUMBER(SEARCH(O1569,4)),ISNUMBER(SEARCH('(4) FCH pathway assessment'!$B$16,AB1569)),ISNUMBER(SEARCH('(4) FCH pathway assessment'!$B$10,AA1569))),AD1569,"")</f>
        <v/>
      </c>
      <c r="AF1569" t="str">
        <f t="shared" si="4794"/>
        <v/>
      </c>
      <c r="AG1569" t="str">
        <f>VLOOKUP(C1569,Assumptions!$B$116:$C$162,2,FALSE)</f>
        <v>BIO_GSF_CCS_MED_C</v>
      </c>
      <c r="AH1569" t="str">
        <f>VLOOKUP(D1569,Assumptions!$B$116:$C$162,2,FALSE)</f>
        <v>C_GAS_STRG</v>
      </c>
      <c r="AI1569" t="str">
        <f>VLOOKUP(E1569,Assumptions!$B$116:$C$162,2,FALSE)</f>
        <v>H2_BLND_NG_P</v>
      </c>
      <c r="AJ1569" t="str">
        <f>VLOOKUP(F1569,Assumptions!$B$116:$C$162,2,FALSE)</f>
        <v>H2_FC_PWR</v>
      </c>
    </row>
    <row r="1570" spans="2:36" x14ac:dyDescent="0.25">
      <c r="B1570" t="s">
        <v>117</v>
      </c>
      <c r="C1570" t="s">
        <v>54</v>
      </c>
      <c r="D1570" t="s">
        <v>155</v>
      </c>
      <c r="E1570" t="s">
        <v>122</v>
      </c>
      <c r="F1570" t="s">
        <v>164</v>
      </c>
      <c r="G1570" t="s">
        <v>126</v>
      </c>
      <c r="H1570" t="s">
        <v>433</v>
      </c>
      <c r="I1570" t="s">
        <v>32</v>
      </c>
      <c r="J1570" t="s">
        <v>82</v>
      </c>
      <c r="K1570">
        <f t="shared" si="4880"/>
        <v>0</v>
      </c>
      <c r="L1570">
        <f t="shared" si="4881"/>
        <v>1</v>
      </c>
      <c r="M1570">
        <f t="shared" si="4882"/>
        <v>1</v>
      </c>
      <c r="N1570">
        <f t="shared" si="4883"/>
        <v>1</v>
      </c>
      <c r="O1570">
        <f t="shared" si="4884"/>
        <v>3</v>
      </c>
      <c r="P1570" t="str">
        <f t="shared" si="4885"/>
        <v>Medium centralized biomass gasification w/ CCS-Public acceptability</v>
      </c>
      <c r="Q1570" t="str">
        <f t="shared" si="4886"/>
        <v>Central gas storage-Public acceptability</v>
      </c>
      <c r="R1570" t="str">
        <f t="shared" si="4887"/>
        <v>Hydrogen transmission &amp; distribution pipeline-Public acceptability</v>
      </c>
      <c r="S1570" t="str">
        <f t="shared" si="4888"/>
        <v>Prime power H2 fuel cell-Public acceptability</v>
      </c>
      <c r="T1570" s="54">
        <f ca="1">VLOOKUP($P1570,'TA database'!$I$8:$J$79,2,FALSE)</f>
        <v>60</v>
      </c>
      <c r="U1570" s="54">
        <f ca="1">VLOOKUP($Q1570,'TA database'!$I$86:$J$105,2,FALSE)</f>
        <v>60</v>
      </c>
      <c r="V1570" s="54">
        <f ca="1">VLOOKUP($R1570,'TA database'!$I$112:$J$139,2,FALSE)</f>
        <v>70</v>
      </c>
      <c r="W1570" s="54">
        <f>IFERROR(VLOOKUP($S1570,'TA database'!$I$146:$J$193,2,FALSE),0)</f>
        <v>0</v>
      </c>
      <c r="X1570" s="54">
        <f ca="1">IFERROR(VLOOKUP($S1570,'TA database'!$I$200:$J$271,2,FALSE),0)</f>
        <v>80</v>
      </c>
      <c r="Y1570" s="59">
        <f t="shared" ca="1" si="4875"/>
        <v>20.16</v>
      </c>
      <c r="Z1570" t="str">
        <f t="shared" si="4889"/>
        <v>BIO_GSF_CCS_MED_C   →   C_GAS_STRG   →   H2_T&amp;D_P   →   H2_FC_PWR</v>
      </c>
      <c r="AA1570" t="str">
        <f t="shared" si="4890"/>
        <v>Onsite / Back-up power</v>
      </c>
      <c r="AB1570" t="str">
        <f t="shared" si="4891"/>
        <v>Public acceptability</v>
      </c>
      <c r="AC1570">
        <f t="shared" ca="1" si="4892"/>
        <v>20.16</v>
      </c>
      <c r="AD1570">
        <v>1511</v>
      </c>
      <c r="AE1570" t="str">
        <f>IF(AND(ISNUMBER(SEARCH(O1570,4)),ISNUMBER(SEARCH('(4) FCH pathway assessment'!$B$16,AB1570)),ISNUMBER(SEARCH('(4) FCH pathway assessment'!$B$10,AA1570))),AD1570,"")</f>
        <v/>
      </c>
      <c r="AF1570" t="str">
        <f t="shared" si="4794"/>
        <v/>
      </c>
      <c r="AG1570" t="str">
        <f>VLOOKUP(C1570,Assumptions!$B$116:$C$162,2,FALSE)</f>
        <v>BIO_GSF_CCS_MED_C</v>
      </c>
      <c r="AH1570" t="str">
        <f>VLOOKUP(D1570,Assumptions!$B$116:$C$162,2,FALSE)</f>
        <v>C_GAS_STRG</v>
      </c>
      <c r="AI1570" t="str">
        <f>VLOOKUP(E1570,Assumptions!$B$116:$C$162,2,FALSE)</f>
        <v>H2_T&amp;D_P</v>
      </c>
      <c r="AJ1570" t="str">
        <f>VLOOKUP(F1570,Assumptions!$B$116:$C$162,2,FALSE)</f>
        <v>H2_FC_PWR</v>
      </c>
    </row>
    <row r="1571" spans="2:36" x14ac:dyDescent="0.25">
      <c r="B1571" t="s">
        <v>117</v>
      </c>
      <c r="C1571" t="s">
        <v>54</v>
      </c>
      <c r="D1571" t="s">
        <v>155</v>
      </c>
      <c r="E1571" t="s">
        <v>66</v>
      </c>
      <c r="F1571" t="s">
        <v>164</v>
      </c>
      <c r="G1571" t="s">
        <v>126</v>
      </c>
      <c r="H1571" t="s">
        <v>433</v>
      </c>
      <c r="I1571" t="s">
        <v>32</v>
      </c>
      <c r="J1571" t="s">
        <v>82</v>
      </c>
      <c r="K1571">
        <f t="shared" si="4880"/>
        <v>0</v>
      </c>
      <c r="L1571">
        <f t="shared" si="4881"/>
        <v>1</v>
      </c>
      <c r="M1571">
        <f t="shared" si="4882"/>
        <v>1</v>
      </c>
      <c r="N1571">
        <f t="shared" si="4883"/>
        <v>1</v>
      </c>
      <c r="O1571">
        <f t="shared" si="4884"/>
        <v>3</v>
      </c>
      <c r="P1571" t="str">
        <f t="shared" si="4885"/>
        <v>Medium centralized biomass gasification w/ CCS-Public acceptability</v>
      </c>
      <c r="Q1571" t="str">
        <f t="shared" si="4886"/>
        <v>Central gas storage-Public acceptability</v>
      </c>
      <c r="R1571" t="str">
        <f t="shared" si="4887"/>
        <v>Onsite-Public acceptability</v>
      </c>
      <c r="S1571" t="str">
        <f t="shared" si="4888"/>
        <v>Prime power H2 fuel cell-Public acceptability</v>
      </c>
      <c r="T1571" s="54">
        <f ca="1">VLOOKUP($P1571,'TA database'!$I$8:$J$79,2,FALSE)</f>
        <v>60</v>
      </c>
      <c r="U1571" s="54">
        <f ca="1">VLOOKUP($Q1571,'TA database'!$I$86:$J$105,2,FALSE)</f>
        <v>60</v>
      </c>
      <c r="V1571" s="54">
        <f ca="1">VLOOKUP($R1571,'TA database'!$I$112:$J$139,2,FALSE)</f>
        <v>90</v>
      </c>
      <c r="W1571" s="54">
        <f>IFERROR(VLOOKUP($S1571,'TA database'!$I$146:$J$193,2,FALSE),0)</f>
        <v>0</v>
      </c>
      <c r="X1571" s="54">
        <f ca="1">IFERROR(VLOOKUP($S1571,'TA database'!$I$200:$J$271,2,FALSE),0)</f>
        <v>80</v>
      </c>
      <c r="Y1571" s="59">
        <f t="shared" ca="1" si="4875"/>
        <v>25.92</v>
      </c>
      <c r="Z1571" t="str">
        <f t="shared" si="4889"/>
        <v>BIO_GSF_CCS_MED_C   →   C_GAS_STRG   →   ONSITE_USE   →   H2_FC_PWR</v>
      </c>
      <c r="AA1571" t="str">
        <f t="shared" si="4890"/>
        <v>Onsite / Back-up power</v>
      </c>
      <c r="AB1571" t="str">
        <f t="shared" si="4891"/>
        <v>Public acceptability</v>
      </c>
      <c r="AC1571">
        <f t="shared" ca="1" si="4892"/>
        <v>25.92</v>
      </c>
      <c r="AD1571">
        <v>1512</v>
      </c>
      <c r="AE1571" t="str">
        <f>IF(AND(ISNUMBER(SEARCH(O1571,4)),ISNUMBER(SEARCH('(4) FCH pathway assessment'!$B$16,AB1571)),ISNUMBER(SEARCH('(4) FCH pathway assessment'!$B$10,AA1571))),AD1571,"")</f>
        <v/>
      </c>
      <c r="AF1571" t="str">
        <f t="shared" si="4794"/>
        <v/>
      </c>
      <c r="AG1571" t="str">
        <f>VLOOKUP(C1571,Assumptions!$B$116:$C$162,2,FALSE)</f>
        <v>BIO_GSF_CCS_MED_C</v>
      </c>
      <c r="AH1571" t="str">
        <f>VLOOKUP(D1571,Assumptions!$B$116:$C$162,2,FALSE)</f>
        <v>C_GAS_STRG</v>
      </c>
      <c r="AI1571" t="str">
        <f>VLOOKUP(E1571,Assumptions!$B$116:$C$162,2,FALSE)</f>
        <v>ONSITE_USE</v>
      </c>
      <c r="AJ1571" t="str">
        <f>VLOOKUP(F1571,Assumptions!$B$116:$C$162,2,FALSE)</f>
        <v>H2_FC_PWR</v>
      </c>
    </row>
    <row r="1572" spans="2:36" x14ac:dyDescent="0.25">
      <c r="B1572" t="s">
        <v>117</v>
      </c>
      <c r="C1572" t="s">
        <v>55</v>
      </c>
      <c r="D1572" s="60" t="s">
        <v>130</v>
      </c>
      <c r="E1572" t="s">
        <v>66</v>
      </c>
      <c r="F1572" t="s">
        <v>164</v>
      </c>
      <c r="G1572" t="s">
        <v>126</v>
      </c>
      <c r="H1572" t="s">
        <v>433</v>
      </c>
      <c r="I1572" t="s">
        <v>32</v>
      </c>
      <c r="J1572" t="s">
        <v>82</v>
      </c>
      <c r="K1572">
        <f t="shared" si="4880"/>
        <v>0</v>
      </c>
      <c r="L1572">
        <f t="shared" si="4881"/>
        <v>1</v>
      </c>
      <c r="M1572">
        <f t="shared" si="4882"/>
        <v>1</v>
      </c>
      <c r="N1572">
        <f t="shared" si="4883"/>
        <v>1</v>
      </c>
      <c r="O1572">
        <f t="shared" si="4884"/>
        <v>3</v>
      </c>
      <c r="P1572" t="str">
        <f t="shared" si="4885"/>
        <v>Small decentralized biomass gasification-Public acceptability</v>
      </c>
      <c r="Q1572" t="str">
        <f t="shared" si="4886"/>
        <v>Distributed gas storage-Public acceptability</v>
      </c>
      <c r="R1572" t="str">
        <f t="shared" si="4887"/>
        <v>Onsite-Public acceptability</v>
      </c>
      <c r="S1572" t="str">
        <f t="shared" si="4888"/>
        <v>Prime power H2 fuel cell-Public acceptability</v>
      </c>
      <c r="T1572" s="54">
        <f ca="1">VLOOKUP($P1572,'TA database'!$I$8:$J$79,2,FALSE)</f>
        <v>70</v>
      </c>
      <c r="U1572" s="54">
        <f ca="1">VLOOKUP($Q1572,'TA database'!$I$86:$J$105,2,FALSE)</f>
        <v>60</v>
      </c>
      <c r="V1572" s="54">
        <f ca="1">VLOOKUP($R1572,'TA database'!$I$112:$J$139,2,FALSE)</f>
        <v>90</v>
      </c>
      <c r="W1572" s="54">
        <f>IFERROR(VLOOKUP($S1572,'TA database'!$I$146:$J$193,2,FALSE),0)</f>
        <v>0</v>
      </c>
      <c r="X1572" s="54">
        <f ca="1">IFERROR(VLOOKUP($S1572,'TA database'!$I$200:$J$271,2,FALSE),0)</f>
        <v>80</v>
      </c>
      <c r="Y1572" s="59">
        <f t="shared" ref="Y1572:Y1576" ca="1" si="4893">IF($W1572=0,(PRODUCT($T1572:$V1572,$X1572))/1000000,(PRODUCT($T1572:$W1572))/1000000)</f>
        <v>30.24</v>
      </c>
      <c r="Z1572" t="str">
        <f t="shared" si="4889"/>
        <v>BIO_GSF_SML_D   →   D_GAS_STRG   →   ONSITE_USE   →   H2_FC_PWR</v>
      </c>
      <c r="AA1572" t="str">
        <f t="shared" si="4890"/>
        <v>Onsite / Back-up power</v>
      </c>
      <c r="AB1572" t="str">
        <f t="shared" si="4891"/>
        <v>Public acceptability</v>
      </c>
      <c r="AC1572">
        <f t="shared" ca="1" si="4892"/>
        <v>30.24</v>
      </c>
      <c r="AD1572">
        <v>1513</v>
      </c>
      <c r="AE1572" t="str">
        <f>IF(AND(ISNUMBER(SEARCH(O1572,4)),ISNUMBER(SEARCH('(4) FCH pathway assessment'!$B$16,AB1572)),ISNUMBER(SEARCH('(4) FCH pathway assessment'!$B$10,AA1572))),AD1572,"")</f>
        <v/>
      </c>
      <c r="AF1572" t="str">
        <f t="shared" si="4794"/>
        <v/>
      </c>
      <c r="AG1572" t="str">
        <f>VLOOKUP(C1572,Assumptions!$B$116:$C$162,2,FALSE)</f>
        <v>BIO_GSF_SML_D</v>
      </c>
      <c r="AH1572" t="str">
        <f>VLOOKUP(D1572,Assumptions!$B$116:$C$162,2,FALSE)</f>
        <v>D_GAS_STRG</v>
      </c>
      <c r="AI1572" t="str">
        <f>VLOOKUP(E1572,Assumptions!$B$116:$C$162,2,FALSE)</f>
        <v>ONSITE_USE</v>
      </c>
      <c r="AJ1572" t="str">
        <f>VLOOKUP(F1572,Assumptions!$B$116:$C$162,2,FALSE)</f>
        <v>H2_FC_PWR</v>
      </c>
    </row>
    <row r="1573" spans="2:36" x14ac:dyDescent="0.25">
      <c r="B1573" t="s">
        <v>117</v>
      </c>
      <c r="C1573" t="s">
        <v>56</v>
      </c>
      <c r="D1573" t="s">
        <v>62</v>
      </c>
      <c r="E1573" t="s">
        <v>157</v>
      </c>
      <c r="F1573" t="s">
        <v>164</v>
      </c>
      <c r="G1573" t="s">
        <v>126</v>
      </c>
      <c r="H1573" t="s">
        <v>433</v>
      </c>
      <c r="I1573" t="s">
        <v>32</v>
      </c>
      <c r="J1573" t="s">
        <v>82</v>
      </c>
      <c r="K1573">
        <f t="shared" ref="K1573:K1582" si="4894">SUMPRODUCT(($C$7:$C$18=$C1573)*($D$6:$H$6=$D1573)*($D$7:$H$18))</f>
        <v>0</v>
      </c>
      <c r="L1573">
        <f t="shared" ref="L1573:L1582" si="4895">SUMPRODUCT(($C$19:$C$23=$D1573)*($I$6:$O$6=$E1573)*($I$19:$O$23))</f>
        <v>0</v>
      </c>
      <c r="M1573">
        <f t="shared" ref="M1573:M1582" si="4896">SUMPRODUCT(($C$24:$C$30=$E1573)*($P$6:$AI$6=$F1573)*($P$24:$AI$30))</f>
        <v>0</v>
      </c>
      <c r="N1573">
        <f t="shared" ref="N1573:N1582" si="4897">SUMPRODUCT(($C$31:$C$50=$F1573)*($AJ$6:$AM$6=$G1573)*($AJ$31:$AM$50))</f>
        <v>1</v>
      </c>
      <c r="O1573">
        <f t="shared" ref="O1573:O1582" si="4898">K1573+L1573+M1573+N1573</f>
        <v>1</v>
      </c>
      <c r="P1573" t="str">
        <f t="shared" ref="P1573:P1582" si="4899">CONCATENATE(C1573,"-",J1573)</f>
        <v>Large centralized biomass steam reforming -Public acceptability</v>
      </c>
      <c r="Q1573" t="str">
        <f t="shared" ref="Q1573:Q1582" si="4900">CONCATENATE(D1573,"-",J1573)</f>
        <v>Underground storage-Public acceptability</v>
      </c>
      <c r="R1573" t="str">
        <f t="shared" ref="R1573:R1582" si="4901">CONCATENATE(E1573,"-",J1573)</f>
        <v>Blending in natural gas pipeline-Public acceptability</v>
      </c>
      <c r="S1573" t="str">
        <f t="shared" ref="S1573:S1582" si="4902">CONCATENATE(F1573,"-",J1573)</f>
        <v>Prime power H2 fuel cell-Public acceptability</v>
      </c>
      <c r="T1573" s="54">
        <f ca="1">VLOOKUP($P1573,'TA database'!$I$8:$J$79,2,FALSE)</f>
        <v>80</v>
      </c>
      <c r="U1573" s="54">
        <f ca="1">VLOOKUP($Q1573,'TA database'!$I$86:$J$105,2,FALSE)</f>
        <v>60</v>
      </c>
      <c r="V1573" s="54">
        <f ca="1">VLOOKUP($R1573,'TA database'!$I$112:$J$139,2,FALSE)</f>
        <v>90</v>
      </c>
      <c r="W1573" s="54">
        <f>IFERROR(VLOOKUP($S1573,'TA database'!$I$146:$J$193,2,FALSE),0)</f>
        <v>0</v>
      </c>
      <c r="X1573" s="54">
        <f ca="1">IFERROR(VLOOKUP($S1573,'TA database'!$I$200:$J$271,2,FALSE),0)</f>
        <v>80</v>
      </c>
      <c r="Y1573" s="59">
        <f t="shared" ca="1" si="4893"/>
        <v>34.56</v>
      </c>
      <c r="Z1573" t="str">
        <f t="shared" ref="Z1573:Z1582" si="4903">CONCATENATE(AG1573,"   →   ",AH1573,"   →   ",AI1573,"   →   ",AJ1573)</f>
        <v>BIO_SR_LRG_C   →   C_UNDRGRND_STRG   →   H2_BLND_NG_P   →   H2_FC_PWR</v>
      </c>
      <c r="AA1573" t="str">
        <f t="shared" ref="AA1573:AA1582" si="4904">G1573</f>
        <v>Onsite / Back-up power</v>
      </c>
      <c r="AB1573" t="str">
        <f t="shared" ref="AB1573:AB1582" si="4905">J1573</f>
        <v>Public acceptability</v>
      </c>
      <c r="AC1573">
        <f t="shared" ref="AC1573:AC1582" ca="1" si="4906">Y1573</f>
        <v>34.56</v>
      </c>
      <c r="AD1573">
        <v>1514</v>
      </c>
      <c r="AE1573" t="str">
        <f>IF(AND(ISNUMBER(SEARCH(O1573,4)),ISNUMBER(SEARCH('(4) FCH pathway assessment'!$B$16,AB1573)),ISNUMBER(SEARCH('(4) FCH pathway assessment'!$B$10,AA1573))),AD1573,"")</f>
        <v/>
      </c>
      <c r="AF1573" t="str">
        <f t="shared" si="4794"/>
        <v/>
      </c>
      <c r="AG1573" t="str">
        <f>VLOOKUP(C1573,Assumptions!$B$116:$C$162,2,FALSE)</f>
        <v>BIO_SR_LRG_C</v>
      </c>
      <c r="AH1573" t="str">
        <f>VLOOKUP(D1573,Assumptions!$B$116:$C$162,2,FALSE)</f>
        <v>C_UNDRGRND_STRG</v>
      </c>
      <c r="AI1573" t="str">
        <f>VLOOKUP(E1573,Assumptions!$B$116:$C$162,2,FALSE)</f>
        <v>H2_BLND_NG_P</v>
      </c>
      <c r="AJ1573" t="str">
        <f>VLOOKUP(F1573,Assumptions!$B$116:$C$162,2,FALSE)</f>
        <v>H2_FC_PWR</v>
      </c>
    </row>
    <row r="1574" spans="2:36" x14ac:dyDescent="0.25">
      <c r="B1574" t="s">
        <v>117</v>
      </c>
      <c r="C1574" t="s">
        <v>56</v>
      </c>
      <c r="D1574" t="s">
        <v>62</v>
      </c>
      <c r="E1574" t="s">
        <v>122</v>
      </c>
      <c r="F1574" t="s">
        <v>164</v>
      </c>
      <c r="G1574" t="s">
        <v>126</v>
      </c>
      <c r="H1574" t="s">
        <v>433</v>
      </c>
      <c r="I1574" t="s">
        <v>32</v>
      </c>
      <c r="J1574" t="s">
        <v>82</v>
      </c>
      <c r="K1574">
        <f t="shared" si="4894"/>
        <v>0</v>
      </c>
      <c r="L1574">
        <f t="shared" si="4895"/>
        <v>0</v>
      </c>
      <c r="M1574">
        <f t="shared" si="4896"/>
        <v>1</v>
      </c>
      <c r="N1574">
        <f t="shared" si="4897"/>
        <v>1</v>
      </c>
      <c r="O1574">
        <f t="shared" si="4898"/>
        <v>2</v>
      </c>
      <c r="P1574" t="str">
        <f t="shared" si="4899"/>
        <v>Large centralized biomass steam reforming -Public acceptability</v>
      </c>
      <c r="Q1574" t="str">
        <f t="shared" si="4900"/>
        <v>Underground storage-Public acceptability</v>
      </c>
      <c r="R1574" t="str">
        <f t="shared" si="4901"/>
        <v>Hydrogen transmission &amp; distribution pipeline-Public acceptability</v>
      </c>
      <c r="S1574" t="str">
        <f t="shared" si="4902"/>
        <v>Prime power H2 fuel cell-Public acceptability</v>
      </c>
      <c r="T1574" s="54">
        <f ca="1">VLOOKUP($P1574,'TA database'!$I$8:$J$79,2,FALSE)</f>
        <v>80</v>
      </c>
      <c r="U1574" s="54">
        <f ca="1">VLOOKUP($Q1574,'TA database'!$I$86:$J$105,2,FALSE)</f>
        <v>60</v>
      </c>
      <c r="V1574" s="54">
        <f ca="1">VLOOKUP($R1574,'TA database'!$I$112:$J$139,2,FALSE)</f>
        <v>70</v>
      </c>
      <c r="W1574" s="54">
        <f>IFERROR(VLOOKUP($S1574,'TA database'!$I$146:$J$193,2,FALSE),0)</f>
        <v>0</v>
      </c>
      <c r="X1574" s="54">
        <f ca="1">IFERROR(VLOOKUP($S1574,'TA database'!$I$200:$J$271,2,FALSE),0)</f>
        <v>80</v>
      </c>
      <c r="Y1574" s="59">
        <f t="shared" ca="1" si="4893"/>
        <v>26.88</v>
      </c>
      <c r="Z1574" t="str">
        <f t="shared" si="4903"/>
        <v>BIO_SR_LRG_C   →   C_UNDRGRND_STRG   →   H2_T&amp;D_P   →   H2_FC_PWR</v>
      </c>
      <c r="AA1574" t="str">
        <f t="shared" si="4904"/>
        <v>Onsite / Back-up power</v>
      </c>
      <c r="AB1574" t="str">
        <f t="shared" si="4905"/>
        <v>Public acceptability</v>
      </c>
      <c r="AC1574">
        <f t="shared" ca="1" si="4906"/>
        <v>26.88</v>
      </c>
      <c r="AD1574">
        <v>1515</v>
      </c>
      <c r="AE1574" t="str">
        <f>IF(AND(ISNUMBER(SEARCH(O1574,4)),ISNUMBER(SEARCH('(4) FCH pathway assessment'!$B$16,AB1574)),ISNUMBER(SEARCH('(4) FCH pathway assessment'!$B$10,AA1574))),AD1574,"")</f>
        <v/>
      </c>
      <c r="AF1574" t="str">
        <f t="shared" si="4794"/>
        <v/>
      </c>
      <c r="AG1574" t="str">
        <f>VLOOKUP(C1574,Assumptions!$B$116:$C$162,2,FALSE)</f>
        <v>BIO_SR_LRG_C</v>
      </c>
      <c r="AH1574" t="str">
        <f>VLOOKUP(D1574,Assumptions!$B$116:$C$162,2,FALSE)</f>
        <v>C_UNDRGRND_STRG</v>
      </c>
      <c r="AI1574" t="str">
        <f>VLOOKUP(E1574,Assumptions!$B$116:$C$162,2,FALSE)</f>
        <v>H2_T&amp;D_P</v>
      </c>
      <c r="AJ1574" t="str">
        <f>VLOOKUP(F1574,Assumptions!$B$116:$C$162,2,FALSE)</f>
        <v>H2_FC_PWR</v>
      </c>
    </row>
    <row r="1575" spans="2:36" x14ac:dyDescent="0.25">
      <c r="B1575" t="s">
        <v>117</v>
      </c>
      <c r="C1575" t="s">
        <v>56</v>
      </c>
      <c r="D1575" t="s">
        <v>62</v>
      </c>
      <c r="E1575" t="s">
        <v>66</v>
      </c>
      <c r="F1575" t="s">
        <v>164</v>
      </c>
      <c r="G1575" t="s">
        <v>126</v>
      </c>
      <c r="H1575" t="s">
        <v>433</v>
      </c>
      <c r="I1575" t="s">
        <v>32</v>
      </c>
      <c r="J1575" t="s">
        <v>82</v>
      </c>
      <c r="K1575">
        <f t="shared" si="4894"/>
        <v>0</v>
      </c>
      <c r="L1575">
        <f t="shared" si="4895"/>
        <v>0</v>
      </c>
      <c r="M1575">
        <f t="shared" si="4896"/>
        <v>1</v>
      </c>
      <c r="N1575">
        <f t="shared" si="4897"/>
        <v>1</v>
      </c>
      <c r="O1575">
        <f t="shared" si="4898"/>
        <v>2</v>
      </c>
      <c r="P1575" t="str">
        <f t="shared" si="4899"/>
        <v>Large centralized biomass steam reforming -Public acceptability</v>
      </c>
      <c r="Q1575" t="str">
        <f t="shared" si="4900"/>
        <v>Underground storage-Public acceptability</v>
      </c>
      <c r="R1575" t="str">
        <f t="shared" si="4901"/>
        <v>Onsite-Public acceptability</v>
      </c>
      <c r="S1575" t="str">
        <f t="shared" si="4902"/>
        <v>Prime power H2 fuel cell-Public acceptability</v>
      </c>
      <c r="T1575" s="54">
        <f ca="1">VLOOKUP($P1575,'TA database'!$I$8:$J$79,2,FALSE)</f>
        <v>80</v>
      </c>
      <c r="U1575" s="54">
        <f ca="1">VLOOKUP($Q1575,'TA database'!$I$86:$J$105,2,FALSE)</f>
        <v>60</v>
      </c>
      <c r="V1575" s="54">
        <f ca="1">VLOOKUP($R1575,'TA database'!$I$112:$J$139,2,FALSE)</f>
        <v>90</v>
      </c>
      <c r="W1575" s="54">
        <f>IFERROR(VLOOKUP($S1575,'TA database'!$I$146:$J$193,2,FALSE),0)</f>
        <v>0</v>
      </c>
      <c r="X1575" s="54">
        <f ca="1">IFERROR(VLOOKUP($S1575,'TA database'!$I$200:$J$271,2,FALSE),0)</f>
        <v>80</v>
      </c>
      <c r="Y1575" s="59">
        <f t="shared" ca="1" si="4893"/>
        <v>34.56</v>
      </c>
      <c r="Z1575" t="str">
        <f t="shared" si="4903"/>
        <v>BIO_SR_LRG_C   →   C_UNDRGRND_STRG   →   ONSITE_USE   →   H2_FC_PWR</v>
      </c>
      <c r="AA1575" t="str">
        <f t="shared" si="4904"/>
        <v>Onsite / Back-up power</v>
      </c>
      <c r="AB1575" t="str">
        <f t="shared" si="4905"/>
        <v>Public acceptability</v>
      </c>
      <c r="AC1575">
        <f t="shared" ca="1" si="4906"/>
        <v>34.56</v>
      </c>
      <c r="AD1575">
        <v>1516</v>
      </c>
      <c r="AE1575" t="str">
        <f>IF(AND(ISNUMBER(SEARCH(O1575,4)),ISNUMBER(SEARCH('(4) FCH pathway assessment'!$B$16,AB1575)),ISNUMBER(SEARCH('(4) FCH pathway assessment'!$B$10,AA1575))),AD1575,"")</f>
        <v/>
      </c>
      <c r="AF1575" t="str">
        <f t="shared" si="4794"/>
        <v/>
      </c>
      <c r="AG1575" t="str">
        <f>VLOOKUP(C1575,Assumptions!$B$116:$C$162,2,FALSE)</f>
        <v>BIO_SR_LRG_C</v>
      </c>
      <c r="AH1575" t="str">
        <f>VLOOKUP(D1575,Assumptions!$B$116:$C$162,2,FALSE)</f>
        <v>C_UNDRGRND_STRG</v>
      </c>
      <c r="AI1575" t="str">
        <f>VLOOKUP(E1575,Assumptions!$B$116:$C$162,2,FALSE)</f>
        <v>ONSITE_USE</v>
      </c>
      <c r="AJ1575" t="str">
        <f>VLOOKUP(F1575,Assumptions!$B$116:$C$162,2,FALSE)</f>
        <v>H2_FC_PWR</v>
      </c>
    </row>
    <row r="1576" spans="2:36" x14ac:dyDescent="0.25">
      <c r="B1576" t="s">
        <v>117</v>
      </c>
      <c r="C1576" t="s">
        <v>56</v>
      </c>
      <c r="D1576" s="61" t="s">
        <v>63</v>
      </c>
      <c r="E1576" t="s">
        <v>122</v>
      </c>
      <c r="F1576" t="s">
        <v>164</v>
      </c>
      <c r="G1576" t="s">
        <v>126</v>
      </c>
      <c r="H1576" t="s">
        <v>433</v>
      </c>
      <c r="I1576" t="s">
        <v>32</v>
      </c>
      <c r="J1576" t="s">
        <v>82</v>
      </c>
      <c r="K1576">
        <f t="shared" si="4894"/>
        <v>0</v>
      </c>
      <c r="L1576">
        <f t="shared" si="4895"/>
        <v>1</v>
      </c>
      <c r="M1576">
        <f t="shared" si="4896"/>
        <v>1</v>
      </c>
      <c r="N1576">
        <f t="shared" si="4897"/>
        <v>1</v>
      </c>
      <c r="O1576">
        <f t="shared" si="4898"/>
        <v>3</v>
      </c>
      <c r="P1576" t="str">
        <f t="shared" si="4899"/>
        <v>Large centralized biomass steam reforming -Public acceptability</v>
      </c>
      <c r="Q1576" t="str">
        <f t="shared" si="4900"/>
        <v>No storage-Public acceptability</v>
      </c>
      <c r="R1576" t="str">
        <f t="shared" si="4901"/>
        <v>Hydrogen transmission &amp; distribution pipeline-Public acceptability</v>
      </c>
      <c r="S1576" t="str">
        <f t="shared" si="4902"/>
        <v>Prime power H2 fuel cell-Public acceptability</v>
      </c>
      <c r="T1576" s="54">
        <f ca="1">VLOOKUP($P1576,'TA database'!$I$8:$J$79,2,FALSE)</f>
        <v>80</v>
      </c>
      <c r="U1576" s="54">
        <f ca="1">VLOOKUP($Q1576,'TA database'!$I$86:$J$105,2,FALSE)</f>
        <v>100</v>
      </c>
      <c r="V1576" s="54">
        <f ca="1">VLOOKUP($R1576,'TA database'!$I$112:$J$139,2,FALSE)</f>
        <v>70</v>
      </c>
      <c r="W1576" s="54">
        <f>IFERROR(VLOOKUP($S1576,'TA database'!$I$146:$J$193,2,FALSE),0)</f>
        <v>0</v>
      </c>
      <c r="X1576" s="54">
        <f ca="1">IFERROR(VLOOKUP($S1576,'TA database'!$I$200:$J$271,2,FALSE),0)</f>
        <v>80</v>
      </c>
      <c r="Y1576" s="59">
        <f t="shared" ca="1" si="4893"/>
        <v>44.8</v>
      </c>
      <c r="Z1576" t="str">
        <f t="shared" si="4903"/>
        <v>BIO_SR_LRG_C   →   NO_STRG   →   H2_T&amp;D_P   →   H2_FC_PWR</v>
      </c>
      <c r="AA1576" t="str">
        <f t="shared" si="4904"/>
        <v>Onsite / Back-up power</v>
      </c>
      <c r="AB1576" t="str">
        <f t="shared" si="4905"/>
        <v>Public acceptability</v>
      </c>
      <c r="AC1576">
        <f t="shared" ca="1" si="4906"/>
        <v>44.8</v>
      </c>
      <c r="AD1576">
        <v>1517</v>
      </c>
      <c r="AE1576" t="str">
        <f>IF(AND(ISNUMBER(SEARCH(O1576,4)),ISNUMBER(SEARCH('(4) FCH pathway assessment'!$B$16,AB1576)),ISNUMBER(SEARCH('(4) FCH pathway assessment'!$B$10,AA1576))),AD1576,"")</f>
        <v/>
      </c>
      <c r="AF1576" t="str">
        <f t="shared" si="4794"/>
        <v/>
      </c>
      <c r="AG1576" t="str">
        <f>VLOOKUP(C1576,Assumptions!$B$116:$C$162,2,FALSE)</f>
        <v>BIO_SR_LRG_C</v>
      </c>
      <c r="AH1576" t="str">
        <f>VLOOKUP(D1576,Assumptions!$B$116:$C$162,2,FALSE)</f>
        <v>NO_STRG</v>
      </c>
      <c r="AI1576" t="str">
        <f>VLOOKUP(E1576,Assumptions!$B$116:$C$162,2,FALSE)</f>
        <v>H2_T&amp;D_P</v>
      </c>
      <c r="AJ1576" t="str">
        <f>VLOOKUP(F1576,Assumptions!$B$116:$C$162,2,FALSE)</f>
        <v>H2_FC_PWR</v>
      </c>
    </row>
    <row r="1577" spans="2:36" x14ac:dyDescent="0.25">
      <c r="B1577" t="s">
        <v>112</v>
      </c>
      <c r="C1577" t="s">
        <v>49</v>
      </c>
      <c r="D1577" t="s">
        <v>62</v>
      </c>
      <c r="E1577" t="s">
        <v>157</v>
      </c>
      <c r="F1577" t="s">
        <v>164</v>
      </c>
      <c r="G1577" t="s">
        <v>126</v>
      </c>
      <c r="H1577" t="s">
        <v>433</v>
      </c>
      <c r="I1577" t="s">
        <v>32</v>
      </c>
      <c r="J1577" t="s">
        <v>82</v>
      </c>
      <c r="K1577">
        <f t="shared" si="4894"/>
        <v>1</v>
      </c>
      <c r="L1577">
        <f t="shared" si="4895"/>
        <v>0</v>
      </c>
      <c r="M1577">
        <f t="shared" si="4896"/>
        <v>0</v>
      </c>
      <c r="N1577">
        <f t="shared" si="4897"/>
        <v>1</v>
      </c>
      <c r="O1577">
        <f t="shared" si="4898"/>
        <v>2</v>
      </c>
      <c r="P1577" t="str">
        <f t="shared" si="4899"/>
        <v>Large centralized electrolysis-Public acceptability</v>
      </c>
      <c r="Q1577" t="str">
        <f t="shared" si="4900"/>
        <v>Underground storage-Public acceptability</v>
      </c>
      <c r="R1577" t="str">
        <f t="shared" si="4901"/>
        <v>Blending in natural gas pipeline-Public acceptability</v>
      </c>
      <c r="S1577" t="str">
        <f t="shared" si="4902"/>
        <v>Prime power H2 fuel cell-Public acceptability</v>
      </c>
      <c r="T1577" s="54">
        <f ca="1">VLOOKUP($P1577,'TA database'!$I$8:$J$79,2,FALSE)</f>
        <v>80</v>
      </c>
      <c r="U1577" s="54">
        <f ca="1">VLOOKUP($Q1577,'TA database'!$I$86:$J$105,2,FALSE)</f>
        <v>60</v>
      </c>
      <c r="V1577" s="54">
        <f ca="1">VLOOKUP($R1577,'TA database'!$I$112:$J$139,2,FALSE)</f>
        <v>90</v>
      </c>
      <c r="W1577" s="54">
        <f>IFERROR(VLOOKUP($S1577,'TA database'!$I$146:$J$193,2,FALSE),0)</f>
        <v>0</v>
      </c>
      <c r="X1577" s="54">
        <f ca="1">IFERROR(VLOOKUP($S1577,'TA database'!$I$200:$J$271,2,FALSE),0)</f>
        <v>80</v>
      </c>
      <c r="Y1577" s="59">
        <f t="shared" ref="Y1577:Y1585" ca="1" si="4907">IF($W1577=0,(PRODUCT($T1577:$V1577,$X1577))/1000000,(PRODUCT($T1577:$W1577))/1000000)</f>
        <v>34.56</v>
      </c>
      <c r="Z1577" t="str">
        <f t="shared" si="4903"/>
        <v>ELCTRLYZ_LRG_C   →   C_UNDRGRND_STRG   →   H2_BLND_NG_P   →   H2_FC_PWR</v>
      </c>
      <c r="AA1577" t="str">
        <f t="shared" si="4904"/>
        <v>Onsite / Back-up power</v>
      </c>
      <c r="AB1577" t="str">
        <f t="shared" si="4905"/>
        <v>Public acceptability</v>
      </c>
      <c r="AC1577">
        <f t="shared" ca="1" si="4906"/>
        <v>34.56</v>
      </c>
      <c r="AD1577">
        <v>1518</v>
      </c>
      <c r="AE1577" t="str">
        <f>IF(AND(ISNUMBER(SEARCH(O1577,4)),ISNUMBER(SEARCH('(4) FCH pathway assessment'!$B$16,AB1577)),ISNUMBER(SEARCH('(4) FCH pathway assessment'!$B$10,AA1577))),AD1577,"")</f>
        <v/>
      </c>
      <c r="AF1577" t="str">
        <f t="shared" si="4794"/>
        <v/>
      </c>
      <c r="AG1577" t="str">
        <f>VLOOKUP(C1577,Assumptions!$B$116:$C$162,2,FALSE)</f>
        <v>ELCTRLYZ_LRG_C</v>
      </c>
      <c r="AH1577" t="str">
        <f>VLOOKUP(D1577,Assumptions!$B$116:$C$162,2,FALSE)</f>
        <v>C_UNDRGRND_STRG</v>
      </c>
      <c r="AI1577" t="str">
        <f>VLOOKUP(E1577,Assumptions!$B$116:$C$162,2,FALSE)</f>
        <v>H2_BLND_NG_P</v>
      </c>
      <c r="AJ1577" t="str">
        <f>VLOOKUP(F1577,Assumptions!$B$116:$C$162,2,FALSE)</f>
        <v>H2_FC_PWR</v>
      </c>
    </row>
    <row r="1578" spans="2:36" x14ac:dyDescent="0.25">
      <c r="B1578" t="s">
        <v>112</v>
      </c>
      <c r="C1578" t="s">
        <v>49</v>
      </c>
      <c r="D1578" t="s">
        <v>62</v>
      </c>
      <c r="E1578" t="s">
        <v>122</v>
      </c>
      <c r="F1578" t="s">
        <v>164</v>
      </c>
      <c r="G1578" t="s">
        <v>126</v>
      </c>
      <c r="H1578" t="s">
        <v>433</v>
      </c>
      <c r="I1578" t="s">
        <v>32</v>
      </c>
      <c r="J1578" t="s">
        <v>82</v>
      </c>
      <c r="K1578">
        <f t="shared" si="4894"/>
        <v>1</v>
      </c>
      <c r="L1578">
        <f t="shared" si="4895"/>
        <v>0</v>
      </c>
      <c r="M1578">
        <f t="shared" si="4896"/>
        <v>1</v>
      </c>
      <c r="N1578">
        <f t="shared" si="4897"/>
        <v>1</v>
      </c>
      <c r="O1578">
        <f t="shared" si="4898"/>
        <v>3</v>
      </c>
      <c r="P1578" t="str">
        <f t="shared" si="4899"/>
        <v>Large centralized electrolysis-Public acceptability</v>
      </c>
      <c r="Q1578" t="str">
        <f t="shared" si="4900"/>
        <v>Underground storage-Public acceptability</v>
      </c>
      <c r="R1578" t="str">
        <f t="shared" si="4901"/>
        <v>Hydrogen transmission &amp; distribution pipeline-Public acceptability</v>
      </c>
      <c r="S1578" t="str">
        <f t="shared" si="4902"/>
        <v>Prime power H2 fuel cell-Public acceptability</v>
      </c>
      <c r="T1578" s="54">
        <f ca="1">VLOOKUP($P1578,'TA database'!$I$8:$J$79,2,FALSE)</f>
        <v>80</v>
      </c>
      <c r="U1578" s="54">
        <f ca="1">VLOOKUP($Q1578,'TA database'!$I$86:$J$105,2,FALSE)</f>
        <v>60</v>
      </c>
      <c r="V1578" s="54">
        <f ca="1">VLOOKUP($R1578,'TA database'!$I$112:$J$139,2,FALSE)</f>
        <v>70</v>
      </c>
      <c r="W1578" s="54">
        <f>IFERROR(VLOOKUP($S1578,'TA database'!$I$146:$J$193,2,FALSE),0)</f>
        <v>0</v>
      </c>
      <c r="X1578" s="54">
        <f ca="1">IFERROR(VLOOKUP($S1578,'TA database'!$I$200:$J$271,2,FALSE),0)</f>
        <v>80</v>
      </c>
      <c r="Y1578" s="59">
        <f t="shared" ca="1" si="4907"/>
        <v>26.88</v>
      </c>
      <c r="Z1578" t="str">
        <f t="shared" si="4903"/>
        <v>ELCTRLYZ_LRG_C   →   C_UNDRGRND_STRG   →   H2_T&amp;D_P   →   H2_FC_PWR</v>
      </c>
      <c r="AA1578" t="str">
        <f t="shared" si="4904"/>
        <v>Onsite / Back-up power</v>
      </c>
      <c r="AB1578" t="str">
        <f t="shared" si="4905"/>
        <v>Public acceptability</v>
      </c>
      <c r="AC1578">
        <f t="shared" ca="1" si="4906"/>
        <v>26.88</v>
      </c>
      <c r="AD1578">
        <v>1519</v>
      </c>
      <c r="AE1578" t="str">
        <f>IF(AND(ISNUMBER(SEARCH(O1578,4)),ISNUMBER(SEARCH('(4) FCH pathway assessment'!$B$16,AB1578)),ISNUMBER(SEARCH('(4) FCH pathway assessment'!$B$10,AA1578))),AD1578,"")</f>
        <v/>
      </c>
      <c r="AF1578" t="str">
        <f t="shared" si="4794"/>
        <v/>
      </c>
      <c r="AG1578" t="str">
        <f>VLOOKUP(C1578,Assumptions!$B$116:$C$162,2,FALSE)</f>
        <v>ELCTRLYZ_LRG_C</v>
      </c>
      <c r="AH1578" t="str">
        <f>VLOOKUP(D1578,Assumptions!$B$116:$C$162,2,FALSE)</f>
        <v>C_UNDRGRND_STRG</v>
      </c>
      <c r="AI1578" t="str">
        <f>VLOOKUP(E1578,Assumptions!$B$116:$C$162,2,FALSE)</f>
        <v>H2_T&amp;D_P</v>
      </c>
      <c r="AJ1578" t="str">
        <f>VLOOKUP(F1578,Assumptions!$B$116:$C$162,2,FALSE)</f>
        <v>H2_FC_PWR</v>
      </c>
    </row>
    <row r="1579" spans="2:36" x14ac:dyDescent="0.25">
      <c r="B1579" t="s">
        <v>112</v>
      </c>
      <c r="C1579" t="s">
        <v>49</v>
      </c>
      <c r="D1579" t="s">
        <v>62</v>
      </c>
      <c r="E1579" t="s">
        <v>66</v>
      </c>
      <c r="F1579" t="s">
        <v>164</v>
      </c>
      <c r="G1579" t="s">
        <v>126</v>
      </c>
      <c r="H1579" t="s">
        <v>433</v>
      </c>
      <c r="I1579" t="s">
        <v>32</v>
      </c>
      <c r="J1579" t="s">
        <v>82</v>
      </c>
      <c r="K1579">
        <f t="shared" si="4894"/>
        <v>1</v>
      </c>
      <c r="L1579">
        <f t="shared" si="4895"/>
        <v>0</v>
      </c>
      <c r="M1579">
        <f t="shared" si="4896"/>
        <v>1</v>
      </c>
      <c r="N1579">
        <f t="shared" si="4897"/>
        <v>1</v>
      </c>
      <c r="O1579">
        <f t="shared" si="4898"/>
        <v>3</v>
      </c>
      <c r="P1579" t="str">
        <f t="shared" si="4899"/>
        <v>Large centralized electrolysis-Public acceptability</v>
      </c>
      <c r="Q1579" t="str">
        <f t="shared" si="4900"/>
        <v>Underground storage-Public acceptability</v>
      </c>
      <c r="R1579" t="str">
        <f t="shared" si="4901"/>
        <v>Onsite-Public acceptability</v>
      </c>
      <c r="S1579" t="str">
        <f t="shared" si="4902"/>
        <v>Prime power H2 fuel cell-Public acceptability</v>
      </c>
      <c r="T1579" s="54">
        <f ca="1">VLOOKUP($P1579,'TA database'!$I$8:$J$79,2,FALSE)</f>
        <v>80</v>
      </c>
      <c r="U1579" s="54">
        <f ca="1">VLOOKUP($Q1579,'TA database'!$I$86:$J$105,2,FALSE)</f>
        <v>60</v>
      </c>
      <c r="V1579" s="54">
        <f ca="1">VLOOKUP($R1579,'TA database'!$I$112:$J$139,2,FALSE)</f>
        <v>90</v>
      </c>
      <c r="W1579" s="54">
        <f>IFERROR(VLOOKUP($S1579,'TA database'!$I$146:$J$193,2,FALSE),0)</f>
        <v>0</v>
      </c>
      <c r="X1579" s="54">
        <f ca="1">IFERROR(VLOOKUP($S1579,'TA database'!$I$200:$J$271,2,FALSE),0)</f>
        <v>80</v>
      </c>
      <c r="Y1579" s="59">
        <f t="shared" ca="1" si="4907"/>
        <v>34.56</v>
      </c>
      <c r="Z1579" t="str">
        <f t="shared" si="4903"/>
        <v>ELCTRLYZ_LRG_C   →   C_UNDRGRND_STRG   →   ONSITE_USE   →   H2_FC_PWR</v>
      </c>
      <c r="AA1579" t="str">
        <f t="shared" si="4904"/>
        <v>Onsite / Back-up power</v>
      </c>
      <c r="AB1579" t="str">
        <f t="shared" si="4905"/>
        <v>Public acceptability</v>
      </c>
      <c r="AC1579">
        <f t="shared" ca="1" si="4906"/>
        <v>34.56</v>
      </c>
      <c r="AD1579">
        <v>1520</v>
      </c>
      <c r="AE1579" t="str">
        <f>IF(AND(ISNUMBER(SEARCH(O1579,4)),ISNUMBER(SEARCH('(4) FCH pathway assessment'!$B$16,AB1579)),ISNUMBER(SEARCH('(4) FCH pathway assessment'!$B$10,AA1579))),AD1579,"")</f>
        <v/>
      </c>
      <c r="AF1579" t="str">
        <f t="shared" si="4794"/>
        <v/>
      </c>
      <c r="AG1579" t="str">
        <f>VLOOKUP(C1579,Assumptions!$B$116:$C$162,2,FALSE)</f>
        <v>ELCTRLYZ_LRG_C</v>
      </c>
      <c r="AH1579" t="str">
        <f>VLOOKUP(D1579,Assumptions!$B$116:$C$162,2,FALSE)</f>
        <v>C_UNDRGRND_STRG</v>
      </c>
      <c r="AI1579" t="str">
        <f>VLOOKUP(E1579,Assumptions!$B$116:$C$162,2,FALSE)</f>
        <v>ONSITE_USE</v>
      </c>
      <c r="AJ1579" t="str">
        <f>VLOOKUP(F1579,Assumptions!$B$116:$C$162,2,FALSE)</f>
        <v>H2_FC_PWR</v>
      </c>
    </row>
    <row r="1580" spans="2:36" x14ac:dyDescent="0.25">
      <c r="B1580" t="s">
        <v>112</v>
      </c>
      <c r="C1580" t="s">
        <v>49</v>
      </c>
      <c r="D1580" t="s">
        <v>155</v>
      </c>
      <c r="E1580" t="s">
        <v>157</v>
      </c>
      <c r="F1580" t="s">
        <v>164</v>
      </c>
      <c r="G1580" t="s">
        <v>126</v>
      </c>
      <c r="H1580" t="s">
        <v>433</v>
      </c>
      <c r="I1580" t="s">
        <v>32</v>
      </c>
      <c r="J1580" t="s">
        <v>82</v>
      </c>
      <c r="K1580">
        <f t="shared" si="4894"/>
        <v>1</v>
      </c>
      <c r="L1580">
        <f t="shared" si="4895"/>
        <v>1</v>
      </c>
      <c r="M1580">
        <f t="shared" si="4896"/>
        <v>0</v>
      </c>
      <c r="N1580">
        <f t="shared" si="4897"/>
        <v>1</v>
      </c>
      <c r="O1580">
        <f t="shared" si="4898"/>
        <v>3</v>
      </c>
      <c r="P1580" t="str">
        <f t="shared" si="4899"/>
        <v>Large centralized electrolysis-Public acceptability</v>
      </c>
      <c r="Q1580" t="str">
        <f t="shared" si="4900"/>
        <v>Central gas storage-Public acceptability</v>
      </c>
      <c r="R1580" t="str">
        <f t="shared" si="4901"/>
        <v>Blending in natural gas pipeline-Public acceptability</v>
      </c>
      <c r="S1580" t="str">
        <f t="shared" si="4902"/>
        <v>Prime power H2 fuel cell-Public acceptability</v>
      </c>
      <c r="T1580" s="54">
        <f ca="1">VLOOKUP($P1580,'TA database'!$I$8:$J$79,2,FALSE)</f>
        <v>80</v>
      </c>
      <c r="U1580" s="54">
        <f ca="1">VLOOKUP($Q1580,'TA database'!$I$86:$J$105,2,FALSE)</f>
        <v>60</v>
      </c>
      <c r="V1580" s="54">
        <f ca="1">VLOOKUP($R1580,'TA database'!$I$112:$J$139,2,FALSE)</f>
        <v>90</v>
      </c>
      <c r="W1580" s="54">
        <f>IFERROR(VLOOKUP($S1580,'TA database'!$I$146:$J$193,2,FALSE),0)</f>
        <v>0</v>
      </c>
      <c r="X1580" s="54">
        <f ca="1">IFERROR(VLOOKUP($S1580,'TA database'!$I$200:$J$271,2,FALSE),0)</f>
        <v>80</v>
      </c>
      <c r="Y1580" s="59">
        <f t="shared" ca="1" si="4907"/>
        <v>34.56</v>
      </c>
      <c r="Z1580" t="str">
        <f t="shared" si="4903"/>
        <v>ELCTRLYZ_LRG_C   →   C_GAS_STRG   →   H2_BLND_NG_P   →   H2_FC_PWR</v>
      </c>
      <c r="AA1580" t="str">
        <f t="shared" si="4904"/>
        <v>Onsite / Back-up power</v>
      </c>
      <c r="AB1580" t="str">
        <f t="shared" si="4905"/>
        <v>Public acceptability</v>
      </c>
      <c r="AC1580">
        <f t="shared" ca="1" si="4906"/>
        <v>34.56</v>
      </c>
      <c r="AD1580">
        <v>1521</v>
      </c>
      <c r="AE1580" t="str">
        <f>IF(AND(ISNUMBER(SEARCH(O1580,4)),ISNUMBER(SEARCH('(4) FCH pathway assessment'!$B$16,AB1580)),ISNUMBER(SEARCH('(4) FCH pathway assessment'!$B$10,AA1580))),AD1580,"")</f>
        <v/>
      </c>
      <c r="AF1580" t="str">
        <f t="shared" si="4794"/>
        <v/>
      </c>
      <c r="AG1580" t="str">
        <f>VLOOKUP(C1580,Assumptions!$B$116:$C$162,2,FALSE)</f>
        <v>ELCTRLYZ_LRG_C</v>
      </c>
      <c r="AH1580" t="str">
        <f>VLOOKUP(D1580,Assumptions!$B$116:$C$162,2,FALSE)</f>
        <v>C_GAS_STRG</v>
      </c>
      <c r="AI1580" t="str">
        <f>VLOOKUP(E1580,Assumptions!$B$116:$C$162,2,FALSE)</f>
        <v>H2_BLND_NG_P</v>
      </c>
      <c r="AJ1580" t="str">
        <f>VLOOKUP(F1580,Assumptions!$B$116:$C$162,2,FALSE)</f>
        <v>H2_FC_PWR</v>
      </c>
    </row>
    <row r="1581" spans="2:36" x14ac:dyDescent="0.25">
      <c r="B1581" t="s">
        <v>112</v>
      </c>
      <c r="C1581" t="s">
        <v>49</v>
      </c>
      <c r="D1581" t="s">
        <v>155</v>
      </c>
      <c r="E1581" t="s">
        <v>122</v>
      </c>
      <c r="F1581" t="s">
        <v>164</v>
      </c>
      <c r="G1581" t="s">
        <v>126</v>
      </c>
      <c r="H1581" t="s">
        <v>433</v>
      </c>
      <c r="I1581" t="s">
        <v>32</v>
      </c>
      <c r="J1581" t="s">
        <v>82</v>
      </c>
      <c r="K1581">
        <f t="shared" si="4894"/>
        <v>1</v>
      </c>
      <c r="L1581">
        <f t="shared" si="4895"/>
        <v>1</v>
      </c>
      <c r="M1581">
        <f t="shared" si="4896"/>
        <v>1</v>
      </c>
      <c r="N1581">
        <f t="shared" si="4897"/>
        <v>1</v>
      </c>
      <c r="O1581">
        <f t="shared" si="4898"/>
        <v>4</v>
      </c>
      <c r="P1581" t="str">
        <f t="shared" si="4899"/>
        <v>Large centralized electrolysis-Public acceptability</v>
      </c>
      <c r="Q1581" t="str">
        <f t="shared" si="4900"/>
        <v>Central gas storage-Public acceptability</v>
      </c>
      <c r="R1581" t="str">
        <f t="shared" si="4901"/>
        <v>Hydrogen transmission &amp; distribution pipeline-Public acceptability</v>
      </c>
      <c r="S1581" t="str">
        <f t="shared" si="4902"/>
        <v>Prime power H2 fuel cell-Public acceptability</v>
      </c>
      <c r="T1581" s="54">
        <f ca="1">VLOOKUP($P1581,'TA database'!$I$8:$J$79,2,FALSE)</f>
        <v>80</v>
      </c>
      <c r="U1581" s="54">
        <f ca="1">VLOOKUP($Q1581,'TA database'!$I$86:$J$105,2,FALSE)</f>
        <v>60</v>
      </c>
      <c r="V1581" s="54">
        <f ca="1">VLOOKUP($R1581,'TA database'!$I$112:$J$139,2,FALSE)</f>
        <v>70</v>
      </c>
      <c r="W1581" s="54">
        <f>IFERROR(VLOOKUP($S1581,'TA database'!$I$146:$J$193,2,FALSE),0)</f>
        <v>0</v>
      </c>
      <c r="X1581" s="54">
        <f ca="1">IFERROR(VLOOKUP($S1581,'TA database'!$I$200:$J$271,2,FALSE),0)</f>
        <v>80</v>
      </c>
      <c r="Y1581" s="59">
        <f t="shared" ca="1" si="4907"/>
        <v>26.88</v>
      </c>
      <c r="Z1581" t="str">
        <f t="shared" si="4903"/>
        <v>ELCTRLYZ_LRG_C   →   C_GAS_STRG   →   H2_T&amp;D_P   →   H2_FC_PWR</v>
      </c>
      <c r="AA1581" t="str">
        <f t="shared" si="4904"/>
        <v>Onsite / Back-up power</v>
      </c>
      <c r="AB1581" t="str">
        <f t="shared" si="4905"/>
        <v>Public acceptability</v>
      </c>
      <c r="AC1581">
        <f t="shared" ca="1" si="4906"/>
        <v>26.88</v>
      </c>
      <c r="AD1581">
        <v>1522</v>
      </c>
      <c r="AE1581" t="str">
        <f>IF(AND(ISNUMBER(SEARCH(O1581,4)),ISNUMBER(SEARCH('(4) FCH pathway assessment'!$B$16,AB1581)),ISNUMBER(SEARCH('(4) FCH pathway assessment'!$B$10,AA1581))),AD1581,"")</f>
        <v/>
      </c>
      <c r="AF1581" t="str">
        <f t="shared" si="4794"/>
        <v/>
      </c>
      <c r="AG1581" t="str">
        <f>VLOOKUP(C1581,Assumptions!$B$116:$C$162,2,FALSE)</f>
        <v>ELCTRLYZ_LRG_C</v>
      </c>
      <c r="AH1581" t="str">
        <f>VLOOKUP(D1581,Assumptions!$B$116:$C$162,2,FALSE)</f>
        <v>C_GAS_STRG</v>
      </c>
      <c r="AI1581" t="str">
        <f>VLOOKUP(E1581,Assumptions!$B$116:$C$162,2,FALSE)</f>
        <v>H2_T&amp;D_P</v>
      </c>
      <c r="AJ1581" t="str">
        <f>VLOOKUP(F1581,Assumptions!$B$116:$C$162,2,FALSE)</f>
        <v>H2_FC_PWR</v>
      </c>
    </row>
    <row r="1582" spans="2:36" x14ac:dyDescent="0.25">
      <c r="B1582" t="s">
        <v>112</v>
      </c>
      <c r="C1582" t="s">
        <v>49</v>
      </c>
      <c r="D1582" t="s">
        <v>155</v>
      </c>
      <c r="E1582" t="s">
        <v>66</v>
      </c>
      <c r="F1582" t="s">
        <v>164</v>
      </c>
      <c r="G1582" t="s">
        <v>126</v>
      </c>
      <c r="H1582" t="s">
        <v>433</v>
      </c>
      <c r="I1582" t="s">
        <v>32</v>
      </c>
      <c r="J1582" t="s">
        <v>82</v>
      </c>
      <c r="K1582">
        <f t="shared" si="4894"/>
        <v>1</v>
      </c>
      <c r="L1582">
        <f t="shared" si="4895"/>
        <v>1</v>
      </c>
      <c r="M1582">
        <f t="shared" si="4896"/>
        <v>1</v>
      </c>
      <c r="N1582">
        <f t="shared" si="4897"/>
        <v>1</v>
      </c>
      <c r="O1582">
        <f t="shared" si="4898"/>
        <v>4</v>
      </c>
      <c r="P1582" t="str">
        <f t="shared" si="4899"/>
        <v>Large centralized electrolysis-Public acceptability</v>
      </c>
      <c r="Q1582" t="str">
        <f t="shared" si="4900"/>
        <v>Central gas storage-Public acceptability</v>
      </c>
      <c r="R1582" t="str">
        <f t="shared" si="4901"/>
        <v>Onsite-Public acceptability</v>
      </c>
      <c r="S1582" t="str">
        <f t="shared" si="4902"/>
        <v>Prime power H2 fuel cell-Public acceptability</v>
      </c>
      <c r="T1582" s="54">
        <f ca="1">VLOOKUP($P1582,'TA database'!$I$8:$J$79,2,FALSE)</f>
        <v>80</v>
      </c>
      <c r="U1582" s="54">
        <f ca="1">VLOOKUP($Q1582,'TA database'!$I$86:$J$105,2,FALSE)</f>
        <v>60</v>
      </c>
      <c r="V1582" s="54">
        <f ca="1">VLOOKUP($R1582,'TA database'!$I$112:$J$139,2,FALSE)</f>
        <v>90</v>
      </c>
      <c r="W1582" s="54">
        <f>IFERROR(VLOOKUP($S1582,'TA database'!$I$146:$J$193,2,FALSE),0)</f>
        <v>0</v>
      </c>
      <c r="X1582" s="54">
        <f ca="1">IFERROR(VLOOKUP($S1582,'TA database'!$I$200:$J$271,2,FALSE),0)</f>
        <v>80</v>
      </c>
      <c r="Y1582" s="59">
        <f t="shared" ca="1" si="4907"/>
        <v>34.56</v>
      </c>
      <c r="Z1582" t="str">
        <f t="shared" si="4903"/>
        <v>ELCTRLYZ_LRG_C   →   C_GAS_STRG   →   ONSITE_USE   →   H2_FC_PWR</v>
      </c>
      <c r="AA1582" t="str">
        <f t="shared" si="4904"/>
        <v>Onsite / Back-up power</v>
      </c>
      <c r="AB1582" t="str">
        <f t="shared" si="4905"/>
        <v>Public acceptability</v>
      </c>
      <c r="AC1582">
        <f t="shared" ca="1" si="4906"/>
        <v>34.56</v>
      </c>
      <c r="AD1582">
        <v>1523</v>
      </c>
      <c r="AE1582" t="str">
        <f>IF(AND(ISNUMBER(SEARCH(O1582,4)),ISNUMBER(SEARCH('(4) FCH pathway assessment'!$B$16,AB1582)),ISNUMBER(SEARCH('(4) FCH pathway assessment'!$B$10,AA1582))),AD1582,"")</f>
        <v/>
      </c>
      <c r="AF1582" t="str">
        <f t="shared" si="4794"/>
        <v/>
      </c>
      <c r="AG1582" t="str">
        <f>VLOOKUP(C1582,Assumptions!$B$116:$C$162,2,FALSE)</f>
        <v>ELCTRLYZ_LRG_C</v>
      </c>
      <c r="AH1582" t="str">
        <f>VLOOKUP(D1582,Assumptions!$B$116:$C$162,2,FALSE)</f>
        <v>C_GAS_STRG</v>
      </c>
      <c r="AI1582" t="str">
        <f>VLOOKUP(E1582,Assumptions!$B$116:$C$162,2,FALSE)</f>
        <v>ONSITE_USE</v>
      </c>
      <c r="AJ1582" t="str">
        <f>VLOOKUP(F1582,Assumptions!$B$116:$C$162,2,FALSE)</f>
        <v>H2_FC_PWR</v>
      </c>
    </row>
    <row r="1583" spans="2:36" x14ac:dyDescent="0.25">
      <c r="B1583" t="s">
        <v>112</v>
      </c>
      <c r="C1583" t="s">
        <v>51</v>
      </c>
      <c r="D1583" t="s">
        <v>155</v>
      </c>
      <c r="E1583" t="s">
        <v>157</v>
      </c>
      <c r="F1583" t="s">
        <v>164</v>
      </c>
      <c r="G1583" t="s">
        <v>126</v>
      </c>
      <c r="H1583" t="s">
        <v>433</v>
      </c>
      <c r="I1583" t="s">
        <v>32</v>
      </c>
      <c r="J1583" t="s">
        <v>82</v>
      </c>
      <c r="K1583">
        <f t="shared" ref="K1583:K1585" si="4908">SUMPRODUCT(($C$7:$C$18=$C1583)*($D$6:$H$6=$D1583)*($D$7:$H$18))</f>
        <v>1</v>
      </c>
      <c r="L1583">
        <f t="shared" ref="L1583:L1585" si="4909">SUMPRODUCT(($C$19:$C$23=$D1583)*($I$6:$O$6=$E1583)*($I$19:$O$23))</f>
        <v>1</v>
      </c>
      <c r="M1583">
        <f t="shared" ref="M1583:M1585" si="4910">SUMPRODUCT(($C$24:$C$30=$E1583)*($P$6:$AI$6=$F1583)*($P$24:$AI$30))</f>
        <v>0</v>
      </c>
      <c r="N1583">
        <f t="shared" ref="N1583:N1585" si="4911">SUMPRODUCT(($C$31:$C$50=$F1583)*($AJ$6:$AM$6=$G1583)*($AJ$31:$AM$50))</f>
        <v>1</v>
      </c>
      <c r="O1583">
        <f t="shared" ref="O1583:O1585" si="4912">K1583+L1583+M1583+N1583</f>
        <v>3</v>
      </c>
      <c r="P1583" t="str">
        <f t="shared" ref="P1583:P1585" si="4913">CONCATENATE(C1583,"-",J1583)</f>
        <v>Medium centralized electrolysis-Public acceptability</v>
      </c>
      <c r="Q1583" t="str">
        <f t="shared" ref="Q1583:Q1585" si="4914">CONCATENATE(D1583,"-",J1583)</f>
        <v>Central gas storage-Public acceptability</v>
      </c>
      <c r="R1583" t="str">
        <f t="shared" ref="R1583:R1585" si="4915">CONCATENATE(E1583,"-",J1583)</f>
        <v>Blending in natural gas pipeline-Public acceptability</v>
      </c>
      <c r="S1583" t="str">
        <f t="shared" ref="S1583:S1585" si="4916">CONCATENATE(F1583,"-",J1583)</f>
        <v>Prime power H2 fuel cell-Public acceptability</v>
      </c>
      <c r="T1583" s="54">
        <f ca="1">VLOOKUP($P1583,'TA database'!$I$8:$J$79,2,FALSE)</f>
        <v>90</v>
      </c>
      <c r="U1583" s="54">
        <f ca="1">VLOOKUP($Q1583,'TA database'!$I$86:$J$105,2,FALSE)</f>
        <v>60</v>
      </c>
      <c r="V1583" s="54">
        <f ca="1">VLOOKUP($R1583,'TA database'!$I$112:$J$139,2,FALSE)</f>
        <v>90</v>
      </c>
      <c r="W1583" s="54">
        <f>IFERROR(VLOOKUP($S1583,'TA database'!$I$146:$J$193,2,FALSE),0)</f>
        <v>0</v>
      </c>
      <c r="X1583" s="54">
        <f ca="1">IFERROR(VLOOKUP($S1583,'TA database'!$I$200:$J$271,2,FALSE),0)</f>
        <v>80</v>
      </c>
      <c r="Y1583" s="59">
        <f t="shared" ca="1" si="4907"/>
        <v>38.880000000000003</v>
      </c>
      <c r="Z1583" t="str">
        <f t="shared" ref="Z1583:Z1585" si="4917">CONCATENATE(AG1583,"   →   ",AH1583,"   →   ",AI1583,"   →   ",AJ1583)</f>
        <v>ELCTRLYZ_MED_C   →   C_GAS_STRG   →   H2_BLND_NG_P   →   H2_FC_PWR</v>
      </c>
      <c r="AA1583" t="str">
        <f t="shared" ref="AA1583:AA1585" si="4918">G1583</f>
        <v>Onsite / Back-up power</v>
      </c>
      <c r="AB1583" t="str">
        <f t="shared" ref="AB1583:AB1585" si="4919">J1583</f>
        <v>Public acceptability</v>
      </c>
      <c r="AC1583">
        <f t="shared" ref="AC1583:AC1585" ca="1" si="4920">Y1583</f>
        <v>38.880000000000003</v>
      </c>
      <c r="AD1583">
        <v>1524</v>
      </c>
      <c r="AE1583" t="str">
        <f>IF(AND(ISNUMBER(SEARCH(O1583,4)),ISNUMBER(SEARCH('(4) FCH pathway assessment'!$B$16,AB1583)),ISNUMBER(SEARCH('(4) FCH pathway assessment'!$B$10,AA1583))),AD1583,"")</f>
        <v/>
      </c>
      <c r="AF1583" t="str">
        <f t="shared" si="4794"/>
        <v/>
      </c>
      <c r="AG1583" t="str">
        <f>VLOOKUP(C1583,Assumptions!$B$116:$C$162,2,FALSE)</f>
        <v>ELCTRLYZ_MED_C</v>
      </c>
      <c r="AH1583" t="str">
        <f>VLOOKUP(D1583,Assumptions!$B$116:$C$162,2,FALSE)</f>
        <v>C_GAS_STRG</v>
      </c>
      <c r="AI1583" t="str">
        <f>VLOOKUP(E1583,Assumptions!$B$116:$C$162,2,FALSE)</f>
        <v>H2_BLND_NG_P</v>
      </c>
      <c r="AJ1583" t="str">
        <f>VLOOKUP(F1583,Assumptions!$B$116:$C$162,2,FALSE)</f>
        <v>H2_FC_PWR</v>
      </c>
    </row>
    <row r="1584" spans="2:36" x14ac:dyDescent="0.25">
      <c r="B1584" t="s">
        <v>112</v>
      </c>
      <c r="C1584" t="s">
        <v>51</v>
      </c>
      <c r="D1584" t="s">
        <v>155</v>
      </c>
      <c r="E1584" t="s">
        <v>122</v>
      </c>
      <c r="F1584" t="s">
        <v>164</v>
      </c>
      <c r="G1584" t="s">
        <v>126</v>
      </c>
      <c r="H1584" t="s">
        <v>433</v>
      </c>
      <c r="I1584" t="s">
        <v>32</v>
      </c>
      <c r="J1584" t="s">
        <v>82</v>
      </c>
      <c r="K1584">
        <f t="shared" si="4908"/>
        <v>1</v>
      </c>
      <c r="L1584">
        <f t="shared" si="4909"/>
        <v>1</v>
      </c>
      <c r="M1584">
        <f t="shared" si="4910"/>
        <v>1</v>
      </c>
      <c r="N1584">
        <f t="shared" si="4911"/>
        <v>1</v>
      </c>
      <c r="O1584">
        <f t="shared" si="4912"/>
        <v>4</v>
      </c>
      <c r="P1584" t="str">
        <f t="shared" si="4913"/>
        <v>Medium centralized electrolysis-Public acceptability</v>
      </c>
      <c r="Q1584" t="str">
        <f t="shared" si="4914"/>
        <v>Central gas storage-Public acceptability</v>
      </c>
      <c r="R1584" t="str">
        <f t="shared" si="4915"/>
        <v>Hydrogen transmission &amp; distribution pipeline-Public acceptability</v>
      </c>
      <c r="S1584" t="str">
        <f t="shared" si="4916"/>
        <v>Prime power H2 fuel cell-Public acceptability</v>
      </c>
      <c r="T1584" s="54">
        <f ca="1">VLOOKUP($P1584,'TA database'!$I$8:$J$79,2,FALSE)</f>
        <v>90</v>
      </c>
      <c r="U1584" s="54">
        <f ca="1">VLOOKUP($Q1584,'TA database'!$I$86:$J$105,2,FALSE)</f>
        <v>60</v>
      </c>
      <c r="V1584" s="54">
        <f ca="1">VLOOKUP($R1584,'TA database'!$I$112:$J$139,2,FALSE)</f>
        <v>70</v>
      </c>
      <c r="W1584" s="54">
        <f>IFERROR(VLOOKUP($S1584,'TA database'!$I$146:$J$193,2,FALSE),0)</f>
        <v>0</v>
      </c>
      <c r="X1584" s="54">
        <f ca="1">IFERROR(VLOOKUP($S1584,'TA database'!$I$200:$J$271,2,FALSE),0)</f>
        <v>80</v>
      </c>
      <c r="Y1584" s="59">
        <f t="shared" ca="1" si="4907"/>
        <v>30.24</v>
      </c>
      <c r="Z1584" t="str">
        <f t="shared" si="4917"/>
        <v>ELCTRLYZ_MED_C   →   C_GAS_STRG   →   H2_T&amp;D_P   →   H2_FC_PWR</v>
      </c>
      <c r="AA1584" t="str">
        <f t="shared" si="4918"/>
        <v>Onsite / Back-up power</v>
      </c>
      <c r="AB1584" t="str">
        <f t="shared" si="4919"/>
        <v>Public acceptability</v>
      </c>
      <c r="AC1584">
        <f t="shared" ca="1" si="4920"/>
        <v>30.24</v>
      </c>
      <c r="AD1584">
        <v>1525</v>
      </c>
      <c r="AE1584" t="str">
        <f>IF(AND(ISNUMBER(SEARCH(O1584,4)),ISNUMBER(SEARCH('(4) FCH pathway assessment'!$B$16,AB1584)),ISNUMBER(SEARCH('(4) FCH pathway assessment'!$B$10,AA1584))),AD1584,"")</f>
        <v/>
      </c>
      <c r="AF1584" t="str">
        <f t="shared" si="4794"/>
        <v/>
      </c>
      <c r="AG1584" t="str">
        <f>VLOOKUP(C1584,Assumptions!$B$116:$C$162,2,FALSE)</f>
        <v>ELCTRLYZ_MED_C</v>
      </c>
      <c r="AH1584" t="str">
        <f>VLOOKUP(D1584,Assumptions!$B$116:$C$162,2,FALSE)</f>
        <v>C_GAS_STRG</v>
      </c>
      <c r="AI1584" t="str">
        <f>VLOOKUP(E1584,Assumptions!$B$116:$C$162,2,FALSE)</f>
        <v>H2_T&amp;D_P</v>
      </c>
      <c r="AJ1584" t="str">
        <f>VLOOKUP(F1584,Assumptions!$B$116:$C$162,2,FALSE)</f>
        <v>H2_FC_PWR</v>
      </c>
    </row>
    <row r="1585" spans="2:36" x14ac:dyDescent="0.25">
      <c r="B1585" t="s">
        <v>112</v>
      </c>
      <c r="C1585" t="s">
        <v>51</v>
      </c>
      <c r="D1585" t="s">
        <v>155</v>
      </c>
      <c r="E1585" t="s">
        <v>66</v>
      </c>
      <c r="F1585" t="s">
        <v>164</v>
      </c>
      <c r="G1585" t="s">
        <v>126</v>
      </c>
      <c r="H1585" t="s">
        <v>433</v>
      </c>
      <c r="I1585" t="s">
        <v>32</v>
      </c>
      <c r="J1585" t="s">
        <v>82</v>
      </c>
      <c r="K1585">
        <f t="shared" si="4908"/>
        <v>1</v>
      </c>
      <c r="L1585">
        <f t="shared" si="4909"/>
        <v>1</v>
      </c>
      <c r="M1585">
        <f t="shared" si="4910"/>
        <v>1</v>
      </c>
      <c r="N1585">
        <f t="shared" si="4911"/>
        <v>1</v>
      </c>
      <c r="O1585">
        <f t="shared" si="4912"/>
        <v>4</v>
      </c>
      <c r="P1585" t="str">
        <f t="shared" si="4913"/>
        <v>Medium centralized electrolysis-Public acceptability</v>
      </c>
      <c r="Q1585" t="str">
        <f t="shared" si="4914"/>
        <v>Central gas storage-Public acceptability</v>
      </c>
      <c r="R1585" t="str">
        <f t="shared" si="4915"/>
        <v>Onsite-Public acceptability</v>
      </c>
      <c r="S1585" t="str">
        <f t="shared" si="4916"/>
        <v>Prime power H2 fuel cell-Public acceptability</v>
      </c>
      <c r="T1585" s="54">
        <f ca="1">VLOOKUP($P1585,'TA database'!$I$8:$J$79,2,FALSE)</f>
        <v>90</v>
      </c>
      <c r="U1585" s="54">
        <f ca="1">VLOOKUP($Q1585,'TA database'!$I$86:$J$105,2,FALSE)</f>
        <v>60</v>
      </c>
      <c r="V1585" s="54">
        <f ca="1">VLOOKUP($R1585,'TA database'!$I$112:$J$139,2,FALSE)</f>
        <v>90</v>
      </c>
      <c r="W1585" s="54">
        <f>IFERROR(VLOOKUP($S1585,'TA database'!$I$146:$J$193,2,FALSE),0)</f>
        <v>0</v>
      </c>
      <c r="X1585" s="54">
        <f ca="1">IFERROR(VLOOKUP($S1585,'TA database'!$I$200:$J$271,2,FALSE),0)</f>
        <v>80</v>
      </c>
      <c r="Y1585" s="59">
        <f t="shared" ca="1" si="4907"/>
        <v>38.880000000000003</v>
      </c>
      <c r="Z1585" t="str">
        <f t="shared" si="4917"/>
        <v>ELCTRLYZ_MED_C   →   C_GAS_STRG   →   ONSITE_USE   →   H2_FC_PWR</v>
      </c>
      <c r="AA1585" t="str">
        <f t="shared" si="4918"/>
        <v>Onsite / Back-up power</v>
      </c>
      <c r="AB1585" t="str">
        <f t="shared" si="4919"/>
        <v>Public acceptability</v>
      </c>
      <c r="AC1585">
        <f t="shared" ca="1" si="4920"/>
        <v>38.880000000000003</v>
      </c>
      <c r="AD1585">
        <v>1526</v>
      </c>
      <c r="AE1585" t="str">
        <f>IF(AND(ISNUMBER(SEARCH(O1585,4)),ISNUMBER(SEARCH('(4) FCH pathway assessment'!$B$16,AB1585)),ISNUMBER(SEARCH('(4) FCH pathway assessment'!$B$10,AA1585))),AD1585,"")</f>
        <v/>
      </c>
      <c r="AF1585" t="str">
        <f t="shared" si="4794"/>
        <v/>
      </c>
      <c r="AG1585" t="str">
        <f>VLOOKUP(C1585,Assumptions!$B$116:$C$162,2,FALSE)</f>
        <v>ELCTRLYZ_MED_C</v>
      </c>
      <c r="AH1585" t="str">
        <f>VLOOKUP(D1585,Assumptions!$B$116:$C$162,2,FALSE)</f>
        <v>C_GAS_STRG</v>
      </c>
      <c r="AI1585" t="str">
        <f>VLOOKUP(E1585,Assumptions!$B$116:$C$162,2,FALSE)</f>
        <v>ONSITE_USE</v>
      </c>
      <c r="AJ1585" t="str">
        <f>VLOOKUP(F1585,Assumptions!$B$116:$C$162,2,FALSE)</f>
        <v>H2_FC_PWR</v>
      </c>
    </row>
    <row r="1586" spans="2:36" x14ac:dyDescent="0.25">
      <c r="B1586" t="s">
        <v>112</v>
      </c>
      <c r="C1586" t="s">
        <v>52</v>
      </c>
      <c r="D1586" s="60" t="s">
        <v>130</v>
      </c>
      <c r="E1586" t="s">
        <v>66</v>
      </c>
      <c r="F1586" t="s">
        <v>164</v>
      </c>
      <c r="G1586" t="s">
        <v>126</v>
      </c>
      <c r="H1586" t="s">
        <v>433</v>
      </c>
      <c r="I1586" t="s">
        <v>32</v>
      </c>
      <c r="J1586" t="s">
        <v>82</v>
      </c>
      <c r="K1586">
        <f t="shared" ref="K1586:K1591" si="4921">SUMPRODUCT(($C$7:$C$18=$C1586)*($D$6:$H$6=$D1586)*($D$7:$H$18))</f>
        <v>1</v>
      </c>
      <c r="L1586">
        <f t="shared" ref="L1586:L1591" si="4922">SUMPRODUCT(($C$19:$C$23=$D1586)*($I$6:$O$6=$E1586)*($I$19:$O$23))</f>
        <v>1</v>
      </c>
      <c r="M1586">
        <f t="shared" ref="M1586:M1591" si="4923">SUMPRODUCT(($C$24:$C$30=$E1586)*($P$6:$AI$6=$F1586)*($P$24:$AI$30))</f>
        <v>1</v>
      </c>
      <c r="N1586">
        <f t="shared" ref="N1586:N1591" si="4924">SUMPRODUCT(($C$31:$C$50=$F1586)*($AJ$6:$AM$6=$G1586)*($AJ$31:$AM$50))</f>
        <v>1</v>
      </c>
      <c r="O1586">
        <f t="shared" ref="O1586:O1590" si="4925">K1586+L1586+M1586+N1586</f>
        <v>4</v>
      </c>
      <c r="P1586" t="str">
        <f t="shared" ref="P1586:P1591" si="4926">CONCATENATE(C1586,"-",J1586)</f>
        <v>Small decentralized electrolysis-Public acceptability</v>
      </c>
      <c r="Q1586" t="str">
        <f t="shared" ref="Q1586:Q1591" si="4927">CONCATENATE(D1586,"-",J1586)</f>
        <v>Distributed gas storage-Public acceptability</v>
      </c>
      <c r="R1586" t="str">
        <f t="shared" ref="R1586:R1591" si="4928">CONCATENATE(E1586,"-",J1586)</f>
        <v>Onsite-Public acceptability</v>
      </c>
      <c r="S1586" t="str">
        <f t="shared" ref="S1586:S1591" si="4929">CONCATENATE(F1586,"-",J1586)</f>
        <v>Prime power H2 fuel cell-Public acceptability</v>
      </c>
      <c r="T1586" s="54">
        <f ca="1">VLOOKUP($P1586,'TA database'!$I$8:$J$79,2,FALSE)</f>
        <v>90</v>
      </c>
      <c r="U1586" s="54">
        <f ca="1">VLOOKUP($Q1586,'TA database'!$I$86:$J$105,2,FALSE)</f>
        <v>60</v>
      </c>
      <c r="V1586" s="54">
        <f ca="1">VLOOKUP($R1586,'TA database'!$I$112:$J$139,2,FALSE)</f>
        <v>90</v>
      </c>
      <c r="W1586" s="54">
        <f>IFERROR(VLOOKUP($S1586,'TA database'!$I$146:$J$193,2,FALSE),0)</f>
        <v>0</v>
      </c>
      <c r="X1586" s="54">
        <f ca="1">IFERROR(VLOOKUP($S1586,'TA database'!$I$200:$J$271,2,FALSE),0)</f>
        <v>80</v>
      </c>
      <c r="Y1586" s="59">
        <f t="shared" ref="Y1586:Y1589" ca="1" si="4930">IF($W1586=0,(PRODUCT($T1586:$V1586,$X1586))/1000000,(PRODUCT($T1586:$W1586))/1000000)</f>
        <v>38.880000000000003</v>
      </c>
      <c r="Z1586" t="str">
        <f t="shared" ref="Z1586:Z1590" si="4931">CONCATENATE(AG1586,"   →   ",AH1586,"   →   ",AI1586,"   →   ",AJ1586)</f>
        <v>ELCTRLYZ_SML_D   →   D_GAS_STRG   →   ONSITE_USE   →   H2_FC_PWR</v>
      </c>
      <c r="AA1586" t="str">
        <f t="shared" ref="AA1586:AA1590" si="4932">G1586</f>
        <v>Onsite / Back-up power</v>
      </c>
      <c r="AB1586" t="str">
        <f t="shared" ref="AB1586:AB1590" si="4933">J1586</f>
        <v>Public acceptability</v>
      </c>
      <c r="AC1586">
        <f t="shared" ref="AC1586:AC1590" ca="1" si="4934">Y1586</f>
        <v>38.880000000000003</v>
      </c>
      <c r="AD1586">
        <v>1527</v>
      </c>
      <c r="AE1586" t="str">
        <f>IF(AND(ISNUMBER(SEARCH(O1586,4)),ISNUMBER(SEARCH('(4) FCH pathway assessment'!$B$16,AB1586)),ISNUMBER(SEARCH('(4) FCH pathway assessment'!$B$10,AA1586))),AD1586,"")</f>
        <v/>
      </c>
      <c r="AF1586" t="str">
        <f t="shared" si="4794"/>
        <v/>
      </c>
      <c r="AG1586" t="str">
        <f>VLOOKUP(C1586,Assumptions!$B$116:$C$162,2,FALSE)</f>
        <v>ELCTRLYZ_SML_D</v>
      </c>
      <c r="AH1586" t="str">
        <f>VLOOKUP(D1586,Assumptions!$B$116:$C$162,2,FALSE)</f>
        <v>D_GAS_STRG</v>
      </c>
      <c r="AI1586" t="str">
        <f>VLOOKUP(E1586,Assumptions!$B$116:$C$162,2,FALSE)</f>
        <v>ONSITE_USE</v>
      </c>
      <c r="AJ1586" t="str">
        <f>VLOOKUP(F1586,Assumptions!$B$116:$C$162,2,FALSE)</f>
        <v>H2_FC_PWR</v>
      </c>
    </row>
    <row r="1587" spans="2:36" x14ac:dyDescent="0.25">
      <c r="B1587" t="s">
        <v>127</v>
      </c>
      <c r="C1587" t="s">
        <v>57</v>
      </c>
      <c r="D1587" t="s">
        <v>62</v>
      </c>
      <c r="E1587" t="s">
        <v>157</v>
      </c>
      <c r="F1587" t="s">
        <v>164</v>
      </c>
      <c r="G1587" t="s">
        <v>126</v>
      </c>
      <c r="H1587" t="s">
        <v>433</v>
      </c>
      <c r="I1587" t="s">
        <v>32</v>
      </c>
      <c r="J1587" t="s">
        <v>82</v>
      </c>
      <c r="K1587">
        <f t="shared" si="4921"/>
        <v>1</v>
      </c>
      <c r="L1587">
        <f t="shared" si="4922"/>
        <v>0</v>
      </c>
      <c r="M1587">
        <f t="shared" si="4923"/>
        <v>0</v>
      </c>
      <c r="N1587">
        <f t="shared" si="4924"/>
        <v>1</v>
      </c>
      <c r="O1587">
        <f t="shared" si="4925"/>
        <v>2</v>
      </c>
      <c r="P1587" t="str">
        <f t="shared" si="4926"/>
        <v>Large centralized natural gas steam reforming-Public acceptability</v>
      </c>
      <c r="Q1587" t="str">
        <f t="shared" si="4927"/>
        <v>Underground storage-Public acceptability</v>
      </c>
      <c r="R1587" t="str">
        <f t="shared" si="4928"/>
        <v>Blending in natural gas pipeline-Public acceptability</v>
      </c>
      <c r="S1587" t="str">
        <f t="shared" si="4929"/>
        <v>Prime power H2 fuel cell-Public acceptability</v>
      </c>
      <c r="T1587" s="54">
        <f ca="1">VLOOKUP($P1587,'TA database'!$I$8:$J$79,2,FALSE)</f>
        <v>90</v>
      </c>
      <c r="U1587" s="54">
        <f ca="1">VLOOKUP($Q1587,'TA database'!$I$86:$J$105,2,FALSE)</f>
        <v>60</v>
      </c>
      <c r="V1587" s="54">
        <f ca="1">VLOOKUP($R1587,'TA database'!$I$112:$J$139,2,FALSE)</f>
        <v>90</v>
      </c>
      <c r="W1587" s="54">
        <f>IFERROR(VLOOKUP($S1587,'TA database'!$I$146:$J$193,2,FALSE),0)</f>
        <v>0</v>
      </c>
      <c r="X1587" s="54">
        <f ca="1">IFERROR(VLOOKUP($S1587,'TA database'!$I$200:$J$271,2,FALSE),0)</f>
        <v>80</v>
      </c>
      <c r="Y1587" s="59">
        <f t="shared" ca="1" si="4930"/>
        <v>38.880000000000003</v>
      </c>
      <c r="Z1587" t="str">
        <f t="shared" si="4931"/>
        <v>NG_SR_LRG_C   →   C_UNDRGRND_STRG   →   H2_BLND_NG_P   →   H2_FC_PWR</v>
      </c>
      <c r="AA1587" t="str">
        <f t="shared" si="4932"/>
        <v>Onsite / Back-up power</v>
      </c>
      <c r="AB1587" t="str">
        <f t="shared" si="4933"/>
        <v>Public acceptability</v>
      </c>
      <c r="AC1587">
        <f t="shared" ca="1" si="4934"/>
        <v>38.880000000000003</v>
      </c>
      <c r="AD1587">
        <v>1528</v>
      </c>
      <c r="AE1587" t="str">
        <f>IF(AND(ISNUMBER(SEARCH(O1587,4)),ISNUMBER(SEARCH('(4) FCH pathway assessment'!$B$16,AB1587)),ISNUMBER(SEARCH('(4) FCH pathway assessment'!$B$10,AA1587))),AD1587,"")</f>
        <v/>
      </c>
      <c r="AF1587" t="str">
        <f t="shared" si="4794"/>
        <v/>
      </c>
      <c r="AG1587" t="str">
        <f>VLOOKUP(C1587,Assumptions!$B$116:$C$162,2,FALSE)</f>
        <v>NG_SR_LRG_C</v>
      </c>
      <c r="AH1587" t="str">
        <f>VLOOKUP(D1587,Assumptions!$B$116:$C$162,2,FALSE)</f>
        <v>C_UNDRGRND_STRG</v>
      </c>
      <c r="AI1587" t="str">
        <f>VLOOKUP(E1587,Assumptions!$B$116:$C$162,2,FALSE)</f>
        <v>H2_BLND_NG_P</v>
      </c>
      <c r="AJ1587" t="str">
        <f>VLOOKUP(F1587,Assumptions!$B$116:$C$162,2,FALSE)</f>
        <v>H2_FC_PWR</v>
      </c>
    </row>
    <row r="1588" spans="2:36" x14ac:dyDescent="0.25">
      <c r="B1588" t="s">
        <v>127</v>
      </c>
      <c r="C1588" t="s">
        <v>57</v>
      </c>
      <c r="D1588" t="s">
        <v>62</v>
      </c>
      <c r="E1588" t="s">
        <v>122</v>
      </c>
      <c r="F1588" t="s">
        <v>164</v>
      </c>
      <c r="G1588" t="s">
        <v>126</v>
      </c>
      <c r="H1588" t="s">
        <v>433</v>
      </c>
      <c r="I1588" t="s">
        <v>32</v>
      </c>
      <c r="J1588" t="s">
        <v>82</v>
      </c>
      <c r="K1588">
        <f t="shared" si="4921"/>
        <v>1</v>
      </c>
      <c r="L1588">
        <f t="shared" si="4922"/>
        <v>0</v>
      </c>
      <c r="M1588">
        <f t="shared" si="4923"/>
        <v>1</v>
      </c>
      <c r="N1588">
        <f t="shared" si="4924"/>
        <v>1</v>
      </c>
      <c r="O1588">
        <f t="shared" si="4925"/>
        <v>3</v>
      </c>
      <c r="P1588" t="str">
        <f t="shared" si="4926"/>
        <v>Large centralized natural gas steam reforming-Public acceptability</v>
      </c>
      <c r="Q1588" t="str">
        <f t="shared" si="4927"/>
        <v>Underground storage-Public acceptability</v>
      </c>
      <c r="R1588" t="str">
        <f t="shared" si="4928"/>
        <v>Hydrogen transmission &amp; distribution pipeline-Public acceptability</v>
      </c>
      <c r="S1588" t="str">
        <f t="shared" si="4929"/>
        <v>Prime power H2 fuel cell-Public acceptability</v>
      </c>
      <c r="T1588" s="54">
        <f ca="1">VLOOKUP($P1588,'TA database'!$I$8:$J$79,2,FALSE)</f>
        <v>90</v>
      </c>
      <c r="U1588" s="54">
        <f ca="1">VLOOKUP($Q1588,'TA database'!$I$86:$J$105,2,FALSE)</f>
        <v>60</v>
      </c>
      <c r="V1588" s="54">
        <f ca="1">VLOOKUP($R1588,'TA database'!$I$112:$J$139,2,FALSE)</f>
        <v>70</v>
      </c>
      <c r="W1588" s="54">
        <f>IFERROR(VLOOKUP($S1588,'TA database'!$I$146:$J$193,2,FALSE),0)</f>
        <v>0</v>
      </c>
      <c r="X1588" s="54">
        <f ca="1">IFERROR(VLOOKUP($S1588,'TA database'!$I$200:$J$271,2,FALSE),0)</f>
        <v>80</v>
      </c>
      <c r="Y1588" s="59">
        <f t="shared" ca="1" si="4930"/>
        <v>30.24</v>
      </c>
      <c r="Z1588" t="str">
        <f t="shared" si="4931"/>
        <v>NG_SR_LRG_C   →   C_UNDRGRND_STRG   →   H2_T&amp;D_P   →   H2_FC_PWR</v>
      </c>
      <c r="AA1588" t="str">
        <f t="shared" si="4932"/>
        <v>Onsite / Back-up power</v>
      </c>
      <c r="AB1588" t="str">
        <f t="shared" si="4933"/>
        <v>Public acceptability</v>
      </c>
      <c r="AC1588">
        <f t="shared" ca="1" si="4934"/>
        <v>30.24</v>
      </c>
      <c r="AD1588">
        <v>1529</v>
      </c>
      <c r="AE1588" t="str">
        <f>IF(AND(ISNUMBER(SEARCH(O1588,4)),ISNUMBER(SEARCH('(4) FCH pathway assessment'!$B$16,AB1588)),ISNUMBER(SEARCH('(4) FCH pathway assessment'!$B$10,AA1588))),AD1588,"")</f>
        <v/>
      </c>
      <c r="AF1588" t="str">
        <f t="shared" si="4794"/>
        <v/>
      </c>
      <c r="AG1588" t="str">
        <f>VLOOKUP(C1588,Assumptions!$B$116:$C$162,2,FALSE)</f>
        <v>NG_SR_LRG_C</v>
      </c>
      <c r="AH1588" t="str">
        <f>VLOOKUP(D1588,Assumptions!$B$116:$C$162,2,FALSE)</f>
        <v>C_UNDRGRND_STRG</v>
      </c>
      <c r="AI1588" t="str">
        <f>VLOOKUP(E1588,Assumptions!$B$116:$C$162,2,FALSE)</f>
        <v>H2_T&amp;D_P</v>
      </c>
      <c r="AJ1588" t="str">
        <f>VLOOKUP(F1588,Assumptions!$B$116:$C$162,2,FALSE)</f>
        <v>H2_FC_PWR</v>
      </c>
    </row>
    <row r="1589" spans="2:36" x14ac:dyDescent="0.25">
      <c r="B1589" t="s">
        <v>127</v>
      </c>
      <c r="C1589" t="s">
        <v>57</v>
      </c>
      <c r="D1589" t="s">
        <v>62</v>
      </c>
      <c r="E1589" t="s">
        <v>66</v>
      </c>
      <c r="F1589" t="s">
        <v>164</v>
      </c>
      <c r="G1589" t="s">
        <v>126</v>
      </c>
      <c r="H1589" t="s">
        <v>433</v>
      </c>
      <c r="I1589" t="s">
        <v>32</v>
      </c>
      <c r="J1589" t="s">
        <v>82</v>
      </c>
      <c r="K1589">
        <f t="shared" si="4921"/>
        <v>1</v>
      </c>
      <c r="L1589">
        <f t="shared" si="4922"/>
        <v>0</v>
      </c>
      <c r="M1589">
        <f t="shared" si="4923"/>
        <v>1</v>
      </c>
      <c r="N1589">
        <f t="shared" si="4924"/>
        <v>1</v>
      </c>
      <c r="O1589">
        <f t="shared" si="4925"/>
        <v>3</v>
      </c>
      <c r="P1589" t="str">
        <f t="shared" si="4926"/>
        <v>Large centralized natural gas steam reforming-Public acceptability</v>
      </c>
      <c r="Q1589" t="str">
        <f t="shared" si="4927"/>
        <v>Underground storage-Public acceptability</v>
      </c>
      <c r="R1589" t="str">
        <f t="shared" si="4928"/>
        <v>Onsite-Public acceptability</v>
      </c>
      <c r="S1589" t="str">
        <f t="shared" si="4929"/>
        <v>Prime power H2 fuel cell-Public acceptability</v>
      </c>
      <c r="T1589" s="54">
        <f ca="1">VLOOKUP($P1589,'TA database'!$I$8:$J$79,2,FALSE)</f>
        <v>90</v>
      </c>
      <c r="U1589" s="54">
        <f ca="1">VLOOKUP($Q1589,'TA database'!$I$86:$J$105,2,FALSE)</f>
        <v>60</v>
      </c>
      <c r="V1589" s="54">
        <f ca="1">VLOOKUP($R1589,'TA database'!$I$112:$J$139,2,FALSE)</f>
        <v>90</v>
      </c>
      <c r="W1589" s="54">
        <f>IFERROR(VLOOKUP($S1589,'TA database'!$I$146:$J$193,2,FALSE),0)</f>
        <v>0</v>
      </c>
      <c r="X1589" s="54">
        <f ca="1">IFERROR(VLOOKUP($S1589,'TA database'!$I$200:$J$271,2,FALSE),0)</f>
        <v>80</v>
      </c>
      <c r="Y1589" s="59">
        <f t="shared" ca="1" si="4930"/>
        <v>38.880000000000003</v>
      </c>
      <c r="Z1589" t="str">
        <f t="shared" si="4931"/>
        <v>NG_SR_LRG_C   →   C_UNDRGRND_STRG   →   ONSITE_USE   →   H2_FC_PWR</v>
      </c>
      <c r="AA1589" t="str">
        <f t="shared" si="4932"/>
        <v>Onsite / Back-up power</v>
      </c>
      <c r="AB1589" t="str">
        <f t="shared" si="4933"/>
        <v>Public acceptability</v>
      </c>
      <c r="AC1589">
        <f t="shared" ca="1" si="4934"/>
        <v>38.880000000000003</v>
      </c>
      <c r="AD1589">
        <v>1530</v>
      </c>
      <c r="AE1589" t="str">
        <f>IF(AND(ISNUMBER(SEARCH(O1589,4)),ISNUMBER(SEARCH('(4) FCH pathway assessment'!$B$16,AB1589)),ISNUMBER(SEARCH('(4) FCH pathway assessment'!$B$10,AA1589))),AD1589,"")</f>
        <v/>
      </c>
      <c r="AF1589" t="str">
        <f t="shared" si="4794"/>
        <v/>
      </c>
      <c r="AG1589" t="str">
        <f>VLOOKUP(C1589,Assumptions!$B$116:$C$162,2,FALSE)</f>
        <v>NG_SR_LRG_C</v>
      </c>
      <c r="AH1589" t="str">
        <f>VLOOKUP(D1589,Assumptions!$B$116:$C$162,2,FALSE)</f>
        <v>C_UNDRGRND_STRG</v>
      </c>
      <c r="AI1589" t="str">
        <f>VLOOKUP(E1589,Assumptions!$B$116:$C$162,2,FALSE)</f>
        <v>ONSITE_USE</v>
      </c>
      <c r="AJ1589" t="str">
        <f>VLOOKUP(F1589,Assumptions!$B$116:$C$162,2,FALSE)</f>
        <v>H2_FC_PWR</v>
      </c>
    </row>
    <row r="1590" spans="2:36" x14ac:dyDescent="0.25">
      <c r="B1590" t="s">
        <v>127</v>
      </c>
      <c r="C1590" t="s">
        <v>57</v>
      </c>
      <c r="D1590" s="61" t="s">
        <v>63</v>
      </c>
      <c r="E1590" t="s">
        <v>122</v>
      </c>
      <c r="F1590" t="s">
        <v>164</v>
      </c>
      <c r="G1590" t="s">
        <v>126</v>
      </c>
      <c r="H1590" t="s">
        <v>433</v>
      </c>
      <c r="I1590" t="s">
        <v>32</v>
      </c>
      <c r="J1590" t="s">
        <v>82</v>
      </c>
      <c r="K1590">
        <f t="shared" si="4921"/>
        <v>1</v>
      </c>
      <c r="L1590">
        <f t="shared" si="4922"/>
        <v>1</v>
      </c>
      <c r="M1590">
        <f t="shared" si="4923"/>
        <v>1</v>
      </c>
      <c r="N1590">
        <f t="shared" si="4924"/>
        <v>1</v>
      </c>
      <c r="O1590">
        <f t="shared" si="4925"/>
        <v>4</v>
      </c>
      <c r="P1590" t="str">
        <f t="shared" si="4926"/>
        <v>Large centralized natural gas steam reforming-Public acceptability</v>
      </c>
      <c r="Q1590" t="str">
        <f t="shared" si="4927"/>
        <v>No storage-Public acceptability</v>
      </c>
      <c r="R1590" t="str">
        <f t="shared" si="4928"/>
        <v>Hydrogen transmission &amp; distribution pipeline-Public acceptability</v>
      </c>
      <c r="S1590" t="str">
        <f t="shared" si="4929"/>
        <v>Prime power H2 fuel cell-Public acceptability</v>
      </c>
      <c r="T1590" s="54">
        <f ca="1">VLOOKUP($P1590,'TA database'!$I$8:$J$79,2,FALSE)</f>
        <v>90</v>
      </c>
      <c r="U1590" s="54">
        <f ca="1">VLOOKUP($Q1590,'TA database'!$I$86:$J$105,2,FALSE)</f>
        <v>100</v>
      </c>
      <c r="V1590" s="54">
        <f ca="1">VLOOKUP($R1590,'TA database'!$I$112:$J$139,2,FALSE)</f>
        <v>70</v>
      </c>
      <c r="W1590" s="54">
        <f>IFERROR(VLOOKUP($S1590,'TA database'!$I$146:$J$193,2,FALSE),0)</f>
        <v>0</v>
      </c>
      <c r="X1590" s="54">
        <f ca="1">IFERROR(VLOOKUP($S1590,'TA database'!$I$200:$J$271,2,FALSE),0)</f>
        <v>80</v>
      </c>
      <c r="Y1590" s="59">
        <f t="shared" ref="Y1590:Y1593" ca="1" si="4935">IF($W1590=0,(PRODUCT($T1590:$V1590,$X1590))/1000000,(PRODUCT($T1590:$W1590))/1000000)</f>
        <v>50.4</v>
      </c>
      <c r="Z1590" t="str">
        <f t="shared" si="4931"/>
        <v>NG_SR_LRG_C   →   NO_STRG   →   H2_T&amp;D_P   →   H2_FC_PWR</v>
      </c>
      <c r="AA1590" t="str">
        <f t="shared" si="4932"/>
        <v>Onsite / Back-up power</v>
      </c>
      <c r="AB1590" t="str">
        <f t="shared" si="4933"/>
        <v>Public acceptability</v>
      </c>
      <c r="AC1590">
        <f t="shared" ca="1" si="4934"/>
        <v>50.4</v>
      </c>
      <c r="AD1590">
        <v>1531</v>
      </c>
      <c r="AE1590" t="str">
        <f>IF(AND(ISNUMBER(SEARCH(O1590,4)),ISNUMBER(SEARCH('(4) FCH pathway assessment'!$B$16,AB1590)),ISNUMBER(SEARCH('(4) FCH pathway assessment'!$B$10,AA1590))),AD1590,"")</f>
        <v/>
      </c>
      <c r="AF1590" t="str">
        <f t="shared" si="4794"/>
        <v/>
      </c>
      <c r="AG1590" t="str">
        <f>VLOOKUP(C1590,Assumptions!$B$116:$C$162,2,FALSE)</f>
        <v>NG_SR_LRG_C</v>
      </c>
      <c r="AH1590" t="str">
        <f>VLOOKUP(D1590,Assumptions!$B$116:$C$162,2,FALSE)</f>
        <v>NO_STRG</v>
      </c>
      <c r="AI1590" t="str">
        <f>VLOOKUP(E1590,Assumptions!$B$116:$C$162,2,FALSE)</f>
        <v>H2_T&amp;D_P</v>
      </c>
      <c r="AJ1590" t="str">
        <f>VLOOKUP(F1590,Assumptions!$B$116:$C$162,2,FALSE)</f>
        <v>H2_FC_PWR</v>
      </c>
    </row>
    <row r="1591" spans="2:36" x14ac:dyDescent="0.25">
      <c r="B1591" t="s">
        <v>127</v>
      </c>
      <c r="C1591" t="s">
        <v>58</v>
      </c>
      <c r="D1591" t="s">
        <v>155</v>
      </c>
      <c r="E1591" t="s">
        <v>157</v>
      </c>
      <c r="F1591" t="s">
        <v>164</v>
      </c>
      <c r="G1591" t="s">
        <v>126</v>
      </c>
      <c r="H1591" t="s">
        <v>433</v>
      </c>
      <c r="I1591" t="s">
        <v>32</v>
      </c>
      <c r="J1591" t="s">
        <v>82</v>
      </c>
      <c r="K1591">
        <f t="shared" si="4921"/>
        <v>1</v>
      </c>
      <c r="L1591">
        <f t="shared" si="4922"/>
        <v>1</v>
      </c>
      <c r="M1591">
        <f t="shared" si="4923"/>
        <v>0</v>
      </c>
      <c r="N1591">
        <f t="shared" si="4924"/>
        <v>1</v>
      </c>
      <c r="O1591">
        <f t="shared" ref="O1591:O1594" si="4936">K1591+L1591+M1591+N1591</f>
        <v>3</v>
      </c>
      <c r="P1591" t="str">
        <f t="shared" si="4926"/>
        <v>Small centralized natural gas steam reforming-Public acceptability</v>
      </c>
      <c r="Q1591" t="str">
        <f t="shared" si="4927"/>
        <v>Central gas storage-Public acceptability</v>
      </c>
      <c r="R1591" t="str">
        <f t="shared" si="4928"/>
        <v>Blending in natural gas pipeline-Public acceptability</v>
      </c>
      <c r="S1591" t="str">
        <f t="shared" si="4929"/>
        <v>Prime power H2 fuel cell-Public acceptability</v>
      </c>
      <c r="T1591" s="54">
        <f ca="1">VLOOKUP($P1591,'TA database'!$I$8:$J$79,2,FALSE)</f>
        <v>90</v>
      </c>
      <c r="U1591" s="54">
        <f ca="1">VLOOKUP($Q1591,'TA database'!$I$86:$J$105,2,FALSE)</f>
        <v>60</v>
      </c>
      <c r="V1591" s="54">
        <f ca="1">VLOOKUP($R1591,'TA database'!$I$112:$J$139,2,FALSE)</f>
        <v>90</v>
      </c>
      <c r="W1591" s="54">
        <f>IFERROR(VLOOKUP($S1591,'TA database'!$I$146:$J$193,2,FALSE),0)</f>
        <v>0</v>
      </c>
      <c r="X1591" s="54">
        <f ca="1">IFERROR(VLOOKUP($S1591,'TA database'!$I$200:$J$271,2,FALSE),0)</f>
        <v>80</v>
      </c>
      <c r="Y1591" s="59">
        <f t="shared" ca="1" si="4935"/>
        <v>38.880000000000003</v>
      </c>
      <c r="Z1591" t="str">
        <f t="shared" ref="Z1591:Z1594" si="4937">CONCATENATE(AG1591,"   →   ",AH1591,"   →   ",AI1591,"   →   ",AJ1591)</f>
        <v>NG_SR_SML_C   →   C_GAS_STRG   →   H2_BLND_NG_P   →   H2_FC_PWR</v>
      </c>
      <c r="AA1591" t="str">
        <f t="shared" ref="AA1591:AA1594" si="4938">G1591</f>
        <v>Onsite / Back-up power</v>
      </c>
      <c r="AB1591" t="str">
        <f t="shared" ref="AB1591:AB1594" si="4939">J1591</f>
        <v>Public acceptability</v>
      </c>
      <c r="AC1591">
        <f t="shared" ref="AC1591:AC1594" ca="1" si="4940">Y1591</f>
        <v>38.880000000000003</v>
      </c>
      <c r="AD1591">
        <v>1532</v>
      </c>
      <c r="AE1591" t="str">
        <f>IF(AND(ISNUMBER(SEARCH(O1591,4)),ISNUMBER(SEARCH('(4) FCH pathway assessment'!$B$16,AB1591)),ISNUMBER(SEARCH('(4) FCH pathway assessment'!$B$10,AA1591))),AD1591,"")</f>
        <v/>
      </c>
      <c r="AF1591" t="str">
        <f t="shared" si="4794"/>
        <v/>
      </c>
      <c r="AG1591" t="str">
        <f>VLOOKUP(C1591,Assumptions!$B$116:$C$162,2,FALSE)</f>
        <v>NG_SR_SML_C</v>
      </c>
      <c r="AH1591" t="str">
        <f>VLOOKUP(D1591,Assumptions!$B$116:$C$162,2,FALSE)</f>
        <v>C_GAS_STRG</v>
      </c>
      <c r="AI1591" t="str">
        <f>VLOOKUP(E1591,Assumptions!$B$116:$C$162,2,FALSE)</f>
        <v>H2_BLND_NG_P</v>
      </c>
      <c r="AJ1591" t="str">
        <f>VLOOKUP(F1591,Assumptions!$B$116:$C$162,2,FALSE)</f>
        <v>H2_FC_PWR</v>
      </c>
    </row>
    <row r="1592" spans="2:36" x14ac:dyDescent="0.25">
      <c r="B1592" t="s">
        <v>127</v>
      </c>
      <c r="C1592" t="s">
        <v>58</v>
      </c>
      <c r="D1592" t="s">
        <v>155</v>
      </c>
      <c r="E1592" t="s">
        <v>122</v>
      </c>
      <c r="F1592" t="s">
        <v>164</v>
      </c>
      <c r="G1592" t="s">
        <v>126</v>
      </c>
      <c r="H1592" t="s">
        <v>433</v>
      </c>
      <c r="I1592" t="s">
        <v>32</v>
      </c>
      <c r="J1592" t="s">
        <v>82</v>
      </c>
      <c r="K1592">
        <f t="shared" ref="K1592:K1594" si="4941">SUMPRODUCT(($C$7:$C$18=$C1592)*($D$6:$H$6=$D1592)*($D$7:$H$18))</f>
        <v>1</v>
      </c>
      <c r="L1592">
        <f t="shared" ref="L1592:L1594" si="4942">SUMPRODUCT(($C$19:$C$23=$D1592)*($I$6:$O$6=$E1592)*($I$19:$O$23))</f>
        <v>1</v>
      </c>
      <c r="M1592">
        <f t="shared" ref="M1592:M1594" si="4943">SUMPRODUCT(($C$24:$C$30=$E1592)*($P$6:$AI$6=$F1592)*($P$24:$AI$30))</f>
        <v>1</v>
      </c>
      <c r="N1592">
        <f t="shared" ref="N1592:N1594" si="4944">SUMPRODUCT(($C$31:$C$50=$F1592)*($AJ$6:$AM$6=$G1592)*($AJ$31:$AM$50))</f>
        <v>1</v>
      </c>
      <c r="O1592">
        <f t="shared" si="4936"/>
        <v>4</v>
      </c>
      <c r="P1592" t="str">
        <f t="shared" ref="P1592:P1594" si="4945">CONCATENATE(C1592,"-",J1592)</f>
        <v>Small centralized natural gas steam reforming-Public acceptability</v>
      </c>
      <c r="Q1592" t="str">
        <f t="shared" ref="Q1592:Q1594" si="4946">CONCATENATE(D1592,"-",J1592)</f>
        <v>Central gas storage-Public acceptability</v>
      </c>
      <c r="R1592" t="str">
        <f t="shared" ref="R1592:R1594" si="4947">CONCATENATE(E1592,"-",J1592)</f>
        <v>Hydrogen transmission &amp; distribution pipeline-Public acceptability</v>
      </c>
      <c r="S1592" t="str">
        <f t="shared" ref="S1592:S1594" si="4948">CONCATENATE(F1592,"-",J1592)</f>
        <v>Prime power H2 fuel cell-Public acceptability</v>
      </c>
      <c r="T1592" s="54">
        <f ca="1">VLOOKUP($P1592,'TA database'!$I$8:$J$79,2,FALSE)</f>
        <v>90</v>
      </c>
      <c r="U1592" s="54">
        <f ca="1">VLOOKUP($Q1592,'TA database'!$I$86:$J$105,2,FALSE)</f>
        <v>60</v>
      </c>
      <c r="V1592" s="54">
        <f ca="1">VLOOKUP($R1592,'TA database'!$I$112:$J$139,2,FALSE)</f>
        <v>70</v>
      </c>
      <c r="W1592" s="54">
        <f>IFERROR(VLOOKUP($S1592,'TA database'!$I$146:$J$193,2,FALSE),0)</f>
        <v>0</v>
      </c>
      <c r="X1592" s="54">
        <f ca="1">IFERROR(VLOOKUP($S1592,'TA database'!$I$200:$J$271,2,FALSE),0)</f>
        <v>80</v>
      </c>
      <c r="Y1592" s="59">
        <f t="shared" ca="1" si="4935"/>
        <v>30.24</v>
      </c>
      <c r="Z1592" t="str">
        <f t="shared" si="4937"/>
        <v>NG_SR_SML_C   →   C_GAS_STRG   →   H2_T&amp;D_P   →   H2_FC_PWR</v>
      </c>
      <c r="AA1592" t="str">
        <f t="shared" si="4938"/>
        <v>Onsite / Back-up power</v>
      </c>
      <c r="AB1592" t="str">
        <f t="shared" si="4939"/>
        <v>Public acceptability</v>
      </c>
      <c r="AC1592">
        <f t="shared" ca="1" si="4940"/>
        <v>30.24</v>
      </c>
      <c r="AD1592">
        <v>1533</v>
      </c>
      <c r="AE1592" t="str">
        <f>IF(AND(ISNUMBER(SEARCH(O1592,4)),ISNUMBER(SEARCH('(4) FCH pathway assessment'!$B$16,AB1592)),ISNUMBER(SEARCH('(4) FCH pathway assessment'!$B$10,AA1592))),AD1592,"")</f>
        <v/>
      </c>
      <c r="AF1592" t="str">
        <f t="shared" si="4794"/>
        <v/>
      </c>
      <c r="AG1592" t="str">
        <f>VLOOKUP(C1592,Assumptions!$B$116:$C$162,2,FALSE)</f>
        <v>NG_SR_SML_C</v>
      </c>
      <c r="AH1592" t="str">
        <f>VLOOKUP(D1592,Assumptions!$B$116:$C$162,2,FALSE)</f>
        <v>C_GAS_STRG</v>
      </c>
      <c r="AI1592" t="str">
        <f>VLOOKUP(E1592,Assumptions!$B$116:$C$162,2,FALSE)</f>
        <v>H2_T&amp;D_P</v>
      </c>
      <c r="AJ1592" t="str">
        <f>VLOOKUP(F1592,Assumptions!$B$116:$C$162,2,FALSE)</f>
        <v>H2_FC_PWR</v>
      </c>
    </row>
    <row r="1593" spans="2:36" x14ac:dyDescent="0.25">
      <c r="B1593" t="s">
        <v>127</v>
      </c>
      <c r="C1593" t="s">
        <v>58</v>
      </c>
      <c r="D1593" t="s">
        <v>155</v>
      </c>
      <c r="E1593" t="s">
        <v>66</v>
      </c>
      <c r="F1593" t="s">
        <v>164</v>
      </c>
      <c r="G1593" t="s">
        <v>126</v>
      </c>
      <c r="H1593" t="s">
        <v>433</v>
      </c>
      <c r="I1593" t="s">
        <v>32</v>
      </c>
      <c r="J1593" t="s">
        <v>82</v>
      </c>
      <c r="K1593">
        <f t="shared" si="4941"/>
        <v>1</v>
      </c>
      <c r="L1593">
        <f t="shared" si="4942"/>
        <v>1</v>
      </c>
      <c r="M1593">
        <f t="shared" si="4943"/>
        <v>1</v>
      </c>
      <c r="N1593">
        <f t="shared" si="4944"/>
        <v>1</v>
      </c>
      <c r="O1593">
        <f t="shared" si="4936"/>
        <v>4</v>
      </c>
      <c r="P1593" t="str">
        <f t="shared" si="4945"/>
        <v>Small centralized natural gas steam reforming-Public acceptability</v>
      </c>
      <c r="Q1593" t="str">
        <f t="shared" si="4946"/>
        <v>Central gas storage-Public acceptability</v>
      </c>
      <c r="R1593" t="str">
        <f t="shared" si="4947"/>
        <v>Onsite-Public acceptability</v>
      </c>
      <c r="S1593" t="str">
        <f t="shared" si="4948"/>
        <v>Prime power H2 fuel cell-Public acceptability</v>
      </c>
      <c r="T1593" s="54">
        <f ca="1">VLOOKUP($P1593,'TA database'!$I$8:$J$79,2,FALSE)</f>
        <v>90</v>
      </c>
      <c r="U1593" s="54">
        <f ca="1">VLOOKUP($Q1593,'TA database'!$I$86:$J$105,2,FALSE)</f>
        <v>60</v>
      </c>
      <c r="V1593" s="54">
        <f ca="1">VLOOKUP($R1593,'TA database'!$I$112:$J$139,2,FALSE)</f>
        <v>90</v>
      </c>
      <c r="W1593" s="54">
        <f>IFERROR(VLOOKUP($S1593,'TA database'!$I$146:$J$193,2,FALSE),0)</f>
        <v>0</v>
      </c>
      <c r="X1593" s="54">
        <f ca="1">IFERROR(VLOOKUP($S1593,'TA database'!$I$200:$J$271,2,FALSE),0)</f>
        <v>80</v>
      </c>
      <c r="Y1593" s="59">
        <f t="shared" ca="1" si="4935"/>
        <v>38.880000000000003</v>
      </c>
      <c r="Z1593" t="str">
        <f t="shared" si="4937"/>
        <v>NG_SR_SML_C   →   C_GAS_STRG   →   ONSITE_USE   →   H2_FC_PWR</v>
      </c>
      <c r="AA1593" t="str">
        <f t="shared" si="4938"/>
        <v>Onsite / Back-up power</v>
      </c>
      <c r="AB1593" t="str">
        <f t="shared" si="4939"/>
        <v>Public acceptability</v>
      </c>
      <c r="AC1593">
        <f t="shared" ca="1" si="4940"/>
        <v>38.880000000000003</v>
      </c>
      <c r="AD1593">
        <v>1534</v>
      </c>
      <c r="AE1593" t="str">
        <f>IF(AND(ISNUMBER(SEARCH(O1593,4)),ISNUMBER(SEARCH('(4) FCH pathway assessment'!$B$16,AB1593)),ISNUMBER(SEARCH('(4) FCH pathway assessment'!$B$10,AA1593))),AD1593,"")</f>
        <v/>
      </c>
      <c r="AF1593" t="str">
        <f t="shared" si="4794"/>
        <v/>
      </c>
      <c r="AG1593" t="str">
        <f>VLOOKUP(C1593,Assumptions!$B$116:$C$162,2,FALSE)</f>
        <v>NG_SR_SML_C</v>
      </c>
      <c r="AH1593" t="str">
        <f>VLOOKUP(D1593,Assumptions!$B$116:$C$162,2,FALSE)</f>
        <v>C_GAS_STRG</v>
      </c>
      <c r="AI1593" t="str">
        <f>VLOOKUP(E1593,Assumptions!$B$116:$C$162,2,FALSE)</f>
        <v>ONSITE_USE</v>
      </c>
      <c r="AJ1593" t="str">
        <f>VLOOKUP(F1593,Assumptions!$B$116:$C$162,2,FALSE)</f>
        <v>H2_FC_PWR</v>
      </c>
    </row>
    <row r="1594" spans="2:36" x14ac:dyDescent="0.25">
      <c r="B1594" t="s">
        <v>127</v>
      </c>
      <c r="C1594" t="s">
        <v>59</v>
      </c>
      <c r="D1594" s="60" t="s">
        <v>130</v>
      </c>
      <c r="E1594" t="s">
        <v>66</v>
      </c>
      <c r="F1594" t="s">
        <v>164</v>
      </c>
      <c r="G1594" t="s">
        <v>126</v>
      </c>
      <c r="H1594" t="s">
        <v>433</v>
      </c>
      <c r="I1594" t="s">
        <v>32</v>
      </c>
      <c r="J1594" t="s">
        <v>82</v>
      </c>
      <c r="K1594">
        <f t="shared" si="4941"/>
        <v>1</v>
      </c>
      <c r="L1594">
        <f t="shared" si="4942"/>
        <v>1</v>
      </c>
      <c r="M1594">
        <f t="shared" si="4943"/>
        <v>1</v>
      </c>
      <c r="N1594">
        <f t="shared" si="4944"/>
        <v>1</v>
      </c>
      <c r="O1594">
        <f t="shared" si="4936"/>
        <v>4</v>
      </c>
      <c r="P1594" t="str">
        <f t="shared" si="4945"/>
        <v>Medium decentralized natural gas steam reforming-Public acceptability</v>
      </c>
      <c r="Q1594" t="str">
        <f t="shared" si="4946"/>
        <v>Distributed gas storage-Public acceptability</v>
      </c>
      <c r="R1594" t="str">
        <f t="shared" si="4947"/>
        <v>Onsite-Public acceptability</v>
      </c>
      <c r="S1594" t="str">
        <f t="shared" si="4948"/>
        <v>Prime power H2 fuel cell-Public acceptability</v>
      </c>
      <c r="T1594" s="54">
        <f ca="1">VLOOKUP($P1594,'TA database'!$I$8:$J$79,2,FALSE)</f>
        <v>100</v>
      </c>
      <c r="U1594" s="54">
        <f ca="1">VLOOKUP($Q1594,'TA database'!$I$86:$J$105,2,FALSE)</f>
        <v>60</v>
      </c>
      <c r="V1594" s="54">
        <f ca="1">VLOOKUP($R1594,'TA database'!$I$112:$J$139,2,FALSE)</f>
        <v>90</v>
      </c>
      <c r="W1594" s="54">
        <f>IFERROR(VLOOKUP($S1594,'TA database'!$I$146:$J$193,2,FALSE),0)</f>
        <v>0</v>
      </c>
      <c r="X1594" s="54">
        <f ca="1">IFERROR(VLOOKUP($S1594,'TA database'!$I$200:$J$271,2,FALSE),0)</f>
        <v>80</v>
      </c>
      <c r="Y1594" s="59">
        <f t="shared" ref="Y1594:Y1595" ca="1" si="4949">IF($W1594=0,(PRODUCT($T1594:$V1594,$X1594))/1000000,(PRODUCT($T1594:$W1594))/1000000)</f>
        <v>43.2</v>
      </c>
      <c r="Z1594" t="str">
        <f t="shared" si="4937"/>
        <v>NG_SR_MED_D   →   D_GAS_STRG   →   ONSITE_USE   →   H2_FC_PWR</v>
      </c>
      <c r="AA1594" t="str">
        <f t="shared" si="4938"/>
        <v>Onsite / Back-up power</v>
      </c>
      <c r="AB1594" t="str">
        <f t="shared" si="4939"/>
        <v>Public acceptability</v>
      </c>
      <c r="AC1594">
        <f t="shared" ca="1" si="4940"/>
        <v>43.2</v>
      </c>
      <c r="AD1594">
        <v>1535</v>
      </c>
      <c r="AE1594" t="str">
        <f>IF(AND(ISNUMBER(SEARCH(O1594,4)),ISNUMBER(SEARCH('(4) FCH pathway assessment'!$B$16,AB1594)),ISNUMBER(SEARCH('(4) FCH pathway assessment'!$B$10,AA1594))),AD1594,"")</f>
        <v/>
      </c>
      <c r="AF1594" t="str">
        <f t="shared" si="4794"/>
        <v/>
      </c>
      <c r="AG1594" t="str">
        <f>VLOOKUP(C1594,Assumptions!$B$116:$C$162,2,FALSE)</f>
        <v>NG_SR_MED_D</v>
      </c>
      <c r="AH1594" t="str">
        <f>VLOOKUP(D1594,Assumptions!$B$116:$C$162,2,FALSE)</f>
        <v>D_GAS_STRG</v>
      </c>
      <c r="AI1594" t="str">
        <f>VLOOKUP(E1594,Assumptions!$B$116:$C$162,2,FALSE)</f>
        <v>ONSITE_USE</v>
      </c>
      <c r="AJ1594" t="str">
        <f>VLOOKUP(F1594,Assumptions!$B$116:$C$162,2,FALSE)</f>
        <v>H2_FC_PWR</v>
      </c>
    </row>
    <row r="1595" spans="2:36" x14ac:dyDescent="0.25">
      <c r="B1595" t="s">
        <v>127</v>
      </c>
      <c r="C1595" t="s">
        <v>60</v>
      </c>
      <c r="D1595" s="60" t="s">
        <v>130</v>
      </c>
      <c r="E1595" t="s">
        <v>66</v>
      </c>
      <c r="F1595" t="s">
        <v>164</v>
      </c>
      <c r="G1595" t="s">
        <v>126</v>
      </c>
      <c r="H1595" t="s">
        <v>433</v>
      </c>
      <c r="I1595" t="s">
        <v>32</v>
      </c>
      <c r="J1595" t="s">
        <v>82</v>
      </c>
      <c r="K1595">
        <f t="shared" ref="K1595" si="4950">SUMPRODUCT(($C$7:$C$18=$C1595)*($D$6:$H$6=$D1595)*($D$7:$H$18))</f>
        <v>1</v>
      </c>
      <c r="L1595">
        <f t="shared" ref="L1595" si="4951">SUMPRODUCT(($C$19:$C$23=$D1595)*($I$6:$O$6=$E1595)*($I$19:$O$23))</f>
        <v>1</v>
      </c>
      <c r="M1595">
        <f t="shared" ref="M1595" si="4952">SUMPRODUCT(($C$24:$C$30=$E1595)*($P$6:$AI$6=$F1595)*($P$24:$AI$30))</f>
        <v>1</v>
      </c>
      <c r="N1595">
        <f t="shared" ref="N1595" si="4953">SUMPRODUCT(($C$31:$C$50=$F1595)*($AJ$6:$AM$6=$G1595)*($AJ$31:$AM$50))</f>
        <v>1</v>
      </c>
      <c r="O1595">
        <f t="shared" ref="O1595" si="4954">K1595+L1595+M1595+N1595</f>
        <v>4</v>
      </c>
      <c r="P1595" t="str">
        <f t="shared" ref="P1595" si="4955">CONCATENATE(C1595,"-",J1595)</f>
        <v>Small decentralized natural gas steam reforming-Public acceptability</v>
      </c>
      <c r="Q1595" t="str">
        <f t="shared" ref="Q1595" si="4956">CONCATENATE(D1595,"-",J1595)</f>
        <v>Distributed gas storage-Public acceptability</v>
      </c>
      <c r="R1595" t="str">
        <f t="shared" ref="R1595" si="4957">CONCATENATE(E1595,"-",J1595)</f>
        <v>Onsite-Public acceptability</v>
      </c>
      <c r="S1595" t="str">
        <f t="shared" ref="S1595" si="4958">CONCATENATE(F1595,"-",J1595)</f>
        <v>Prime power H2 fuel cell-Public acceptability</v>
      </c>
      <c r="T1595" s="54">
        <f ca="1">VLOOKUP($P1595,'TA database'!$I$8:$J$79,2,FALSE)</f>
        <v>100</v>
      </c>
      <c r="U1595" s="54">
        <f ca="1">VLOOKUP($Q1595,'TA database'!$I$86:$J$105,2,FALSE)</f>
        <v>60</v>
      </c>
      <c r="V1595" s="54">
        <f ca="1">VLOOKUP($R1595,'TA database'!$I$112:$J$139,2,FALSE)</f>
        <v>90</v>
      </c>
      <c r="W1595" s="54">
        <f>IFERROR(VLOOKUP($S1595,'TA database'!$I$146:$J$193,2,FALSE),0)</f>
        <v>0</v>
      </c>
      <c r="X1595" s="54">
        <f ca="1">IFERROR(VLOOKUP($S1595,'TA database'!$I$200:$J$271,2,FALSE),0)</f>
        <v>80</v>
      </c>
      <c r="Y1595" s="59">
        <f t="shared" ca="1" si="4949"/>
        <v>43.2</v>
      </c>
      <c r="Z1595" t="str">
        <f t="shared" ref="Z1595" si="4959">CONCATENATE(AG1595,"   →   ",AH1595,"   →   ",AI1595,"   →   ",AJ1595)</f>
        <v>NG_SR_SML_D   →   D_GAS_STRG   →   ONSITE_USE   →   H2_FC_PWR</v>
      </c>
      <c r="AA1595" t="str">
        <f t="shared" ref="AA1595" si="4960">G1595</f>
        <v>Onsite / Back-up power</v>
      </c>
      <c r="AB1595" t="str">
        <f t="shared" ref="AB1595" si="4961">J1595</f>
        <v>Public acceptability</v>
      </c>
      <c r="AC1595">
        <f t="shared" ref="AC1595" ca="1" si="4962">Y1595</f>
        <v>43.2</v>
      </c>
      <c r="AD1595">
        <v>1536</v>
      </c>
      <c r="AE1595" t="str">
        <f>IF(AND(ISNUMBER(SEARCH(O1595,4)),ISNUMBER(SEARCH('(4) FCH pathway assessment'!$B$16,AB1595)),ISNUMBER(SEARCH('(4) FCH pathway assessment'!$B$10,AA1595))),AD1595,"")</f>
        <v/>
      </c>
      <c r="AF1595" t="str">
        <f t="shared" si="4794"/>
        <v/>
      </c>
      <c r="AG1595" t="str">
        <f>VLOOKUP(C1595,Assumptions!$B$116:$C$162,2,FALSE)</f>
        <v>NG_SR_SML_D</v>
      </c>
      <c r="AH1595" t="str">
        <f>VLOOKUP(D1595,Assumptions!$B$116:$C$162,2,FALSE)</f>
        <v>D_GAS_STRG</v>
      </c>
      <c r="AI1595" t="str">
        <f>VLOOKUP(E1595,Assumptions!$B$116:$C$162,2,FALSE)</f>
        <v>ONSITE_USE</v>
      </c>
      <c r="AJ1595" t="str">
        <f>VLOOKUP(F1595,Assumptions!$B$116:$C$162,2,FALSE)</f>
        <v>H2_FC_PWR</v>
      </c>
    </row>
    <row r="1596" spans="2:36" x14ac:dyDescent="0.25">
      <c r="B1596" t="s">
        <v>117</v>
      </c>
      <c r="C1596" t="s">
        <v>53</v>
      </c>
      <c r="D1596" t="s">
        <v>155</v>
      </c>
      <c r="E1596" t="s">
        <v>65</v>
      </c>
      <c r="F1596" t="s">
        <v>165</v>
      </c>
      <c r="G1596" t="s">
        <v>126</v>
      </c>
      <c r="H1596" t="s">
        <v>433</v>
      </c>
      <c r="I1596" t="s">
        <v>32</v>
      </c>
      <c r="J1596" t="s">
        <v>82</v>
      </c>
      <c r="K1596">
        <f t="shared" ref="K1596:K1597" si="4963">SUMPRODUCT(($C$7:$C$18=$C1596)*($D$6:$H$6=$D1596)*($D$7:$H$18))</f>
        <v>0</v>
      </c>
      <c r="L1596">
        <f t="shared" ref="L1596:L1597" si="4964">SUMPRODUCT(($C$19:$C$23=$D1596)*($I$6:$O$6=$E1596)*($I$19:$O$23))</f>
        <v>1</v>
      </c>
      <c r="M1596">
        <f t="shared" ref="M1596:M1597" si="4965">SUMPRODUCT(($C$24:$C$30=$E1596)*($P$6:$AI$6=$F1596)*($P$24:$AI$30))</f>
        <v>0</v>
      </c>
      <c r="N1596">
        <f t="shared" ref="N1596:N1597" si="4966">SUMPRODUCT(($C$31:$C$50=$F1596)*($AJ$6:$AM$6=$G1596)*($AJ$31:$AM$50))</f>
        <v>1</v>
      </c>
      <c r="O1596">
        <f t="shared" ref="O1596:O1597" si="4967">K1596+L1596+M1596+N1596</f>
        <v>2</v>
      </c>
      <c r="P1596" t="str">
        <f t="shared" ref="P1596:P1597" si="4968">CONCATENATE(C1596,"-",J1596)</f>
        <v>Medium centralized biomass gasification-Public acceptability</v>
      </c>
      <c r="Q1596" t="str">
        <f t="shared" ref="Q1596:Q1597" si="4969">CONCATENATE(D1596,"-",J1596)</f>
        <v>Central gas storage-Public acceptability</v>
      </c>
      <c r="R1596" t="str">
        <f t="shared" ref="R1596:R1597" si="4970">CONCATENATE(E1596,"-",J1596)</f>
        <v>Methanation-Public acceptability</v>
      </c>
      <c r="S1596" t="str">
        <f t="shared" ref="S1596:S1597" si="4971">CONCATENATE(F1596,"-",J1596)</f>
        <v>Prime power natural gas fuel cell-Public acceptability</v>
      </c>
      <c r="T1596" s="54">
        <f ca="1">VLOOKUP($P1596,'TA database'!$I$8:$J$79,2,FALSE)</f>
        <v>70</v>
      </c>
      <c r="U1596" s="54">
        <f ca="1">VLOOKUP($Q1596,'TA database'!$I$86:$J$105,2,FALSE)</f>
        <v>60</v>
      </c>
      <c r="V1596" s="54">
        <f ca="1">VLOOKUP($R1596,'TA database'!$I$112:$J$139,2,FALSE)</f>
        <v>70</v>
      </c>
      <c r="W1596" s="54">
        <f>IFERROR(VLOOKUP($S1596,'TA database'!$I$146:$J$193,2,FALSE),0)</f>
        <v>0</v>
      </c>
      <c r="X1596" s="54">
        <f ca="1">IFERROR(VLOOKUP($S1596,'TA database'!$I$200:$J$271,2,FALSE),0)</f>
        <v>80</v>
      </c>
      <c r="Y1596" s="59">
        <f t="shared" ref="Y1596" ca="1" si="4972">IF($W1596=0,(PRODUCT($T1596:$V1596,$X1596))/1000000,(PRODUCT($T1596:$W1596))/1000000)</f>
        <v>23.52</v>
      </c>
      <c r="Z1596" t="str">
        <f t="shared" ref="Z1596:Z1597" si="4973">CONCATENATE(AG1596,"   →   ",AH1596,"   →   ",AI1596,"   →   ",AJ1596)</f>
        <v>BIO_GSF_MED_C   →   C_GAS_STRG   →   METHANATION   →   NG_FC_PWR</v>
      </c>
      <c r="AA1596" t="str">
        <f t="shared" ref="AA1596:AA1597" si="4974">G1596</f>
        <v>Onsite / Back-up power</v>
      </c>
      <c r="AB1596" t="str">
        <f t="shared" ref="AB1596:AB1597" si="4975">J1596</f>
        <v>Public acceptability</v>
      </c>
      <c r="AC1596">
        <f t="shared" ref="AC1596:AC1597" ca="1" si="4976">Y1596</f>
        <v>23.52</v>
      </c>
      <c r="AD1596">
        <v>1537</v>
      </c>
      <c r="AE1596" t="str">
        <f>IF(AND(ISNUMBER(SEARCH(O1596,4)),ISNUMBER(SEARCH('(4) FCH pathway assessment'!$B$16,AB1596)),ISNUMBER(SEARCH('(4) FCH pathway assessment'!$B$10,AA1596))),AD1596,"")</f>
        <v/>
      </c>
      <c r="AF1596" t="str">
        <f t="shared" ref="AF1596:AF1659" si="4977">IFERROR(SMALL($AE$60:$AE$1991,AD1596),"")</f>
        <v/>
      </c>
      <c r="AG1596" t="str">
        <f>VLOOKUP(C1596,Assumptions!$B$116:$C$162,2,FALSE)</f>
        <v>BIO_GSF_MED_C</v>
      </c>
      <c r="AH1596" t="str">
        <f>VLOOKUP(D1596,Assumptions!$B$116:$C$162,2,FALSE)</f>
        <v>C_GAS_STRG</v>
      </c>
      <c r="AI1596" t="str">
        <f>VLOOKUP(E1596,Assumptions!$B$116:$C$162,2,FALSE)</f>
        <v>METHANATION</v>
      </c>
      <c r="AJ1596" t="str">
        <f>VLOOKUP(F1596,Assumptions!$B$116:$C$162,2,FALSE)</f>
        <v>NG_FC_PWR</v>
      </c>
    </row>
    <row r="1597" spans="2:36" x14ac:dyDescent="0.25">
      <c r="B1597" t="s">
        <v>117</v>
      </c>
      <c r="C1597" t="s">
        <v>54</v>
      </c>
      <c r="D1597" t="s">
        <v>155</v>
      </c>
      <c r="E1597" t="s">
        <v>65</v>
      </c>
      <c r="F1597" t="s">
        <v>165</v>
      </c>
      <c r="G1597" t="s">
        <v>126</v>
      </c>
      <c r="H1597" t="s">
        <v>433</v>
      </c>
      <c r="I1597" t="s">
        <v>32</v>
      </c>
      <c r="J1597" t="s">
        <v>82</v>
      </c>
      <c r="K1597">
        <f t="shared" si="4963"/>
        <v>0</v>
      </c>
      <c r="L1597">
        <f t="shared" si="4964"/>
        <v>1</v>
      </c>
      <c r="M1597">
        <f t="shared" si="4965"/>
        <v>0</v>
      </c>
      <c r="N1597">
        <f t="shared" si="4966"/>
        <v>1</v>
      </c>
      <c r="O1597">
        <f t="shared" si="4967"/>
        <v>2</v>
      </c>
      <c r="P1597" t="str">
        <f t="shared" si="4968"/>
        <v>Medium centralized biomass gasification w/ CCS-Public acceptability</v>
      </c>
      <c r="Q1597" t="str">
        <f t="shared" si="4969"/>
        <v>Central gas storage-Public acceptability</v>
      </c>
      <c r="R1597" t="str">
        <f t="shared" si="4970"/>
        <v>Methanation-Public acceptability</v>
      </c>
      <c r="S1597" t="str">
        <f t="shared" si="4971"/>
        <v>Prime power natural gas fuel cell-Public acceptability</v>
      </c>
      <c r="T1597" s="54">
        <f ca="1">VLOOKUP($P1597,'TA database'!$I$8:$J$79,2,FALSE)</f>
        <v>60</v>
      </c>
      <c r="U1597" s="54">
        <f ca="1">VLOOKUP($Q1597,'TA database'!$I$86:$J$105,2,FALSE)</f>
        <v>60</v>
      </c>
      <c r="V1597" s="54">
        <f ca="1">VLOOKUP($R1597,'TA database'!$I$112:$J$139,2,FALSE)</f>
        <v>70</v>
      </c>
      <c r="W1597" s="54">
        <f>IFERROR(VLOOKUP($S1597,'TA database'!$I$146:$J$193,2,FALSE),0)</f>
        <v>0</v>
      </c>
      <c r="X1597" s="54">
        <f ca="1">IFERROR(VLOOKUP($S1597,'TA database'!$I$200:$J$271,2,FALSE),0)</f>
        <v>80</v>
      </c>
      <c r="Y1597" s="59">
        <f t="shared" ref="Y1597" ca="1" si="4978">IF($W1597=0,(PRODUCT($T1597:$V1597,$X1597))/1000000,(PRODUCT($T1597:$W1597))/1000000)</f>
        <v>20.16</v>
      </c>
      <c r="Z1597" t="str">
        <f t="shared" si="4973"/>
        <v>BIO_GSF_CCS_MED_C   →   C_GAS_STRG   →   METHANATION   →   NG_FC_PWR</v>
      </c>
      <c r="AA1597" t="str">
        <f t="shared" si="4974"/>
        <v>Onsite / Back-up power</v>
      </c>
      <c r="AB1597" t="str">
        <f t="shared" si="4975"/>
        <v>Public acceptability</v>
      </c>
      <c r="AC1597">
        <f t="shared" ca="1" si="4976"/>
        <v>20.16</v>
      </c>
      <c r="AD1597">
        <v>1538</v>
      </c>
      <c r="AE1597" t="str">
        <f>IF(AND(ISNUMBER(SEARCH(O1597,4)),ISNUMBER(SEARCH('(4) FCH pathway assessment'!$B$16,AB1597)),ISNUMBER(SEARCH('(4) FCH pathway assessment'!$B$10,AA1597))),AD1597,"")</f>
        <v/>
      </c>
      <c r="AF1597" t="str">
        <f t="shared" si="4977"/>
        <v/>
      </c>
      <c r="AG1597" t="str">
        <f>VLOOKUP(C1597,Assumptions!$B$116:$C$162,2,FALSE)</f>
        <v>BIO_GSF_CCS_MED_C</v>
      </c>
      <c r="AH1597" t="str">
        <f>VLOOKUP(D1597,Assumptions!$B$116:$C$162,2,FALSE)</f>
        <v>C_GAS_STRG</v>
      </c>
      <c r="AI1597" t="str">
        <f>VLOOKUP(E1597,Assumptions!$B$116:$C$162,2,FALSE)</f>
        <v>METHANATION</v>
      </c>
      <c r="AJ1597" t="str">
        <f>VLOOKUP(F1597,Assumptions!$B$116:$C$162,2,FALSE)</f>
        <v>NG_FC_PWR</v>
      </c>
    </row>
    <row r="1598" spans="2:36" x14ac:dyDescent="0.25">
      <c r="B1598" t="s">
        <v>117</v>
      </c>
      <c r="C1598" t="s">
        <v>56</v>
      </c>
      <c r="D1598" t="s">
        <v>62</v>
      </c>
      <c r="E1598" t="s">
        <v>65</v>
      </c>
      <c r="F1598" t="s">
        <v>165</v>
      </c>
      <c r="G1598" t="s">
        <v>126</v>
      </c>
      <c r="H1598" t="s">
        <v>433</v>
      </c>
      <c r="I1598" t="s">
        <v>32</v>
      </c>
      <c r="J1598" t="s">
        <v>82</v>
      </c>
      <c r="K1598">
        <f t="shared" ref="K1598" si="4979">SUMPRODUCT(($C$7:$C$18=$C1598)*($D$6:$H$6=$D1598)*($D$7:$H$18))</f>
        <v>0</v>
      </c>
      <c r="L1598">
        <f t="shared" ref="L1598" si="4980">SUMPRODUCT(($C$19:$C$23=$D1598)*($I$6:$O$6=$E1598)*($I$19:$O$23))</f>
        <v>0</v>
      </c>
      <c r="M1598">
        <f t="shared" ref="M1598" si="4981">SUMPRODUCT(($C$24:$C$30=$E1598)*($P$6:$AI$6=$F1598)*($P$24:$AI$30))</f>
        <v>0</v>
      </c>
      <c r="N1598">
        <f t="shared" ref="N1598" si="4982">SUMPRODUCT(($C$31:$C$50=$F1598)*($AJ$6:$AM$6=$G1598)*($AJ$31:$AM$50))</f>
        <v>1</v>
      </c>
      <c r="O1598">
        <f t="shared" ref="O1598" si="4983">K1598+L1598+M1598+N1598</f>
        <v>1</v>
      </c>
      <c r="P1598" t="str">
        <f t="shared" ref="P1598" si="4984">CONCATENATE(C1598,"-",J1598)</f>
        <v>Large centralized biomass steam reforming -Public acceptability</v>
      </c>
      <c r="Q1598" t="str">
        <f t="shared" ref="Q1598" si="4985">CONCATENATE(D1598,"-",J1598)</f>
        <v>Underground storage-Public acceptability</v>
      </c>
      <c r="R1598" t="str">
        <f t="shared" ref="R1598" si="4986">CONCATENATE(E1598,"-",J1598)</f>
        <v>Methanation-Public acceptability</v>
      </c>
      <c r="S1598" t="str">
        <f t="shared" ref="S1598" si="4987">CONCATENATE(F1598,"-",J1598)</f>
        <v>Prime power natural gas fuel cell-Public acceptability</v>
      </c>
      <c r="T1598" s="54">
        <f ca="1">VLOOKUP($P1598,'TA database'!$I$8:$J$79,2,FALSE)</f>
        <v>80</v>
      </c>
      <c r="U1598" s="54">
        <f ca="1">VLOOKUP($Q1598,'TA database'!$I$86:$J$105,2,FALSE)</f>
        <v>60</v>
      </c>
      <c r="V1598" s="54">
        <f ca="1">VLOOKUP($R1598,'TA database'!$I$112:$J$139,2,FALSE)</f>
        <v>70</v>
      </c>
      <c r="W1598" s="54">
        <f>IFERROR(VLOOKUP($S1598,'TA database'!$I$146:$J$193,2,FALSE),0)</f>
        <v>0</v>
      </c>
      <c r="X1598" s="54">
        <f ca="1">IFERROR(VLOOKUP($S1598,'TA database'!$I$200:$J$271,2,FALSE),0)</f>
        <v>80</v>
      </c>
      <c r="Y1598" s="59">
        <f t="shared" ref="Y1598:Y1600" ca="1" si="4988">IF($W1598=0,(PRODUCT($T1598:$V1598,$X1598))/1000000,(PRODUCT($T1598:$W1598))/1000000)</f>
        <v>26.88</v>
      </c>
      <c r="Z1598" t="str">
        <f t="shared" ref="Z1598" si="4989">CONCATENATE(AG1598,"   →   ",AH1598,"   →   ",AI1598,"   →   ",AJ1598)</f>
        <v>BIO_SR_LRG_C   →   C_UNDRGRND_STRG   →   METHANATION   →   NG_FC_PWR</v>
      </c>
      <c r="AA1598" t="str">
        <f t="shared" ref="AA1598" si="4990">G1598</f>
        <v>Onsite / Back-up power</v>
      </c>
      <c r="AB1598" t="str">
        <f t="shared" ref="AB1598" si="4991">J1598</f>
        <v>Public acceptability</v>
      </c>
      <c r="AC1598">
        <f t="shared" ref="AC1598" ca="1" si="4992">Y1598</f>
        <v>26.88</v>
      </c>
      <c r="AD1598">
        <v>1539</v>
      </c>
      <c r="AE1598" t="str">
        <f>IF(AND(ISNUMBER(SEARCH(O1598,4)),ISNUMBER(SEARCH('(4) FCH pathway assessment'!$B$16,AB1598)),ISNUMBER(SEARCH('(4) FCH pathway assessment'!$B$10,AA1598))),AD1598,"")</f>
        <v/>
      </c>
      <c r="AF1598" t="str">
        <f t="shared" si="4977"/>
        <v/>
      </c>
      <c r="AG1598" t="str">
        <f>VLOOKUP(C1598,Assumptions!$B$116:$C$162,2,FALSE)</f>
        <v>BIO_SR_LRG_C</v>
      </c>
      <c r="AH1598" t="str">
        <f>VLOOKUP(D1598,Assumptions!$B$116:$C$162,2,FALSE)</f>
        <v>C_UNDRGRND_STRG</v>
      </c>
      <c r="AI1598" t="str">
        <f>VLOOKUP(E1598,Assumptions!$B$116:$C$162,2,FALSE)</f>
        <v>METHANATION</v>
      </c>
      <c r="AJ1598" t="str">
        <f>VLOOKUP(F1598,Assumptions!$B$116:$C$162,2,FALSE)</f>
        <v>NG_FC_PWR</v>
      </c>
    </row>
    <row r="1599" spans="2:36" x14ac:dyDescent="0.25">
      <c r="B1599" t="s">
        <v>112</v>
      </c>
      <c r="C1599" t="s">
        <v>49</v>
      </c>
      <c r="D1599" t="s">
        <v>62</v>
      </c>
      <c r="E1599" t="s">
        <v>65</v>
      </c>
      <c r="F1599" t="s">
        <v>165</v>
      </c>
      <c r="G1599" t="s">
        <v>126</v>
      </c>
      <c r="H1599" t="s">
        <v>433</v>
      </c>
      <c r="I1599" t="s">
        <v>32</v>
      </c>
      <c r="J1599" t="s">
        <v>82</v>
      </c>
      <c r="K1599">
        <f t="shared" ref="K1599:K1601" si="4993">SUMPRODUCT(($C$7:$C$18=$C1599)*($D$6:$H$6=$D1599)*($D$7:$H$18))</f>
        <v>1</v>
      </c>
      <c r="L1599">
        <f t="shared" ref="L1599:L1601" si="4994">SUMPRODUCT(($C$19:$C$23=$D1599)*($I$6:$O$6=$E1599)*($I$19:$O$23))</f>
        <v>0</v>
      </c>
      <c r="M1599">
        <f t="shared" ref="M1599:M1601" si="4995">SUMPRODUCT(($C$24:$C$30=$E1599)*($P$6:$AI$6=$F1599)*($P$24:$AI$30))</f>
        <v>0</v>
      </c>
      <c r="N1599">
        <f t="shared" ref="N1599:N1601" si="4996">SUMPRODUCT(($C$31:$C$50=$F1599)*($AJ$6:$AM$6=$G1599)*($AJ$31:$AM$50))</f>
        <v>1</v>
      </c>
      <c r="O1599">
        <f t="shared" ref="O1599:O1601" si="4997">K1599+L1599+M1599+N1599</f>
        <v>2</v>
      </c>
      <c r="P1599" t="str">
        <f t="shared" ref="P1599:P1601" si="4998">CONCATENATE(C1599,"-",J1599)</f>
        <v>Large centralized electrolysis-Public acceptability</v>
      </c>
      <c r="Q1599" t="str">
        <f t="shared" ref="Q1599:Q1601" si="4999">CONCATENATE(D1599,"-",J1599)</f>
        <v>Underground storage-Public acceptability</v>
      </c>
      <c r="R1599" t="str">
        <f t="shared" ref="R1599:R1601" si="5000">CONCATENATE(E1599,"-",J1599)</f>
        <v>Methanation-Public acceptability</v>
      </c>
      <c r="S1599" t="str">
        <f t="shared" ref="S1599:S1601" si="5001">CONCATENATE(F1599,"-",J1599)</f>
        <v>Prime power natural gas fuel cell-Public acceptability</v>
      </c>
      <c r="T1599" s="54">
        <f ca="1">VLOOKUP($P1599,'TA database'!$I$8:$J$79,2,FALSE)</f>
        <v>80</v>
      </c>
      <c r="U1599" s="54">
        <f ca="1">VLOOKUP($Q1599,'TA database'!$I$86:$J$105,2,FALSE)</f>
        <v>60</v>
      </c>
      <c r="V1599" s="54">
        <f ca="1">VLOOKUP($R1599,'TA database'!$I$112:$J$139,2,FALSE)</f>
        <v>70</v>
      </c>
      <c r="W1599" s="54">
        <f>IFERROR(VLOOKUP($S1599,'TA database'!$I$146:$J$193,2,FALSE),0)</f>
        <v>0</v>
      </c>
      <c r="X1599" s="54">
        <f ca="1">IFERROR(VLOOKUP($S1599,'TA database'!$I$200:$J$271,2,FALSE),0)</f>
        <v>80</v>
      </c>
      <c r="Y1599" s="59">
        <f t="shared" ca="1" si="4988"/>
        <v>26.88</v>
      </c>
      <c r="Z1599" t="str">
        <f t="shared" ref="Z1599:Z1601" si="5002">CONCATENATE(AG1599,"   →   ",AH1599,"   →   ",AI1599,"   →   ",AJ1599)</f>
        <v>ELCTRLYZ_LRG_C   →   C_UNDRGRND_STRG   →   METHANATION   →   NG_FC_PWR</v>
      </c>
      <c r="AA1599" t="str">
        <f t="shared" ref="AA1599:AA1601" si="5003">G1599</f>
        <v>Onsite / Back-up power</v>
      </c>
      <c r="AB1599" t="str">
        <f t="shared" ref="AB1599:AB1601" si="5004">J1599</f>
        <v>Public acceptability</v>
      </c>
      <c r="AC1599">
        <f t="shared" ref="AC1599:AC1601" ca="1" si="5005">Y1599</f>
        <v>26.88</v>
      </c>
      <c r="AD1599">
        <v>1540</v>
      </c>
      <c r="AE1599" t="str">
        <f>IF(AND(ISNUMBER(SEARCH(O1599,4)),ISNUMBER(SEARCH('(4) FCH pathway assessment'!$B$16,AB1599)),ISNUMBER(SEARCH('(4) FCH pathway assessment'!$B$10,AA1599))),AD1599,"")</f>
        <v/>
      </c>
      <c r="AF1599" t="str">
        <f t="shared" si="4977"/>
        <v/>
      </c>
      <c r="AG1599" t="str">
        <f>VLOOKUP(C1599,Assumptions!$B$116:$C$162,2,FALSE)</f>
        <v>ELCTRLYZ_LRG_C</v>
      </c>
      <c r="AH1599" t="str">
        <f>VLOOKUP(D1599,Assumptions!$B$116:$C$162,2,FALSE)</f>
        <v>C_UNDRGRND_STRG</v>
      </c>
      <c r="AI1599" t="str">
        <f>VLOOKUP(E1599,Assumptions!$B$116:$C$162,2,FALSE)</f>
        <v>METHANATION</v>
      </c>
      <c r="AJ1599" t="str">
        <f>VLOOKUP(F1599,Assumptions!$B$116:$C$162,2,FALSE)</f>
        <v>NG_FC_PWR</v>
      </c>
    </row>
    <row r="1600" spans="2:36" x14ac:dyDescent="0.25">
      <c r="B1600" t="s">
        <v>112</v>
      </c>
      <c r="C1600" t="s">
        <v>49</v>
      </c>
      <c r="D1600" t="s">
        <v>155</v>
      </c>
      <c r="E1600" t="s">
        <v>65</v>
      </c>
      <c r="F1600" t="s">
        <v>165</v>
      </c>
      <c r="G1600" t="s">
        <v>126</v>
      </c>
      <c r="H1600" t="s">
        <v>433</v>
      </c>
      <c r="I1600" t="s">
        <v>32</v>
      </c>
      <c r="J1600" t="s">
        <v>82</v>
      </c>
      <c r="K1600">
        <f t="shared" si="4993"/>
        <v>1</v>
      </c>
      <c r="L1600">
        <f t="shared" si="4994"/>
        <v>1</v>
      </c>
      <c r="M1600">
        <f t="shared" si="4995"/>
        <v>0</v>
      </c>
      <c r="N1600">
        <f t="shared" si="4996"/>
        <v>1</v>
      </c>
      <c r="O1600">
        <f t="shared" si="4997"/>
        <v>3</v>
      </c>
      <c r="P1600" t="str">
        <f t="shared" si="4998"/>
        <v>Large centralized electrolysis-Public acceptability</v>
      </c>
      <c r="Q1600" t="str">
        <f t="shared" si="4999"/>
        <v>Central gas storage-Public acceptability</v>
      </c>
      <c r="R1600" t="str">
        <f t="shared" si="5000"/>
        <v>Methanation-Public acceptability</v>
      </c>
      <c r="S1600" t="str">
        <f t="shared" si="5001"/>
        <v>Prime power natural gas fuel cell-Public acceptability</v>
      </c>
      <c r="T1600" s="54">
        <f ca="1">VLOOKUP($P1600,'TA database'!$I$8:$J$79,2,FALSE)</f>
        <v>80</v>
      </c>
      <c r="U1600" s="54">
        <f ca="1">VLOOKUP($Q1600,'TA database'!$I$86:$J$105,2,FALSE)</f>
        <v>60</v>
      </c>
      <c r="V1600" s="54">
        <f ca="1">VLOOKUP($R1600,'TA database'!$I$112:$J$139,2,FALSE)</f>
        <v>70</v>
      </c>
      <c r="W1600" s="54">
        <f>IFERROR(VLOOKUP($S1600,'TA database'!$I$146:$J$193,2,FALSE),0)</f>
        <v>0</v>
      </c>
      <c r="X1600" s="54">
        <f ca="1">IFERROR(VLOOKUP($S1600,'TA database'!$I$200:$J$271,2,FALSE),0)</f>
        <v>80</v>
      </c>
      <c r="Y1600" s="59">
        <f t="shared" ca="1" si="4988"/>
        <v>26.88</v>
      </c>
      <c r="Z1600" t="str">
        <f t="shared" si="5002"/>
        <v>ELCTRLYZ_LRG_C   →   C_GAS_STRG   →   METHANATION   →   NG_FC_PWR</v>
      </c>
      <c r="AA1600" t="str">
        <f t="shared" si="5003"/>
        <v>Onsite / Back-up power</v>
      </c>
      <c r="AB1600" t="str">
        <f t="shared" si="5004"/>
        <v>Public acceptability</v>
      </c>
      <c r="AC1600">
        <f t="shared" ca="1" si="5005"/>
        <v>26.88</v>
      </c>
      <c r="AD1600">
        <v>1541</v>
      </c>
      <c r="AE1600" t="str">
        <f>IF(AND(ISNUMBER(SEARCH(O1600,4)),ISNUMBER(SEARCH('(4) FCH pathway assessment'!$B$16,AB1600)),ISNUMBER(SEARCH('(4) FCH pathway assessment'!$B$10,AA1600))),AD1600,"")</f>
        <v/>
      </c>
      <c r="AF1600" t="str">
        <f t="shared" si="4977"/>
        <v/>
      </c>
      <c r="AG1600" t="str">
        <f>VLOOKUP(C1600,Assumptions!$B$116:$C$162,2,FALSE)</f>
        <v>ELCTRLYZ_LRG_C</v>
      </c>
      <c r="AH1600" t="str">
        <f>VLOOKUP(D1600,Assumptions!$B$116:$C$162,2,FALSE)</f>
        <v>C_GAS_STRG</v>
      </c>
      <c r="AI1600" t="str">
        <f>VLOOKUP(E1600,Assumptions!$B$116:$C$162,2,FALSE)</f>
        <v>METHANATION</v>
      </c>
      <c r="AJ1600" t="str">
        <f>VLOOKUP(F1600,Assumptions!$B$116:$C$162,2,FALSE)</f>
        <v>NG_FC_PWR</v>
      </c>
    </row>
    <row r="1601" spans="2:36" x14ac:dyDescent="0.25">
      <c r="B1601" t="s">
        <v>112</v>
      </c>
      <c r="C1601" t="s">
        <v>51</v>
      </c>
      <c r="D1601" t="s">
        <v>155</v>
      </c>
      <c r="E1601" t="s">
        <v>65</v>
      </c>
      <c r="F1601" t="s">
        <v>165</v>
      </c>
      <c r="G1601" t="s">
        <v>126</v>
      </c>
      <c r="H1601" t="s">
        <v>433</v>
      </c>
      <c r="I1601" t="s">
        <v>32</v>
      </c>
      <c r="J1601" t="s">
        <v>82</v>
      </c>
      <c r="K1601">
        <f t="shared" si="4993"/>
        <v>1</v>
      </c>
      <c r="L1601">
        <f t="shared" si="4994"/>
        <v>1</v>
      </c>
      <c r="M1601">
        <f t="shared" si="4995"/>
        <v>0</v>
      </c>
      <c r="N1601">
        <f t="shared" si="4996"/>
        <v>1</v>
      </c>
      <c r="O1601">
        <f t="shared" si="4997"/>
        <v>3</v>
      </c>
      <c r="P1601" t="str">
        <f t="shared" si="4998"/>
        <v>Medium centralized electrolysis-Public acceptability</v>
      </c>
      <c r="Q1601" t="str">
        <f t="shared" si="4999"/>
        <v>Central gas storage-Public acceptability</v>
      </c>
      <c r="R1601" t="str">
        <f t="shared" si="5000"/>
        <v>Methanation-Public acceptability</v>
      </c>
      <c r="S1601" t="str">
        <f t="shared" si="5001"/>
        <v>Prime power natural gas fuel cell-Public acceptability</v>
      </c>
      <c r="T1601" s="54">
        <f ca="1">VLOOKUP($P1601,'TA database'!$I$8:$J$79,2,FALSE)</f>
        <v>90</v>
      </c>
      <c r="U1601" s="54">
        <f ca="1">VLOOKUP($Q1601,'TA database'!$I$86:$J$105,2,FALSE)</f>
        <v>60</v>
      </c>
      <c r="V1601" s="54">
        <f ca="1">VLOOKUP($R1601,'TA database'!$I$112:$J$139,2,FALSE)</f>
        <v>70</v>
      </c>
      <c r="W1601" s="54">
        <f>IFERROR(VLOOKUP($S1601,'TA database'!$I$146:$J$193,2,FALSE),0)</f>
        <v>0</v>
      </c>
      <c r="X1601" s="54">
        <f ca="1">IFERROR(VLOOKUP($S1601,'TA database'!$I$200:$J$271,2,FALSE),0)</f>
        <v>80</v>
      </c>
      <c r="Y1601" s="59">
        <f t="shared" ref="Y1601" ca="1" si="5006">IF($W1601=0,(PRODUCT($T1601:$V1601,$X1601))/1000000,(PRODUCT($T1601:$W1601))/1000000)</f>
        <v>30.24</v>
      </c>
      <c r="Z1601" t="str">
        <f t="shared" si="5002"/>
        <v>ELCTRLYZ_MED_C   →   C_GAS_STRG   →   METHANATION   →   NG_FC_PWR</v>
      </c>
      <c r="AA1601" t="str">
        <f t="shared" si="5003"/>
        <v>Onsite / Back-up power</v>
      </c>
      <c r="AB1601" t="str">
        <f t="shared" si="5004"/>
        <v>Public acceptability</v>
      </c>
      <c r="AC1601">
        <f t="shared" ca="1" si="5005"/>
        <v>30.24</v>
      </c>
      <c r="AD1601">
        <v>1542</v>
      </c>
      <c r="AE1601" t="str">
        <f>IF(AND(ISNUMBER(SEARCH(O1601,4)),ISNUMBER(SEARCH('(4) FCH pathway assessment'!$B$16,AB1601)),ISNUMBER(SEARCH('(4) FCH pathway assessment'!$B$10,AA1601))),AD1601,"")</f>
        <v/>
      </c>
      <c r="AF1601" t="str">
        <f t="shared" si="4977"/>
        <v/>
      </c>
      <c r="AG1601" t="str">
        <f>VLOOKUP(C1601,Assumptions!$B$116:$C$162,2,FALSE)</f>
        <v>ELCTRLYZ_MED_C</v>
      </c>
      <c r="AH1601" t="str">
        <f>VLOOKUP(D1601,Assumptions!$B$116:$C$162,2,FALSE)</f>
        <v>C_GAS_STRG</v>
      </c>
      <c r="AI1601" t="str">
        <f>VLOOKUP(E1601,Assumptions!$B$116:$C$162,2,FALSE)</f>
        <v>METHANATION</v>
      </c>
      <c r="AJ1601" t="str">
        <f>VLOOKUP(F1601,Assumptions!$B$116:$C$162,2,FALSE)</f>
        <v>NG_FC_PWR</v>
      </c>
    </row>
    <row r="1602" spans="2:36" x14ac:dyDescent="0.25">
      <c r="B1602" t="s">
        <v>127</v>
      </c>
      <c r="C1602" t="s">
        <v>57</v>
      </c>
      <c r="D1602" t="s">
        <v>62</v>
      </c>
      <c r="E1602" t="s">
        <v>65</v>
      </c>
      <c r="F1602" t="s">
        <v>165</v>
      </c>
      <c r="G1602" t="s">
        <v>126</v>
      </c>
      <c r="H1602" t="s">
        <v>433</v>
      </c>
      <c r="I1602" t="s">
        <v>32</v>
      </c>
      <c r="J1602" t="s">
        <v>82</v>
      </c>
      <c r="K1602">
        <f t="shared" ref="K1602" si="5007">SUMPRODUCT(($C$7:$C$18=$C1602)*($D$6:$H$6=$D1602)*($D$7:$H$18))</f>
        <v>1</v>
      </c>
      <c r="L1602">
        <f t="shared" ref="L1602" si="5008">SUMPRODUCT(($C$19:$C$23=$D1602)*($I$6:$O$6=$E1602)*($I$19:$O$23))</f>
        <v>0</v>
      </c>
      <c r="M1602">
        <f t="shared" ref="M1602" si="5009">SUMPRODUCT(($C$24:$C$30=$E1602)*($P$6:$AI$6=$F1602)*($P$24:$AI$30))</f>
        <v>0</v>
      </c>
      <c r="N1602">
        <f t="shared" ref="N1602" si="5010">SUMPRODUCT(($C$31:$C$50=$F1602)*($AJ$6:$AM$6=$G1602)*($AJ$31:$AM$50))</f>
        <v>1</v>
      </c>
      <c r="O1602">
        <f t="shared" ref="O1602" si="5011">K1602+L1602+M1602+N1602</f>
        <v>2</v>
      </c>
      <c r="P1602" t="str">
        <f t="shared" ref="P1602" si="5012">CONCATENATE(C1602,"-",J1602)</f>
        <v>Large centralized natural gas steam reforming-Public acceptability</v>
      </c>
      <c r="Q1602" t="str">
        <f t="shared" ref="Q1602" si="5013">CONCATENATE(D1602,"-",J1602)</f>
        <v>Underground storage-Public acceptability</v>
      </c>
      <c r="R1602" t="str">
        <f t="shared" ref="R1602" si="5014">CONCATENATE(E1602,"-",J1602)</f>
        <v>Methanation-Public acceptability</v>
      </c>
      <c r="S1602" t="str">
        <f t="shared" ref="S1602" si="5015">CONCATENATE(F1602,"-",J1602)</f>
        <v>Prime power natural gas fuel cell-Public acceptability</v>
      </c>
      <c r="T1602" s="54">
        <f ca="1">VLOOKUP($P1602,'TA database'!$I$8:$J$79,2,FALSE)</f>
        <v>90</v>
      </c>
      <c r="U1602" s="54">
        <f ca="1">VLOOKUP($Q1602,'TA database'!$I$86:$J$105,2,FALSE)</f>
        <v>60</v>
      </c>
      <c r="V1602" s="54">
        <f ca="1">VLOOKUP($R1602,'TA database'!$I$112:$J$139,2,FALSE)</f>
        <v>70</v>
      </c>
      <c r="W1602" s="54">
        <f>IFERROR(VLOOKUP($S1602,'TA database'!$I$146:$J$193,2,FALSE),0)</f>
        <v>0</v>
      </c>
      <c r="X1602" s="54">
        <f ca="1">IFERROR(VLOOKUP($S1602,'TA database'!$I$200:$J$271,2,FALSE),0)</f>
        <v>80</v>
      </c>
      <c r="Y1602" s="59">
        <f t="shared" ref="Y1602" ca="1" si="5016">IF($W1602=0,(PRODUCT($T1602:$V1602,$X1602))/1000000,(PRODUCT($T1602:$W1602))/1000000)</f>
        <v>30.24</v>
      </c>
      <c r="Z1602" t="str">
        <f t="shared" ref="Z1602" si="5017">CONCATENATE(AG1602,"   →   ",AH1602,"   →   ",AI1602,"   →   ",AJ1602)</f>
        <v>NG_SR_LRG_C   →   C_UNDRGRND_STRG   →   METHANATION   →   NG_FC_PWR</v>
      </c>
      <c r="AA1602" t="str">
        <f t="shared" ref="AA1602" si="5018">G1602</f>
        <v>Onsite / Back-up power</v>
      </c>
      <c r="AB1602" t="str">
        <f t="shared" ref="AB1602" si="5019">J1602</f>
        <v>Public acceptability</v>
      </c>
      <c r="AC1602">
        <f t="shared" ref="AC1602" ca="1" si="5020">Y1602</f>
        <v>30.24</v>
      </c>
      <c r="AD1602">
        <v>1543</v>
      </c>
      <c r="AE1602" t="str">
        <f>IF(AND(ISNUMBER(SEARCH(O1602,4)),ISNUMBER(SEARCH('(4) FCH pathway assessment'!$B$16,AB1602)),ISNUMBER(SEARCH('(4) FCH pathway assessment'!$B$10,AA1602))),AD1602,"")</f>
        <v/>
      </c>
      <c r="AF1602" t="str">
        <f t="shared" si="4977"/>
        <v/>
      </c>
      <c r="AG1602" t="str">
        <f>VLOOKUP(C1602,Assumptions!$B$116:$C$162,2,FALSE)</f>
        <v>NG_SR_LRG_C</v>
      </c>
      <c r="AH1602" t="str">
        <f>VLOOKUP(D1602,Assumptions!$B$116:$C$162,2,FALSE)</f>
        <v>C_UNDRGRND_STRG</v>
      </c>
      <c r="AI1602" t="str">
        <f>VLOOKUP(E1602,Assumptions!$B$116:$C$162,2,FALSE)</f>
        <v>METHANATION</v>
      </c>
      <c r="AJ1602" t="str">
        <f>VLOOKUP(F1602,Assumptions!$B$116:$C$162,2,FALSE)</f>
        <v>NG_FC_PWR</v>
      </c>
    </row>
    <row r="1603" spans="2:36" x14ac:dyDescent="0.25">
      <c r="B1603" t="s">
        <v>127</v>
      </c>
      <c r="C1603" t="s">
        <v>58</v>
      </c>
      <c r="D1603" t="s">
        <v>155</v>
      </c>
      <c r="E1603" t="s">
        <v>65</v>
      </c>
      <c r="F1603" t="s">
        <v>165</v>
      </c>
      <c r="G1603" t="s">
        <v>126</v>
      </c>
      <c r="H1603" t="s">
        <v>433</v>
      </c>
      <c r="I1603" t="s">
        <v>32</v>
      </c>
      <c r="J1603" t="s">
        <v>82</v>
      </c>
      <c r="K1603">
        <f t="shared" ref="K1603" si="5021">SUMPRODUCT(($C$7:$C$18=$C1603)*($D$6:$H$6=$D1603)*($D$7:$H$18))</f>
        <v>1</v>
      </c>
      <c r="L1603">
        <f t="shared" ref="L1603" si="5022">SUMPRODUCT(($C$19:$C$23=$D1603)*($I$6:$O$6=$E1603)*($I$19:$O$23))</f>
        <v>1</v>
      </c>
      <c r="M1603">
        <f t="shared" ref="M1603" si="5023">SUMPRODUCT(($C$24:$C$30=$E1603)*($P$6:$AI$6=$F1603)*($P$24:$AI$30))</f>
        <v>0</v>
      </c>
      <c r="N1603">
        <f t="shared" ref="N1603" si="5024">SUMPRODUCT(($C$31:$C$50=$F1603)*($AJ$6:$AM$6=$G1603)*($AJ$31:$AM$50))</f>
        <v>1</v>
      </c>
      <c r="O1603">
        <f t="shared" ref="O1603" si="5025">K1603+L1603+M1603+N1603</f>
        <v>3</v>
      </c>
      <c r="P1603" t="str">
        <f t="shared" ref="P1603" si="5026">CONCATENATE(C1603,"-",J1603)</f>
        <v>Small centralized natural gas steam reforming-Public acceptability</v>
      </c>
      <c r="Q1603" t="str">
        <f t="shared" ref="Q1603" si="5027">CONCATENATE(D1603,"-",J1603)</f>
        <v>Central gas storage-Public acceptability</v>
      </c>
      <c r="R1603" t="str">
        <f t="shared" ref="R1603" si="5028">CONCATENATE(E1603,"-",J1603)</f>
        <v>Methanation-Public acceptability</v>
      </c>
      <c r="S1603" t="str">
        <f t="shared" ref="S1603" si="5029">CONCATENATE(F1603,"-",J1603)</f>
        <v>Prime power natural gas fuel cell-Public acceptability</v>
      </c>
      <c r="T1603" s="54">
        <f ca="1">VLOOKUP($P1603,'TA database'!$I$8:$J$79,2,FALSE)</f>
        <v>90</v>
      </c>
      <c r="U1603" s="54">
        <f ca="1">VLOOKUP($Q1603,'TA database'!$I$86:$J$105,2,FALSE)</f>
        <v>60</v>
      </c>
      <c r="V1603" s="54">
        <f ca="1">VLOOKUP($R1603,'TA database'!$I$112:$J$139,2,FALSE)</f>
        <v>70</v>
      </c>
      <c r="W1603" s="54">
        <f>IFERROR(VLOOKUP($S1603,'TA database'!$I$146:$J$193,2,FALSE),0)</f>
        <v>0</v>
      </c>
      <c r="X1603" s="54">
        <f ca="1">IFERROR(VLOOKUP($S1603,'TA database'!$I$200:$J$271,2,FALSE),0)</f>
        <v>80</v>
      </c>
      <c r="Y1603" s="59">
        <f t="shared" ref="Y1603" ca="1" si="5030">IF($W1603=0,(PRODUCT($T1603:$V1603,$X1603))/1000000,(PRODUCT($T1603:$W1603))/1000000)</f>
        <v>30.24</v>
      </c>
      <c r="Z1603" t="str">
        <f t="shared" ref="Z1603" si="5031">CONCATENATE(AG1603,"   →   ",AH1603,"   →   ",AI1603,"   →   ",AJ1603)</f>
        <v>NG_SR_SML_C   →   C_GAS_STRG   →   METHANATION   →   NG_FC_PWR</v>
      </c>
      <c r="AA1603" t="str">
        <f t="shared" ref="AA1603" si="5032">G1603</f>
        <v>Onsite / Back-up power</v>
      </c>
      <c r="AB1603" t="str">
        <f t="shared" ref="AB1603" si="5033">J1603</f>
        <v>Public acceptability</v>
      </c>
      <c r="AC1603">
        <f t="shared" ref="AC1603" ca="1" si="5034">Y1603</f>
        <v>30.24</v>
      </c>
      <c r="AD1603">
        <v>1544</v>
      </c>
      <c r="AE1603" t="str">
        <f>IF(AND(ISNUMBER(SEARCH(O1603,4)),ISNUMBER(SEARCH('(4) FCH pathway assessment'!$B$16,AB1603)),ISNUMBER(SEARCH('(4) FCH pathway assessment'!$B$10,AA1603))),AD1603,"")</f>
        <v/>
      </c>
      <c r="AF1603" t="str">
        <f t="shared" si="4977"/>
        <v/>
      </c>
      <c r="AG1603" t="str">
        <f>VLOOKUP(C1603,Assumptions!$B$116:$C$162,2,FALSE)</f>
        <v>NG_SR_SML_C</v>
      </c>
      <c r="AH1603" t="str">
        <f>VLOOKUP(D1603,Assumptions!$B$116:$C$162,2,FALSE)</f>
        <v>C_GAS_STRG</v>
      </c>
      <c r="AI1603" t="str">
        <f>VLOOKUP(E1603,Assumptions!$B$116:$C$162,2,FALSE)</f>
        <v>METHANATION</v>
      </c>
      <c r="AJ1603" t="str">
        <f>VLOOKUP(F1603,Assumptions!$B$116:$C$162,2,FALSE)</f>
        <v>NG_FC_PWR</v>
      </c>
    </row>
    <row r="1604" spans="2:36" x14ac:dyDescent="0.25">
      <c r="B1604" t="s">
        <v>127</v>
      </c>
      <c r="C1604" t="s">
        <v>174</v>
      </c>
      <c r="D1604" s="61" t="s">
        <v>177</v>
      </c>
      <c r="E1604" t="s">
        <v>180</v>
      </c>
      <c r="F1604" t="s">
        <v>165</v>
      </c>
      <c r="G1604" t="s">
        <v>126</v>
      </c>
      <c r="H1604" t="s">
        <v>433</v>
      </c>
      <c r="I1604" t="s">
        <v>32</v>
      </c>
      <c r="J1604" t="s">
        <v>82</v>
      </c>
      <c r="K1604">
        <f t="shared" ref="K1604:K1608" si="5035">SUMPRODUCT(($C$7:$C$18=$C1604)*($D$6:$H$6=$D1604)*($D$7:$H$18))</f>
        <v>1</v>
      </c>
      <c r="L1604">
        <f t="shared" ref="L1604:L1608" si="5036">SUMPRODUCT(($C$19:$C$23=$D1604)*($I$6:$O$6=$E1604)*($I$19:$O$23))</f>
        <v>1</v>
      </c>
      <c r="M1604">
        <f t="shared" ref="M1604:M1608" si="5037">SUMPRODUCT(($C$24:$C$30=$E1604)*($P$6:$AI$6=$F1604)*($P$24:$AI$30))</f>
        <v>1</v>
      </c>
      <c r="N1604">
        <f t="shared" ref="N1604:N1608" si="5038">SUMPRODUCT(($C$31:$C$50=$F1604)*($AJ$6:$AM$6=$G1604)*($AJ$31:$AM$50))</f>
        <v>1</v>
      </c>
      <c r="O1604">
        <f t="shared" ref="O1604:O1608" si="5039">K1604+L1604+M1604+N1604</f>
        <v>4</v>
      </c>
      <c r="P1604" t="str">
        <f t="shared" ref="P1604:P1608" si="5040">CONCATENATE(C1604,"-",J1604)</f>
        <v>Natural gas production-Public acceptability</v>
      </c>
      <c r="Q1604" t="str">
        <f t="shared" ref="Q1604:Q1608" si="5041">CONCATENATE(D1604,"-",J1604)</f>
        <v>Natural gas storage-Public acceptability</v>
      </c>
      <c r="R1604" t="str">
        <f t="shared" ref="R1604:R1608" si="5042">CONCATENATE(E1604,"-",J1604)</f>
        <v>Natural gas transport-Public acceptability</v>
      </c>
      <c r="S1604" t="str">
        <f t="shared" ref="S1604:S1608" si="5043">CONCATENATE(F1604,"-",J1604)</f>
        <v>Prime power natural gas fuel cell-Public acceptability</v>
      </c>
      <c r="T1604" s="54">
        <f ca="1">VLOOKUP($P1604,'TA database'!$I$8:$J$79,2,FALSE)</f>
        <v>100</v>
      </c>
      <c r="U1604" s="54">
        <f ca="1">VLOOKUP($Q1604,'TA database'!$I$86:$J$105,2,FALSE)</f>
        <v>80</v>
      </c>
      <c r="V1604" s="54">
        <f ca="1">VLOOKUP($R1604,'TA database'!$I$112:$J$139,2,FALSE)</f>
        <v>90</v>
      </c>
      <c r="W1604" s="54">
        <f>IFERROR(VLOOKUP($S1604,'TA database'!$I$146:$J$193,2,FALSE),0)</f>
        <v>0</v>
      </c>
      <c r="X1604" s="54">
        <f ca="1">IFERROR(VLOOKUP($S1604,'TA database'!$I$200:$J$271,2,FALSE),0)</f>
        <v>80</v>
      </c>
      <c r="Y1604" s="59">
        <f t="shared" ref="Y1604:Y1612" ca="1" si="5044">IF($W1604=0,(PRODUCT($T1604:$V1604,$X1604))/1000000,(PRODUCT($T1604:$W1604))/1000000)</f>
        <v>57.6</v>
      </c>
      <c r="Z1604" t="str">
        <f t="shared" ref="Z1604:Z1608" si="5045">CONCATENATE(AG1604,"   →   ",AH1604,"   →   ",AI1604,"   →   ",AJ1604)</f>
        <v>[NG_PROD]   →   [NG_STRG]   →   [NG_TRNSP]   →   NG_FC_PWR</v>
      </c>
      <c r="AA1604" t="str">
        <f t="shared" ref="AA1604:AA1608" si="5046">G1604</f>
        <v>Onsite / Back-up power</v>
      </c>
      <c r="AB1604" t="str">
        <f t="shared" ref="AB1604:AB1608" si="5047">J1604</f>
        <v>Public acceptability</v>
      </c>
      <c r="AC1604">
        <f t="shared" ref="AC1604:AC1608" ca="1" si="5048">Y1604</f>
        <v>57.6</v>
      </c>
      <c r="AD1604">
        <v>1545</v>
      </c>
      <c r="AE1604" t="str">
        <f>IF(AND(ISNUMBER(SEARCH(O1604,4)),ISNUMBER(SEARCH('(4) FCH pathway assessment'!$B$16,AB1604)),ISNUMBER(SEARCH('(4) FCH pathway assessment'!$B$10,AA1604))),AD1604,"")</f>
        <v/>
      </c>
      <c r="AF1604" t="str">
        <f t="shared" si="4977"/>
        <v/>
      </c>
      <c r="AG1604" t="str">
        <f>VLOOKUP(C1604,Assumptions!$B$116:$C$162,2,FALSE)</f>
        <v>[NG_PROD]</v>
      </c>
      <c r="AH1604" t="str">
        <f>VLOOKUP(D1604,Assumptions!$B$116:$C$162,2,FALSE)</f>
        <v>[NG_STRG]</v>
      </c>
      <c r="AI1604" t="str">
        <f>VLOOKUP(E1604,Assumptions!$B$116:$C$162,2,FALSE)</f>
        <v>[NG_TRNSP]</v>
      </c>
      <c r="AJ1604" t="str">
        <f>VLOOKUP(F1604,Assumptions!$B$116:$C$162,2,FALSE)</f>
        <v>NG_FC_PWR</v>
      </c>
    </row>
    <row r="1605" spans="2:36" x14ac:dyDescent="0.25">
      <c r="B1605" t="s">
        <v>117</v>
      </c>
      <c r="C1605" t="s">
        <v>53</v>
      </c>
      <c r="D1605" t="s">
        <v>155</v>
      </c>
      <c r="E1605" t="s">
        <v>157</v>
      </c>
      <c r="F1605" t="s">
        <v>552</v>
      </c>
      <c r="G1605" t="s">
        <v>132</v>
      </c>
      <c r="H1605" t="s">
        <v>434</v>
      </c>
      <c r="I1605" t="s">
        <v>32</v>
      </c>
      <c r="J1605" t="s">
        <v>82</v>
      </c>
      <c r="K1605">
        <f t="shared" si="5035"/>
        <v>0</v>
      </c>
      <c r="L1605">
        <f t="shared" si="5036"/>
        <v>1</v>
      </c>
      <c r="M1605">
        <f t="shared" si="5037"/>
        <v>0</v>
      </c>
      <c r="N1605">
        <f t="shared" si="5038"/>
        <v>1</v>
      </c>
      <c r="O1605">
        <f t="shared" si="5039"/>
        <v>2</v>
      </c>
      <c r="P1605" t="str">
        <f t="shared" si="5040"/>
        <v>Medium centralized biomass gasification-Public acceptability</v>
      </c>
      <c r="Q1605" t="str">
        <f t="shared" si="5041"/>
        <v>Central gas storage-Public acceptability</v>
      </c>
      <c r="R1605" t="str">
        <f t="shared" si="5042"/>
        <v>Blending in natural gas pipeline-Public acceptability</v>
      </c>
      <c r="S1605" t="str">
        <f t="shared" si="5043"/>
        <v>District-CHP with H2 fuel cell (heat)-Public acceptability</v>
      </c>
      <c r="T1605" s="54">
        <f ca="1">VLOOKUP($P1605,'TA database'!$I$8:$J$79,2,FALSE)</f>
        <v>70</v>
      </c>
      <c r="U1605" s="54">
        <f ca="1">VLOOKUP($Q1605,'TA database'!$I$86:$J$105,2,FALSE)</f>
        <v>60</v>
      </c>
      <c r="V1605" s="54">
        <f ca="1">VLOOKUP($R1605,'TA database'!$I$112:$J$139,2,FALSE)</f>
        <v>90</v>
      </c>
      <c r="W1605" s="54">
        <f ca="1">IFERROR(VLOOKUP($S1605,'TA database'!$I$146:$J$193,2,FALSE),0)</f>
        <v>80</v>
      </c>
      <c r="X1605" s="54">
        <f>IFERROR(VLOOKUP($S1605,'TA database'!$I$200:$J$271,2,FALSE),0)</f>
        <v>0</v>
      </c>
      <c r="Y1605" s="59">
        <f t="shared" ca="1" si="5044"/>
        <v>30.24</v>
      </c>
      <c r="Z1605" t="str">
        <f t="shared" si="5045"/>
        <v>BIO_GSF_MED_C   →   C_GAS_STRG   →   H2_BLND_NG_P   →   H2_FC_DCHP_HEAT</v>
      </c>
      <c r="AA1605" t="str">
        <f t="shared" si="5046"/>
        <v>Building heat</v>
      </c>
      <c r="AB1605" t="str">
        <f t="shared" si="5047"/>
        <v>Public acceptability</v>
      </c>
      <c r="AC1605">
        <f t="shared" ca="1" si="5048"/>
        <v>30.24</v>
      </c>
      <c r="AD1605">
        <v>1546</v>
      </c>
      <c r="AE1605" t="str">
        <f>IF(AND(ISNUMBER(SEARCH(O1605,4)),ISNUMBER(SEARCH('(4) FCH pathway assessment'!$B$16,AB1605)),ISNUMBER(SEARCH('(4) FCH pathway assessment'!$B$10,AA1605))),AD1605,"")</f>
        <v/>
      </c>
      <c r="AF1605" t="str">
        <f t="shared" si="4977"/>
        <v/>
      </c>
      <c r="AG1605" t="str">
        <f>VLOOKUP(C1605,Assumptions!$B$116:$C$162,2,FALSE)</f>
        <v>BIO_GSF_MED_C</v>
      </c>
      <c r="AH1605" t="str">
        <f>VLOOKUP(D1605,Assumptions!$B$116:$C$162,2,FALSE)</f>
        <v>C_GAS_STRG</v>
      </c>
      <c r="AI1605" t="str">
        <f>VLOOKUP(E1605,Assumptions!$B$116:$C$162,2,FALSE)</f>
        <v>H2_BLND_NG_P</v>
      </c>
      <c r="AJ1605" t="str">
        <f>VLOOKUP(F1605,Assumptions!$B$116:$C$162,2,FALSE)</f>
        <v>H2_FC_DCHP_HEAT</v>
      </c>
    </row>
    <row r="1606" spans="2:36" x14ac:dyDescent="0.25">
      <c r="B1606" t="s">
        <v>117</v>
      </c>
      <c r="C1606" t="s">
        <v>53</v>
      </c>
      <c r="D1606" t="s">
        <v>155</v>
      </c>
      <c r="E1606" t="s">
        <v>122</v>
      </c>
      <c r="F1606" t="s">
        <v>552</v>
      </c>
      <c r="G1606" t="s">
        <v>132</v>
      </c>
      <c r="H1606" t="s">
        <v>434</v>
      </c>
      <c r="I1606" t="s">
        <v>32</v>
      </c>
      <c r="J1606" t="s">
        <v>82</v>
      </c>
      <c r="K1606">
        <f t="shared" si="5035"/>
        <v>0</v>
      </c>
      <c r="L1606">
        <f t="shared" si="5036"/>
        <v>1</v>
      </c>
      <c r="M1606">
        <f t="shared" si="5037"/>
        <v>1</v>
      </c>
      <c r="N1606">
        <f t="shared" si="5038"/>
        <v>1</v>
      </c>
      <c r="O1606">
        <f t="shared" si="5039"/>
        <v>3</v>
      </c>
      <c r="P1606" t="str">
        <f t="shared" si="5040"/>
        <v>Medium centralized biomass gasification-Public acceptability</v>
      </c>
      <c r="Q1606" t="str">
        <f t="shared" si="5041"/>
        <v>Central gas storage-Public acceptability</v>
      </c>
      <c r="R1606" t="str">
        <f t="shared" si="5042"/>
        <v>Hydrogen transmission &amp; distribution pipeline-Public acceptability</v>
      </c>
      <c r="S1606" t="str">
        <f t="shared" si="5043"/>
        <v>District-CHP with H2 fuel cell (heat)-Public acceptability</v>
      </c>
      <c r="T1606" s="54">
        <f ca="1">VLOOKUP($P1606,'TA database'!$I$8:$J$79,2,FALSE)</f>
        <v>70</v>
      </c>
      <c r="U1606" s="54">
        <f ca="1">VLOOKUP($Q1606,'TA database'!$I$86:$J$105,2,FALSE)</f>
        <v>60</v>
      </c>
      <c r="V1606" s="54">
        <f ca="1">VLOOKUP($R1606,'TA database'!$I$112:$J$139,2,FALSE)</f>
        <v>70</v>
      </c>
      <c r="W1606" s="54">
        <f ca="1">IFERROR(VLOOKUP($S1606,'TA database'!$I$146:$J$193,2,FALSE),0)</f>
        <v>80</v>
      </c>
      <c r="X1606" s="54">
        <f>IFERROR(VLOOKUP($S1606,'TA database'!$I$200:$J$271,2,FALSE),0)</f>
        <v>0</v>
      </c>
      <c r="Y1606" s="59">
        <f t="shared" ca="1" si="5044"/>
        <v>23.52</v>
      </c>
      <c r="Z1606" t="str">
        <f t="shared" si="5045"/>
        <v>BIO_GSF_MED_C   →   C_GAS_STRG   →   H2_T&amp;D_P   →   H2_FC_DCHP_HEAT</v>
      </c>
      <c r="AA1606" t="str">
        <f t="shared" si="5046"/>
        <v>Building heat</v>
      </c>
      <c r="AB1606" t="str">
        <f t="shared" si="5047"/>
        <v>Public acceptability</v>
      </c>
      <c r="AC1606">
        <f t="shared" ca="1" si="5048"/>
        <v>23.52</v>
      </c>
      <c r="AD1606">
        <v>1547</v>
      </c>
      <c r="AE1606" t="str">
        <f>IF(AND(ISNUMBER(SEARCH(O1606,4)),ISNUMBER(SEARCH('(4) FCH pathway assessment'!$B$16,AB1606)),ISNUMBER(SEARCH('(4) FCH pathway assessment'!$B$10,AA1606))),AD1606,"")</f>
        <v/>
      </c>
      <c r="AF1606" t="str">
        <f t="shared" si="4977"/>
        <v/>
      </c>
      <c r="AG1606" t="str">
        <f>VLOOKUP(C1606,Assumptions!$B$116:$C$162,2,FALSE)</f>
        <v>BIO_GSF_MED_C</v>
      </c>
      <c r="AH1606" t="str">
        <f>VLOOKUP(D1606,Assumptions!$B$116:$C$162,2,FALSE)</f>
        <v>C_GAS_STRG</v>
      </c>
      <c r="AI1606" t="str">
        <f>VLOOKUP(E1606,Assumptions!$B$116:$C$162,2,FALSE)</f>
        <v>H2_T&amp;D_P</v>
      </c>
      <c r="AJ1606" t="str">
        <f>VLOOKUP(F1606,Assumptions!$B$116:$C$162,2,FALSE)</f>
        <v>H2_FC_DCHP_HEAT</v>
      </c>
    </row>
    <row r="1607" spans="2:36" x14ac:dyDescent="0.25">
      <c r="B1607" t="s">
        <v>117</v>
      </c>
      <c r="C1607" t="s">
        <v>53</v>
      </c>
      <c r="D1607" t="s">
        <v>155</v>
      </c>
      <c r="E1607" t="s">
        <v>116</v>
      </c>
      <c r="F1607" t="s">
        <v>552</v>
      </c>
      <c r="G1607" t="s">
        <v>132</v>
      </c>
      <c r="H1607" t="s">
        <v>434</v>
      </c>
      <c r="I1607" t="s">
        <v>32</v>
      </c>
      <c r="J1607" t="s">
        <v>82</v>
      </c>
      <c r="K1607">
        <f t="shared" si="5035"/>
        <v>0</v>
      </c>
      <c r="L1607">
        <f t="shared" si="5036"/>
        <v>1</v>
      </c>
      <c r="M1607">
        <f t="shared" si="5037"/>
        <v>1</v>
      </c>
      <c r="N1607">
        <f t="shared" si="5038"/>
        <v>1</v>
      </c>
      <c r="O1607">
        <f t="shared" si="5039"/>
        <v>3</v>
      </c>
      <c r="P1607" t="str">
        <f t="shared" si="5040"/>
        <v>Medium centralized biomass gasification-Public acceptability</v>
      </c>
      <c r="Q1607" t="str">
        <f t="shared" si="5041"/>
        <v>Central gas storage-Public acceptability</v>
      </c>
      <c r="R1607" t="str">
        <f t="shared" si="5042"/>
        <v>Liquid hydrogen truck-Public acceptability</v>
      </c>
      <c r="S1607" t="str">
        <f t="shared" si="5043"/>
        <v>District-CHP with H2 fuel cell (heat)-Public acceptability</v>
      </c>
      <c r="T1607" s="54">
        <f ca="1">VLOOKUP($P1607,'TA database'!$I$8:$J$79,2,FALSE)</f>
        <v>70</v>
      </c>
      <c r="U1607" s="54">
        <f ca="1">VLOOKUP($Q1607,'TA database'!$I$86:$J$105,2,FALSE)</f>
        <v>60</v>
      </c>
      <c r="V1607" s="54">
        <f ca="1">VLOOKUP($R1607,'TA database'!$I$112:$J$139,2,FALSE)</f>
        <v>100</v>
      </c>
      <c r="W1607" s="54">
        <f ca="1">IFERROR(VLOOKUP($S1607,'TA database'!$I$146:$J$193,2,FALSE),0)</f>
        <v>80</v>
      </c>
      <c r="X1607" s="54">
        <f>IFERROR(VLOOKUP($S1607,'TA database'!$I$200:$J$271,2,FALSE),0)</f>
        <v>0</v>
      </c>
      <c r="Y1607" s="59">
        <f t="shared" ca="1" si="5044"/>
        <v>33.6</v>
      </c>
      <c r="Z1607" t="str">
        <f t="shared" si="5045"/>
        <v>BIO_GSF_MED_C   →   C_GAS_STRG   →   LQ_TRUCK   →   H2_FC_DCHP_HEAT</v>
      </c>
      <c r="AA1607" t="str">
        <f t="shared" si="5046"/>
        <v>Building heat</v>
      </c>
      <c r="AB1607" t="str">
        <f t="shared" si="5047"/>
        <v>Public acceptability</v>
      </c>
      <c r="AC1607">
        <f t="shared" ca="1" si="5048"/>
        <v>33.6</v>
      </c>
      <c r="AD1607">
        <v>1548</v>
      </c>
      <c r="AE1607" t="str">
        <f>IF(AND(ISNUMBER(SEARCH(O1607,4)),ISNUMBER(SEARCH('(4) FCH pathway assessment'!$B$16,AB1607)),ISNUMBER(SEARCH('(4) FCH pathway assessment'!$B$10,AA1607))),AD1607,"")</f>
        <v/>
      </c>
      <c r="AF1607" t="str">
        <f t="shared" si="4977"/>
        <v/>
      </c>
      <c r="AG1607" t="str">
        <f>VLOOKUP(C1607,Assumptions!$B$116:$C$162,2,FALSE)</f>
        <v>BIO_GSF_MED_C</v>
      </c>
      <c r="AH1607" t="str">
        <f>VLOOKUP(D1607,Assumptions!$B$116:$C$162,2,FALSE)</f>
        <v>C_GAS_STRG</v>
      </c>
      <c r="AI1607" t="str">
        <f>VLOOKUP(E1607,Assumptions!$B$116:$C$162,2,FALSE)</f>
        <v>LQ_TRUCK</v>
      </c>
      <c r="AJ1607" t="str">
        <f>VLOOKUP(F1607,Assumptions!$B$116:$C$162,2,FALSE)</f>
        <v>H2_FC_DCHP_HEAT</v>
      </c>
    </row>
    <row r="1608" spans="2:36" x14ac:dyDescent="0.25">
      <c r="B1608" t="s">
        <v>117</v>
      </c>
      <c r="C1608" t="s">
        <v>53</v>
      </c>
      <c r="D1608" t="s">
        <v>155</v>
      </c>
      <c r="E1608" t="s">
        <v>66</v>
      </c>
      <c r="F1608" t="s">
        <v>552</v>
      </c>
      <c r="G1608" t="s">
        <v>132</v>
      </c>
      <c r="H1608" t="s">
        <v>434</v>
      </c>
      <c r="I1608" t="s">
        <v>32</v>
      </c>
      <c r="J1608" t="s">
        <v>82</v>
      </c>
      <c r="K1608">
        <f t="shared" si="5035"/>
        <v>0</v>
      </c>
      <c r="L1608">
        <f t="shared" si="5036"/>
        <v>1</v>
      </c>
      <c r="M1608">
        <f t="shared" si="5037"/>
        <v>1</v>
      </c>
      <c r="N1608">
        <f t="shared" si="5038"/>
        <v>1</v>
      </c>
      <c r="O1608">
        <f t="shared" si="5039"/>
        <v>3</v>
      </c>
      <c r="P1608" t="str">
        <f t="shared" si="5040"/>
        <v>Medium centralized biomass gasification-Public acceptability</v>
      </c>
      <c r="Q1608" t="str">
        <f t="shared" si="5041"/>
        <v>Central gas storage-Public acceptability</v>
      </c>
      <c r="R1608" t="str">
        <f t="shared" si="5042"/>
        <v>Onsite-Public acceptability</v>
      </c>
      <c r="S1608" t="str">
        <f t="shared" si="5043"/>
        <v>District-CHP with H2 fuel cell (heat)-Public acceptability</v>
      </c>
      <c r="T1608" s="54">
        <f ca="1">VLOOKUP($P1608,'TA database'!$I$8:$J$79,2,FALSE)</f>
        <v>70</v>
      </c>
      <c r="U1608" s="54">
        <f ca="1">VLOOKUP($Q1608,'TA database'!$I$86:$J$105,2,FALSE)</f>
        <v>60</v>
      </c>
      <c r="V1608" s="54">
        <f ca="1">VLOOKUP($R1608,'TA database'!$I$112:$J$139,2,FALSE)</f>
        <v>90</v>
      </c>
      <c r="W1608" s="54">
        <f ca="1">IFERROR(VLOOKUP($S1608,'TA database'!$I$146:$J$193,2,FALSE),0)</f>
        <v>80</v>
      </c>
      <c r="X1608" s="54">
        <f>IFERROR(VLOOKUP($S1608,'TA database'!$I$200:$J$271,2,FALSE),0)</f>
        <v>0</v>
      </c>
      <c r="Y1608" s="59">
        <f t="shared" ca="1" si="5044"/>
        <v>30.24</v>
      </c>
      <c r="Z1608" t="str">
        <f t="shared" si="5045"/>
        <v>BIO_GSF_MED_C   →   C_GAS_STRG   →   ONSITE_USE   →   H2_FC_DCHP_HEAT</v>
      </c>
      <c r="AA1608" t="str">
        <f t="shared" si="5046"/>
        <v>Building heat</v>
      </c>
      <c r="AB1608" t="str">
        <f t="shared" si="5047"/>
        <v>Public acceptability</v>
      </c>
      <c r="AC1608">
        <f t="shared" ca="1" si="5048"/>
        <v>30.24</v>
      </c>
      <c r="AD1608">
        <v>1549</v>
      </c>
      <c r="AE1608" t="str">
        <f>IF(AND(ISNUMBER(SEARCH(O1608,4)),ISNUMBER(SEARCH('(4) FCH pathway assessment'!$B$16,AB1608)),ISNUMBER(SEARCH('(4) FCH pathway assessment'!$B$10,AA1608))),AD1608,"")</f>
        <v/>
      </c>
      <c r="AF1608" t="str">
        <f t="shared" si="4977"/>
        <v/>
      </c>
      <c r="AG1608" t="str">
        <f>VLOOKUP(C1608,Assumptions!$B$116:$C$162,2,FALSE)</f>
        <v>BIO_GSF_MED_C</v>
      </c>
      <c r="AH1608" t="str">
        <f>VLOOKUP(D1608,Assumptions!$B$116:$C$162,2,FALSE)</f>
        <v>C_GAS_STRG</v>
      </c>
      <c r="AI1608" t="str">
        <f>VLOOKUP(E1608,Assumptions!$B$116:$C$162,2,FALSE)</f>
        <v>ONSITE_USE</v>
      </c>
      <c r="AJ1608" t="str">
        <f>VLOOKUP(F1608,Assumptions!$B$116:$C$162,2,FALSE)</f>
        <v>H2_FC_DCHP_HEAT</v>
      </c>
    </row>
    <row r="1609" spans="2:36" x14ac:dyDescent="0.25">
      <c r="B1609" t="s">
        <v>117</v>
      </c>
      <c r="C1609" t="s">
        <v>54</v>
      </c>
      <c r="D1609" t="s">
        <v>155</v>
      </c>
      <c r="E1609" t="s">
        <v>157</v>
      </c>
      <c r="F1609" t="s">
        <v>552</v>
      </c>
      <c r="G1609" t="s">
        <v>132</v>
      </c>
      <c r="H1609" t="s">
        <v>434</v>
      </c>
      <c r="I1609" t="s">
        <v>32</v>
      </c>
      <c r="J1609" t="s">
        <v>82</v>
      </c>
      <c r="K1609">
        <f t="shared" ref="K1609:K1612" si="5049">SUMPRODUCT(($C$7:$C$18=$C1609)*($D$6:$H$6=$D1609)*($D$7:$H$18))</f>
        <v>0</v>
      </c>
      <c r="L1609">
        <f t="shared" ref="L1609:L1612" si="5050">SUMPRODUCT(($C$19:$C$23=$D1609)*($I$6:$O$6=$E1609)*($I$19:$O$23))</f>
        <v>1</v>
      </c>
      <c r="M1609">
        <f t="shared" ref="M1609:M1612" si="5051">SUMPRODUCT(($C$24:$C$30=$E1609)*($P$6:$AI$6=$F1609)*($P$24:$AI$30))</f>
        <v>0</v>
      </c>
      <c r="N1609">
        <f t="shared" ref="N1609:N1612" si="5052">SUMPRODUCT(($C$31:$C$50=$F1609)*($AJ$6:$AM$6=$G1609)*($AJ$31:$AM$50))</f>
        <v>1</v>
      </c>
      <c r="O1609">
        <f t="shared" ref="O1609:O1612" si="5053">K1609+L1609+M1609+N1609</f>
        <v>2</v>
      </c>
      <c r="P1609" t="str">
        <f t="shared" ref="P1609:P1612" si="5054">CONCATENATE(C1609,"-",J1609)</f>
        <v>Medium centralized biomass gasification w/ CCS-Public acceptability</v>
      </c>
      <c r="Q1609" t="str">
        <f t="shared" ref="Q1609:Q1612" si="5055">CONCATENATE(D1609,"-",J1609)</f>
        <v>Central gas storage-Public acceptability</v>
      </c>
      <c r="R1609" t="str">
        <f t="shared" ref="R1609:R1612" si="5056">CONCATENATE(E1609,"-",J1609)</f>
        <v>Blending in natural gas pipeline-Public acceptability</v>
      </c>
      <c r="S1609" t="str">
        <f t="shared" ref="S1609:S1612" si="5057">CONCATENATE(F1609,"-",J1609)</f>
        <v>District-CHP with H2 fuel cell (heat)-Public acceptability</v>
      </c>
      <c r="T1609" s="54">
        <f ca="1">VLOOKUP($P1609,'TA database'!$I$8:$J$79,2,FALSE)</f>
        <v>60</v>
      </c>
      <c r="U1609" s="54">
        <f ca="1">VLOOKUP($Q1609,'TA database'!$I$86:$J$105,2,FALSE)</f>
        <v>60</v>
      </c>
      <c r="V1609" s="54">
        <f ca="1">VLOOKUP($R1609,'TA database'!$I$112:$J$139,2,FALSE)</f>
        <v>90</v>
      </c>
      <c r="W1609" s="54">
        <f ca="1">IFERROR(VLOOKUP($S1609,'TA database'!$I$146:$J$193,2,FALSE),0)</f>
        <v>80</v>
      </c>
      <c r="X1609" s="54">
        <f>IFERROR(VLOOKUP($S1609,'TA database'!$I$200:$J$271,2,FALSE),0)</f>
        <v>0</v>
      </c>
      <c r="Y1609" s="59">
        <f t="shared" ca="1" si="5044"/>
        <v>25.92</v>
      </c>
      <c r="Z1609" t="str">
        <f t="shared" ref="Z1609:Z1612" si="5058">CONCATENATE(AG1609,"   →   ",AH1609,"   →   ",AI1609,"   →   ",AJ1609)</f>
        <v>BIO_GSF_CCS_MED_C   →   C_GAS_STRG   →   H2_BLND_NG_P   →   H2_FC_DCHP_HEAT</v>
      </c>
      <c r="AA1609" t="str">
        <f t="shared" ref="AA1609:AA1612" si="5059">G1609</f>
        <v>Building heat</v>
      </c>
      <c r="AB1609" t="str">
        <f t="shared" ref="AB1609:AB1612" si="5060">J1609</f>
        <v>Public acceptability</v>
      </c>
      <c r="AC1609">
        <f t="shared" ref="AC1609:AC1612" ca="1" si="5061">Y1609</f>
        <v>25.92</v>
      </c>
      <c r="AD1609">
        <v>1550</v>
      </c>
      <c r="AE1609" t="str">
        <f>IF(AND(ISNUMBER(SEARCH(O1609,4)),ISNUMBER(SEARCH('(4) FCH pathway assessment'!$B$16,AB1609)),ISNUMBER(SEARCH('(4) FCH pathway assessment'!$B$10,AA1609))),AD1609,"")</f>
        <v/>
      </c>
      <c r="AF1609" t="str">
        <f t="shared" si="4977"/>
        <v/>
      </c>
      <c r="AG1609" t="str">
        <f>VLOOKUP(C1609,Assumptions!$B$116:$C$162,2,FALSE)</f>
        <v>BIO_GSF_CCS_MED_C</v>
      </c>
      <c r="AH1609" t="str">
        <f>VLOOKUP(D1609,Assumptions!$B$116:$C$162,2,FALSE)</f>
        <v>C_GAS_STRG</v>
      </c>
      <c r="AI1609" t="str">
        <f>VLOOKUP(E1609,Assumptions!$B$116:$C$162,2,FALSE)</f>
        <v>H2_BLND_NG_P</v>
      </c>
      <c r="AJ1609" t="str">
        <f>VLOOKUP(F1609,Assumptions!$B$116:$C$162,2,FALSE)</f>
        <v>H2_FC_DCHP_HEAT</v>
      </c>
    </row>
    <row r="1610" spans="2:36" x14ac:dyDescent="0.25">
      <c r="B1610" t="s">
        <v>117</v>
      </c>
      <c r="C1610" t="s">
        <v>54</v>
      </c>
      <c r="D1610" t="s">
        <v>155</v>
      </c>
      <c r="E1610" t="s">
        <v>122</v>
      </c>
      <c r="F1610" t="s">
        <v>552</v>
      </c>
      <c r="G1610" t="s">
        <v>132</v>
      </c>
      <c r="H1610" t="s">
        <v>434</v>
      </c>
      <c r="I1610" t="s">
        <v>32</v>
      </c>
      <c r="J1610" t="s">
        <v>82</v>
      </c>
      <c r="K1610">
        <f t="shared" si="5049"/>
        <v>0</v>
      </c>
      <c r="L1610">
        <f t="shared" si="5050"/>
        <v>1</v>
      </c>
      <c r="M1610">
        <f t="shared" si="5051"/>
        <v>1</v>
      </c>
      <c r="N1610">
        <f t="shared" si="5052"/>
        <v>1</v>
      </c>
      <c r="O1610">
        <f t="shared" si="5053"/>
        <v>3</v>
      </c>
      <c r="P1610" t="str">
        <f t="shared" si="5054"/>
        <v>Medium centralized biomass gasification w/ CCS-Public acceptability</v>
      </c>
      <c r="Q1610" t="str">
        <f t="shared" si="5055"/>
        <v>Central gas storage-Public acceptability</v>
      </c>
      <c r="R1610" t="str">
        <f t="shared" si="5056"/>
        <v>Hydrogen transmission &amp; distribution pipeline-Public acceptability</v>
      </c>
      <c r="S1610" t="str">
        <f t="shared" si="5057"/>
        <v>District-CHP with H2 fuel cell (heat)-Public acceptability</v>
      </c>
      <c r="T1610" s="54">
        <f ca="1">VLOOKUP($P1610,'TA database'!$I$8:$J$79,2,FALSE)</f>
        <v>60</v>
      </c>
      <c r="U1610" s="54">
        <f ca="1">VLOOKUP($Q1610,'TA database'!$I$86:$J$105,2,FALSE)</f>
        <v>60</v>
      </c>
      <c r="V1610" s="54">
        <f ca="1">VLOOKUP($R1610,'TA database'!$I$112:$J$139,2,FALSE)</f>
        <v>70</v>
      </c>
      <c r="W1610" s="54">
        <f ca="1">IFERROR(VLOOKUP($S1610,'TA database'!$I$146:$J$193,2,FALSE),0)</f>
        <v>80</v>
      </c>
      <c r="X1610" s="54">
        <f>IFERROR(VLOOKUP($S1610,'TA database'!$I$200:$J$271,2,FALSE),0)</f>
        <v>0</v>
      </c>
      <c r="Y1610" s="59">
        <f t="shared" ca="1" si="5044"/>
        <v>20.16</v>
      </c>
      <c r="Z1610" t="str">
        <f t="shared" si="5058"/>
        <v>BIO_GSF_CCS_MED_C   →   C_GAS_STRG   →   H2_T&amp;D_P   →   H2_FC_DCHP_HEAT</v>
      </c>
      <c r="AA1610" t="str">
        <f t="shared" si="5059"/>
        <v>Building heat</v>
      </c>
      <c r="AB1610" t="str">
        <f t="shared" si="5060"/>
        <v>Public acceptability</v>
      </c>
      <c r="AC1610">
        <f t="shared" ca="1" si="5061"/>
        <v>20.16</v>
      </c>
      <c r="AD1610">
        <v>1551</v>
      </c>
      <c r="AE1610" t="str">
        <f>IF(AND(ISNUMBER(SEARCH(O1610,4)),ISNUMBER(SEARCH('(4) FCH pathway assessment'!$B$16,AB1610)),ISNUMBER(SEARCH('(4) FCH pathway assessment'!$B$10,AA1610))),AD1610,"")</f>
        <v/>
      </c>
      <c r="AF1610" t="str">
        <f t="shared" si="4977"/>
        <v/>
      </c>
      <c r="AG1610" t="str">
        <f>VLOOKUP(C1610,Assumptions!$B$116:$C$162,2,FALSE)</f>
        <v>BIO_GSF_CCS_MED_C</v>
      </c>
      <c r="AH1610" t="str">
        <f>VLOOKUP(D1610,Assumptions!$B$116:$C$162,2,FALSE)</f>
        <v>C_GAS_STRG</v>
      </c>
      <c r="AI1610" t="str">
        <f>VLOOKUP(E1610,Assumptions!$B$116:$C$162,2,FALSE)</f>
        <v>H2_T&amp;D_P</v>
      </c>
      <c r="AJ1610" t="str">
        <f>VLOOKUP(F1610,Assumptions!$B$116:$C$162,2,FALSE)</f>
        <v>H2_FC_DCHP_HEAT</v>
      </c>
    </row>
    <row r="1611" spans="2:36" x14ac:dyDescent="0.25">
      <c r="B1611" t="s">
        <v>117</v>
      </c>
      <c r="C1611" t="s">
        <v>54</v>
      </c>
      <c r="D1611" t="s">
        <v>155</v>
      </c>
      <c r="E1611" t="s">
        <v>116</v>
      </c>
      <c r="F1611" t="s">
        <v>552</v>
      </c>
      <c r="G1611" t="s">
        <v>132</v>
      </c>
      <c r="H1611" t="s">
        <v>434</v>
      </c>
      <c r="I1611" t="s">
        <v>32</v>
      </c>
      <c r="J1611" t="s">
        <v>82</v>
      </c>
      <c r="K1611">
        <f t="shared" si="5049"/>
        <v>0</v>
      </c>
      <c r="L1611">
        <f t="shared" si="5050"/>
        <v>1</v>
      </c>
      <c r="M1611">
        <f t="shared" si="5051"/>
        <v>1</v>
      </c>
      <c r="N1611">
        <f t="shared" si="5052"/>
        <v>1</v>
      </c>
      <c r="O1611">
        <f t="shared" si="5053"/>
        <v>3</v>
      </c>
      <c r="P1611" t="str">
        <f t="shared" si="5054"/>
        <v>Medium centralized biomass gasification w/ CCS-Public acceptability</v>
      </c>
      <c r="Q1611" t="str">
        <f t="shared" si="5055"/>
        <v>Central gas storage-Public acceptability</v>
      </c>
      <c r="R1611" t="str">
        <f t="shared" si="5056"/>
        <v>Liquid hydrogen truck-Public acceptability</v>
      </c>
      <c r="S1611" t="str">
        <f t="shared" si="5057"/>
        <v>District-CHP with H2 fuel cell (heat)-Public acceptability</v>
      </c>
      <c r="T1611" s="54">
        <f ca="1">VLOOKUP($P1611,'TA database'!$I$8:$J$79,2,FALSE)</f>
        <v>60</v>
      </c>
      <c r="U1611" s="54">
        <f ca="1">VLOOKUP($Q1611,'TA database'!$I$86:$J$105,2,FALSE)</f>
        <v>60</v>
      </c>
      <c r="V1611" s="54">
        <f ca="1">VLOOKUP($R1611,'TA database'!$I$112:$J$139,2,FALSE)</f>
        <v>100</v>
      </c>
      <c r="W1611" s="54">
        <f ca="1">IFERROR(VLOOKUP($S1611,'TA database'!$I$146:$J$193,2,FALSE),0)</f>
        <v>80</v>
      </c>
      <c r="X1611" s="54">
        <f>IFERROR(VLOOKUP($S1611,'TA database'!$I$200:$J$271,2,FALSE),0)</f>
        <v>0</v>
      </c>
      <c r="Y1611" s="59">
        <f t="shared" ca="1" si="5044"/>
        <v>28.8</v>
      </c>
      <c r="Z1611" t="str">
        <f t="shared" si="5058"/>
        <v>BIO_GSF_CCS_MED_C   →   C_GAS_STRG   →   LQ_TRUCK   →   H2_FC_DCHP_HEAT</v>
      </c>
      <c r="AA1611" t="str">
        <f t="shared" si="5059"/>
        <v>Building heat</v>
      </c>
      <c r="AB1611" t="str">
        <f t="shared" si="5060"/>
        <v>Public acceptability</v>
      </c>
      <c r="AC1611">
        <f t="shared" ca="1" si="5061"/>
        <v>28.8</v>
      </c>
      <c r="AD1611">
        <v>1552</v>
      </c>
      <c r="AE1611" t="str">
        <f>IF(AND(ISNUMBER(SEARCH(O1611,4)),ISNUMBER(SEARCH('(4) FCH pathway assessment'!$B$16,AB1611)),ISNUMBER(SEARCH('(4) FCH pathway assessment'!$B$10,AA1611))),AD1611,"")</f>
        <v/>
      </c>
      <c r="AF1611" t="str">
        <f t="shared" si="4977"/>
        <v/>
      </c>
      <c r="AG1611" t="str">
        <f>VLOOKUP(C1611,Assumptions!$B$116:$C$162,2,FALSE)</f>
        <v>BIO_GSF_CCS_MED_C</v>
      </c>
      <c r="AH1611" t="str">
        <f>VLOOKUP(D1611,Assumptions!$B$116:$C$162,2,FALSE)</f>
        <v>C_GAS_STRG</v>
      </c>
      <c r="AI1611" t="str">
        <f>VLOOKUP(E1611,Assumptions!$B$116:$C$162,2,FALSE)</f>
        <v>LQ_TRUCK</v>
      </c>
      <c r="AJ1611" t="str">
        <f>VLOOKUP(F1611,Assumptions!$B$116:$C$162,2,FALSE)</f>
        <v>H2_FC_DCHP_HEAT</v>
      </c>
    </row>
    <row r="1612" spans="2:36" x14ac:dyDescent="0.25">
      <c r="B1612" t="s">
        <v>117</v>
      </c>
      <c r="C1612" t="s">
        <v>54</v>
      </c>
      <c r="D1612" t="s">
        <v>155</v>
      </c>
      <c r="E1612" t="s">
        <v>66</v>
      </c>
      <c r="F1612" t="s">
        <v>552</v>
      </c>
      <c r="G1612" t="s">
        <v>132</v>
      </c>
      <c r="H1612" t="s">
        <v>434</v>
      </c>
      <c r="I1612" t="s">
        <v>32</v>
      </c>
      <c r="J1612" t="s">
        <v>82</v>
      </c>
      <c r="K1612">
        <f t="shared" si="5049"/>
        <v>0</v>
      </c>
      <c r="L1612">
        <f t="shared" si="5050"/>
        <v>1</v>
      </c>
      <c r="M1612">
        <f t="shared" si="5051"/>
        <v>1</v>
      </c>
      <c r="N1612">
        <f t="shared" si="5052"/>
        <v>1</v>
      </c>
      <c r="O1612">
        <f t="shared" si="5053"/>
        <v>3</v>
      </c>
      <c r="P1612" t="str">
        <f t="shared" si="5054"/>
        <v>Medium centralized biomass gasification w/ CCS-Public acceptability</v>
      </c>
      <c r="Q1612" t="str">
        <f t="shared" si="5055"/>
        <v>Central gas storage-Public acceptability</v>
      </c>
      <c r="R1612" t="str">
        <f t="shared" si="5056"/>
        <v>Onsite-Public acceptability</v>
      </c>
      <c r="S1612" t="str">
        <f t="shared" si="5057"/>
        <v>District-CHP with H2 fuel cell (heat)-Public acceptability</v>
      </c>
      <c r="T1612" s="54">
        <f ca="1">VLOOKUP($P1612,'TA database'!$I$8:$J$79,2,FALSE)</f>
        <v>60</v>
      </c>
      <c r="U1612" s="54">
        <f ca="1">VLOOKUP($Q1612,'TA database'!$I$86:$J$105,2,FALSE)</f>
        <v>60</v>
      </c>
      <c r="V1612" s="54">
        <f ca="1">VLOOKUP($R1612,'TA database'!$I$112:$J$139,2,FALSE)</f>
        <v>90</v>
      </c>
      <c r="W1612" s="54">
        <f ca="1">IFERROR(VLOOKUP($S1612,'TA database'!$I$146:$J$193,2,FALSE),0)</f>
        <v>80</v>
      </c>
      <c r="X1612" s="54">
        <f>IFERROR(VLOOKUP($S1612,'TA database'!$I$200:$J$271,2,FALSE),0)</f>
        <v>0</v>
      </c>
      <c r="Y1612" s="59">
        <f t="shared" ca="1" si="5044"/>
        <v>25.92</v>
      </c>
      <c r="Z1612" t="str">
        <f t="shared" si="5058"/>
        <v>BIO_GSF_CCS_MED_C   →   C_GAS_STRG   →   ONSITE_USE   →   H2_FC_DCHP_HEAT</v>
      </c>
      <c r="AA1612" t="str">
        <f t="shared" si="5059"/>
        <v>Building heat</v>
      </c>
      <c r="AB1612" t="str">
        <f t="shared" si="5060"/>
        <v>Public acceptability</v>
      </c>
      <c r="AC1612">
        <f t="shared" ca="1" si="5061"/>
        <v>25.92</v>
      </c>
      <c r="AD1612">
        <v>1553</v>
      </c>
      <c r="AE1612" t="str">
        <f>IF(AND(ISNUMBER(SEARCH(O1612,4)),ISNUMBER(SEARCH('(4) FCH pathway assessment'!$B$16,AB1612)),ISNUMBER(SEARCH('(4) FCH pathway assessment'!$B$10,AA1612))),AD1612,"")</f>
        <v/>
      </c>
      <c r="AF1612" t="str">
        <f t="shared" si="4977"/>
        <v/>
      </c>
      <c r="AG1612" t="str">
        <f>VLOOKUP(C1612,Assumptions!$B$116:$C$162,2,FALSE)</f>
        <v>BIO_GSF_CCS_MED_C</v>
      </c>
      <c r="AH1612" t="str">
        <f>VLOOKUP(D1612,Assumptions!$B$116:$C$162,2,FALSE)</f>
        <v>C_GAS_STRG</v>
      </c>
      <c r="AI1612" t="str">
        <f>VLOOKUP(E1612,Assumptions!$B$116:$C$162,2,FALSE)</f>
        <v>ONSITE_USE</v>
      </c>
      <c r="AJ1612" t="str">
        <f>VLOOKUP(F1612,Assumptions!$B$116:$C$162,2,FALSE)</f>
        <v>H2_FC_DCHP_HEAT</v>
      </c>
    </row>
    <row r="1613" spans="2:36" x14ac:dyDescent="0.25">
      <c r="B1613" t="s">
        <v>117</v>
      </c>
      <c r="C1613" t="s">
        <v>55</v>
      </c>
      <c r="D1613" s="60" t="s">
        <v>130</v>
      </c>
      <c r="E1613" t="s">
        <v>66</v>
      </c>
      <c r="F1613" t="s">
        <v>552</v>
      </c>
      <c r="G1613" t="s">
        <v>132</v>
      </c>
      <c r="H1613" t="s">
        <v>434</v>
      </c>
      <c r="I1613" t="s">
        <v>32</v>
      </c>
      <c r="J1613" t="s">
        <v>82</v>
      </c>
      <c r="K1613">
        <f t="shared" ref="K1613:K1626" si="5062">SUMPRODUCT(($C$7:$C$18=$C1613)*($D$6:$H$6=$D1613)*($D$7:$H$18))</f>
        <v>0</v>
      </c>
      <c r="L1613">
        <f t="shared" ref="L1613:L1626" si="5063">SUMPRODUCT(($C$19:$C$23=$D1613)*($I$6:$O$6=$E1613)*($I$19:$O$23))</f>
        <v>1</v>
      </c>
      <c r="M1613">
        <f t="shared" ref="M1613:M1626" si="5064">SUMPRODUCT(($C$24:$C$30=$E1613)*($P$6:$AI$6=$F1613)*($P$24:$AI$30))</f>
        <v>1</v>
      </c>
      <c r="N1613">
        <f t="shared" ref="N1613:N1626" si="5065">SUMPRODUCT(($C$31:$C$50=$F1613)*($AJ$6:$AM$6=$G1613)*($AJ$31:$AM$50))</f>
        <v>1</v>
      </c>
      <c r="O1613">
        <f t="shared" ref="O1613:O1625" si="5066">K1613+L1613+M1613+N1613</f>
        <v>3</v>
      </c>
      <c r="P1613" t="str">
        <f t="shared" ref="P1613:P1626" si="5067">CONCATENATE(C1613,"-",J1613)</f>
        <v>Small decentralized biomass gasification-Public acceptability</v>
      </c>
      <c r="Q1613" t="str">
        <f t="shared" ref="Q1613:Q1626" si="5068">CONCATENATE(D1613,"-",J1613)</f>
        <v>Distributed gas storage-Public acceptability</v>
      </c>
      <c r="R1613" t="str">
        <f t="shared" ref="R1613:R1626" si="5069">CONCATENATE(E1613,"-",J1613)</f>
        <v>Onsite-Public acceptability</v>
      </c>
      <c r="S1613" t="str">
        <f t="shared" ref="S1613:S1626" si="5070">CONCATENATE(F1613,"-",J1613)</f>
        <v>District-CHP with H2 fuel cell (heat)-Public acceptability</v>
      </c>
      <c r="T1613" s="54">
        <f ca="1">VLOOKUP($P1613,'TA database'!$I$8:$J$79,2,FALSE)</f>
        <v>70</v>
      </c>
      <c r="U1613" s="54">
        <f ca="1">VLOOKUP($Q1613,'TA database'!$I$86:$J$105,2,FALSE)</f>
        <v>60</v>
      </c>
      <c r="V1613" s="54">
        <f ca="1">VLOOKUP($R1613,'TA database'!$I$112:$J$139,2,FALSE)</f>
        <v>90</v>
      </c>
      <c r="W1613" s="54">
        <f ca="1">IFERROR(VLOOKUP($S1613,'TA database'!$I$146:$J$193,2,FALSE),0)</f>
        <v>80</v>
      </c>
      <c r="X1613" s="54">
        <f>IFERROR(VLOOKUP($S1613,'TA database'!$I$200:$J$271,2,FALSE),0)</f>
        <v>0</v>
      </c>
      <c r="Y1613" s="59">
        <f t="shared" ref="Y1613:Y1617" ca="1" si="5071">IF($W1613=0,(PRODUCT($T1613:$V1613,$X1613))/1000000,(PRODUCT($T1613:$W1613))/1000000)</f>
        <v>30.24</v>
      </c>
      <c r="Z1613" t="str">
        <f t="shared" ref="Z1613:Z1625" si="5072">CONCATENATE(AG1613,"   →   ",AH1613,"   →   ",AI1613,"   →   ",AJ1613)</f>
        <v>BIO_GSF_SML_D   →   D_GAS_STRG   →   ONSITE_USE   →   H2_FC_DCHP_HEAT</v>
      </c>
      <c r="AA1613" t="str">
        <f t="shared" ref="AA1613:AA1625" si="5073">G1613</f>
        <v>Building heat</v>
      </c>
      <c r="AB1613" t="str">
        <f t="shared" ref="AB1613:AB1625" si="5074">J1613</f>
        <v>Public acceptability</v>
      </c>
      <c r="AC1613">
        <f t="shared" ref="AC1613:AC1625" ca="1" si="5075">Y1613</f>
        <v>30.24</v>
      </c>
      <c r="AD1613">
        <v>1554</v>
      </c>
      <c r="AE1613" t="str">
        <f>IF(AND(ISNUMBER(SEARCH(O1613,4)),ISNUMBER(SEARCH('(4) FCH pathway assessment'!$B$16,AB1613)),ISNUMBER(SEARCH('(4) FCH pathway assessment'!$B$10,AA1613))),AD1613,"")</f>
        <v/>
      </c>
      <c r="AF1613" t="str">
        <f t="shared" si="4977"/>
        <v/>
      </c>
      <c r="AG1613" t="str">
        <f>VLOOKUP(C1613,Assumptions!$B$116:$C$162,2,FALSE)</f>
        <v>BIO_GSF_SML_D</v>
      </c>
      <c r="AH1613" t="str">
        <f>VLOOKUP(D1613,Assumptions!$B$116:$C$162,2,FALSE)</f>
        <v>D_GAS_STRG</v>
      </c>
      <c r="AI1613" t="str">
        <f>VLOOKUP(E1613,Assumptions!$B$116:$C$162,2,FALSE)</f>
        <v>ONSITE_USE</v>
      </c>
      <c r="AJ1613" t="str">
        <f>VLOOKUP(F1613,Assumptions!$B$116:$C$162,2,FALSE)</f>
        <v>H2_FC_DCHP_HEAT</v>
      </c>
    </row>
    <row r="1614" spans="2:36" x14ac:dyDescent="0.25">
      <c r="B1614" t="s">
        <v>117</v>
      </c>
      <c r="C1614" t="s">
        <v>56</v>
      </c>
      <c r="D1614" t="s">
        <v>62</v>
      </c>
      <c r="E1614" t="s">
        <v>157</v>
      </c>
      <c r="F1614" t="s">
        <v>552</v>
      </c>
      <c r="G1614" t="s">
        <v>132</v>
      </c>
      <c r="H1614" t="s">
        <v>434</v>
      </c>
      <c r="I1614" t="s">
        <v>32</v>
      </c>
      <c r="J1614" t="s">
        <v>82</v>
      </c>
      <c r="K1614">
        <f t="shared" si="5062"/>
        <v>0</v>
      </c>
      <c r="L1614">
        <f t="shared" si="5063"/>
        <v>0</v>
      </c>
      <c r="M1614">
        <f t="shared" si="5064"/>
        <v>0</v>
      </c>
      <c r="N1614">
        <f t="shared" si="5065"/>
        <v>1</v>
      </c>
      <c r="O1614">
        <f t="shared" si="5066"/>
        <v>1</v>
      </c>
      <c r="P1614" t="str">
        <f t="shared" si="5067"/>
        <v>Large centralized biomass steam reforming -Public acceptability</v>
      </c>
      <c r="Q1614" t="str">
        <f t="shared" si="5068"/>
        <v>Underground storage-Public acceptability</v>
      </c>
      <c r="R1614" t="str">
        <f t="shared" si="5069"/>
        <v>Blending in natural gas pipeline-Public acceptability</v>
      </c>
      <c r="S1614" t="str">
        <f t="shared" si="5070"/>
        <v>District-CHP with H2 fuel cell (heat)-Public acceptability</v>
      </c>
      <c r="T1614" s="54">
        <f ca="1">VLOOKUP($P1614,'TA database'!$I$8:$J$79,2,FALSE)</f>
        <v>80</v>
      </c>
      <c r="U1614" s="54">
        <f ca="1">VLOOKUP($Q1614,'TA database'!$I$86:$J$105,2,FALSE)</f>
        <v>60</v>
      </c>
      <c r="V1614" s="54">
        <f ca="1">VLOOKUP($R1614,'TA database'!$I$112:$J$139,2,FALSE)</f>
        <v>90</v>
      </c>
      <c r="W1614" s="54">
        <f ca="1">IFERROR(VLOOKUP($S1614,'TA database'!$I$146:$J$193,2,FALSE),0)</f>
        <v>80</v>
      </c>
      <c r="X1614" s="54">
        <f>IFERROR(VLOOKUP($S1614,'TA database'!$I$200:$J$271,2,FALSE),0)</f>
        <v>0</v>
      </c>
      <c r="Y1614" s="59">
        <f t="shared" ca="1" si="5071"/>
        <v>34.56</v>
      </c>
      <c r="Z1614" t="str">
        <f t="shared" si="5072"/>
        <v>BIO_SR_LRG_C   →   C_UNDRGRND_STRG   →   H2_BLND_NG_P   →   H2_FC_DCHP_HEAT</v>
      </c>
      <c r="AA1614" t="str">
        <f t="shared" si="5073"/>
        <v>Building heat</v>
      </c>
      <c r="AB1614" t="str">
        <f t="shared" si="5074"/>
        <v>Public acceptability</v>
      </c>
      <c r="AC1614">
        <f t="shared" ca="1" si="5075"/>
        <v>34.56</v>
      </c>
      <c r="AD1614">
        <v>1555</v>
      </c>
      <c r="AE1614" t="str">
        <f>IF(AND(ISNUMBER(SEARCH(O1614,4)),ISNUMBER(SEARCH('(4) FCH pathway assessment'!$B$16,AB1614)),ISNUMBER(SEARCH('(4) FCH pathway assessment'!$B$10,AA1614))),AD1614,"")</f>
        <v/>
      </c>
      <c r="AF1614" t="str">
        <f t="shared" si="4977"/>
        <v/>
      </c>
      <c r="AG1614" t="str">
        <f>VLOOKUP(C1614,Assumptions!$B$116:$C$162,2,FALSE)</f>
        <v>BIO_SR_LRG_C</v>
      </c>
      <c r="AH1614" t="str">
        <f>VLOOKUP(D1614,Assumptions!$B$116:$C$162,2,FALSE)</f>
        <v>C_UNDRGRND_STRG</v>
      </c>
      <c r="AI1614" t="str">
        <f>VLOOKUP(E1614,Assumptions!$B$116:$C$162,2,FALSE)</f>
        <v>H2_BLND_NG_P</v>
      </c>
      <c r="AJ1614" t="str">
        <f>VLOOKUP(F1614,Assumptions!$B$116:$C$162,2,FALSE)</f>
        <v>H2_FC_DCHP_HEAT</v>
      </c>
    </row>
    <row r="1615" spans="2:36" x14ac:dyDescent="0.25">
      <c r="B1615" t="s">
        <v>117</v>
      </c>
      <c r="C1615" t="s">
        <v>56</v>
      </c>
      <c r="D1615" t="s">
        <v>62</v>
      </c>
      <c r="E1615" t="s">
        <v>122</v>
      </c>
      <c r="F1615" t="s">
        <v>552</v>
      </c>
      <c r="G1615" t="s">
        <v>132</v>
      </c>
      <c r="H1615" t="s">
        <v>434</v>
      </c>
      <c r="I1615" t="s">
        <v>32</v>
      </c>
      <c r="J1615" t="s">
        <v>82</v>
      </c>
      <c r="K1615">
        <f t="shared" si="5062"/>
        <v>0</v>
      </c>
      <c r="L1615">
        <f t="shared" si="5063"/>
        <v>0</v>
      </c>
      <c r="M1615">
        <f t="shared" si="5064"/>
        <v>1</v>
      </c>
      <c r="N1615">
        <f t="shared" si="5065"/>
        <v>1</v>
      </c>
      <c r="O1615">
        <f t="shared" si="5066"/>
        <v>2</v>
      </c>
      <c r="P1615" t="str">
        <f t="shared" si="5067"/>
        <v>Large centralized biomass steam reforming -Public acceptability</v>
      </c>
      <c r="Q1615" t="str">
        <f t="shared" si="5068"/>
        <v>Underground storage-Public acceptability</v>
      </c>
      <c r="R1615" t="str">
        <f t="shared" si="5069"/>
        <v>Hydrogen transmission &amp; distribution pipeline-Public acceptability</v>
      </c>
      <c r="S1615" t="str">
        <f t="shared" si="5070"/>
        <v>District-CHP with H2 fuel cell (heat)-Public acceptability</v>
      </c>
      <c r="T1615" s="54">
        <f ca="1">VLOOKUP($P1615,'TA database'!$I$8:$J$79,2,FALSE)</f>
        <v>80</v>
      </c>
      <c r="U1615" s="54">
        <f ca="1">VLOOKUP($Q1615,'TA database'!$I$86:$J$105,2,FALSE)</f>
        <v>60</v>
      </c>
      <c r="V1615" s="54">
        <f ca="1">VLOOKUP($R1615,'TA database'!$I$112:$J$139,2,FALSE)</f>
        <v>70</v>
      </c>
      <c r="W1615" s="54">
        <f ca="1">IFERROR(VLOOKUP($S1615,'TA database'!$I$146:$J$193,2,FALSE),0)</f>
        <v>80</v>
      </c>
      <c r="X1615" s="54">
        <f>IFERROR(VLOOKUP($S1615,'TA database'!$I$200:$J$271,2,FALSE),0)</f>
        <v>0</v>
      </c>
      <c r="Y1615" s="59">
        <f t="shared" ca="1" si="5071"/>
        <v>26.88</v>
      </c>
      <c r="Z1615" t="str">
        <f t="shared" si="5072"/>
        <v>BIO_SR_LRG_C   →   C_UNDRGRND_STRG   →   H2_T&amp;D_P   →   H2_FC_DCHP_HEAT</v>
      </c>
      <c r="AA1615" t="str">
        <f t="shared" si="5073"/>
        <v>Building heat</v>
      </c>
      <c r="AB1615" t="str">
        <f t="shared" si="5074"/>
        <v>Public acceptability</v>
      </c>
      <c r="AC1615">
        <f t="shared" ca="1" si="5075"/>
        <v>26.88</v>
      </c>
      <c r="AD1615">
        <v>1556</v>
      </c>
      <c r="AE1615" t="str">
        <f>IF(AND(ISNUMBER(SEARCH(O1615,4)),ISNUMBER(SEARCH('(4) FCH pathway assessment'!$B$16,AB1615)),ISNUMBER(SEARCH('(4) FCH pathway assessment'!$B$10,AA1615))),AD1615,"")</f>
        <v/>
      </c>
      <c r="AF1615" t="str">
        <f t="shared" si="4977"/>
        <v/>
      </c>
      <c r="AG1615" t="str">
        <f>VLOOKUP(C1615,Assumptions!$B$116:$C$162,2,FALSE)</f>
        <v>BIO_SR_LRG_C</v>
      </c>
      <c r="AH1615" t="str">
        <f>VLOOKUP(D1615,Assumptions!$B$116:$C$162,2,FALSE)</f>
        <v>C_UNDRGRND_STRG</v>
      </c>
      <c r="AI1615" t="str">
        <f>VLOOKUP(E1615,Assumptions!$B$116:$C$162,2,FALSE)</f>
        <v>H2_T&amp;D_P</v>
      </c>
      <c r="AJ1615" t="str">
        <f>VLOOKUP(F1615,Assumptions!$B$116:$C$162,2,FALSE)</f>
        <v>H2_FC_DCHP_HEAT</v>
      </c>
    </row>
    <row r="1616" spans="2:36" x14ac:dyDescent="0.25">
      <c r="B1616" t="s">
        <v>117</v>
      </c>
      <c r="C1616" t="s">
        <v>56</v>
      </c>
      <c r="D1616" t="s">
        <v>62</v>
      </c>
      <c r="E1616" t="s">
        <v>116</v>
      </c>
      <c r="F1616" t="s">
        <v>552</v>
      </c>
      <c r="G1616" t="s">
        <v>132</v>
      </c>
      <c r="H1616" t="s">
        <v>434</v>
      </c>
      <c r="I1616" t="s">
        <v>32</v>
      </c>
      <c r="J1616" t="s">
        <v>82</v>
      </c>
      <c r="K1616">
        <f t="shared" si="5062"/>
        <v>0</v>
      </c>
      <c r="L1616">
        <f t="shared" si="5063"/>
        <v>0</v>
      </c>
      <c r="M1616">
        <f t="shared" si="5064"/>
        <v>1</v>
      </c>
      <c r="N1616">
        <f t="shared" si="5065"/>
        <v>1</v>
      </c>
      <c r="O1616">
        <f t="shared" si="5066"/>
        <v>2</v>
      </c>
      <c r="P1616" t="str">
        <f t="shared" si="5067"/>
        <v>Large centralized biomass steam reforming -Public acceptability</v>
      </c>
      <c r="Q1616" t="str">
        <f t="shared" si="5068"/>
        <v>Underground storage-Public acceptability</v>
      </c>
      <c r="R1616" t="str">
        <f t="shared" si="5069"/>
        <v>Liquid hydrogen truck-Public acceptability</v>
      </c>
      <c r="S1616" t="str">
        <f t="shared" si="5070"/>
        <v>District-CHP with H2 fuel cell (heat)-Public acceptability</v>
      </c>
      <c r="T1616" s="54">
        <f ca="1">VLOOKUP($P1616,'TA database'!$I$8:$J$79,2,FALSE)</f>
        <v>80</v>
      </c>
      <c r="U1616" s="54">
        <f ca="1">VLOOKUP($Q1616,'TA database'!$I$86:$J$105,2,FALSE)</f>
        <v>60</v>
      </c>
      <c r="V1616" s="54">
        <f ca="1">VLOOKUP($R1616,'TA database'!$I$112:$J$139,2,FALSE)</f>
        <v>100</v>
      </c>
      <c r="W1616" s="54">
        <f ca="1">IFERROR(VLOOKUP($S1616,'TA database'!$I$146:$J$193,2,FALSE),0)</f>
        <v>80</v>
      </c>
      <c r="X1616" s="54">
        <f>IFERROR(VLOOKUP($S1616,'TA database'!$I$200:$J$271,2,FALSE),0)</f>
        <v>0</v>
      </c>
      <c r="Y1616" s="59">
        <f t="shared" ca="1" si="5071"/>
        <v>38.4</v>
      </c>
      <c r="Z1616" t="str">
        <f t="shared" si="5072"/>
        <v>BIO_SR_LRG_C   →   C_UNDRGRND_STRG   →   LQ_TRUCK   →   H2_FC_DCHP_HEAT</v>
      </c>
      <c r="AA1616" t="str">
        <f t="shared" si="5073"/>
        <v>Building heat</v>
      </c>
      <c r="AB1616" t="str">
        <f t="shared" si="5074"/>
        <v>Public acceptability</v>
      </c>
      <c r="AC1616">
        <f t="shared" ca="1" si="5075"/>
        <v>38.4</v>
      </c>
      <c r="AD1616">
        <v>1557</v>
      </c>
      <c r="AE1616" t="str">
        <f>IF(AND(ISNUMBER(SEARCH(O1616,4)),ISNUMBER(SEARCH('(4) FCH pathway assessment'!$B$16,AB1616)),ISNUMBER(SEARCH('(4) FCH pathway assessment'!$B$10,AA1616))),AD1616,"")</f>
        <v/>
      </c>
      <c r="AF1616" t="str">
        <f t="shared" si="4977"/>
        <v/>
      </c>
      <c r="AG1616" t="str">
        <f>VLOOKUP(C1616,Assumptions!$B$116:$C$162,2,FALSE)</f>
        <v>BIO_SR_LRG_C</v>
      </c>
      <c r="AH1616" t="str">
        <f>VLOOKUP(D1616,Assumptions!$B$116:$C$162,2,FALSE)</f>
        <v>C_UNDRGRND_STRG</v>
      </c>
      <c r="AI1616" t="str">
        <f>VLOOKUP(E1616,Assumptions!$B$116:$C$162,2,FALSE)</f>
        <v>LQ_TRUCK</v>
      </c>
      <c r="AJ1616" t="str">
        <f>VLOOKUP(F1616,Assumptions!$B$116:$C$162,2,FALSE)</f>
        <v>H2_FC_DCHP_HEAT</v>
      </c>
    </row>
    <row r="1617" spans="2:36" x14ac:dyDescent="0.25">
      <c r="B1617" t="s">
        <v>117</v>
      </c>
      <c r="C1617" t="s">
        <v>56</v>
      </c>
      <c r="D1617" t="s">
        <v>62</v>
      </c>
      <c r="E1617" t="s">
        <v>66</v>
      </c>
      <c r="F1617" t="s">
        <v>552</v>
      </c>
      <c r="G1617" t="s">
        <v>132</v>
      </c>
      <c r="H1617" t="s">
        <v>434</v>
      </c>
      <c r="I1617" t="s">
        <v>32</v>
      </c>
      <c r="J1617" t="s">
        <v>82</v>
      </c>
      <c r="K1617">
        <f t="shared" si="5062"/>
        <v>0</v>
      </c>
      <c r="L1617">
        <f t="shared" si="5063"/>
        <v>0</v>
      </c>
      <c r="M1617">
        <f t="shared" si="5064"/>
        <v>1</v>
      </c>
      <c r="N1617">
        <f t="shared" si="5065"/>
        <v>1</v>
      </c>
      <c r="O1617">
        <f t="shared" si="5066"/>
        <v>2</v>
      </c>
      <c r="P1617" t="str">
        <f t="shared" si="5067"/>
        <v>Large centralized biomass steam reforming -Public acceptability</v>
      </c>
      <c r="Q1617" t="str">
        <f t="shared" si="5068"/>
        <v>Underground storage-Public acceptability</v>
      </c>
      <c r="R1617" t="str">
        <f t="shared" si="5069"/>
        <v>Onsite-Public acceptability</v>
      </c>
      <c r="S1617" t="str">
        <f t="shared" si="5070"/>
        <v>District-CHP with H2 fuel cell (heat)-Public acceptability</v>
      </c>
      <c r="T1617" s="54">
        <f ca="1">VLOOKUP($P1617,'TA database'!$I$8:$J$79,2,FALSE)</f>
        <v>80</v>
      </c>
      <c r="U1617" s="54">
        <f ca="1">VLOOKUP($Q1617,'TA database'!$I$86:$J$105,2,FALSE)</f>
        <v>60</v>
      </c>
      <c r="V1617" s="54">
        <f ca="1">VLOOKUP($R1617,'TA database'!$I$112:$J$139,2,FALSE)</f>
        <v>90</v>
      </c>
      <c r="W1617" s="54">
        <f ca="1">IFERROR(VLOOKUP($S1617,'TA database'!$I$146:$J$193,2,FALSE),0)</f>
        <v>80</v>
      </c>
      <c r="X1617" s="54">
        <f>IFERROR(VLOOKUP($S1617,'TA database'!$I$200:$J$271,2,FALSE),0)</f>
        <v>0</v>
      </c>
      <c r="Y1617" s="59">
        <f t="shared" ca="1" si="5071"/>
        <v>34.56</v>
      </c>
      <c r="Z1617" t="str">
        <f t="shared" si="5072"/>
        <v>BIO_SR_LRG_C   →   C_UNDRGRND_STRG   →   ONSITE_USE   →   H2_FC_DCHP_HEAT</v>
      </c>
      <c r="AA1617" t="str">
        <f t="shared" si="5073"/>
        <v>Building heat</v>
      </c>
      <c r="AB1617" t="str">
        <f t="shared" si="5074"/>
        <v>Public acceptability</v>
      </c>
      <c r="AC1617">
        <f t="shared" ca="1" si="5075"/>
        <v>34.56</v>
      </c>
      <c r="AD1617">
        <v>1558</v>
      </c>
      <c r="AE1617" t="str">
        <f>IF(AND(ISNUMBER(SEARCH(O1617,4)),ISNUMBER(SEARCH('(4) FCH pathway assessment'!$B$16,AB1617)),ISNUMBER(SEARCH('(4) FCH pathway assessment'!$B$10,AA1617))),AD1617,"")</f>
        <v/>
      </c>
      <c r="AF1617" t="str">
        <f t="shared" si="4977"/>
        <v/>
      </c>
      <c r="AG1617" t="str">
        <f>VLOOKUP(C1617,Assumptions!$B$116:$C$162,2,FALSE)</f>
        <v>BIO_SR_LRG_C</v>
      </c>
      <c r="AH1617" t="str">
        <f>VLOOKUP(D1617,Assumptions!$B$116:$C$162,2,FALSE)</f>
        <v>C_UNDRGRND_STRG</v>
      </c>
      <c r="AI1617" t="str">
        <f>VLOOKUP(E1617,Assumptions!$B$116:$C$162,2,FALSE)</f>
        <v>ONSITE_USE</v>
      </c>
      <c r="AJ1617" t="str">
        <f>VLOOKUP(F1617,Assumptions!$B$116:$C$162,2,FALSE)</f>
        <v>H2_FC_DCHP_HEAT</v>
      </c>
    </row>
    <row r="1618" spans="2:36" x14ac:dyDescent="0.25">
      <c r="B1618" t="s">
        <v>117</v>
      </c>
      <c r="C1618" t="s">
        <v>56</v>
      </c>
      <c r="D1618" s="61" t="s">
        <v>63</v>
      </c>
      <c r="E1618" t="s">
        <v>122</v>
      </c>
      <c r="F1618" t="s">
        <v>552</v>
      </c>
      <c r="G1618" t="s">
        <v>132</v>
      </c>
      <c r="H1618" t="s">
        <v>434</v>
      </c>
      <c r="I1618" t="s">
        <v>32</v>
      </c>
      <c r="J1618" t="s">
        <v>82</v>
      </c>
      <c r="K1618">
        <f t="shared" si="5062"/>
        <v>0</v>
      </c>
      <c r="L1618">
        <f t="shared" si="5063"/>
        <v>1</v>
      </c>
      <c r="M1618">
        <f t="shared" si="5064"/>
        <v>1</v>
      </c>
      <c r="N1618">
        <f t="shared" si="5065"/>
        <v>1</v>
      </c>
      <c r="O1618">
        <f t="shared" si="5066"/>
        <v>3</v>
      </c>
      <c r="P1618" t="str">
        <f t="shared" si="5067"/>
        <v>Large centralized biomass steam reforming -Public acceptability</v>
      </c>
      <c r="Q1618" t="str">
        <f t="shared" si="5068"/>
        <v>No storage-Public acceptability</v>
      </c>
      <c r="R1618" t="str">
        <f t="shared" si="5069"/>
        <v>Hydrogen transmission &amp; distribution pipeline-Public acceptability</v>
      </c>
      <c r="S1618" t="str">
        <f t="shared" si="5070"/>
        <v>District-CHP with H2 fuel cell (heat)-Public acceptability</v>
      </c>
      <c r="T1618" s="54">
        <f ca="1">VLOOKUP($P1618,'TA database'!$I$8:$J$79,2,FALSE)</f>
        <v>80</v>
      </c>
      <c r="U1618" s="54">
        <f ca="1">VLOOKUP($Q1618,'TA database'!$I$86:$J$105,2,FALSE)</f>
        <v>100</v>
      </c>
      <c r="V1618" s="54">
        <f ca="1">VLOOKUP($R1618,'TA database'!$I$112:$J$139,2,FALSE)</f>
        <v>70</v>
      </c>
      <c r="W1618" s="54">
        <f ca="1">IFERROR(VLOOKUP($S1618,'TA database'!$I$146:$J$193,2,FALSE),0)</f>
        <v>80</v>
      </c>
      <c r="X1618" s="54">
        <f>IFERROR(VLOOKUP($S1618,'TA database'!$I$200:$J$271,2,FALSE),0)</f>
        <v>0</v>
      </c>
      <c r="Y1618" s="59">
        <f t="shared" ref="Y1618:Y1630" ca="1" si="5076">IF($W1618=0,(PRODUCT($T1618:$V1618,$X1618))/1000000,(PRODUCT($T1618:$W1618))/1000000)</f>
        <v>44.8</v>
      </c>
      <c r="Z1618" t="str">
        <f t="shared" si="5072"/>
        <v>BIO_SR_LRG_C   →   NO_STRG   →   H2_T&amp;D_P   →   H2_FC_DCHP_HEAT</v>
      </c>
      <c r="AA1618" t="str">
        <f t="shared" si="5073"/>
        <v>Building heat</v>
      </c>
      <c r="AB1618" t="str">
        <f t="shared" si="5074"/>
        <v>Public acceptability</v>
      </c>
      <c r="AC1618">
        <f t="shared" ca="1" si="5075"/>
        <v>44.8</v>
      </c>
      <c r="AD1618">
        <v>1559</v>
      </c>
      <c r="AE1618" t="str">
        <f>IF(AND(ISNUMBER(SEARCH(O1618,4)),ISNUMBER(SEARCH('(4) FCH pathway assessment'!$B$16,AB1618)),ISNUMBER(SEARCH('(4) FCH pathway assessment'!$B$10,AA1618))),AD1618,"")</f>
        <v/>
      </c>
      <c r="AF1618" t="str">
        <f t="shared" si="4977"/>
        <v/>
      </c>
      <c r="AG1618" t="str">
        <f>VLOOKUP(C1618,Assumptions!$B$116:$C$162,2,FALSE)</f>
        <v>BIO_SR_LRG_C</v>
      </c>
      <c r="AH1618" t="str">
        <f>VLOOKUP(D1618,Assumptions!$B$116:$C$162,2,FALSE)</f>
        <v>NO_STRG</v>
      </c>
      <c r="AI1618" t="str">
        <f>VLOOKUP(E1618,Assumptions!$B$116:$C$162,2,FALSE)</f>
        <v>H2_T&amp;D_P</v>
      </c>
      <c r="AJ1618" t="str">
        <f>VLOOKUP(F1618,Assumptions!$B$116:$C$162,2,FALSE)</f>
        <v>H2_FC_DCHP_HEAT</v>
      </c>
    </row>
    <row r="1619" spans="2:36" x14ac:dyDescent="0.25">
      <c r="B1619" t="s">
        <v>112</v>
      </c>
      <c r="C1619" t="s">
        <v>49</v>
      </c>
      <c r="D1619" t="s">
        <v>62</v>
      </c>
      <c r="E1619" t="s">
        <v>157</v>
      </c>
      <c r="F1619" t="s">
        <v>552</v>
      </c>
      <c r="G1619" t="s">
        <v>132</v>
      </c>
      <c r="H1619" t="s">
        <v>434</v>
      </c>
      <c r="I1619" t="s">
        <v>32</v>
      </c>
      <c r="J1619" t="s">
        <v>82</v>
      </c>
      <c r="K1619">
        <f t="shared" si="5062"/>
        <v>1</v>
      </c>
      <c r="L1619">
        <f t="shared" si="5063"/>
        <v>0</v>
      </c>
      <c r="M1619">
        <f t="shared" si="5064"/>
        <v>0</v>
      </c>
      <c r="N1619">
        <f t="shared" si="5065"/>
        <v>1</v>
      </c>
      <c r="O1619">
        <f t="shared" si="5066"/>
        <v>2</v>
      </c>
      <c r="P1619" t="str">
        <f t="shared" si="5067"/>
        <v>Large centralized electrolysis-Public acceptability</v>
      </c>
      <c r="Q1619" t="str">
        <f t="shared" si="5068"/>
        <v>Underground storage-Public acceptability</v>
      </c>
      <c r="R1619" t="str">
        <f t="shared" si="5069"/>
        <v>Blending in natural gas pipeline-Public acceptability</v>
      </c>
      <c r="S1619" t="str">
        <f t="shared" si="5070"/>
        <v>District-CHP with H2 fuel cell (heat)-Public acceptability</v>
      </c>
      <c r="T1619" s="54">
        <f ca="1">VLOOKUP($P1619,'TA database'!$I$8:$J$79,2,FALSE)</f>
        <v>80</v>
      </c>
      <c r="U1619" s="54">
        <f ca="1">VLOOKUP($Q1619,'TA database'!$I$86:$J$105,2,FALSE)</f>
        <v>60</v>
      </c>
      <c r="V1619" s="54">
        <f ca="1">VLOOKUP($R1619,'TA database'!$I$112:$J$139,2,FALSE)</f>
        <v>90</v>
      </c>
      <c r="W1619" s="54">
        <f ca="1">IFERROR(VLOOKUP($S1619,'TA database'!$I$146:$J$193,2,FALSE),0)</f>
        <v>80</v>
      </c>
      <c r="X1619" s="54">
        <f>IFERROR(VLOOKUP($S1619,'TA database'!$I$200:$J$271,2,FALSE),0)</f>
        <v>0</v>
      </c>
      <c r="Y1619" s="59">
        <f t="shared" ca="1" si="5076"/>
        <v>34.56</v>
      </c>
      <c r="Z1619" t="str">
        <f t="shared" si="5072"/>
        <v>ELCTRLYZ_LRG_C   →   C_UNDRGRND_STRG   →   H2_BLND_NG_P   →   H2_FC_DCHP_HEAT</v>
      </c>
      <c r="AA1619" t="str">
        <f t="shared" si="5073"/>
        <v>Building heat</v>
      </c>
      <c r="AB1619" t="str">
        <f t="shared" si="5074"/>
        <v>Public acceptability</v>
      </c>
      <c r="AC1619">
        <f t="shared" ca="1" si="5075"/>
        <v>34.56</v>
      </c>
      <c r="AD1619">
        <v>1560</v>
      </c>
      <c r="AE1619" t="str">
        <f>IF(AND(ISNUMBER(SEARCH(O1619,4)),ISNUMBER(SEARCH('(4) FCH pathway assessment'!$B$16,AB1619)),ISNUMBER(SEARCH('(4) FCH pathway assessment'!$B$10,AA1619))),AD1619,"")</f>
        <v/>
      </c>
      <c r="AF1619" t="str">
        <f t="shared" si="4977"/>
        <v/>
      </c>
      <c r="AG1619" t="str">
        <f>VLOOKUP(C1619,Assumptions!$B$116:$C$162,2,FALSE)</f>
        <v>ELCTRLYZ_LRG_C</v>
      </c>
      <c r="AH1619" t="str">
        <f>VLOOKUP(D1619,Assumptions!$B$116:$C$162,2,FALSE)</f>
        <v>C_UNDRGRND_STRG</v>
      </c>
      <c r="AI1619" t="str">
        <f>VLOOKUP(E1619,Assumptions!$B$116:$C$162,2,FALSE)</f>
        <v>H2_BLND_NG_P</v>
      </c>
      <c r="AJ1619" t="str">
        <f>VLOOKUP(F1619,Assumptions!$B$116:$C$162,2,FALSE)</f>
        <v>H2_FC_DCHP_HEAT</v>
      </c>
    </row>
    <row r="1620" spans="2:36" x14ac:dyDescent="0.25">
      <c r="B1620" t="s">
        <v>112</v>
      </c>
      <c r="C1620" t="s">
        <v>49</v>
      </c>
      <c r="D1620" t="s">
        <v>62</v>
      </c>
      <c r="E1620" t="s">
        <v>122</v>
      </c>
      <c r="F1620" t="s">
        <v>552</v>
      </c>
      <c r="G1620" t="s">
        <v>132</v>
      </c>
      <c r="H1620" t="s">
        <v>434</v>
      </c>
      <c r="I1620" t="s">
        <v>32</v>
      </c>
      <c r="J1620" t="s">
        <v>82</v>
      </c>
      <c r="K1620">
        <f t="shared" si="5062"/>
        <v>1</v>
      </c>
      <c r="L1620">
        <f t="shared" si="5063"/>
        <v>0</v>
      </c>
      <c r="M1620">
        <f t="shared" si="5064"/>
        <v>1</v>
      </c>
      <c r="N1620">
        <f t="shared" si="5065"/>
        <v>1</v>
      </c>
      <c r="O1620">
        <f t="shared" si="5066"/>
        <v>3</v>
      </c>
      <c r="P1620" t="str">
        <f t="shared" si="5067"/>
        <v>Large centralized electrolysis-Public acceptability</v>
      </c>
      <c r="Q1620" t="str">
        <f t="shared" si="5068"/>
        <v>Underground storage-Public acceptability</v>
      </c>
      <c r="R1620" t="str">
        <f t="shared" si="5069"/>
        <v>Hydrogen transmission &amp; distribution pipeline-Public acceptability</v>
      </c>
      <c r="S1620" t="str">
        <f t="shared" si="5070"/>
        <v>District-CHP with H2 fuel cell (heat)-Public acceptability</v>
      </c>
      <c r="T1620" s="54">
        <f ca="1">VLOOKUP($P1620,'TA database'!$I$8:$J$79,2,FALSE)</f>
        <v>80</v>
      </c>
      <c r="U1620" s="54">
        <f ca="1">VLOOKUP($Q1620,'TA database'!$I$86:$J$105,2,FALSE)</f>
        <v>60</v>
      </c>
      <c r="V1620" s="54">
        <f ca="1">VLOOKUP($R1620,'TA database'!$I$112:$J$139,2,FALSE)</f>
        <v>70</v>
      </c>
      <c r="W1620" s="54">
        <f ca="1">IFERROR(VLOOKUP($S1620,'TA database'!$I$146:$J$193,2,FALSE),0)</f>
        <v>80</v>
      </c>
      <c r="X1620" s="54">
        <f>IFERROR(VLOOKUP($S1620,'TA database'!$I$200:$J$271,2,FALSE),0)</f>
        <v>0</v>
      </c>
      <c r="Y1620" s="59">
        <f t="shared" ca="1" si="5076"/>
        <v>26.88</v>
      </c>
      <c r="Z1620" t="str">
        <f t="shared" si="5072"/>
        <v>ELCTRLYZ_LRG_C   →   C_UNDRGRND_STRG   →   H2_T&amp;D_P   →   H2_FC_DCHP_HEAT</v>
      </c>
      <c r="AA1620" t="str">
        <f t="shared" si="5073"/>
        <v>Building heat</v>
      </c>
      <c r="AB1620" t="str">
        <f t="shared" si="5074"/>
        <v>Public acceptability</v>
      </c>
      <c r="AC1620">
        <f t="shared" ca="1" si="5075"/>
        <v>26.88</v>
      </c>
      <c r="AD1620">
        <v>1561</v>
      </c>
      <c r="AE1620" t="str">
        <f>IF(AND(ISNUMBER(SEARCH(O1620,4)),ISNUMBER(SEARCH('(4) FCH pathway assessment'!$B$16,AB1620)),ISNUMBER(SEARCH('(4) FCH pathway assessment'!$B$10,AA1620))),AD1620,"")</f>
        <v/>
      </c>
      <c r="AF1620" t="str">
        <f t="shared" si="4977"/>
        <v/>
      </c>
      <c r="AG1620" t="str">
        <f>VLOOKUP(C1620,Assumptions!$B$116:$C$162,2,FALSE)</f>
        <v>ELCTRLYZ_LRG_C</v>
      </c>
      <c r="AH1620" t="str">
        <f>VLOOKUP(D1620,Assumptions!$B$116:$C$162,2,FALSE)</f>
        <v>C_UNDRGRND_STRG</v>
      </c>
      <c r="AI1620" t="str">
        <f>VLOOKUP(E1620,Assumptions!$B$116:$C$162,2,FALSE)</f>
        <v>H2_T&amp;D_P</v>
      </c>
      <c r="AJ1620" t="str">
        <f>VLOOKUP(F1620,Assumptions!$B$116:$C$162,2,FALSE)</f>
        <v>H2_FC_DCHP_HEAT</v>
      </c>
    </row>
    <row r="1621" spans="2:36" x14ac:dyDescent="0.25">
      <c r="B1621" t="s">
        <v>112</v>
      </c>
      <c r="C1621" t="s">
        <v>49</v>
      </c>
      <c r="D1621" t="s">
        <v>62</v>
      </c>
      <c r="E1621" t="s">
        <v>116</v>
      </c>
      <c r="F1621" t="s">
        <v>552</v>
      </c>
      <c r="G1621" t="s">
        <v>132</v>
      </c>
      <c r="H1621" t="s">
        <v>434</v>
      </c>
      <c r="I1621" t="s">
        <v>32</v>
      </c>
      <c r="J1621" t="s">
        <v>82</v>
      </c>
      <c r="K1621">
        <f t="shared" si="5062"/>
        <v>1</v>
      </c>
      <c r="L1621">
        <f t="shared" si="5063"/>
        <v>0</v>
      </c>
      <c r="M1621">
        <f t="shared" si="5064"/>
        <v>1</v>
      </c>
      <c r="N1621">
        <f t="shared" si="5065"/>
        <v>1</v>
      </c>
      <c r="O1621">
        <f t="shared" si="5066"/>
        <v>3</v>
      </c>
      <c r="P1621" t="str">
        <f t="shared" si="5067"/>
        <v>Large centralized electrolysis-Public acceptability</v>
      </c>
      <c r="Q1621" t="str">
        <f t="shared" si="5068"/>
        <v>Underground storage-Public acceptability</v>
      </c>
      <c r="R1621" t="str">
        <f t="shared" si="5069"/>
        <v>Liquid hydrogen truck-Public acceptability</v>
      </c>
      <c r="S1621" t="str">
        <f t="shared" si="5070"/>
        <v>District-CHP with H2 fuel cell (heat)-Public acceptability</v>
      </c>
      <c r="T1621" s="54">
        <f ca="1">VLOOKUP($P1621,'TA database'!$I$8:$J$79,2,FALSE)</f>
        <v>80</v>
      </c>
      <c r="U1621" s="54">
        <f ca="1">VLOOKUP($Q1621,'TA database'!$I$86:$J$105,2,FALSE)</f>
        <v>60</v>
      </c>
      <c r="V1621" s="54">
        <f ca="1">VLOOKUP($R1621,'TA database'!$I$112:$J$139,2,FALSE)</f>
        <v>100</v>
      </c>
      <c r="W1621" s="54">
        <f ca="1">IFERROR(VLOOKUP($S1621,'TA database'!$I$146:$J$193,2,FALSE),0)</f>
        <v>80</v>
      </c>
      <c r="X1621" s="54">
        <f>IFERROR(VLOOKUP($S1621,'TA database'!$I$200:$J$271,2,FALSE),0)</f>
        <v>0</v>
      </c>
      <c r="Y1621" s="59">
        <f t="shared" ca="1" si="5076"/>
        <v>38.4</v>
      </c>
      <c r="Z1621" t="str">
        <f t="shared" si="5072"/>
        <v>ELCTRLYZ_LRG_C   →   C_UNDRGRND_STRG   →   LQ_TRUCK   →   H2_FC_DCHP_HEAT</v>
      </c>
      <c r="AA1621" t="str">
        <f t="shared" si="5073"/>
        <v>Building heat</v>
      </c>
      <c r="AB1621" t="str">
        <f t="shared" si="5074"/>
        <v>Public acceptability</v>
      </c>
      <c r="AC1621">
        <f t="shared" ca="1" si="5075"/>
        <v>38.4</v>
      </c>
      <c r="AD1621">
        <v>1562</v>
      </c>
      <c r="AE1621" t="str">
        <f>IF(AND(ISNUMBER(SEARCH(O1621,4)),ISNUMBER(SEARCH('(4) FCH pathway assessment'!$B$16,AB1621)),ISNUMBER(SEARCH('(4) FCH pathway assessment'!$B$10,AA1621))),AD1621,"")</f>
        <v/>
      </c>
      <c r="AF1621" t="str">
        <f t="shared" si="4977"/>
        <v/>
      </c>
      <c r="AG1621" t="str">
        <f>VLOOKUP(C1621,Assumptions!$B$116:$C$162,2,FALSE)</f>
        <v>ELCTRLYZ_LRG_C</v>
      </c>
      <c r="AH1621" t="str">
        <f>VLOOKUP(D1621,Assumptions!$B$116:$C$162,2,FALSE)</f>
        <v>C_UNDRGRND_STRG</v>
      </c>
      <c r="AI1621" t="str">
        <f>VLOOKUP(E1621,Assumptions!$B$116:$C$162,2,FALSE)</f>
        <v>LQ_TRUCK</v>
      </c>
      <c r="AJ1621" t="str">
        <f>VLOOKUP(F1621,Assumptions!$B$116:$C$162,2,FALSE)</f>
        <v>H2_FC_DCHP_HEAT</v>
      </c>
    </row>
    <row r="1622" spans="2:36" x14ac:dyDescent="0.25">
      <c r="B1622" t="s">
        <v>112</v>
      </c>
      <c r="C1622" t="s">
        <v>49</v>
      </c>
      <c r="D1622" t="s">
        <v>62</v>
      </c>
      <c r="E1622" t="s">
        <v>66</v>
      </c>
      <c r="F1622" t="s">
        <v>552</v>
      </c>
      <c r="G1622" t="s">
        <v>132</v>
      </c>
      <c r="H1622" t="s">
        <v>434</v>
      </c>
      <c r="I1622" t="s">
        <v>32</v>
      </c>
      <c r="J1622" t="s">
        <v>82</v>
      </c>
      <c r="K1622">
        <f t="shared" si="5062"/>
        <v>1</v>
      </c>
      <c r="L1622">
        <f t="shared" si="5063"/>
        <v>0</v>
      </c>
      <c r="M1622">
        <f t="shared" si="5064"/>
        <v>1</v>
      </c>
      <c r="N1622">
        <f t="shared" si="5065"/>
        <v>1</v>
      </c>
      <c r="O1622">
        <f t="shared" si="5066"/>
        <v>3</v>
      </c>
      <c r="P1622" t="str">
        <f t="shared" si="5067"/>
        <v>Large centralized electrolysis-Public acceptability</v>
      </c>
      <c r="Q1622" t="str">
        <f t="shared" si="5068"/>
        <v>Underground storage-Public acceptability</v>
      </c>
      <c r="R1622" t="str">
        <f t="shared" si="5069"/>
        <v>Onsite-Public acceptability</v>
      </c>
      <c r="S1622" t="str">
        <f t="shared" si="5070"/>
        <v>District-CHP with H2 fuel cell (heat)-Public acceptability</v>
      </c>
      <c r="T1622" s="54">
        <f ca="1">VLOOKUP($P1622,'TA database'!$I$8:$J$79,2,FALSE)</f>
        <v>80</v>
      </c>
      <c r="U1622" s="54">
        <f ca="1">VLOOKUP($Q1622,'TA database'!$I$86:$J$105,2,FALSE)</f>
        <v>60</v>
      </c>
      <c r="V1622" s="54">
        <f ca="1">VLOOKUP($R1622,'TA database'!$I$112:$J$139,2,FALSE)</f>
        <v>90</v>
      </c>
      <c r="W1622" s="54">
        <f ca="1">IFERROR(VLOOKUP($S1622,'TA database'!$I$146:$J$193,2,FALSE),0)</f>
        <v>80</v>
      </c>
      <c r="X1622" s="54">
        <f>IFERROR(VLOOKUP($S1622,'TA database'!$I$200:$J$271,2,FALSE),0)</f>
        <v>0</v>
      </c>
      <c r="Y1622" s="59">
        <f t="shared" ca="1" si="5076"/>
        <v>34.56</v>
      </c>
      <c r="Z1622" t="str">
        <f t="shared" si="5072"/>
        <v>ELCTRLYZ_LRG_C   →   C_UNDRGRND_STRG   →   ONSITE_USE   →   H2_FC_DCHP_HEAT</v>
      </c>
      <c r="AA1622" t="str">
        <f t="shared" si="5073"/>
        <v>Building heat</v>
      </c>
      <c r="AB1622" t="str">
        <f t="shared" si="5074"/>
        <v>Public acceptability</v>
      </c>
      <c r="AC1622">
        <f t="shared" ca="1" si="5075"/>
        <v>34.56</v>
      </c>
      <c r="AD1622">
        <v>1563</v>
      </c>
      <c r="AE1622" t="str">
        <f>IF(AND(ISNUMBER(SEARCH(O1622,4)),ISNUMBER(SEARCH('(4) FCH pathway assessment'!$B$16,AB1622)),ISNUMBER(SEARCH('(4) FCH pathway assessment'!$B$10,AA1622))),AD1622,"")</f>
        <v/>
      </c>
      <c r="AF1622" t="str">
        <f t="shared" si="4977"/>
        <v/>
      </c>
      <c r="AG1622" t="str">
        <f>VLOOKUP(C1622,Assumptions!$B$116:$C$162,2,FALSE)</f>
        <v>ELCTRLYZ_LRG_C</v>
      </c>
      <c r="AH1622" t="str">
        <f>VLOOKUP(D1622,Assumptions!$B$116:$C$162,2,FALSE)</f>
        <v>C_UNDRGRND_STRG</v>
      </c>
      <c r="AI1622" t="str">
        <f>VLOOKUP(E1622,Assumptions!$B$116:$C$162,2,FALSE)</f>
        <v>ONSITE_USE</v>
      </c>
      <c r="AJ1622" t="str">
        <f>VLOOKUP(F1622,Assumptions!$B$116:$C$162,2,FALSE)</f>
        <v>H2_FC_DCHP_HEAT</v>
      </c>
    </row>
    <row r="1623" spans="2:36" x14ac:dyDescent="0.25">
      <c r="B1623" t="s">
        <v>112</v>
      </c>
      <c r="C1623" t="s">
        <v>49</v>
      </c>
      <c r="D1623" t="s">
        <v>155</v>
      </c>
      <c r="E1623" t="s">
        <v>157</v>
      </c>
      <c r="F1623" t="s">
        <v>552</v>
      </c>
      <c r="G1623" t="s">
        <v>132</v>
      </c>
      <c r="H1623" t="s">
        <v>434</v>
      </c>
      <c r="I1623" t="s">
        <v>32</v>
      </c>
      <c r="J1623" t="s">
        <v>82</v>
      </c>
      <c r="K1623">
        <f t="shared" si="5062"/>
        <v>1</v>
      </c>
      <c r="L1623">
        <f t="shared" si="5063"/>
        <v>1</v>
      </c>
      <c r="M1623">
        <f t="shared" si="5064"/>
        <v>0</v>
      </c>
      <c r="N1623">
        <f t="shared" si="5065"/>
        <v>1</v>
      </c>
      <c r="O1623">
        <f t="shared" si="5066"/>
        <v>3</v>
      </c>
      <c r="P1623" t="str">
        <f t="shared" si="5067"/>
        <v>Large centralized electrolysis-Public acceptability</v>
      </c>
      <c r="Q1623" t="str">
        <f t="shared" si="5068"/>
        <v>Central gas storage-Public acceptability</v>
      </c>
      <c r="R1623" t="str">
        <f t="shared" si="5069"/>
        <v>Blending in natural gas pipeline-Public acceptability</v>
      </c>
      <c r="S1623" t="str">
        <f t="shared" si="5070"/>
        <v>District-CHP with H2 fuel cell (heat)-Public acceptability</v>
      </c>
      <c r="T1623" s="54">
        <f ca="1">VLOOKUP($P1623,'TA database'!$I$8:$J$79,2,FALSE)</f>
        <v>80</v>
      </c>
      <c r="U1623" s="54">
        <f ca="1">VLOOKUP($Q1623,'TA database'!$I$86:$J$105,2,FALSE)</f>
        <v>60</v>
      </c>
      <c r="V1623" s="54">
        <f ca="1">VLOOKUP($R1623,'TA database'!$I$112:$J$139,2,FALSE)</f>
        <v>90</v>
      </c>
      <c r="W1623" s="54">
        <f ca="1">IFERROR(VLOOKUP($S1623,'TA database'!$I$146:$J$193,2,FALSE),0)</f>
        <v>80</v>
      </c>
      <c r="X1623" s="54">
        <f>IFERROR(VLOOKUP($S1623,'TA database'!$I$200:$J$271,2,FALSE),0)</f>
        <v>0</v>
      </c>
      <c r="Y1623" s="59">
        <f t="shared" ca="1" si="5076"/>
        <v>34.56</v>
      </c>
      <c r="Z1623" t="str">
        <f t="shared" si="5072"/>
        <v>ELCTRLYZ_LRG_C   →   C_GAS_STRG   →   H2_BLND_NG_P   →   H2_FC_DCHP_HEAT</v>
      </c>
      <c r="AA1623" t="str">
        <f t="shared" si="5073"/>
        <v>Building heat</v>
      </c>
      <c r="AB1623" t="str">
        <f t="shared" si="5074"/>
        <v>Public acceptability</v>
      </c>
      <c r="AC1623">
        <f t="shared" ca="1" si="5075"/>
        <v>34.56</v>
      </c>
      <c r="AD1623">
        <v>1564</v>
      </c>
      <c r="AE1623" t="str">
        <f>IF(AND(ISNUMBER(SEARCH(O1623,4)),ISNUMBER(SEARCH('(4) FCH pathway assessment'!$B$16,AB1623)),ISNUMBER(SEARCH('(4) FCH pathway assessment'!$B$10,AA1623))),AD1623,"")</f>
        <v/>
      </c>
      <c r="AF1623" t="str">
        <f t="shared" si="4977"/>
        <v/>
      </c>
      <c r="AG1623" t="str">
        <f>VLOOKUP(C1623,Assumptions!$B$116:$C$162,2,FALSE)</f>
        <v>ELCTRLYZ_LRG_C</v>
      </c>
      <c r="AH1623" t="str">
        <f>VLOOKUP(D1623,Assumptions!$B$116:$C$162,2,FALSE)</f>
        <v>C_GAS_STRG</v>
      </c>
      <c r="AI1623" t="str">
        <f>VLOOKUP(E1623,Assumptions!$B$116:$C$162,2,FALSE)</f>
        <v>H2_BLND_NG_P</v>
      </c>
      <c r="AJ1623" t="str">
        <f>VLOOKUP(F1623,Assumptions!$B$116:$C$162,2,FALSE)</f>
        <v>H2_FC_DCHP_HEAT</v>
      </c>
    </row>
    <row r="1624" spans="2:36" x14ac:dyDescent="0.25">
      <c r="B1624" t="s">
        <v>112</v>
      </c>
      <c r="C1624" t="s">
        <v>49</v>
      </c>
      <c r="D1624" t="s">
        <v>155</v>
      </c>
      <c r="E1624" t="s">
        <v>122</v>
      </c>
      <c r="F1624" t="s">
        <v>552</v>
      </c>
      <c r="G1624" t="s">
        <v>132</v>
      </c>
      <c r="H1624" t="s">
        <v>434</v>
      </c>
      <c r="I1624" t="s">
        <v>32</v>
      </c>
      <c r="J1624" t="s">
        <v>82</v>
      </c>
      <c r="K1624">
        <f t="shared" si="5062"/>
        <v>1</v>
      </c>
      <c r="L1624">
        <f t="shared" si="5063"/>
        <v>1</v>
      </c>
      <c r="M1624">
        <f t="shared" si="5064"/>
        <v>1</v>
      </c>
      <c r="N1624">
        <f t="shared" si="5065"/>
        <v>1</v>
      </c>
      <c r="O1624">
        <f t="shared" si="5066"/>
        <v>4</v>
      </c>
      <c r="P1624" t="str">
        <f t="shared" si="5067"/>
        <v>Large centralized electrolysis-Public acceptability</v>
      </c>
      <c r="Q1624" t="str">
        <f t="shared" si="5068"/>
        <v>Central gas storage-Public acceptability</v>
      </c>
      <c r="R1624" t="str">
        <f t="shared" si="5069"/>
        <v>Hydrogen transmission &amp; distribution pipeline-Public acceptability</v>
      </c>
      <c r="S1624" t="str">
        <f t="shared" si="5070"/>
        <v>District-CHP with H2 fuel cell (heat)-Public acceptability</v>
      </c>
      <c r="T1624" s="54">
        <f ca="1">VLOOKUP($P1624,'TA database'!$I$8:$J$79,2,FALSE)</f>
        <v>80</v>
      </c>
      <c r="U1624" s="54">
        <f ca="1">VLOOKUP($Q1624,'TA database'!$I$86:$J$105,2,FALSE)</f>
        <v>60</v>
      </c>
      <c r="V1624" s="54">
        <f ca="1">VLOOKUP($R1624,'TA database'!$I$112:$J$139,2,FALSE)</f>
        <v>70</v>
      </c>
      <c r="W1624" s="54">
        <f ca="1">IFERROR(VLOOKUP($S1624,'TA database'!$I$146:$J$193,2,FALSE),0)</f>
        <v>80</v>
      </c>
      <c r="X1624" s="54">
        <f>IFERROR(VLOOKUP($S1624,'TA database'!$I$200:$J$271,2,FALSE),0)</f>
        <v>0</v>
      </c>
      <c r="Y1624" s="59">
        <f t="shared" ca="1" si="5076"/>
        <v>26.88</v>
      </c>
      <c r="Z1624" t="str">
        <f t="shared" si="5072"/>
        <v>ELCTRLYZ_LRG_C   →   C_GAS_STRG   →   H2_T&amp;D_P   →   H2_FC_DCHP_HEAT</v>
      </c>
      <c r="AA1624" t="str">
        <f t="shared" si="5073"/>
        <v>Building heat</v>
      </c>
      <c r="AB1624" t="str">
        <f t="shared" si="5074"/>
        <v>Public acceptability</v>
      </c>
      <c r="AC1624">
        <f t="shared" ca="1" si="5075"/>
        <v>26.88</v>
      </c>
      <c r="AD1624">
        <v>1565</v>
      </c>
      <c r="AE1624" t="str">
        <f>IF(AND(ISNUMBER(SEARCH(O1624,4)),ISNUMBER(SEARCH('(4) FCH pathway assessment'!$B$16,AB1624)),ISNUMBER(SEARCH('(4) FCH pathway assessment'!$B$10,AA1624))),AD1624,"")</f>
        <v/>
      </c>
      <c r="AF1624" t="str">
        <f t="shared" si="4977"/>
        <v/>
      </c>
      <c r="AG1624" t="str">
        <f>VLOOKUP(C1624,Assumptions!$B$116:$C$162,2,FALSE)</f>
        <v>ELCTRLYZ_LRG_C</v>
      </c>
      <c r="AH1624" t="str">
        <f>VLOOKUP(D1624,Assumptions!$B$116:$C$162,2,FALSE)</f>
        <v>C_GAS_STRG</v>
      </c>
      <c r="AI1624" t="str">
        <f>VLOOKUP(E1624,Assumptions!$B$116:$C$162,2,FALSE)</f>
        <v>H2_T&amp;D_P</v>
      </c>
      <c r="AJ1624" t="str">
        <f>VLOOKUP(F1624,Assumptions!$B$116:$C$162,2,FALSE)</f>
        <v>H2_FC_DCHP_HEAT</v>
      </c>
    </row>
    <row r="1625" spans="2:36" x14ac:dyDescent="0.25">
      <c r="B1625" t="s">
        <v>112</v>
      </c>
      <c r="C1625" t="s">
        <v>49</v>
      </c>
      <c r="D1625" t="s">
        <v>155</v>
      </c>
      <c r="E1625" t="s">
        <v>116</v>
      </c>
      <c r="F1625" t="s">
        <v>552</v>
      </c>
      <c r="G1625" t="s">
        <v>132</v>
      </c>
      <c r="H1625" t="s">
        <v>434</v>
      </c>
      <c r="I1625" t="s">
        <v>32</v>
      </c>
      <c r="J1625" t="s">
        <v>82</v>
      </c>
      <c r="K1625">
        <f t="shared" si="5062"/>
        <v>1</v>
      </c>
      <c r="L1625">
        <f t="shared" si="5063"/>
        <v>1</v>
      </c>
      <c r="M1625">
        <f t="shared" si="5064"/>
        <v>1</v>
      </c>
      <c r="N1625">
        <f t="shared" si="5065"/>
        <v>1</v>
      </c>
      <c r="O1625">
        <f t="shared" si="5066"/>
        <v>4</v>
      </c>
      <c r="P1625" t="str">
        <f t="shared" si="5067"/>
        <v>Large centralized electrolysis-Public acceptability</v>
      </c>
      <c r="Q1625" t="str">
        <f t="shared" si="5068"/>
        <v>Central gas storage-Public acceptability</v>
      </c>
      <c r="R1625" t="str">
        <f t="shared" si="5069"/>
        <v>Liquid hydrogen truck-Public acceptability</v>
      </c>
      <c r="S1625" t="str">
        <f t="shared" si="5070"/>
        <v>District-CHP with H2 fuel cell (heat)-Public acceptability</v>
      </c>
      <c r="T1625" s="54">
        <f ca="1">VLOOKUP($P1625,'TA database'!$I$8:$J$79,2,FALSE)</f>
        <v>80</v>
      </c>
      <c r="U1625" s="54">
        <f ca="1">VLOOKUP($Q1625,'TA database'!$I$86:$J$105,2,FALSE)</f>
        <v>60</v>
      </c>
      <c r="V1625" s="54">
        <f ca="1">VLOOKUP($R1625,'TA database'!$I$112:$J$139,2,FALSE)</f>
        <v>100</v>
      </c>
      <c r="W1625" s="54">
        <f ca="1">IFERROR(VLOOKUP($S1625,'TA database'!$I$146:$J$193,2,FALSE),0)</f>
        <v>80</v>
      </c>
      <c r="X1625" s="54">
        <f>IFERROR(VLOOKUP($S1625,'TA database'!$I$200:$J$271,2,FALSE),0)</f>
        <v>0</v>
      </c>
      <c r="Y1625" s="59">
        <f t="shared" ca="1" si="5076"/>
        <v>38.4</v>
      </c>
      <c r="Z1625" t="str">
        <f t="shared" si="5072"/>
        <v>ELCTRLYZ_LRG_C   →   C_GAS_STRG   →   LQ_TRUCK   →   H2_FC_DCHP_HEAT</v>
      </c>
      <c r="AA1625" t="str">
        <f t="shared" si="5073"/>
        <v>Building heat</v>
      </c>
      <c r="AB1625" t="str">
        <f t="shared" si="5074"/>
        <v>Public acceptability</v>
      </c>
      <c r="AC1625">
        <f t="shared" ca="1" si="5075"/>
        <v>38.4</v>
      </c>
      <c r="AD1625">
        <v>1566</v>
      </c>
      <c r="AE1625" t="str">
        <f>IF(AND(ISNUMBER(SEARCH(O1625,4)),ISNUMBER(SEARCH('(4) FCH pathway assessment'!$B$16,AB1625)),ISNUMBER(SEARCH('(4) FCH pathway assessment'!$B$10,AA1625))),AD1625,"")</f>
        <v/>
      </c>
      <c r="AF1625" t="str">
        <f t="shared" si="4977"/>
        <v/>
      </c>
      <c r="AG1625" t="str">
        <f>VLOOKUP(C1625,Assumptions!$B$116:$C$162,2,FALSE)</f>
        <v>ELCTRLYZ_LRG_C</v>
      </c>
      <c r="AH1625" t="str">
        <f>VLOOKUP(D1625,Assumptions!$B$116:$C$162,2,FALSE)</f>
        <v>C_GAS_STRG</v>
      </c>
      <c r="AI1625" t="str">
        <f>VLOOKUP(E1625,Assumptions!$B$116:$C$162,2,FALSE)</f>
        <v>LQ_TRUCK</v>
      </c>
      <c r="AJ1625" t="str">
        <f>VLOOKUP(F1625,Assumptions!$B$116:$C$162,2,FALSE)</f>
        <v>H2_FC_DCHP_HEAT</v>
      </c>
    </row>
    <row r="1626" spans="2:36" x14ac:dyDescent="0.25">
      <c r="B1626" t="s">
        <v>112</v>
      </c>
      <c r="C1626" t="s">
        <v>49</v>
      </c>
      <c r="D1626" t="s">
        <v>155</v>
      </c>
      <c r="E1626" t="s">
        <v>66</v>
      </c>
      <c r="F1626" t="s">
        <v>552</v>
      </c>
      <c r="G1626" t="s">
        <v>132</v>
      </c>
      <c r="H1626" t="s">
        <v>434</v>
      </c>
      <c r="I1626" t="s">
        <v>32</v>
      </c>
      <c r="J1626" t="s">
        <v>82</v>
      </c>
      <c r="K1626">
        <f t="shared" si="5062"/>
        <v>1</v>
      </c>
      <c r="L1626">
        <f t="shared" si="5063"/>
        <v>1</v>
      </c>
      <c r="M1626">
        <f t="shared" si="5064"/>
        <v>1</v>
      </c>
      <c r="N1626">
        <f t="shared" si="5065"/>
        <v>1</v>
      </c>
      <c r="O1626">
        <f t="shared" ref="O1626:O1630" si="5077">K1626+L1626+M1626+N1626</f>
        <v>4</v>
      </c>
      <c r="P1626" t="str">
        <f t="shared" si="5067"/>
        <v>Large centralized electrolysis-Public acceptability</v>
      </c>
      <c r="Q1626" t="str">
        <f t="shared" si="5068"/>
        <v>Central gas storage-Public acceptability</v>
      </c>
      <c r="R1626" t="str">
        <f t="shared" si="5069"/>
        <v>Onsite-Public acceptability</v>
      </c>
      <c r="S1626" t="str">
        <f t="shared" si="5070"/>
        <v>District-CHP with H2 fuel cell (heat)-Public acceptability</v>
      </c>
      <c r="T1626" s="54">
        <f ca="1">VLOOKUP($P1626,'TA database'!$I$8:$J$79,2,FALSE)</f>
        <v>80</v>
      </c>
      <c r="U1626" s="54">
        <f ca="1">VLOOKUP($Q1626,'TA database'!$I$86:$J$105,2,FALSE)</f>
        <v>60</v>
      </c>
      <c r="V1626" s="54">
        <f ca="1">VLOOKUP($R1626,'TA database'!$I$112:$J$139,2,FALSE)</f>
        <v>90</v>
      </c>
      <c r="W1626" s="54">
        <f ca="1">IFERROR(VLOOKUP($S1626,'TA database'!$I$146:$J$193,2,FALSE),0)</f>
        <v>80</v>
      </c>
      <c r="X1626" s="54">
        <f>IFERROR(VLOOKUP($S1626,'TA database'!$I$200:$J$271,2,FALSE),0)</f>
        <v>0</v>
      </c>
      <c r="Y1626" s="59">
        <f t="shared" ca="1" si="5076"/>
        <v>34.56</v>
      </c>
      <c r="Z1626" t="str">
        <f t="shared" ref="Z1626:Z1630" si="5078">CONCATENATE(AG1626,"   →   ",AH1626,"   →   ",AI1626,"   →   ",AJ1626)</f>
        <v>ELCTRLYZ_LRG_C   →   C_GAS_STRG   →   ONSITE_USE   →   H2_FC_DCHP_HEAT</v>
      </c>
      <c r="AA1626" t="str">
        <f t="shared" ref="AA1626:AA1630" si="5079">G1626</f>
        <v>Building heat</v>
      </c>
      <c r="AB1626" t="str">
        <f t="shared" ref="AB1626:AB1630" si="5080">J1626</f>
        <v>Public acceptability</v>
      </c>
      <c r="AC1626">
        <f t="shared" ref="AC1626:AC1630" ca="1" si="5081">Y1626</f>
        <v>34.56</v>
      </c>
      <c r="AD1626">
        <v>1567</v>
      </c>
      <c r="AE1626" t="str">
        <f>IF(AND(ISNUMBER(SEARCH(O1626,4)),ISNUMBER(SEARCH('(4) FCH pathway assessment'!$B$16,AB1626)),ISNUMBER(SEARCH('(4) FCH pathway assessment'!$B$10,AA1626))),AD1626,"")</f>
        <v/>
      </c>
      <c r="AF1626" t="str">
        <f t="shared" si="4977"/>
        <v/>
      </c>
      <c r="AG1626" t="str">
        <f>VLOOKUP(C1626,Assumptions!$B$116:$C$162,2,FALSE)</f>
        <v>ELCTRLYZ_LRG_C</v>
      </c>
      <c r="AH1626" t="str">
        <f>VLOOKUP(D1626,Assumptions!$B$116:$C$162,2,FALSE)</f>
        <v>C_GAS_STRG</v>
      </c>
      <c r="AI1626" t="str">
        <f>VLOOKUP(E1626,Assumptions!$B$116:$C$162,2,FALSE)</f>
        <v>ONSITE_USE</v>
      </c>
      <c r="AJ1626" t="str">
        <f>VLOOKUP(F1626,Assumptions!$B$116:$C$162,2,FALSE)</f>
        <v>H2_FC_DCHP_HEAT</v>
      </c>
    </row>
    <row r="1627" spans="2:36" x14ac:dyDescent="0.25">
      <c r="B1627" t="s">
        <v>112</v>
      </c>
      <c r="C1627" t="s">
        <v>51</v>
      </c>
      <c r="D1627" t="s">
        <v>155</v>
      </c>
      <c r="E1627" t="s">
        <v>157</v>
      </c>
      <c r="F1627" t="s">
        <v>552</v>
      </c>
      <c r="G1627" t="s">
        <v>132</v>
      </c>
      <c r="H1627" t="s">
        <v>434</v>
      </c>
      <c r="I1627" t="s">
        <v>32</v>
      </c>
      <c r="J1627" t="s">
        <v>82</v>
      </c>
      <c r="K1627">
        <f t="shared" ref="K1627:K1630" si="5082">SUMPRODUCT(($C$7:$C$18=$C1627)*($D$6:$H$6=$D1627)*($D$7:$H$18))</f>
        <v>1</v>
      </c>
      <c r="L1627">
        <f t="shared" ref="L1627:L1630" si="5083">SUMPRODUCT(($C$19:$C$23=$D1627)*($I$6:$O$6=$E1627)*($I$19:$O$23))</f>
        <v>1</v>
      </c>
      <c r="M1627">
        <f t="shared" ref="M1627:M1630" si="5084">SUMPRODUCT(($C$24:$C$30=$E1627)*($P$6:$AI$6=$F1627)*($P$24:$AI$30))</f>
        <v>0</v>
      </c>
      <c r="N1627">
        <f t="shared" ref="N1627:N1630" si="5085">SUMPRODUCT(($C$31:$C$50=$F1627)*($AJ$6:$AM$6=$G1627)*($AJ$31:$AM$50))</f>
        <v>1</v>
      </c>
      <c r="O1627">
        <f t="shared" si="5077"/>
        <v>3</v>
      </c>
      <c r="P1627" t="str">
        <f t="shared" ref="P1627:P1630" si="5086">CONCATENATE(C1627,"-",J1627)</f>
        <v>Medium centralized electrolysis-Public acceptability</v>
      </c>
      <c r="Q1627" t="str">
        <f t="shared" ref="Q1627:Q1630" si="5087">CONCATENATE(D1627,"-",J1627)</f>
        <v>Central gas storage-Public acceptability</v>
      </c>
      <c r="R1627" t="str">
        <f t="shared" ref="R1627:R1630" si="5088">CONCATENATE(E1627,"-",J1627)</f>
        <v>Blending in natural gas pipeline-Public acceptability</v>
      </c>
      <c r="S1627" t="str">
        <f t="shared" ref="S1627:S1630" si="5089">CONCATENATE(F1627,"-",J1627)</f>
        <v>District-CHP with H2 fuel cell (heat)-Public acceptability</v>
      </c>
      <c r="T1627" s="54">
        <f ca="1">VLOOKUP($P1627,'TA database'!$I$8:$J$79,2,FALSE)</f>
        <v>90</v>
      </c>
      <c r="U1627" s="54">
        <f ca="1">VLOOKUP($Q1627,'TA database'!$I$86:$J$105,2,FALSE)</f>
        <v>60</v>
      </c>
      <c r="V1627" s="54">
        <f ca="1">VLOOKUP($R1627,'TA database'!$I$112:$J$139,2,FALSE)</f>
        <v>90</v>
      </c>
      <c r="W1627" s="54">
        <f ca="1">IFERROR(VLOOKUP($S1627,'TA database'!$I$146:$J$193,2,FALSE),0)</f>
        <v>80</v>
      </c>
      <c r="X1627" s="54">
        <f>IFERROR(VLOOKUP($S1627,'TA database'!$I$200:$J$271,2,FALSE),0)</f>
        <v>0</v>
      </c>
      <c r="Y1627" s="59">
        <f t="shared" ca="1" si="5076"/>
        <v>38.880000000000003</v>
      </c>
      <c r="Z1627" t="str">
        <f t="shared" si="5078"/>
        <v>ELCTRLYZ_MED_C   →   C_GAS_STRG   →   H2_BLND_NG_P   →   H2_FC_DCHP_HEAT</v>
      </c>
      <c r="AA1627" t="str">
        <f t="shared" si="5079"/>
        <v>Building heat</v>
      </c>
      <c r="AB1627" t="str">
        <f t="shared" si="5080"/>
        <v>Public acceptability</v>
      </c>
      <c r="AC1627">
        <f t="shared" ca="1" si="5081"/>
        <v>38.880000000000003</v>
      </c>
      <c r="AD1627">
        <v>1568</v>
      </c>
      <c r="AE1627" t="str">
        <f>IF(AND(ISNUMBER(SEARCH(O1627,4)),ISNUMBER(SEARCH('(4) FCH pathway assessment'!$B$16,AB1627)),ISNUMBER(SEARCH('(4) FCH pathway assessment'!$B$10,AA1627))),AD1627,"")</f>
        <v/>
      </c>
      <c r="AF1627" t="str">
        <f t="shared" si="4977"/>
        <v/>
      </c>
      <c r="AG1627" t="str">
        <f>VLOOKUP(C1627,Assumptions!$B$116:$C$162,2,FALSE)</f>
        <v>ELCTRLYZ_MED_C</v>
      </c>
      <c r="AH1627" t="str">
        <f>VLOOKUP(D1627,Assumptions!$B$116:$C$162,2,FALSE)</f>
        <v>C_GAS_STRG</v>
      </c>
      <c r="AI1627" t="str">
        <f>VLOOKUP(E1627,Assumptions!$B$116:$C$162,2,FALSE)</f>
        <v>H2_BLND_NG_P</v>
      </c>
      <c r="AJ1627" t="str">
        <f>VLOOKUP(F1627,Assumptions!$B$116:$C$162,2,FALSE)</f>
        <v>H2_FC_DCHP_HEAT</v>
      </c>
    </row>
    <row r="1628" spans="2:36" x14ac:dyDescent="0.25">
      <c r="B1628" t="s">
        <v>112</v>
      </c>
      <c r="C1628" t="s">
        <v>51</v>
      </c>
      <c r="D1628" t="s">
        <v>155</v>
      </c>
      <c r="E1628" t="s">
        <v>122</v>
      </c>
      <c r="F1628" t="s">
        <v>552</v>
      </c>
      <c r="G1628" t="s">
        <v>132</v>
      </c>
      <c r="H1628" t="s">
        <v>434</v>
      </c>
      <c r="I1628" t="s">
        <v>32</v>
      </c>
      <c r="J1628" t="s">
        <v>82</v>
      </c>
      <c r="K1628">
        <f t="shared" si="5082"/>
        <v>1</v>
      </c>
      <c r="L1628">
        <f t="shared" si="5083"/>
        <v>1</v>
      </c>
      <c r="M1628">
        <f t="shared" si="5084"/>
        <v>1</v>
      </c>
      <c r="N1628">
        <f t="shared" si="5085"/>
        <v>1</v>
      </c>
      <c r="O1628">
        <f t="shared" si="5077"/>
        <v>4</v>
      </c>
      <c r="P1628" t="str">
        <f t="shared" si="5086"/>
        <v>Medium centralized electrolysis-Public acceptability</v>
      </c>
      <c r="Q1628" t="str">
        <f t="shared" si="5087"/>
        <v>Central gas storage-Public acceptability</v>
      </c>
      <c r="R1628" t="str">
        <f t="shared" si="5088"/>
        <v>Hydrogen transmission &amp; distribution pipeline-Public acceptability</v>
      </c>
      <c r="S1628" t="str">
        <f t="shared" si="5089"/>
        <v>District-CHP with H2 fuel cell (heat)-Public acceptability</v>
      </c>
      <c r="T1628" s="54">
        <f ca="1">VLOOKUP($P1628,'TA database'!$I$8:$J$79,2,FALSE)</f>
        <v>90</v>
      </c>
      <c r="U1628" s="54">
        <f ca="1">VLOOKUP($Q1628,'TA database'!$I$86:$J$105,2,FALSE)</f>
        <v>60</v>
      </c>
      <c r="V1628" s="54">
        <f ca="1">VLOOKUP($R1628,'TA database'!$I$112:$J$139,2,FALSE)</f>
        <v>70</v>
      </c>
      <c r="W1628" s="54">
        <f ca="1">IFERROR(VLOOKUP($S1628,'TA database'!$I$146:$J$193,2,FALSE),0)</f>
        <v>80</v>
      </c>
      <c r="X1628" s="54">
        <f>IFERROR(VLOOKUP($S1628,'TA database'!$I$200:$J$271,2,FALSE),0)</f>
        <v>0</v>
      </c>
      <c r="Y1628" s="59">
        <f t="shared" ca="1" si="5076"/>
        <v>30.24</v>
      </c>
      <c r="Z1628" t="str">
        <f t="shared" si="5078"/>
        <v>ELCTRLYZ_MED_C   →   C_GAS_STRG   →   H2_T&amp;D_P   →   H2_FC_DCHP_HEAT</v>
      </c>
      <c r="AA1628" t="str">
        <f t="shared" si="5079"/>
        <v>Building heat</v>
      </c>
      <c r="AB1628" t="str">
        <f t="shared" si="5080"/>
        <v>Public acceptability</v>
      </c>
      <c r="AC1628">
        <f t="shared" ca="1" si="5081"/>
        <v>30.24</v>
      </c>
      <c r="AD1628">
        <v>1569</v>
      </c>
      <c r="AE1628" t="str">
        <f>IF(AND(ISNUMBER(SEARCH(O1628,4)),ISNUMBER(SEARCH('(4) FCH pathway assessment'!$B$16,AB1628)),ISNUMBER(SEARCH('(4) FCH pathway assessment'!$B$10,AA1628))),AD1628,"")</f>
        <v/>
      </c>
      <c r="AF1628" t="str">
        <f t="shared" si="4977"/>
        <v/>
      </c>
      <c r="AG1628" t="str">
        <f>VLOOKUP(C1628,Assumptions!$B$116:$C$162,2,FALSE)</f>
        <v>ELCTRLYZ_MED_C</v>
      </c>
      <c r="AH1628" t="str">
        <f>VLOOKUP(D1628,Assumptions!$B$116:$C$162,2,FALSE)</f>
        <v>C_GAS_STRG</v>
      </c>
      <c r="AI1628" t="str">
        <f>VLOOKUP(E1628,Assumptions!$B$116:$C$162,2,FALSE)</f>
        <v>H2_T&amp;D_P</v>
      </c>
      <c r="AJ1628" t="str">
        <f>VLOOKUP(F1628,Assumptions!$B$116:$C$162,2,FALSE)</f>
        <v>H2_FC_DCHP_HEAT</v>
      </c>
    </row>
    <row r="1629" spans="2:36" x14ac:dyDescent="0.25">
      <c r="B1629" t="s">
        <v>112</v>
      </c>
      <c r="C1629" t="s">
        <v>51</v>
      </c>
      <c r="D1629" t="s">
        <v>155</v>
      </c>
      <c r="E1629" t="s">
        <v>116</v>
      </c>
      <c r="F1629" t="s">
        <v>552</v>
      </c>
      <c r="G1629" t="s">
        <v>132</v>
      </c>
      <c r="H1629" t="s">
        <v>434</v>
      </c>
      <c r="I1629" t="s">
        <v>32</v>
      </c>
      <c r="J1629" t="s">
        <v>82</v>
      </c>
      <c r="K1629">
        <f t="shared" si="5082"/>
        <v>1</v>
      </c>
      <c r="L1629">
        <f t="shared" si="5083"/>
        <v>1</v>
      </c>
      <c r="M1629">
        <f t="shared" si="5084"/>
        <v>1</v>
      </c>
      <c r="N1629">
        <f t="shared" si="5085"/>
        <v>1</v>
      </c>
      <c r="O1629">
        <f t="shared" si="5077"/>
        <v>4</v>
      </c>
      <c r="P1629" t="str">
        <f t="shared" si="5086"/>
        <v>Medium centralized electrolysis-Public acceptability</v>
      </c>
      <c r="Q1629" t="str">
        <f t="shared" si="5087"/>
        <v>Central gas storage-Public acceptability</v>
      </c>
      <c r="R1629" t="str">
        <f t="shared" si="5088"/>
        <v>Liquid hydrogen truck-Public acceptability</v>
      </c>
      <c r="S1629" t="str">
        <f t="shared" si="5089"/>
        <v>District-CHP with H2 fuel cell (heat)-Public acceptability</v>
      </c>
      <c r="T1629" s="54">
        <f ca="1">VLOOKUP($P1629,'TA database'!$I$8:$J$79,2,FALSE)</f>
        <v>90</v>
      </c>
      <c r="U1629" s="54">
        <f ca="1">VLOOKUP($Q1629,'TA database'!$I$86:$J$105,2,FALSE)</f>
        <v>60</v>
      </c>
      <c r="V1629" s="54">
        <f ca="1">VLOOKUP($R1629,'TA database'!$I$112:$J$139,2,FALSE)</f>
        <v>100</v>
      </c>
      <c r="W1629" s="54">
        <f ca="1">IFERROR(VLOOKUP($S1629,'TA database'!$I$146:$J$193,2,FALSE),0)</f>
        <v>80</v>
      </c>
      <c r="X1629" s="54">
        <f>IFERROR(VLOOKUP($S1629,'TA database'!$I$200:$J$271,2,FALSE),0)</f>
        <v>0</v>
      </c>
      <c r="Y1629" s="59">
        <f t="shared" ca="1" si="5076"/>
        <v>43.2</v>
      </c>
      <c r="Z1629" t="str">
        <f t="shared" si="5078"/>
        <v>ELCTRLYZ_MED_C   →   C_GAS_STRG   →   LQ_TRUCK   →   H2_FC_DCHP_HEAT</v>
      </c>
      <c r="AA1629" t="str">
        <f t="shared" si="5079"/>
        <v>Building heat</v>
      </c>
      <c r="AB1629" t="str">
        <f t="shared" si="5080"/>
        <v>Public acceptability</v>
      </c>
      <c r="AC1629">
        <f t="shared" ca="1" si="5081"/>
        <v>43.2</v>
      </c>
      <c r="AD1629">
        <v>1570</v>
      </c>
      <c r="AE1629" t="str">
        <f>IF(AND(ISNUMBER(SEARCH(O1629,4)),ISNUMBER(SEARCH('(4) FCH pathway assessment'!$B$16,AB1629)),ISNUMBER(SEARCH('(4) FCH pathway assessment'!$B$10,AA1629))),AD1629,"")</f>
        <v/>
      </c>
      <c r="AF1629" t="str">
        <f t="shared" si="4977"/>
        <v/>
      </c>
      <c r="AG1629" t="str">
        <f>VLOOKUP(C1629,Assumptions!$B$116:$C$162,2,FALSE)</f>
        <v>ELCTRLYZ_MED_C</v>
      </c>
      <c r="AH1629" t="str">
        <f>VLOOKUP(D1629,Assumptions!$B$116:$C$162,2,FALSE)</f>
        <v>C_GAS_STRG</v>
      </c>
      <c r="AI1629" t="str">
        <f>VLOOKUP(E1629,Assumptions!$B$116:$C$162,2,FALSE)</f>
        <v>LQ_TRUCK</v>
      </c>
      <c r="AJ1629" t="str">
        <f>VLOOKUP(F1629,Assumptions!$B$116:$C$162,2,FALSE)</f>
        <v>H2_FC_DCHP_HEAT</v>
      </c>
    </row>
    <row r="1630" spans="2:36" x14ac:dyDescent="0.25">
      <c r="B1630" t="s">
        <v>112</v>
      </c>
      <c r="C1630" t="s">
        <v>51</v>
      </c>
      <c r="D1630" t="s">
        <v>155</v>
      </c>
      <c r="E1630" t="s">
        <v>66</v>
      </c>
      <c r="F1630" t="s">
        <v>552</v>
      </c>
      <c r="G1630" t="s">
        <v>132</v>
      </c>
      <c r="H1630" t="s">
        <v>434</v>
      </c>
      <c r="I1630" t="s">
        <v>32</v>
      </c>
      <c r="J1630" t="s">
        <v>82</v>
      </c>
      <c r="K1630">
        <f t="shared" si="5082"/>
        <v>1</v>
      </c>
      <c r="L1630">
        <f t="shared" si="5083"/>
        <v>1</v>
      </c>
      <c r="M1630">
        <f t="shared" si="5084"/>
        <v>1</v>
      </c>
      <c r="N1630">
        <f t="shared" si="5085"/>
        <v>1</v>
      </c>
      <c r="O1630">
        <f t="shared" si="5077"/>
        <v>4</v>
      </c>
      <c r="P1630" t="str">
        <f t="shared" si="5086"/>
        <v>Medium centralized electrolysis-Public acceptability</v>
      </c>
      <c r="Q1630" t="str">
        <f t="shared" si="5087"/>
        <v>Central gas storage-Public acceptability</v>
      </c>
      <c r="R1630" t="str">
        <f t="shared" si="5088"/>
        <v>Onsite-Public acceptability</v>
      </c>
      <c r="S1630" t="str">
        <f t="shared" si="5089"/>
        <v>District-CHP with H2 fuel cell (heat)-Public acceptability</v>
      </c>
      <c r="T1630" s="54">
        <f ca="1">VLOOKUP($P1630,'TA database'!$I$8:$J$79,2,FALSE)</f>
        <v>90</v>
      </c>
      <c r="U1630" s="54">
        <f ca="1">VLOOKUP($Q1630,'TA database'!$I$86:$J$105,2,FALSE)</f>
        <v>60</v>
      </c>
      <c r="V1630" s="54">
        <f ca="1">VLOOKUP($R1630,'TA database'!$I$112:$J$139,2,FALSE)</f>
        <v>90</v>
      </c>
      <c r="W1630" s="54">
        <f ca="1">IFERROR(VLOOKUP($S1630,'TA database'!$I$146:$J$193,2,FALSE),0)</f>
        <v>80</v>
      </c>
      <c r="X1630" s="54">
        <f>IFERROR(VLOOKUP($S1630,'TA database'!$I$200:$J$271,2,FALSE),0)</f>
        <v>0</v>
      </c>
      <c r="Y1630" s="59">
        <f t="shared" ca="1" si="5076"/>
        <v>38.880000000000003</v>
      </c>
      <c r="Z1630" t="str">
        <f t="shared" si="5078"/>
        <v>ELCTRLYZ_MED_C   →   C_GAS_STRG   →   ONSITE_USE   →   H2_FC_DCHP_HEAT</v>
      </c>
      <c r="AA1630" t="str">
        <f t="shared" si="5079"/>
        <v>Building heat</v>
      </c>
      <c r="AB1630" t="str">
        <f t="shared" si="5080"/>
        <v>Public acceptability</v>
      </c>
      <c r="AC1630">
        <f t="shared" ca="1" si="5081"/>
        <v>38.880000000000003</v>
      </c>
      <c r="AD1630">
        <v>1571</v>
      </c>
      <c r="AE1630" t="str">
        <f>IF(AND(ISNUMBER(SEARCH(O1630,4)),ISNUMBER(SEARCH('(4) FCH pathway assessment'!$B$16,AB1630)),ISNUMBER(SEARCH('(4) FCH pathway assessment'!$B$10,AA1630))),AD1630,"")</f>
        <v/>
      </c>
      <c r="AF1630" t="str">
        <f t="shared" si="4977"/>
        <v/>
      </c>
      <c r="AG1630" t="str">
        <f>VLOOKUP(C1630,Assumptions!$B$116:$C$162,2,FALSE)</f>
        <v>ELCTRLYZ_MED_C</v>
      </c>
      <c r="AH1630" t="str">
        <f>VLOOKUP(D1630,Assumptions!$B$116:$C$162,2,FALSE)</f>
        <v>C_GAS_STRG</v>
      </c>
      <c r="AI1630" t="str">
        <f>VLOOKUP(E1630,Assumptions!$B$116:$C$162,2,FALSE)</f>
        <v>ONSITE_USE</v>
      </c>
      <c r="AJ1630" t="str">
        <f>VLOOKUP(F1630,Assumptions!$B$116:$C$162,2,FALSE)</f>
        <v>H2_FC_DCHP_HEAT</v>
      </c>
    </row>
    <row r="1631" spans="2:36" x14ac:dyDescent="0.25">
      <c r="B1631" t="s">
        <v>112</v>
      </c>
      <c r="C1631" t="s">
        <v>52</v>
      </c>
      <c r="D1631" s="60" t="s">
        <v>130</v>
      </c>
      <c r="E1631" t="s">
        <v>66</v>
      </c>
      <c r="F1631" t="s">
        <v>552</v>
      </c>
      <c r="G1631" t="s">
        <v>132</v>
      </c>
      <c r="H1631" t="s">
        <v>434</v>
      </c>
      <c r="I1631" t="s">
        <v>32</v>
      </c>
      <c r="J1631" t="s">
        <v>82</v>
      </c>
      <c r="K1631">
        <f t="shared" ref="K1631:K1636" si="5090">SUMPRODUCT(($C$7:$C$18=$C1631)*($D$6:$H$6=$D1631)*($D$7:$H$18))</f>
        <v>1</v>
      </c>
      <c r="L1631">
        <f t="shared" ref="L1631:L1636" si="5091">SUMPRODUCT(($C$19:$C$23=$D1631)*($I$6:$O$6=$E1631)*($I$19:$O$23))</f>
        <v>1</v>
      </c>
      <c r="M1631">
        <f t="shared" ref="M1631:M1636" si="5092">SUMPRODUCT(($C$24:$C$30=$E1631)*($P$6:$AI$6=$F1631)*($P$24:$AI$30))</f>
        <v>1</v>
      </c>
      <c r="N1631">
        <f t="shared" ref="N1631:N1636" si="5093">SUMPRODUCT(($C$31:$C$50=$F1631)*($AJ$6:$AM$6=$G1631)*($AJ$31:$AM$50))</f>
        <v>1</v>
      </c>
      <c r="O1631">
        <f t="shared" ref="O1631:O1636" si="5094">K1631+L1631+M1631+N1631</f>
        <v>4</v>
      </c>
      <c r="P1631" t="str">
        <f t="shared" ref="P1631:P1636" si="5095">CONCATENATE(C1631,"-",J1631)</f>
        <v>Small decentralized electrolysis-Public acceptability</v>
      </c>
      <c r="Q1631" t="str">
        <f t="shared" ref="Q1631:Q1636" si="5096">CONCATENATE(D1631,"-",J1631)</f>
        <v>Distributed gas storage-Public acceptability</v>
      </c>
      <c r="R1631" t="str">
        <f t="shared" ref="R1631:R1636" si="5097">CONCATENATE(E1631,"-",J1631)</f>
        <v>Onsite-Public acceptability</v>
      </c>
      <c r="S1631" t="str">
        <f t="shared" ref="S1631:S1636" si="5098">CONCATENATE(F1631,"-",J1631)</f>
        <v>District-CHP with H2 fuel cell (heat)-Public acceptability</v>
      </c>
      <c r="T1631" s="54">
        <f ca="1">VLOOKUP($P1631,'TA database'!$I$8:$J$79,2,FALSE)</f>
        <v>90</v>
      </c>
      <c r="U1631" s="54">
        <f ca="1">VLOOKUP($Q1631,'TA database'!$I$86:$J$105,2,FALSE)</f>
        <v>60</v>
      </c>
      <c r="V1631" s="54">
        <f ca="1">VLOOKUP($R1631,'TA database'!$I$112:$J$139,2,FALSE)</f>
        <v>90</v>
      </c>
      <c r="W1631" s="54">
        <f ca="1">IFERROR(VLOOKUP($S1631,'TA database'!$I$146:$J$193,2,FALSE),0)</f>
        <v>80</v>
      </c>
      <c r="X1631" s="54">
        <f>IFERROR(VLOOKUP($S1631,'TA database'!$I$200:$J$271,2,FALSE),0)</f>
        <v>0</v>
      </c>
      <c r="Y1631" s="59">
        <f t="shared" ref="Y1631:Y1635" ca="1" si="5099">IF($W1631=0,(PRODUCT($T1631:$V1631,$X1631))/1000000,(PRODUCT($T1631:$W1631))/1000000)</f>
        <v>38.880000000000003</v>
      </c>
      <c r="Z1631" t="str">
        <f t="shared" ref="Z1631:Z1636" si="5100">CONCATENATE(AG1631,"   →   ",AH1631,"   →   ",AI1631,"   →   ",AJ1631)</f>
        <v>ELCTRLYZ_SML_D   →   D_GAS_STRG   →   ONSITE_USE   →   H2_FC_DCHP_HEAT</v>
      </c>
      <c r="AA1631" t="str">
        <f t="shared" ref="AA1631:AA1636" si="5101">G1631</f>
        <v>Building heat</v>
      </c>
      <c r="AB1631" t="str">
        <f t="shared" ref="AB1631:AB1636" si="5102">J1631</f>
        <v>Public acceptability</v>
      </c>
      <c r="AC1631">
        <f t="shared" ref="AC1631:AC1636" ca="1" si="5103">Y1631</f>
        <v>38.880000000000003</v>
      </c>
      <c r="AD1631">
        <v>1572</v>
      </c>
      <c r="AE1631" t="str">
        <f>IF(AND(ISNUMBER(SEARCH(O1631,4)),ISNUMBER(SEARCH('(4) FCH pathway assessment'!$B$16,AB1631)),ISNUMBER(SEARCH('(4) FCH pathway assessment'!$B$10,AA1631))),AD1631,"")</f>
        <v/>
      </c>
      <c r="AF1631" t="str">
        <f t="shared" si="4977"/>
        <v/>
      </c>
      <c r="AG1631" t="str">
        <f>VLOOKUP(C1631,Assumptions!$B$116:$C$162,2,FALSE)</f>
        <v>ELCTRLYZ_SML_D</v>
      </c>
      <c r="AH1631" t="str">
        <f>VLOOKUP(D1631,Assumptions!$B$116:$C$162,2,FALSE)</f>
        <v>D_GAS_STRG</v>
      </c>
      <c r="AI1631" t="str">
        <f>VLOOKUP(E1631,Assumptions!$B$116:$C$162,2,FALSE)</f>
        <v>ONSITE_USE</v>
      </c>
      <c r="AJ1631" t="str">
        <f>VLOOKUP(F1631,Assumptions!$B$116:$C$162,2,FALSE)</f>
        <v>H2_FC_DCHP_HEAT</v>
      </c>
    </row>
    <row r="1632" spans="2:36" x14ac:dyDescent="0.25">
      <c r="B1632" t="s">
        <v>127</v>
      </c>
      <c r="C1632" t="s">
        <v>57</v>
      </c>
      <c r="D1632" t="s">
        <v>62</v>
      </c>
      <c r="E1632" t="s">
        <v>157</v>
      </c>
      <c r="F1632" t="s">
        <v>552</v>
      </c>
      <c r="G1632" t="s">
        <v>132</v>
      </c>
      <c r="H1632" t="s">
        <v>434</v>
      </c>
      <c r="I1632" t="s">
        <v>32</v>
      </c>
      <c r="J1632" t="s">
        <v>82</v>
      </c>
      <c r="K1632">
        <f t="shared" si="5090"/>
        <v>1</v>
      </c>
      <c r="L1632">
        <f t="shared" si="5091"/>
        <v>0</v>
      </c>
      <c r="M1632">
        <f t="shared" si="5092"/>
        <v>0</v>
      </c>
      <c r="N1632">
        <f t="shared" si="5093"/>
        <v>1</v>
      </c>
      <c r="O1632">
        <f t="shared" si="5094"/>
        <v>2</v>
      </c>
      <c r="P1632" t="str">
        <f t="shared" si="5095"/>
        <v>Large centralized natural gas steam reforming-Public acceptability</v>
      </c>
      <c r="Q1632" t="str">
        <f t="shared" si="5096"/>
        <v>Underground storage-Public acceptability</v>
      </c>
      <c r="R1632" t="str">
        <f t="shared" si="5097"/>
        <v>Blending in natural gas pipeline-Public acceptability</v>
      </c>
      <c r="S1632" t="str">
        <f t="shared" si="5098"/>
        <v>District-CHP with H2 fuel cell (heat)-Public acceptability</v>
      </c>
      <c r="T1632" s="54">
        <f ca="1">VLOOKUP($P1632,'TA database'!$I$8:$J$79,2,FALSE)</f>
        <v>90</v>
      </c>
      <c r="U1632" s="54">
        <f ca="1">VLOOKUP($Q1632,'TA database'!$I$86:$J$105,2,FALSE)</f>
        <v>60</v>
      </c>
      <c r="V1632" s="54">
        <f ca="1">VLOOKUP($R1632,'TA database'!$I$112:$J$139,2,FALSE)</f>
        <v>90</v>
      </c>
      <c r="W1632" s="54">
        <f ca="1">IFERROR(VLOOKUP($S1632,'TA database'!$I$146:$J$193,2,FALSE),0)</f>
        <v>80</v>
      </c>
      <c r="X1632" s="54">
        <f>IFERROR(VLOOKUP($S1632,'TA database'!$I$200:$J$271,2,FALSE),0)</f>
        <v>0</v>
      </c>
      <c r="Y1632" s="59">
        <f t="shared" ca="1" si="5099"/>
        <v>38.880000000000003</v>
      </c>
      <c r="Z1632" t="str">
        <f t="shared" si="5100"/>
        <v>NG_SR_LRG_C   →   C_UNDRGRND_STRG   →   H2_BLND_NG_P   →   H2_FC_DCHP_HEAT</v>
      </c>
      <c r="AA1632" t="str">
        <f t="shared" si="5101"/>
        <v>Building heat</v>
      </c>
      <c r="AB1632" t="str">
        <f t="shared" si="5102"/>
        <v>Public acceptability</v>
      </c>
      <c r="AC1632">
        <f t="shared" ca="1" si="5103"/>
        <v>38.880000000000003</v>
      </c>
      <c r="AD1632">
        <v>1573</v>
      </c>
      <c r="AE1632" t="str">
        <f>IF(AND(ISNUMBER(SEARCH(O1632,4)),ISNUMBER(SEARCH('(4) FCH pathway assessment'!$B$16,AB1632)),ISNUMBER(SEARCH('(4) FCH pathway assessment'!$B$10,AA1632))),AD1632,"")</f>
        <v/>
      </c>
      <c r="AF1632" t="str">
        <f t="shared" si="4977"/>
        <v/>
      </c>
      <c r="AG1632" t="str">
        <f>VLOOKUP(C1632,Assumptions!$B$116:$C$162,2,FALSE)</f>
        <v>NG_SR_LRG_C</v>
      </c>
      <c r="AH1632" t="str">
        <f>VLOOKUP(D1632,Assumptions!$B$116:$C$162,2,FALSE)</f>
        <v>C_UNDRGRND_STRG</v>
      </c>
      <c r="AI1632" t="str">
        <f>VLOOKUP(E1632,Assumptions!$B$116:$C$162,2,FALSE)</f>
        <v>H2_BLND_NG_P</v>
      </c>
      <c r="AJ1632" t="str">
        <f>VLOOKUP(F1632,Assumptions!$B$116:$C$162,2,FALSE)</f>
        <v>H2_FC_DCHP_HEAT</v>
      </c>
    </row>
    <row r="1633" spans="2:36" x14ac:dyDescent="0.25">
      <c r="B1633" t="s">
        <v>127</v>
      </c>
      <c r="C1633" t="s">
        <v>57</v>
      </c>
      <c r="D1633" t="s">
        <v>62</v>
      </c>
      <c r="E1633" t="s">
        <v>122</v>
      </c>
      <c r="F1633" t="s">
        <v>552</v>
      </c>
      <c r="G1633" t="s">
        <v>132</v>
      </c>
      <c r="H1633" t="s">
        <v>434</v>
      </c>
      <c r="I1633" t="s">
        <v>32</v>
      </c>
      <c r="J1633" t="s">
        <v>82</v>
      </c>
      <c r="K1633">
        <f t="shared" si="5090"/>
        <v>1</v>
      </c>
      <c r="L1633">
        <f t="shared" si="5091"/>
        <v>0</v>
      </c>
      <c r="M1633">
        <f t="shared" si="5092"/>
        <v>1</v>
      </c>
      <c r="N1633">
        <f t="shared" si="5093"/>
        <v>1</v>
      </c>
      <c r="O1633">
        <f t="shared" si="5094"/>
        <v>3</v>
      </c>
      <c r="P1633" t="str">
        <f t="shared" si="5095"/>
        <v>Large centralized natural gas steam reforming-Public acceptability</v>
      </c>
      <c r="Q1633" t="str">
        <f t="shared" si="5096"/>
        <v>Underground storage-Public acceptability</v>
      </c>
      <c r="R1633" t="str">
        <f t="shared" si="5097"/>
        <v>Hydrogen transmission &amp; distribution pipeline-Public acceptability</v>
      </c>
      <c r="S1633" t="str">
        <f t="shared" si="5098"/>
        <v>District-CHP with H2 fuel cell (heat)-Public acceptability</v>
      </c>
      <c r="T1633" s="54">
        <f ca="1">VLOOKUP($P1633,'TA database'!$I$8:$J$79,2,FALSE)</f>
        <v>90</v>
      </c>
      <c r="U1633" s="54">
        <f ca="1">VLOOKUP($Q1633,'TA database'!$I$86:$J$105,2,FALSE)</f>
        <v>60</v>
      </c>
      <c r="V1633" s="54">
        <f ca="1">VLOOKUP($R1633,'TA database'!$I$112:$J$139,2,FALSE)</f>
        <v>70</v>
      </c>
      <c r="W1633" s="54">
        <f ca="1">IFERROR(VLOOKUP($S1633,'TA database'!$I$146:$J$193,2,FALSE),0)</f>
        <v>80</v>
      </c>
      <c r="X1633" s="54">
        <f>IFERROR(VLOOKUP($S1633,'TA database'!$I$200:$J$271,2,FALSE),0)</f>
        <v>0</v>
      </c>
      <c r="Y1633" s="59">
        <f t="shared" ca="1" si="5099"/>
        <v>30.24</v>
      </c>
      <c r="Z1633" t="str">
        <f t="shared" si="5100"/>
        <v>NG_SR_LRG_C   →   C_UNDRGRND_STRG   →   H2_T&amp;D_P   →   H2_FC_DCHP_HEAT</v>
      </c>
      <c r="AA1633" t="str">
        <f t="shared" si="5101"/>
        <v>Building heat</v>
      </c>
      <c r="AB1633" t="str">
        <f t="shared" si="5102"/>
        <v>Public acceptability</v>
      </c>
      <c r="AC1633">
        <f t="shared" ca="1" si="5103"/>
        <v>30.24</v>
      </c>
      <c r="AD1633">
        <v>1574</v>
      </c>
      <c r="AE1633" t="str">
        <f>IF(AND(ISNUMBER(SEARCH(O1633,4)),ISNUMBER(SEARCH('(4) FCH pathway assessment'!$B$16,AB1633)),ISNUMBER(SEARCH('(4) FCH pathway assessment'!$B$10,AA1633))),AD1633,"")</f>
        <v/>
      </c>
      <c r="AF1633" t="str">
        <f t="shared" si="4977"/>
        <v/>
      </c>
      <c r="AG1633" t="str">
        <f>VLOOKUP(C1633,Assumptions!$B$116:$C$162,2,FALSE)</f>
        <v>NG_SR_LRG_C</v>
      </c>
      <c r="AH1633" t="str">
        <f>VLOOKUP(D1633,Assumptions!$B$116:$C$162,2,FALSE)</f>
        <v>C_UNDRGRND_STRG</v>
      </c>
      <c r="AI1633" t="str">
        <f>VLOOKUP(E1633,Assumptions!$B$116:$C$162,2,FALSE)</f>
        <v>H2_T&amp;D_P</v>
      </c>
      <c r="AJ1633" t="str">
        <f>VLOOKUP(F1633,Assumptions!$B$116:$C$162,2,FALSE)</f>
        <v>H2_FC_DCHP_HEAT</v>
      </c>
    </row>
    <row r="1634" spans="2:36" x14ac:dyDescent="0.25">
      <c r="B1634" t="s">
        <v>127</v>
      </c>
      <c r="C1634" t="s">
        <v>57</v>
      </c>
      <c r="D1634" t="s">
        <v>62</v>
      </c>
      <c r="E1634" t="s">
        <v>116</v>
      </c>
      <c r="F1634" t="s">
        <v>552</v>
      </c>
      <c r="G1634" t="s">
        <v>132</v>
      </c>
      <c r="H1634" t="s">
        <v>434</v>
      </c>
      <c r="I1634" t="s">
        <v>32</v>
      </c>
      <c r="J1634" t="s">
        <v>82</v>
      </c>
      <c r="K1634">
        <f t="shared" si="5090"/>
        <v>1</v>
      </c>
      <c r="L1634">
        <f t="shared" si="5091"/>
        <v>0</v>
      </c>
      <c r="M1634">
        <f t="shared" si="5092"/>
        <v>1</v>
      </c>
      <c r="N1634">
        <f t="shared" si="5093"/>
        <v>1</v>
      </c>
      <c r="O1634">
        <f t="shared" si="5094"/>
        <v>3</v>
      </c>
      <c r="P1634" t="str">
        <f t="shared" si="5095"/>
        <v>Large centralized natural gas steam reforming-Public acceptability</v>
      </c>
      <c r="Q1634" t="str">
        <f t="shared" si="5096"/>
        <v>Underground storage-Public acceptability</v>
      </c>
      <c r="R1634" t="str">
        <f t="shared" si="5097"/>
        <v>Liquid hydrogen truck-Public acceptability</v>
      </c>
      <c r="S1634" t="str">
        <f t="shared" si="5098"/>
        <v>District-CHP with H2 fuel cell (heat)-Public acceptability</v>
      </c>
      <c r="T1634" s="54">
        <f ca="1">VLOOKUP($P1634,'TA database'!$I$8:$J$79,2,FALSE)</f>
        <v>90</v>
      </c>
      <c r="U1634" s="54">
        <f ca="1">VLOOKUP($Q1634,'TA database'!$I$86:$J$105,2,FALSE)</f>
        <v>60</v>
      </c>
      <c r="V1634" s="54">
        <f ca="1">VLOOKUP($R1634,'TA database'!$I$112:$J$139,2,FALSE)</f>
        <v>100</v>
      </c>
      <c r="W1634" s="54">
        <f ca="1">IFERROR(VLOOKUP($S1634,'TA database'!$I$146:$J$193,2,FALSE),0)</f>
        <v>80</v>
      </c>
      <c r="X1634" s="54">
        <f>IFERROR(VLOOKUP($S1634,'TA database'!$I$200:$J$271,2,FALSE),0)</f>
        <v>0</v>
      </c>
      <c r="Y1634" s="59">
        <f t="shared" ca="1" si="5099"/>
        <v>43.2</v>
      </c>
      <c r="Z1634" t="str">
        <f t="shared" si="5100"/>
        <v>NG_SR_LRG_C   →   C_UNDRGRND_STRG   →   LQ_TRUCK   →   H2_FC_DCHP_HEAT</v>
      </c>
      <c r="AA1634" t="str">
        <f t="shared" si="5101"/>
        <v>Building heat</v>
      </c>
      <c r="AB1634" t="str">
        <f t="shared" si="5102"/>
        <v>Public acceptability</v>
      </c>
      <c r="AC1634">
        <f t="shared" ca="1" si="5103"/>
        <v>43.2</v>
      </c>
      <c r="AD1634">
        <v>1575</v>
      </c>
      <c r="AE1634" t="str">
        <f>IF(AND(ISNUMBER(SEARCH(O1634,4)),ISNUMBER(SEARCH('(4) FCH pathway assessment'!$B$16,AB1634)),ISNUMBER(SEARCH('(4) FCH pathway assessment'!$B$10,AA1634))),AD1634,"")</f>
        <v/>
      </c>
      <c r="AF1634" t="str">
        <f t="shared" si="4977"/>
        <v/>
      </c>
      <c r="AG1634" t="str">
        <f>VLOOKUP(C1634,Assumptions!$B$116:$C$162,2,FALSE)</f>
        <v>NG_SR_LRG_C</v>
      </c>
      <c r="AH1634" t="str">
        <f>VLOOKUP(D1634,Assumptions!$B$116:$C$162,2,FALSE)</f>
        <v>C_UNDRGRND_STRG</v>
      </c>
      <c r="AI1634" t="str">
        <f>VLOOKUP(E1634,Assumptions!$B$116:$C$162,2,FALSE)</f>
        <v>LQ_TRUCK</v>
      </c>
      <c r="AJ1634" t="str">
        <f>VLOOKUP(F1634,Assumptions!$B$116:$C$162,2,FALSE)</f>
        <v>H2_FC_DCHP_HEAT</v>
      </c>
    </row>
    <row r="1635" spans="2:36" x14ac:dyDescent="0.25">
      <c r="B1635" t="s">
        <v>127</v>
      </c>
      <c r="C1635" t="s">
        <v>57</v>
      </c>
      <c r="D1635" t="s">
        <v>62</v>
      </c>
      <c r="E1635" t="s">
        <v>66</v>
      </c>
      <c r="F1635" t="s">
        <v>552</v>
      </c>
      <c r="G1635" t="s">
        <v>132</v>
      </c>
      <c r="H1635" t="s">
        <v>434</v>
      </c>
      <c r="I1635" t="s">
        <v>32</v>
      </c>
      <c r="J1635" t="s">
        <v>82</v>
      </c>
      <c r="K1635">
        <f t="shared" si="5090"/>
        <v>1</v>
      </c>
      <c r="L1635">
        <f t="shared" si="5091"/>
        <v>0</v>
      </c>
      <c r="M1635">
        <f t="shared" si="5092"/>
        <v>1</v>
      </c>
      <c r="N1635">
        <f t="shared" si="5093"/>
        <v>1</v>
      </c>
      <c r="O1635">
        <f t="shared" si="5094"/>
        <v>3</v>
      </c>
      <c r="P1635" t="str">
        <f t="shared" si="5095"/>
        <v>Large centralized natural gas steam reforming-Public acceptability</v>
      </c>
      <c r="Q1635" t="str">
        <f t="shared" si="5096"/>
        <v>Underground storage-Public acceptability</v>
      </c>
      <c r="R1635" t="str">
        <f t="shared" si="5097"/>
        <v>Onsite-Public acceptability</v>
      </c>
      <c r="S1635" t="str">
        <f t="shared" si="5098"/>
        <v>District-CHP with H2 fuel cell (heat)-Public acceptability</v>
      </c>
      <c r="T1635" s="54">
        <f ca="1">VLOOKUP($P1635,'TA database'!$I$8:$J$79,2,FALSE)</f>
        <v>90</v>
      </c>
      <c r="U1635" s="54">
        <f ca="1">VLOOKUP($Q1635,'TA database'!$I$86:$J$105,2,FALSE)</f>
        <v>60</v>
      </c>
      <c r="V1635" s="54">
        <f ca="1">VLOOKUP($R1635,'TA database'!$I$112:$J$139,2,FALSE)</f>
        <v>90</v>
      </c>
      <c r="W1635" s="54">
        <f ca="1">IFERROR(VLOOKUP($S1635,'TA database'!$I$146:$J$193,2,FALSE),0)</f>
        <v>80</v>
      </c>
      <c r="X1635" s="54">
        <f>IFERROR(VLOOKUP($S1635,'TA database'!$I$200:$J$271,2,FALSE),0)</f>
        <v>0</v>
      </c>
      <c r="Y1635" s="59">
        <f t="shared" ca="1" si="5099"/>
        <v>38.880000000000003</v>
      </c>
      <c r="Z1635" t="str">
        <f t="shared" si="5100"/>
        <v>NG_SR_LRG_C   →   C_UNDRGRND_STRG   →   ONSITE_USE   →   H2_FC_DCHP_HEAT</v>
      </c>
      <c r="AA1635" t="str">
        <f t="shared" si="5101"/>
        <v>Building heat</v>
      </c>
      <c r="AB1635" t="str">
        <f t="shared" si="5102"/>
        <v>Public acceptability</v>
      </c>
      <c r="AC1635">
        <f t="shared" ca="1" si="5103"/>
        <v>38.880000000000003</v>
      </c>
      <c r="AD1635">
        <v>1576</v>
      </c>
      <c r="AE1635" t="str">
        <f>IF(AND(ISNUMBER(SEARCH(O1635,4)),ISNUMBER(SEARCH('(4) FCH pathway assessment'!$B$16,AB1635)),ISNUMBER(SEARCH('(4) FCH pathway assessment'!$B$10,AA1635))),AD1635,"")</f>
        <v/>
      </c>
      <c r="AF1635" t="str">
        <f t="shared" si="4977"/>
        <v/>
      </c>
      <c r="AG1635" t="str">
        <f>VLOOKUP(C1635,Assumptions!$B$116:$C$162,2,FALSE)</f>
        <v>NG_SR_LRG_C</v>
      </c>
      <c r="AH1635" t="str">
        <f>VLOOKUP(D1635,Assumptions!$B$116:$C$162,2,FALSE)</f>
        <v>C_UNDRGRND_STRG</v>
      </c>
      <c r="AI1635" t="str">
        <f>VLOOKUP(E1635,Assumptions!$B$116:$C$162,2,FALSE)</f>
        <v>ONSITE_USE</v>
      </c>
      <c r="AJ1635" t="str">
        <f>VLOOKUP(F1635,Assumptions!$B$116:$C$162,2,FALSE)</f>
        <v>H2_FC_DCHP_HEAT</v>
      </c>
    </row>
    <row r="1636" spans="2:36" x14ac:dyDescent="0.25">
      <c r="B1636" t="s">
        <v>127</v>
      </c>
      <c r="C1636" t="s">
        <v>57</v>
      </c>
      <c r="D1636" s="61" t="s">
        <v>63</v>
      </c>
      <c r="E1636" t="s">
        <v>122</v>
      </c>
      <c r="F1636" t="s">
        <v>552</v>
      </c>
      <c r="G1636" t="s">
        <v>132</v>
      </c>
      <c r="H1636" t="s">
        <v>434</v>
      </c>
      <c r="I1636" t="s">
        <v>32</v>
      </c>
      <c r="J1636" t="s">
        <v>82</v>
      </c>
      <c r="K1636">
        <f t="shared" si="5090"/>
        <v>1</v>
      </c>
      <c r="L1636">
        <f t="shared" si="5091"/>
        <v>1</v>
      </c>
      <c r="M1636">
        <f t="shared" si="5092"/>
        <v>1</v>
      </c>
      <c r="N1636">
        <f t="shared" si="5093"/>
        <v>1</v>
      </c>
      <c r="O1636">
        <f t="shared" si="5094"/>
        <v>4</v>
      </c>
      <c r="P1636" t="str">
        <f t="shared" si="5095"/>
        <v>Large centralized natural gas steam reforming-Public acceptability</v>
      </c>
      <c r="Q1636" t="str">
        <f t="shared" si="5096"/>
        <v>No storage-Public acceptability</v>
      </c>
      <c r="R1636" t="str">
        <f t="shared" si="5097"/>
        <v>Hydrogen transmission &amp; distribution pipeline-Public acceptability</v>
      </c>
      <c r="S1636" t="str">
        <f t="shared" si="5098"/>
        <v>District-CHP with H2 fuel cell (heat)-Public acceptability</v>
      </c>
      <c r="T1636" s="54">
        <f ca="1">VLOOKUP($P1636,'TA database'!$I$8:$J$79,2,FALSE)</f>
        <v>90</v>
      </c>
      <c r="U1636" s="54">
        <f ca="1">VLOOKUP($Q1636,'TA database'!$I$86:$J$105,2,FALSE)</f>
        <v>100</v>
      </c>
      <c r="V1636" s="54">
        <f ca="1">VLOOKUP($R1636,'TA database'!$I$112:$J$139,2,FALSE)</f>
        <v>70</v>
      </c>
      <c r="W1636" s="54">
        <f ca="1">IFERROR(VLOOKUP($S1636,'TA database'!$I$146:$J$193,2,FALSE),0)</f>
        <v>80</v>
      </c>
      <c r="X1636" s="54">
        <f>IFERROR(VLOOKUP($S1636,'TA database'!$I$200:$J$271,2,FALSE),0)</f>
        <v>0</v>
      </c>
      <c r="Y1636" s="59">
        <f t="shared" ref="Y1636:Y1640" ca="1" si="5104">IF($W1636=0,(PRODUCT($T1636:$V1636,$X1636))/1000000,(PRODUCT($T1636:$W1636))/1000000)</f>
        <v>50.4</v>
      </c>
      <c r="Z1636" t="str">
        <f t="shared" si="5100"/>
        <v>NG_SR_LRG_C   →   NO_STRG   →   H2_T&amp;D_P   →   H2_FC_DCHP_HEAT</v>
      </c>
      <c r="AA1636" t="str">
        <f t="shared" si="5101"/>
        <v>Building heat</v>
      </c>
      <c r="AB1636" t="str">
        <f t="shared" si="5102"/>
        <v>Public acceptability</v>
      </c>
      <c r="AC1636">
        <f t="shared" ca="1" si="5103"/>
        <v>50.4</v>
      </c>
      <c r="AD1636">
        <v>1577</v>
      </c>
      <c r="AE1636" t="str">
        <f>IF(AND(ISNUMBER(SEARCH(O1636,4)),ISNUMBER(SEARCH('(4) FCH pathway assessment'!$B$16,AB1636)),ISNUMBER(SEARCH('(4) FCH pathway assessment'!$B$10,AA1636))),AD1636,"")</f>
        <v/>
      </c>
      <c r="AF1636" t="str">
        <f t="shared" si="4977"/>
        <v/>
      </c>
      <c r="AG1636" t="str">
        <f>VLOOKUP(C1636,Assumptions!$B$116:$C$162,2,FALSE)</f>
        <v>NG_SR_LRG_C</v>
      </c>
      <c r="AH1636" t="str">
        <f>VLOOKUP(D1636,Assumptions!$B$116:$C$162,2,FALSE)</f>
        <v>NO_STRG</v>
      </c>
      <c r="AI1636" t="str">
        <f>VLOOKUP(E1636,Assumptions!$B$116:$C$162,2,FALSE)</f>
        <v>H2_T&amp;D_P</v>
      </c>
      <c r="AJ1636" t="str">
        <f>VLOOKUP(F1636,Assumptions!$B$116:$C$162,2,FALSE)</f>
        <v>H2_FC_DCHP_HEAT</v>
      </c>
    </row>
    <row r="1637" spans="2:36" x14ac:dyDescent="0.25">
      <c r="B1637" t="s">
        <v>127</v>
      </c>
      <c r="C1637" t="s">
        <v>58</v>
      </c>
      <c r="D1637" t="s">
        <v>155</v>
      </c>
      <c r="E1637" t="s">
        <v>157</v>
      </c>
      <c r="F1637" t="s">
        <v>552</v>
      </c>
      <c r="G1637" t="s">
        <v>132</v>
      </c>
      <c r="H1637" t="s">
        <v>434</v>
      </c>
      <c r="I1637" t="s">
        <v>32</v>
      </c>
      <c r="J1637" t="s">
        <v>82</v>
      </c>
      <c r="K1637">
        <f t="shared" ref="K1637:K1641" si="5105">SUMPRODUCT(($C$7:$C$18=$C1637)*($D$6:$H$6=$D1637)*($D$7:$H$18))</f>
        <v>1</v>
      </c>
      <c r="L1637">
        <f t="shared" ref="L1637:L1641" si="5106">SUMPRODUCT(($C$19:$C$23=$D1637)*($I$6:$O$6=$E1637)*($I$19:$O$23))</f>
        <v>1</v>
      </c>
      <c r="M1637">
        <f t="shared" ref="M1637:M1641" si="5107">SUMPRODUCT(($C$24:$C$30=$E1637)*($P$6:$AI$6=$F1637)*($P$24:$AI$30))</f>
        <v>0</v>
      </c>
      <c r="N1637">
        <f t="shared" ref="N1637:N1641" si="5108">SUMPRODUCT(($C$31:$C$50=$F1637)*($AJ$6:$AM$6=$G1637)*($AJ$31:$AM$50))</f>
        <v>1</v>
      </c>
      <c r="O1637">
        <f t="shared" ref="O1637:O1641" si="5109">K1637+L1637+M1637+N1637</f>
        <v>3</v>
      </c>
      <c r="P1637" t="str">
        <f t="shared" ref="P1637:P1641" si="5110">CONCATENATE(C1637,"-",J1637)</f>
        <v>Small centralized natural gas steam reforming-Public acceptability</v>
      </c>
      <c r="Q1637" t="str">
        <f t="shared" ref="Q1637:Q1641" si="5111">CONCATENATE(D1637,"-",J1637)</f>
        <v>Central gas storage-Public acceptability</v>
      </c>
      <c r="R1637" t="str">
        <f t="shared" ref="R1637:R1641" si="5112">CONCATENATE(E1637,"-",J1637)</f>
        <v>Blending in natural gas pipeline-Public acceptability</v>
      </c>
      <c r="S1637" t="str">
        <f t="shared" ref="S1637:S1641" si="5113">CONCATENATE(F1637,"-",J1637)</f>
        <v>District-CHP with H2 fuel cell (heat)-Public acceptability</v>
      </c>
      <c r="T1637" s="54">
        <f ca="1">VLOOKUP($P1637,'TA database'!$I$8:$J$79,2,FALSE)</f>
        <v>90</v>
      </c>
      <c r="U1637" s="54">
        <f ca="1">VLOOKUP($Q1637,'TA database'!$I$86:$J$105,2,FALSE)</f>
        <v>60</v>
      </c>
      <c r="V1637" s="54">
        <f ca="1">VLOOKUP($R1637,'TA database'!$I$112:$J$139,2,FALSE)</f>
        <v>90</v>
      </c>
      <c r="W1637" s="54">
        <f ca="1">IFERROR(VLOOKUP($S1637,'TA database'!$I$146:$J$193,2,FALSE),0)</f>
        <v>80</v>
      </c>
      <c r="X1637" s="54">
        <f>IFERROR(VLOOKUP($S1637,'TA database'!$I$200:$J$271,2,FALSE),0)</f>
        <v>0</v>
      </c>
      <c r="Y1637" s="59">
        <f t="shared" ca="1" si="5104"/>
        <v>38.880000000000003</v>
      </c>
      <c r="Z1637" t="str">
        <f t="shared" ref="Z1637:Z1641" si="5114">CONCATENATE(AG1637,"   →   ",AH1637,"   →   ",AI1637,"   →   ",AJ1637)</f>
        <v>NG_SR_SML_C   →   C_GAS_STRG   →   H2_BLND_NG_P   →   H2_FC_DCHP_HEAT</v>
      </c>
      <c r="AA1637" t="str">
        <f t="shared" ref="AA1637:AA1641" si="5115">G1637</f>
        <v>Building heat</v>
      </c>
      <c r="AB1637" t="str">
        <f t="shared" ref="AB1637:AB1641" si="5116">J1637</f>
        <v>Public acceptability</v>
      </c>
      <c r="AC1637">
        <f t="shared" ref="AC1637:AC1641" ca="1" si="5117">Y1637</f>
        <v>38.880000000000003</v>
      </c>
      <c r="AD1637">
        <v>1578</v>
      </c>
      <c r="AE1637" t="str">
        <f>IF(AND(ISNUMBER(SEARCH(O1637,4)),ISNUMBER(SEARCH('(4) FCH pathway assessment'!$B$16,AB1637)),ISNUMBER(SEARCH('(4) FCH pathway assessment'!$B$10,AA1637))),AD1637,"")</f>
        <v/>
      </c>
      <c r="AF1637" t="str">
        <f t="shared" si="4977"/>
        <v/>
      </c>
      <c r="AG1637" t="str">
        <f>VLOOKUP(C1637,Assumptions!$B$116:$C$162,2,FALSE)</f>
        <v>NG_SR_SML_C</v>
      </c>
      <c r="AH1637" t="str">
        <f>VLOOKUP(D1637,Assumptions!$B$116:$C$162,2,FALSE)</f>
        <v>C_GAS_STRG</v>
      </c>
      <c r="AI1637" t="str">
        <f>VLOOKUP(E1637,Assumptions!$B$116:$C$162,2,FALSE)</f>
        <v>H2_BLND_NG_P</v>
      </c>
      <c r="AJ1637" t="str">
        <f>VLOOKUP(F1637,Assumptions!$B$116:$C$162,2,FALSE)</f>
        <v>H2_FC_DCHP_HEAT</v>
      </c>
    </row>
    <row r="1638" spans="2:36" x14ac:dyDescent="0.25">
      <c r="B1638" t="s">
        <v>127</v>
      </c>
      <c r="C1638" t="s">
        <v>58</v>
      </c>
      <c r="D1638" t="s">
        <v>155</v>
      </c>
      <c r="E1638" t="s">
        <v>122</v>
      </c>
      <c r="F1638" t="s">
        <v>552</v>
      </c>
      <c r="G1638" t="s">
        <v>132</v>
      </c>
      <c r="H1638" t="s">
        <v>434</v>
      </c>
      <c r="I1638" t="s">
        <v>32</v>
      </c>
      <c r="J1638" t="s">
        <v>82</v>
      </c>
      <c r="K1638">
        <f t="shared" si="5105"/>
        <v>1</v>
      </c>
      <c r="L1638">
        <f t="shared" si="5106"/>
        <v>1</v>
      </c>
      <c r="M1638">
        <f t="shared" si="5107"/>
        <v>1</v>
      </c>
      <c r="N1638">
        <f t="shared" si="5108"/>
        <v>1</v>
      </c>
      <c r="O1638">
        <f t="shared" si="5109"/>
        <v>4</v>
      </c>
      <c r="P1638" t="str">
        <f t="shared" si="5110"/>
        <v>Small centralized natural gas steam reforming-Public acceptability</v>
      </c>
      <c r="Q1638" t="str">
        <f t="shared" si="5111"/>
        <v>Central gas storage-Public acceptability</v>
      </c>
      <c r="R1638" t="str">
        <f t="shared" si="5112"/>
        <v>Hydrogen transmission &amp; distribution pipeline-Public acceptability</v>
      </c>
      <c r="S1638" t="str">
        <f t="shared" si="5113"/>
        <v>District-CHP with H2 fuel cell (heat)-Public acceptability</v>
      </c>
      <c r="T1638" s="54">
        <f ca="1">VLOOKUP($P1638,'TA database'!$I$8:$J$79,2,FALSE)</f>
        <v>90</v>
      </c>
      <c r="U1638" s="54">
        <f ca="1">VLOOKUP($Q1638,'TA database'!$I$86:$J$105,2,FALSE)</f>
        <v>60</v>
      </c>
      <c r="V1638" s="54">
        <f ca="1">VLOOKUP($R1638,'TA database'!$I$112:$J$139,2,FALSE)</f>
        <v>70</v>
      </c>
      <c r="W1638" s="54">
        <f ca="1">IFERROR(VLOOKUP($S1638,'TA database'!$I$146:$J$193,2,FALSE),0)</f>
        <v>80</v>
      </c>
      <c r="X1638" s="54">
        <f>IFERROR(VLOOKUP($S1638,'TA database'!$I$200:$J$271,2,FALSE),0)</f>
        <v>0</v>
      </c>
      <c r="Y1638" s="59">
        <f t="shared" ca="1" si="5104"/>
        <v>30.24</v>
      </c>
      <c r="Z1638" t="str">
        <f t="shared" si="5114"/>
        <v>NG_SR_SML_C   →   C_GAS_STRG   →   H2_T&amp;D_P   →   H2_FC_DCHP_HEAT</v>
      </c>
      <c r="AA1638" t="str">
        <f t="shared" si="5115"/>
        <v>Building heat</v>
      </c>
      <c r="AB1638" t="str">
        <f t="shared" si="5116"/>
        <v>Public acceptability</v>
      </c>
      <c r="AC1638">
        <f t="shared" ca="1" si="5117"/>
        <v>30.24</v>
      </c>
      <c r="AD1638">
        <v>1579</v>
      </c>
      <c r="AE1638" t="str">
        <f>IF(AND(ISNUMBER(SEARCH(O1638,4)),ISNUMBER(SEARCH('(4) FCH pathway assessment'!$B$16,AB1638)),ISNUMBER(SEARCH('(4) FCH pathway assessment'!$B$10,AA1638))),AD1638,"")</f>
        <v/>
      </c>
      <c r="AF1638" t="str">
        <f t="shared" si="4977"/>
        <v/>
      </c>
      <c r="AG1638" t="str">
        <f>VLOOKUP(C1638,Assumptions!$B$116:$C$162,2,FALSE)</f>
        <v>NG_SR_SML_C</v>
      </c>
      <c r="AH1638" t="str">
        <f>VLOOKUP(D1638,Assumptions!$B$116:$C$162,2,FALSE)</f>
        <v>C_GAS_STRG</v>
      </c>
      <c r="AI1638" t="str">
        <f>VLOOKUP(E1638,Assumptions!$B$116:$C$162,2,FALSE)</f>
        <v>H2_T&amp;D_P</v>
      </c>
      <c r="AJ1638" t="str">
        <f>VLOOKUP(F1638,Assumptions!$B$116:$C$162,2,FALSE)</f>
        <v>H2_FC_DCHP_HEAT</v>
      </c>
    </row>
    <row r="1639" spans="2:36" x14ac:dyDescent="0.25">
      <c r="B1639" t="s">
        <v>127</v>
      </c>
      <c r="C1639" t="s">
        <v>58</v>
      </c>
      <c r="D1639" t="s">
        <v>155</v>
      </c>
      <c r="E1639" t="s">
        <v>116</v>
      </c>
      <c r="F1639" t="s">
        <v>552</v>
      </c>
      <c r="G1639" t="s">
        <v>132</v>
      </c>
      <c r="H1639" t="s">
        <v>434</v>
      </c>
      <c r="I1639" t="s">
        <v>32</v>
      </c>
      <c r="J1639" t="s">
        <v>82</v>
      </c>
      <c r="K1639">
        <f t="shared" si="5105"/>
        <v>1</v>
      </c>
      <c r="L1639">
        <f t="shared" si="5106"/>
        <v>1</v>
      </c>
      <c r="M1639">
        <f t="shared" si="5107"/>
        <v>1</v>
      </c>
      <c r="N1639">
        <f t="shared" si="5108"/>
        <v>1</v>
      </c>
      <c r="O1639">
        <f t="shared" si="5109"/>
        <v>4</v>
      </c>
      <c r="P1639" t="str">
        <f t="shared" si="5110"/>
        <v>Small centralized natural gas steam reforming-Public acceptability</v>
      </c>
      <c r="Q1639" t="str">
        <f t="shared" si="5111"/>
        <v>Central gas storage-Public acceptability</v>
      </c>
      <c r="R1639" t="str">
        <f t="shared" si="5112"/>
        <v>Liquid hydrogen truck-Public acceptability</v>
      </c>
      <c r="S1639" t="str">
        <f t="shared" si="5113"/>
        <v>District-CHP with H2 fuel cell (heat)-Public acceptability</v>
      </c>
      <c r="T1639" s="54">
        <f ca="1">VLOOKUP($P1639,'TA database'!$I$8:$J$79,2,FALSE)</f>
        <v>90</v>
      </c>
      <c r="U1639" s="54">
        <f ca="1">VLOOKUP($Q1639,'TA database'!$I$86:$J$105,2,FALSE)</f>
        <v>60</v>
      </c>
      <c r="V1639" s="54">
        <f ca="1">VLOOKUP($R1639,'TA database'!$I$112:$J$139,2,FALSE)</f>
        <v>100</v>
      </c>
      <c r="W1639" s="54">
        <f ca="1">IFERROR(VLOOKUP($S1639,'TA database'!$I$146:$J$193,2,FALSE),0)</f>
        <v>80</v>
      </c>
      <c r="X1639" s="54">
        <f>IFERROR(VLOOKUP($S1639,'TA database'!$I$200:$J$271,2,FALSE),0)</f>
        <v>0</v>
      </c>
      <c r="Y1639" s="59">
        <f t="shared" ca="1" si="5104"/>
        <v>43.2</v>
      </c>
      <c r="Z1639" t="str">
        <f t="shared" si="5114"/>
        <v>NG_SR_SML_C   →   C_GAS_STRG   →   LQ_TRUCK   →   H2_FC_DCHP_HEAT</v>
      </c>
      <c r="AA1639" t="str">
        <f t="shared" si="5115"/>
        <v>Building heat</v>
      </c>
      <c r="AB1639" t="str">
        <f t="shared" si="5116"/>
        <v>Public acceptability</v>
      </c>
      <c r="AC1639">
        <f t="shared" ca="1" si="5117"/>
        <v>43.2</v>
      </c>
      <c r="AD1639">
        <v>1580</v>
      </c>
      <c r="AE1639" t="str">
        <f>IF(AND(ISNUMBER(SEARCH(O1639,4)),ISNUMBER(SEARCH('(4) FCH pathway assessment'!$B$16,AB1639)),ISNUMBER(SEARCH('(4) FCH pathway assessment'!$B$10,AA1639))),AD1639,"")</f>
        <v/>
      </c>
      <c r="AF1639" t="str">
        <f t="shared" si="4977"/>
        <v/>
      </c>
      <c r="AG1639" t="str">
        <f>VLOOKUP(C1639,Assumptions!$B$116:$C$162,2,FALSE)</f>
        <v>NG_SR_SML_C</v>
      </c>
      <c r="AH1639" t="str">
        <f>VLOOKUP(D1639,Assumptions!$B$116:$C$162,2,FALSE)</f>
        <v>C_GAS_STRG</v>
      </c>
      <c r="AI1639" t="str">
        <f>VLOOKUP(E1639,Assumptions!$B$116:$C$162,2,FALSE)</f>
        <v>LQ_TRUCK</v>
      </c>
      <c r="AJ1639" t="str">
        <f>VLOOKUP(F1639,Assumptions!$B$116:$C$162,2,FALSE)</f>
        <v>H2_FC_DCHP_HEAT</v>
      </c>
    </row>
    <row r="1640" spans="2:36" x14ac:dyDescent="0.25">
      <c r="B1640" t="s">
        <v>127</v>
      </c>
      <c r="C1640" t="s">
        <v>58</v>
      </c>
      <c r="D1640" t="s">
        <v>155</v>
      </c>
      <c r="E1640" t="s">
        <v>66</v>
      </c>
      <c r="F1640" t="s">
        <v>552</v>
      </c>
      <c r="G1640" t="s">
        <v>132</v>
      </c>
      <c r="H1640" t="s">
        <v>434</v>
      </c>
      <c r="I1640" t="s">
        <v>32</v>
      </c>
      <c r="J1640" t="s">
        <v>82</v>
      </c>
      <c r="K1640">
        <f t="shared" si="5105"/>
        <v>1</v>
      </c>
      <c r="L1640">
        <f t="shared" si="5106"/>
        <v>1</v>
      </c>
      <c r="M1640">
        <f t="shared" si="5107"/>
        <v>1</v>
      </c>
      <c r="N1640">
        <f t="shared" si="5108"/>
        <v>1</v>
      </c>
      <c r="O1640">
        <f t="shared" si="5109"/>
        <v>4</v>
      </c>
      <c r="P1640" t="str">
        <f t="shared" si="5110"/>
        <v>Small centralized natural gas steam reforming-Public acceptability</v>
      </c>
      <c r="Q1640" t="str">
        <f t="shared" si="5111"/>
        <v>Central gas storage-Public acceptability</v>
      </c>
      <c r="R1640" t="str">
        <f t="shared" si="5112"/>
        <v>Onsite-Public acceptability</v>
      </c>
      <c r="S1640" t="str">
        <f t="shared" si="5113"/>
        <v>District-CHP with H2 fuel cell (heat)-Public acceptability</v>
      </c>
      <c r="T1640" s="54">
        <f ca="1">VLOOKUP($P1640,'TA database'!$I$8:$J$79,2,FALSE)</f>
        <v>90</v>
      </c>
      <c r="U1640" s="54">
        <f ca="1">VLOOKUP($Q1640,'TA database'!$I$86:$J$105,2,FALSE)</f>
        <v>60</v>
      </c>
      <c r="V1640" s="54">
        <f ca="1">VLOOKUP($R1640,'TA database'!$I$112:$J$139,2,FALSE)</f>
        <v>90</v>
      </c>
      <c r="W1640" s="54">
        <f ca="1">IFERROR(VLOOKUP($S1640,'TA database'!$I$146:$J$193,2,FALSE),0)</f>
        <v>80</v>
      </c>
      <c r="X1640" s="54">
        <f>IFERROR(VLOOKUP($S1640,'TA database'!$I$200:$J$271,2,FALSE),0)</f>
        <v>0</v>
      </c>
      <c r="Y1640" s="59">
        <f t="shared" ca="1" si="5104"/>
        <v>38.880000000000003</v>
      </c>
      <c r="Z1640" t="str">
        <f t="shared" si="5114"/>
        <v>NG_SR_SML_C   →   C_GAS_STRG   →   ONSITE_USE   →   H2_FC_DCHP_HEAT</v>
      </c>
      <c r="AA1640" t="str">
        <f t="shared" si="5115"/>
        <v>Building heat</v>
      </c>
      <c r="AB1640" t="str">
        <f t="shared" si="5116"/>
        <v>Public acceptability</v>
      </c>
      <c r="AC1640">
        <f t="shared" ca="1" si="5117"/>
        <v>38.880000000000003</v>
      </c>
      <c r="AD1640">
        <v>1581</v>
      </c>
      <c r="AE1640" t="str">
        <f>IF(AND(ISNUMBER(SEARCH(O1640,4)),ISNUMBER(SEARCH('(4) FCH pathway assessment'!$B$16,AB1640)),ISNUMBER(SEARCH('(4) FCH pathway assessment'!$B$10,AA1640))),AD1640,"")</f>
        <v/>
      </c>
      <c r="AF1640" t="str">
        <f t="shared" si="4977"/>
        <v/>
      </c>
      <c r="AG1640" t="str">
        <f>VLOOKUP(C1640,Assumptions!$B$116:$C$162,2,FALSE)</f>
        <v>NG_SR_SML_C</v>
      </c>
      <c r="AH1640" t="str">
        <f>VLOOKUP(D1640,Assumptions!$B$116:$C$162,2,FALSE)</f>
        <v>C_GAS_STRG</v>
      </c>
      <c r="AI1640" t="str">
        <f>VLOOKUP(E1640,Assumptions!$B$116:$C$162,2,FALSE)</f>
        <v>ONSITE_USE</v>
      </c>
      <c r="AJ1640" t="str">
        <f>VLOOKUP(F1640,Assumptions!$B$116:$C$162,2,FALSE)</f>
        <v>H2_FC_DCHP_HEAT</v>
      </c>
    </row>
    <row r="1641" spans="2:36" x14ac:dyDescent="0.25">
      <c r="B1641" t="s">
        <v>127</v>
      </c>
      <c r="C1641" t="s">
        <v>59</v>
      </c>
      <c r="D1641" s="60" t="s">
        <v>130</v>
      </c>
      <c r="E1641" t="s">
        <v>66</v>
      </c>
      <c r="F1641" t="s">
        <v>552</v>
      </c>
      <c r="G1641" t="s">
        <v>132</v>
      </c>
      <c r="H1641" t="s">
        <v>434</v>
      </c>
      <c r="I1641" t="s">
        <v>32</v>
      </c>
      <c r="J1641" t="s">
        <v>82</v>
      </c>
      <c r="K1641">
        <f t="shared" si="5105"/>
        <v>1</v>
      </c>
      <c r="L1641">
        <f t="shared" si="5106"/>
        <v>1</v>
      </c>
      <c r="M1641">
        <f t="shared" si="5107"/>
        <v>1</v>
      </c>
      <c r="N1641">
        <f t="shared" si="5108"/>
        <v>1</v>
      </c>
      <c r="O1641">
        <f t="shared" si="5109"/>
        <v>4</v>
      </c>
      <c r="P1641" t="str">
        <f t="shared" si="5110"/>
        <v>Medium decentralized natural gas steam reforming-Public acceptability</v>
      </c>
      <c r="Q1641" t="str">
        <f t="shared" si="5111"/>
        <v>Distributed gas storage-Public acceptability</v>
      </c>
      <c r="R1641" t="str">
        <f t="shared" si="5112"/>
        <v>Onsite-Public acceptability</v>
      </c>
      <c r="S1641" t="str">
        <f t="shared" si="5113"/>
        <v>District-CHP with H2 fuel cell (heat)-Public acceptability</v>
      </c>
      <c r="T1641" s="54">
        <f ca="1">VLOOKUP($P1641,'TA database'!$I$8:$J$79,2,FALSE)</f>
        <v>100</v>
      </c>
      <c r="U1641" s="54">
        <f ca="1">VLOOKUP($Q1641,'TA database'!$I$86:$J$105,2,FALSE)</f>
        <v>60</v>
      </c>
      <c r="V1641" s="54">
        <f ca="1">VLOOKUP($R1641,'TA database'!$I$112:$J$139,2,FALSE)</f>
        <v>90</v>
      </c>
      <c r="W1641" s="54">
        <f ca="1">IFERROR(VLOOKUP($S1641,'TA database'!$I$146:$J$193,2,FALSE),0)</f>
        <v>80</v>
      </c>
      <c r="X1641" s="54">
        <f>IFERROR(VLOOKUP($S1641,'TA database'!$I$200:$J$271,2,FALSE),0)</f>
        <v>0</v>
      </c>
      <c r="Y1641" s="59">
        <f t="shared" ref="Y1641:Y1642" ca="1" si="5118">IF($W1641=0,(PRODUCT($T1641:$V1641,$X1641))/1000000,(PRODUCT($T1641:$W1641))/1000000)</f>
        <v>43.2</v>
      </c>
      <c r="Z1641" t="str">
        <f t="shared" si="5114"/>
        <v>NG_SR_MED_D   →   D_GAS_STRG   →   ONSITE_USE   →   H2_FC_DCHP_HEAT</v>
      </c>
      <c r="AA1641" t="str">
        <f t="shared" si="5115"/>
        <v>Building heat</v>
      </c>
      <c r="AB1641" t="str">
        <f t="shared" si="5116"/>
        <v>Public acceptability</v>
      </c>
      <c r="AC1641">
        <f t="shared" ca="1" si="5117"/>
        <v>43.2</v>
      </c>
      <c r="AD1641">
        <v>1582</v>
      </c>
      <c r="AE1641" t="str">
        <f>IF(AND(ISNUMBER(SEARCH(O1641,4)),ISNUMBER(SEARCH('(4) FCH pathway assessment'!$B$16,AB1641)),ISNUMBER(SEARCH('(4) FCH pathway assessment'!$B$10,AA1641))),AD1641,"")</f>
        <v/>
      </c>
      <c r="AF1641" t="str">
        <f t="shared" si="4977"/>
        <v/>
      </c>
      <c r="AG1641" t="str">
        <f>VLOOKUP(C1641,Assumptions!$B$116:$C$162,2,FALSE)</f>
        <v>NG_SR_MED_D</v>
      </c>
      <c r="AH1641" t="str">
        <f>VLOOKUP(D1641,Assumptions!$B$116:$C$162,2,FALSE)</f>
        <v>D_GAS_STRG</v>
      </c>
      <c r="AI1641" t="str">
        <f>VLOOKUP(E1641,Assumptions!$B$116:$C$162,2,FALSE)</f>
        <v>ONSITE_USE</v>
      </c>
      <c r="AJ1641" t="str">
        <f>VLOOKUP(F1641,Assumptions!$B$116:$C$162,2,FALSE)</f>
        <v>H2_FC_DCHP_HEAT</v>
      </c>
    </row>
    <row r="1642" spans="2:36" x14ac:dyDescent="0.25">
      <c r="B1642" t="s">
        <v>127</v>
      </c>
      <c r="C1642" t="s">
        <v>60</v>
      </c>
      <c r="D1642" s="60" t="s">
        <v>130</v>
      </c>
      <c r="E1642" t="s">
        <v>66</v>
      </c>
      <c r="F1642" t="s">
        <v>552</v>
      </c>
      <c r="G1642" t="s">
        <v>132</v>
      </c>
      <c r="H1642" t="s">
        <v>434</v>
      </c>
      <c r="I1642" t="s">
        <v>32</v>
      </c>
      <c r="J1642" t="s">
        <v>82</v>
      </c>
      <c r="K1642">
        <f t="shared" ref="K1642" si="5119">SUMPRODUCT(($C$7:$C$18=$C1642)*($D$6:$H$6=$D1642)*($D$7:$H$18))</f>
        <v>1</v>
      </c>
      <c r="L1642">
        <f t="shared" ref="L1642" si="5120">SUMPRODUCT(($C$19:$C$23=$D1642)*($I$6:$O$6=$E1642)*($I$19:$O$23))</f>
        <v>1</v>
      </c>
      <c r="M1642">
        <f t="shared" ref="M1642" si="5121">SUMPRODUCT(($C$24:$C$30=$E1642)*($P$6:$AI$6=$F1642)*($P$24:$AI$30))</f>
        <v>1</v>
      </c>
      <c r="N1642">
        <f t="shared" ref="N1642" si="5122">SUMPRODUCT(($C$31:$C$50=$F1642)*($AJ$6:$AM$6=$G1642)*($AJ$31:$AM$50))</f>
        <v>1</v>
      </c>
      <c r="O1642">
        <f t="shared" ref="O1642" si="5123">K1642+L1642+M1642+N1642</f>
        <v>4</v>
      </c>
      <c r="P1642" t="str">
        <f t="shared" ref="P1642" si="5124">CONCATENATE(C1642,"-",J1642)</f>
        <v>Small decentralized natural gas steam reforming-Public acceptability</v>
      </c>
      <c r="Q1642" t="str">
        <f t="shared" ref="Q1642" si="5125">CONCATENATE(D1642,"-",J1642)</f>
        <v>Distributed gas storage-Public acceptability</v>
      </c>
      <c r="R1642" t="str">
        <f t="shared" ref="R1642" si="5126">CONCATENATE(E1642,"-",J1642)</f>
        <v>Onsite-Public acceptability</v>
      </c>
      <c r="S1642" t="str">
        <f t="shared" ref="S1642" si="5127">CONCATENATE(F1642,"-",J1642)</f>
        <v>District-CHP with H2 fuel cell (heat)-Public acceptability</v>
      </c>
      <c r="T1642" s="54">
        <f ca="1">VLOOKUP($P1642,'TA database'!$I$8:$J$79,2,FALSE)</f>
        <v>100</v>
      </c>
      <c r="U1642" s="54">
        <f ca="1">VLOOKUP($Q1642,'TA database'!$I$86:$J$105,2,FALSE)</f>
        <v>60</v>
      </c>
      <c r="V1642" s="54">
        <f ca="1">VLOOKUP($R1642,'TA database'!$I$112:$J$139,2,FALSE)</f>
        <v>90</v>
      </c>
      <c r="W1642" s="54">
        <f ca="1">IFERROR(VLOOKUP($S1642,'TA database'!$I$146:$J$193,2,FALSE),0)</f>
        <v>80</v>
      </c>
      <c r="X1642" s="54">
        <f>IFERROR(VLOOKUP($S1642,'TA database'!$I$200:$J$271,2,FALSE),0)</f>
        <v>0</v>
      </c>
      <c r="Y1642" s="59">
        <f t="shared" ca="1" si="5118"/>
        <v>43.2</v>
      </c>
      <c r="Z1642" t="str">
        <f t="shared" ref="Z1642" si="5128">CONCATENATE(AG1642,"   →   ",AH1642,"   →   ",AI1642,"   →   ",AJ1642)</f>
        <v>NG_SR_SML_D   →   D_GAS_STRG   →   ONSITE_USE   →   H2_FC_DCHP_HEAT</v>
      </c>
      <c r="AA1642" t="str">
        <f t="shared" ref="AA1642" si="5129">G1642</f>
        <v>Building heat</v>
      </c>
      <c r="AB1642" t="str">
        <f t="shared" ref="AB1642" si="5130">J1642</f>
        <v>Public acceptability</v>
      </c>
      <c r="AC1642">
        <f t="shared" ref="AC1642" ca="1" si="5131">Y1642</f>
        <v>43.2</v>
      </c>
      <c r="AD1642">
        <v>1583</v>
      </c>
      <c r="AE1642" t="str">
        <f>IF(AND(ISNUMBER(SEARCH(O1642,4)),ISNUMBER(SEARCH('(4) FCH pathway assessment'!$B$16,AB1642)),ISNUMBER(SEARCH('(4) FCH pathway assessment'!$B$10,AA1642))),AD1642,"")</f>
        <v/>
      </c>
      <c r="AF1642" t="str">
        <f t="shared" si="4977"/>
        <v/>
      </c>
      <c r="AG1642" t="str">
        <f>VLOOKUP(C1642,Assumptions!$B$116:$C$162,2,FALSE)</f>
        <v>NG_SR_SML_D</v>
      </c>
      <c r="AH1642" t="str">
        <f>VLOOKUP(D1642,Assumptions!$B$116:$C$162,2,FALSE)</f>
        <v>D_GAS_STRG</v>
      </c>
      <c r="AI1642" t="str">
        <f>VLOOKUP(E1642,Assumptions!$B$116:$C$162,2,FALSE)</f>
        <v>ONSITE_USE</v>
      </c>
      <c r="AJ1642" t="str">
        <f>VLOOKUP(F1642,Assumptions!$B$116:$C$162,2,FALSE)</f>
        <v>H2_FC_DCHP_HEAT</v>
      </c>
    </row>
    <row r="1643" spans="2:36" x14ac:dyDescent="0.25">
      <c r="B1643" t="s">
        <v>117</v>
      </c>
      <c r="C1643" t="s">
        <v>53</v>
      </c>
      <c r="D1643" t="s">
        <v>155</v>
      </c>
      <c r="E1643" t="s">
        <v>157</v>
      </c>
      <c r="F1643" t="s">
        <v>543</v>
      </c>
      <c r="G1643" t="s">
        <v>132</v>
      </c>
      <c r="H1643" t="s">
        <v>434</v>
      </c>
      <c r="I1643" t="s">
        <v>32</v>
      </c>
      <c r="J1643" t="s">
        <v>82</v>
      </c>
      <c r="K1643">
        <f t="shared" ref="K1643:K1644" si="5132">SUMPRODUCT(($C$7:$C$18=$C1643)*($D$6:$H$6=$D1643)*($D$7:$H$18))</f>
        <v>0</v>
      </c>
      <c r="L1643">
        <f t="shared" ref="L1643:L1644" si="5133">SUMPRODUCT(($C$19:$C$23=$D1643)*($I$6:$O$6=$E1643)*($I$19:$O$23))</f>
        <v>1</v>
      </c>
      <c r="M1643">
        <f t="shared" ref="M1643:M1644" si="5134">SUMPRODUCT(($C$24:$C$30=$E1643)*($P$6:$AI$6=$F1643)*($P$24:$AI$30))</f>
        <v>0</v>
      </c>
      <c r="N1643">
        <f t="shared" ref="N1643:N1644" si="5135">SUMPRODUCT(($C$31:$C$50=$F1643)*($AJ$6:$AM$6=$G1643)*($AJ$31:$AM$50))</f>
        <v>0</v>
      </c>
      <c r="O1643">
        <f t="shared" ref="O1643:O1644" si="5136">K1643+L1643+M1643+N1643</f>
        <v>1</v>
      </c>
      <c r="P1643" t="str">
        <f t="shared" ref="P1643:P1644" si="5137">CONCATENATE(C1643,"-",J1643)</f>
        <v>Medium centralized biomass gasification-Public acceptability</v>
      </c>
      <c r="Q1643" t="str">
        <f t="shared" ref="Q1643:Q1644" si="5138">CONCATENATE(D1643,"-",J1643)</f>
        <v>Central gas storage-Public acceptability</v>
      </c>
      <c r="R1643" t="str">
        <f t="shared" ref="R1643:R1644" si="5139">CONCATENATE(E1643,"-",J1643)</f>
        <v>Blending in natural gas pipeline-Public acceptability</v>
      </c>
      <c r="S1643" t="str">
        <f t="shared" ref="S1643:S1644" si="5140">CONCATENATE(F1643,"-",J1643)</f>
        <v>Micro-CHP with H2 fuel cell (heat)-Public acceptability</v>
      </c>
      <c r="T1643" s="54">
        <f ca="1">VLOOKUP($P1643,'TA database'!$I$8:$J$79,2,FALSE)</f>
        <v>70</v>
      </c>
      <c r="U1643" s="54">
        <f ca="1">VLOOKUP($Q1643,'TA database'!$I$86:$J$105,2,FALSE)</f>
        <v>60</v>
      </c>
      <c r="V1643" s="54">
        <f ca="1">VLOOKUP($R1643,'TA database'!$I$112:$J$139,2,FALSE)</f>
        <v>90</v>
      </c>
      <c r="W1643" s="54">
        <f ca="1">IFERROR(VLOOKUP($S1643,'TA database'!$I$146:$J$193,2,FALSE),0)</f>
        <v>80</v>
      </c>
      <c r="X1643" s="54">
        <f>IFERROR(VLOOKUP($S1643,'TA database'!$I$200:$J$271,2,FALSE),0)</f>
        <v>0</v>
      </c>
      <c r="Y1643" s="59">
        <f t="shared" ref="Y1643:Y1646" ca="1" si="5141">IF($W1643=0,(PRODUCT($T1643:$V1643,$X1643))/1000000,(PRODUCT($T1643:$W1643))/1000000)</f>
        <v>30.24</v>
      </c>
      <c r="Z1643" t="str">
        <f t="shared" ref="Z1643:Z1644" si="5142">CONCATENATE(AG1643,"   →   ",AH1643,"   →   ",AI1643,"   →   ",AJ1643)</f>
        <v>BIO_GSF_MED_C   →   C_GAS_STRG   →   H2_BLND_NG_P   →   H2_FC_mCHP_HEAT</v>
      </c>
      <c r="AA1643" t="str">
        <f t="shared" ref="AA1643:AA1644" si="5143">G1643</f>
        <v>Building heat</v>
      </c>
      <c r="AB1643" t="str">
        <f t="shared" ref="AB1643:AB1644" si="5144">J1643</f>
        <v>Public acceptability</v>
      </c>
      <c r="AC1643">
        <f t="shared" ref="AC1643:AC1644" ca="1" si="5145">Y1643</f>
        <v>30.24</v>
      </c>
      <c r="AD1643">
        <v>1584</v>
      </c>
      <c r="AE1643" t="str">
        <f>IF(AND(ISNUMBER(SEARCH(O1643,4)),ISNUMBER(SEARCH('(4) FCH pathway assessment'!$B$16,AB1643)),ISNUMBER(SEARCH('(4) FCH pathway assessment'!$B$10,AA1643))),AD1643,"")</f>
        <v/>
      </c>
      <c r="AF1643" t="str">
        <f t="shared" si="4977"/>
        <v/>
      </c>
      <c r="AG1643" t="str">
        <f>VLOOKUP(C1643,Assumptions!$B$116:$C$162,2,FALSE)</f>
        <v>BIO_GSF_MED_C</v>
      </c>
      <c r="AH1643" t="str">
        <f>VLOOKUP(D1643,Assumptions!$B$116:$C$162,2,FALSE)</f>
        <v>C_GAS_STRG</v>
      </c>
      <c r="AI1643" t="str">
        <f>VLOOKUP(E1643,Assumptions!$B$116:$C$162,2,FALSE)</f>
        <v>H2_BLND_NG_P</v>
      </c>
      <c r="AJ1643" t="str">
        <f>VLOOKUP(F1643,Assumptions!$B$116:$C$162,2,FALSE)</f>
        <v>H2_FC_mCHP_HEAT</v>
      </c>
    </row>
    <row r="1644" spans="2:36" x14ac:dyDescent="0.25">
      <c r="B1644" t="s">
        <v>117</v>
      </c>
      <c r="C1644" t="s">
        <v>53</v>
      </c>
      <c r="D1644" t="s">
        <v>155</v>
      </c>
      <c r="E1644" t="s">
        <v>122</v>
      </c>
      <c r="F1644" t="s">
        <v>543</v>
      </c>
      <c r="G1644" t="s">
        <v>132</v>
      </c>
      <c r="H1644" t="s">
        <v>434</v>
      </c>
      <c r="I1644" t="s">
        <v>32</v>
      </c>
      <c r="J1644" t="s">
        <v>82</v>
      </c>
      <c r="K1644">
        <f t="shared" si="5132"/>
        <v>0</v>
      </c>
      <c r="L1644">
        <f t="shared" si="5133"/>
        <v>1</v>
      </c>
      <c r="M1644">
        <f t="shared" si="5134"/>
        <v>1</v>
      </c>
      <c r="N1644">
        <f t="shared" si="5135"/>
        <v>0</v>
      </c>
      <c r="O1644">
        <f t="shared" si="5136"/>
        <v>2</v>
      </c>
      <c r="P1644" t="str">
        <f t="shared" si="5137"/>
        <v>Medium centralized biomass gasification-Public acceptability</v>
      </c>
      <c r="Q1644" t="str">
        <f t="shared" si="5138"/>
        <v>Central gas storage-Public acceptability</v>
      </c>
      <c r="R1644" t="str">
        <f t="shared" si="5139"/>
        <v>Hydrogen transmission &amp; distribution pipeline-Public acceptability</v>
      </c>
      <c r="S1644" t="str">
        <f t="shared" si="5140"/>
        <v>Micro-CHP with H2 fuel cell (heat)-Public acceptability</v>
      </c>
      <c r="T1644" s="54">
        <f ca="1">VLOOKUP($P1644,'TA database'!$I$8:$J$79,2,FALSE)</f>
        <v>70</v>
      </c>
      <c r="U1644" s="54">
        <f ca="1">VLOOKUP($Q1644,'TA database'!$I$86:$J$105,2,FALSE)</f>
        <v>60</v>
      </c>
      <c r="V1644" s="54">
        <f ca="1">VLOOKUP($R1644,'TA database'!$I$112:$J$139,2,FALSE)</f>
        <v>70</v>
      </c>
      <c r="W1644" s="54">
        <f ca="1">IFERROR(VLOOKUP($S1644,'TA database'!$I$146:$J$193,2,FALSE),0)</f>
        <v>80</v>
      </c>
      <c r="X1644" s="54">
        <f>IFERROR(VLOOKUP($S1644,'TA database'!$I$200:$J$271,2,FALSE),0)</f>
        <v>0</v>
      </c>
      <c r="Y1644" s="59">
        <f t="shared" ca="1" si="5141"/>
        <v>23.52</v>
      </c>
      <c r="Z1644" t="str">
        <f t="shared" si="5142"/>
        <v>BIO_GSF_MED_C   →   C_GAS_STRG   →   H2_T&amp;D_P   →   H2_FC_mCHP_HEAT</v>
      </c>
      <c r="AA1644" t="str">
        <f t="shared" si="5143"/>
        <v>Building heat</v>
      </c>
      <c r="AB1644" t="str">
        <f t="shared" si="5144"/>
        <v>Public acceptability</v>
      </c>
      <c r="AC1644">
        <f t="shared" ca="1" si="5145"/>
        <v>23.52</v>
      </c>
      <c r="AD1644">
        <v>1585</v>
      </c>
      <c r="AE1644" t="str">
        <f>IF(AND(ISNUMBER(SEARCH(O1644,4)),ISNUMBER(SEARCH('(4) FCH pathway assessment'!$B$16,AB1644)),ISNUMBER(SEARCH('(4) FCH pathway assessment'!$B$10,AA1644))),AD1644,"")</f>
        <v/>
      </c>
      <c r="AF1644" t="str">
        <f t="shared" si="4977"/>
        <v/>
      </c>
      <c r="AG1644" t="str">
        <f>VLOOKUP(C1644,Assumptions!$B$116:$C$162,2,FALSE)</f>
        <v>BIO_GSF_MED_C</v>
      </c>
      <c r="AH1644" t="str">
        <f>VLOOKUP(D1644,Assumptions!$B$116:$C$162,2,FALSE)</f>
        <v>C_GAS_STRG</v>
      </c>
      <c r="AI1644" t="str">
        <f>VLOOKUP(E1644,Assumptions!$B$116:$C$162,2,FALSE)</f>
        <v>H2_T&amp;D_P</v>
      </c>
      <c r="AJ1644" t="str">
        <f>VLOOKUP(F1644,Assumptions!$B$116:$C$162,2,FALSE)</f>
        <v>H2_FC_mCHP_HEAT</v>
      </c>
    </row>
    <row r="1645" spans="2:36" x14ac:dyDescent="0.25">
      <c r="B1645" t="s">
        <v>117</v>
      </c>
      <c r="C1645" t="s">
        <v>54</v>
      </c>
      <c r="D1645" t="s">
        <v>155</v>
      </c>
      <c r="E1645" t="s">
        <v>157</v>
      </c>
      <c r="F1645" t="s">
        <v>543</v>
      </c>
      <c r="G1645" t="s">
        <v>132</v>
      </c>
      <c r="H1645" t="s">
        <v>434</v>
      </c>
      <c r="I1645" t="s">
        <v>32</v>
      </c>
      <c r="J1645" t="s">
        <v>82</v>
      </c>
      <c r="K1645">
        <f t="shared" ref="K1645:K1646" si="5146">SUMPRODUCT(($C$7:$C$18=$C1645)*($D$6:$H$6=$D1645)*($D$7:$H$18))</f>
        <v>0</v>
      </c>
      <c r="L1645">
        <f t="shared" ref="L1645:L1646" si="5147">SUMPRODUCT(($C$19:$C$23=$D1645)*($I$6:$O$6=$E1645)*($I$19:$O$23))</f>
        <v>1</v>
      </c>
      <c r="M1645">
        <f t="shared" ref="M1645:M1646" si="5148">SUMPRODUCT(($C$24:$C$30=$E1645)*($P$6:$AI$6=$F1645)*($P$24:$AI$30))</f>
        <v>0</v>
      </c>
      <c r="N1645">
        <f t="shared" ref="N1645:N1646" si="5149">SUMPRODUCT(($C$31:$C$50=$F1645)*($AJ$6:$AM$6=$G1645)*($AJ$31:$AM$50))</f>
        <v>0</v>
      </c>
      <c r="O1645">
        <f t="shared" ref="O1645:O1646" si="5150">K1645+L1645+M1645+N1645</f>
        <v>1</v>
      </c>
      <c r="P1645" t="str">
        <f t="shared" ref="P1645:P1646" si="5151">CONCATENATE(C1645,"-",J1645)</f>
        <v>Medium centralized biomass gasification w/ CCS-Public acceptability</v>
      </c>
      <c r="Q1645" t="str">
        <f t="shared" ref="Q1645:Q1646" si="5152">CONCATENATE(D1645,"-",J1645)</f>
        <v>Central gas storage-Public acceptability</v>
      </c>
      <c r="R1645" t="str">
        <f t="shared" ref="R1645:R1646" si="5153">CONCATENATE(E1645,"-",J1645)</f>
        <v>Blending in natural gas pipeline-Public acceptability</v>
      </c>
      <c r="S1645" t="str">
        <f t="shared" ref="S1645:S1646" si="5154">CONCATENATE(F1645,"-",J1645)</f>
        <v>Micro-CHP with H2 fuel cell (heat)-Public acceptability</v>
      </c>
      <c r="T1645" s="54">
        <f ca="1">VLOOKUP($P1645,'TA database'!$I$8:$J$79,2,FALSE)</f>
        <v>60</v>
      </c>
      <c r="U1645" s="54">
        <f ca="1">VLOOKUP($Q1645,'TA database'!$I$86:$J$105,2,FALSE)</f>
        <v>60</v>
      </c>
      <c r="V1645" s="54">
        <f ca="1">VLOOKUP($R1645,'TA database'!$I$112:$J$139,2,FALSE)</f>
        <v>90</v>
      </c>
      <c r="W1645" s="54">
        <f ca="1">IFERROR(VLOOKUP($S1645,'TA database'!$I$146:$J$193,2,FALSE),0)</f>
        <v>80</v>
      </c>
      <c r="X1645" s="54">
        <f>IFERROR(VLOOKUP($S1645,'TA database'!$I$200:$J$271,2,FALSE),0)</f>
        <v>0</v>
      </c>
      <c r="Y1645" s="59">
        <f t="shared" ca="1" si="5141"/>
        <v>25.92</v>
      </c>
      <c r="Z1645" t="str">
        <f t="shared" ref="Z1645:Z1646" si="5155">CONCATENATE(AG1645,"   →   ",AH1645,"   →   ",AI1645,"   →   ",AJ1645)</f>
        <v>BIO_GSF_CCS_MED_C   →   C_GAS_STRG   →   H2_BLND_NG_P   →   H2_FC_mCHP_HEAT</v>
      </c>
      <c r="AA1645" t="str">
        <f t="shared" ref="AA1645:AA1646" si="5156">G1645</f>
        <v>Building heat</v>
      </c>
      <c r="AB1645" t="str">
        <f t="shared" ref="AB1645:AB1646" si="5157">J1645</f>
        <v>Public acceptability</v>
      </c>
      <c r="AC1645">
        <f t="shared" ref="AC1645:AC1646" ca="1" si="5158">Y1645</f>
        <v>25.92</v>
      </c>
      <c r="AD1645">
        <v>1586</v>
      </c>
      <c r="AE1645" t="str">
        <f>IF(AND(ISNUMBER(SEARCH(O1645,4)),ISNUMBER(SEARCH('(4) FCH pathway assessment'!$B$16,AB1645)),ISNUMBER(SEARCH('(4) FCH pathway assessment'!$B$10,AA1645))),AD1645,"")</f>
        <v/>
      </c>
      <c r="AF1645" t="str">
        <f t="shared" si="4977"/>
        <v/>
      </c>
      <c r="AG1645" t="str">
        <f>VLOOKUP(C1645,Assumptions!$B$116:$C$162,2,FALSE)</f>
        <v>BIO_GSF_CCS_MED_C</v>
      </c>
      <c r="AH1645" t="str">
        <f>VLOOKUP(D1645,Assumptions!$B$116:$C$162,2,FALSE)</f>
        <v>C_GAS_STRG</v>
      </c>
      <c r="AI1645" t="str">
        <f>VLOOKUP(E1645,Assumptions!$B$116:$C$162,2,FALSE)</f>
        <v>H2_BLND_NG_P</v>
      </c>
      <c r="AJ1645" t="str">
        <f>VLOOKUP(F1645,Assumptions!$B$116:$C$162,2,FALSE)</f>
        <v>H2_FC_mCHP_HEAT</v>
      </c>
    </row>
    <row r="1646" spans="2:36" x14ac:dyDescent="0.25">
      <c r="B1646" t="s">
        <v>117</v>
      </c>
      <c r="C1646" t="s">
        <v>54</v>
      </c>
      <c r="D1646" t="s">
        <v>155</v>
      </c>
      <c r="E1646" t="s">
        <v>122</v>
      </c>
      <c r="F1646" t="s">
        <v>543</v>
      </c>
      <c r="G1646" t="s">
        <v>132</v>
      </c>
      <c r="H1646" t="s">
        <v>434</v>
      </c>
      <c r="I1646" t="s">
        <v>32</v>
      </c>
      <c r="J1646" t="s">
        <v>82</v>
      </c>
      <c r="K1646">
        <f t="shared" si="5146"/>
        <v>0</v>
      </c>
      <c r="L1646">
        <f t="shared" si="5147"/>
        <v>1</v>
      </c>
      <c r="M1646">
        <f t="shared" si="5148"/>
        <v>1</v>
      </c>
      <c r="N1646">
        <f t="shared" si="5149"/>
        <v>0</v>
      </c>
      <c r="O1646">
        <f t="shared" si="5150"/>
        <v>2</v>
      </c>
      <c r="P1646" t="str">
        <f t="shared" si="5151"/>
        <v>Medium centralized biomass gasification w/ CCS-Public acceptability</v>
      </c>
      <c r="Q1646" t="str">
        <f t="shared" si="5152"/>
        <v>Central gas storage-Public acceptability</v>
      </c>
      <c r="R1646" t="str">
        <f t="shared" si="5153"/>
        <v>Hydrogen transmission &amp; distribution pipeline-Public acceptability</v>
      </c>
      <c r="S1646" t="str">
        <f t="shared" si="5154"/>
        <v>Micro-CHP with H2 fuel cell (heat)-Public acceptability</v>
      </c>
      <c r="T1646" s="54">
        <f ca="1">VLOOKUP($P1646,'TA database'!$I$8:$J$79,2,FALSE)</f>
        <v>60</v>
      </c>
      <c r="U1646" s="54">
        <f ca="1">VLOOKUP($Q1646,'TA database'!$I$86:$J$105,2,FALSE)</f>
        <v>60</v>
      </c>
      <c r="V1646" s="54">
        <f ca="1">VLOOKUP($R1646,'TA database'!$I$112:$J$139,2,FALSE)</f>
        <v>70</v>
      </c>
      <c r="W1646" s="54">
        <f ca="1">IFERROR(VLOOKUP($S1646,'TA database'!$I$146:$J$193,2,FALSE),0)</f>
        <v>80</v>
      </c>
      <c r="X1646" s="54">
        <f>IFERROR(VLOOKUP($S1646,'TA database'!$I$200:$J$271,2,FALSE),0)</f>
        <v>0</v>
      </c>
      <c r="Y1646" s="59">
        <f t="shared" ca="1" si="5141"/>
        <v>20.16</v>
      </c>
      <c r="Z1646" t="str">
        <f t="shared" si="5155"/>
        <v>BIO_GSF_CCS_MED_C   →   C_GAS_STRG   →   H2_T&amp;D_P   →   H2_FC_mCHP_HEAT</v>
      </c>
      <c r="AA1646" t="str">
        <f t="shared" si="5156"/>
        <v>Building heat</v>
      </c>
      <c r="AB1646" t="str">
        <f t="shared" si="5157"/>
        <v>Public acceptability</v>
      </c>
      <c r="AC1646">
        <f t="shared" ca="1" si="5158"/>
        <v>20.16</v>
      </c>
      <c r="AD1646">
        <v>1587</v>
      </c>
      <c r="AE1646" t="str">
        <f>IF(AND(ISNUMBER(SEARCH(O1646,4)),ISNUMBER(SEARCH('(4) FCH pathway assessment'!$B$16,AB1646)),ISNUMBER(SEARCH('(4) FCH pathway assessment'!$B$10,AA1646))),AD1646,"")</f>
        <v/>
      </c>
      <c r="AF1646" t="str">
        <f t="shared" si="4977"/>
        <v/>
      </c>
      <c r="AG1646" t="str">
        <f>VLOOKUP(C1646,Assumptions!$B$116:$C$162,2,FALSE)</f>
        <v>BIO_GSF_CCS_MED_C</v>
      </c>
      <c r="AH1646" t="str">
        <f>VLOOKUP(D1646,Assumptions!$B$116:$C$162,2,FALSE)</f>
        <v>C_GAS_STRG</v>
      </c>
      <c r="AI1646" t="str">
        <f>VLOOKUP(E1646,Assumptions!$B$116:$C$162,2,FALSE)</f>
        <v>H2_T&amp;D_P</v>
      </c>
      <c r="AJ1646" t="str">
        <f>VLOOKUP(F1646,Assumptions!$B$116:$C$162,2,FALSE)</f>
        <v>H2_FC_mCHP_HEAT</v>
      </c>
    </row>
    <row r="1647" spans="2:36" x14ac:dyDescent="0.25">
      <c r="B1647" t="s">
        <v>117</v>
      </c>
      <c r="C1647" t="s">
        <v>55</v>
      </c>
      <c r="D1647" s="60" t="s">
        <v>130</v>
      </c>
      <c r="E1647" t="s">
        <v>128</v>
      </c>
      <c r="F1647" t="s">
        <v>543</v>
      </c>
      <c r="G1647" t="s">
        <v>132</v>
      </c>
      <c r="H1647" t="s">
        <v>434</v>
      </c>
      <c r="I1647" t="s">
        <v>32</v>
      </c>
      <c r="J1647" t="s">
        <v>82</v>
      </c>
      <c r="K1647">
        <f t="shared" ref="K1647:K1652" si="5159">SUMPRODUCT(($C$7:$C$18=$C1647)*($D$6:$H$6=$D1647)*($D$7:$H$18))</f>
        <v>0</v>
      </c>
      <c r="L1647">
        <f t="shared" ref="L1647:L1652" si="5160">SUMPRODUCT(($C$19:$C$23=$D1647)*($I$6:$O$6=$E1647)*($I$19:$O$23))</f>
        <v>1</v>
      </c>
      <c r="M1647">
        <f t="shared" ref="M1647:M1652" si="5161">SUMPRODUCT(($C$24:$C$30=$E1647)*($P$6:$AI$6=$F1647)*($P$24:$AI$30))</f>
        <v>1</v>
      </c>
      <c r="N1647">
        <f t="shared" ref="N1647:N1652" si="5162">SUMPRODUCT(($C$31:$C$50=$F1647)*($AJ$6:$AM$6=$G1647)*($AJ$31:$AM$50))</f>
        <v>0</v>
      </c>
      <c r="O1647">
        <f t="shared" ref="O1647:O1652" si="5163">K1647+L1647+M1647+N1647</f>
        <v>2</v>
      </c>
      <c r="P1647" t="str">
        <f t="shared" ref="P1647:P1652" si="5164">CONCATENATE(C1647,"-",J1647)</f>
        <v>Small decentralized biomass gasification-Public acceptability</v>
      </c>
      <c r="Q1647" t="str">
        <f t="shared" ref="Q1647:Q1652" si="5165">CONCATENATE(D1647,"-",J1647)</f>
        <v>Distributed gas storage-Public acceptability</v>
      </c>
      <c r="R1647" t="str">
        <f t="shared" ref="R1647:R1652" si="5166">CONCATENATE(E1647,"-",J1647)</f>
        <v>Hydrogen distribution pipeline-Public acceptability</v>
      </c>
      <c r="S1647" t="str">
        <f t="shared" ref="S1647:S1652" si="5167">CONCATENATE(F1647,"-",J1647)</f>
        <v>Micro-CHP with H2 fuel cell (heat)-Public acceptability</v>
      </c>
      <c r="T1647" s="54">
        <f ca="1">VLOOKUP($P1647,'TA database'!$I$8:$J$79,2,FALSE)</f>
        <v>70</v>
      </c>
      <c r="U1647" s="54">
        <f ca="1">VLOOKUP($Q1647,'TA database'!$I$86:$J$105,2,FALSE)</f>
        <v>60</v>
      </c>
      <c r="V1647" s="54">
        <f ca="1">VLOOKUP($R1647,'TA database'!$I$112:$J$139,2,FALSE)</f>
        <v>70</v>
      </c>
      <c r="W1647" s="54">
        <f ca="1">IFERROR(VLOOKUP($S1647,'TA database'!$I$146:$J$193,2,FALSE),0)</f>
        <v>80</v>
      </c>
      <c r="X1647" s="54">
        <f>IFERROR(VLOOKUP($S1647,'TA database'!$I$200:$J$271,2,FALSE),0)</f>
        <v>0</v>
      </c>
      <c r="Y1647" s="59">
        <f t="shared" ref="Y1647:Y1649" ca="1" si="5168">IF($W1647=0,(PRODUCT($T1647:$V1647,$X1647))/1000000,(PRODUCT($T1647:$W1647))/1000000)</f>
        <v>23.52</v>
      </c>
      <c r="Z1647" t="str">
        <f t="shared" ref="Z1647:Z1652" si="5169">CONCATENATE(AG1647,"   →   ",AH1647,"   →   ",AI1647,"   →   ",AJ1647)</f>
        <v>BIO_GSF_SML_D   →   D_GAS_STRG   →   H2_DSTRB_P   →   H2_FC_mCHP_HEAT</v>
      </c>
      <c r="AA1647" t="str">
        <f t="shared" ref="AA1647:AA1652" si="5170">G1647</f>
        <v>Building heat</v>
      </c>
      <c r="AB1647" t="str">
        <f t="shared" ref="AB1647:AB1652" si="5171">J1647</f>
        <v>Public acceptability</v>
      </c>
      <c r="AC1647">
        <f t="shared" ref="AC1647:AC1652" ca="1" si="5172">Y1647</f>
        <v>23.52</v>
      </c>
      <c r="AD1647">
        <v>1588</v>
      </c>
      <c r="AE1647" t="str">
        <f>IF(AND(ISNUMBER(SEARCH(O1647,4)),ISNUMBER(SEARCH('(4) FCH pathway assessment'!$B$16,AB1647)),ISNUMBER(SEARCH('(4) FCH pathway assessment'!$B$10,AA1647))),AD1647,"")</f>
        <v/>
      </c>
      <c r="AF1647" t="str">
        <f t="shared" si="4977"/>
        <v/>
      </c>
      <c r="AG1647" t="str">
        <f>VLOOKUP(C1647,Assumptions!$B$116:$C$162,2,FALSE)</f>
        <v>BIO_GSF_SML_D</v>
      </c>
      <c r="AH1647" t="str">
        <f>VLOOKUP(D1647,Assumptions!$B$116:$C$162,2,FALSE)</f>
        <v>D_GAS_STRG</v>
      </c>
      <c r="AI1647" t="str">
        <f>VLOOKUP(E1647,Assumptions!$B$116:$C$162,2,FALSE)</f>
        <v>H2_DSTRB_P</v>
      </c>
      <c r="AJ1647" t="str">
        <f>VLOOKUP(F1647,Assumptions!$B$116:$C$162,2,FALSE)</f>
        <v>H2_FC_mCHP_HEAT</v>
      </c>
    </row>
    <row r="1648" spans="2:36" x14ac:dyDescent="0.25">
      <c r="B1648" t="s">
        <v>117</v>
      </c>
      <c r="C1648" t="s">
        <v>56</v>
      </c>
      <c r="D1648" t="s">
        <v>62</v>
      </c>
      <c r="E1648" t="s">
        <v>157</v>
      </c>
      <c r="F1648" t="s">
        <v>543</v>
      </c>
      <c r="G1648" t="s">
        <v>132</v>
      </c>
      <c r="H1648" t="s">
        <v>434</v>
      </c>
      <c r="I1648" t="s">
        <v>32</v>
      </c>
      <c r="J1648" t="s">
        <v>82</v>
      </c>
      <c r="K1648">
        <f t="shared" si="5159"/>
        <v>0</v>
      </c>
      <c r="L1648">
        <f t="shared" si="5160"/>
        <v>0</v>
      </c>
      <c r="M1648">
        <f t="shared" si="5161"/>
        <v>0</v>
      </c>
      <c r="N1648">
        <f t="shared" si="5162"/>
        <v>0</v>
      </c>
      <c r="O1648">
        <f t="shared" si="5163"/>
        <v>0</v>
      </c>
      <c r="P1648" t="str">
        <f t="shared" si="5164"/>
        <v>Large centralized biomass steam reforming -Public acceptability</v>
      </c>
      <c r="Q1648" t="str">
        <f t="shared" si="5165"/>
        <v>Underground storage-Public acceptability</v>
      </c>
      <c r="R1648" t="str">
        <f t="shared" si="5166"/>
        <v>Blending in natural gas pipeline-Public acceptability</v>
      </c>
      <c r="S1648" t="str">
        <f t="shared" si="5167"/>
        <v>Micro-CHP with H2 fuel cell (heat)-Public acceptability</v>
      </c>
      <c r="T1648" s="54">
        <f ca="1">VLOOKUP($P1648,'TA database'!$I$8:$J$79,2,FALSE)</f>
        <v>80</v>
      </c>
      <c r="U1648" s="54">
        <f ca="1">VLOOKUP($Q1648,'TA database'!$I$86:$J$105,2,FALSE)</f>
        <v>60</v>
      </c>
      <c r="V1648" s="54">
        <f ca="1">VLOOKUP($R1648,'TA database'!$I$112:$J$139,2,FALSE)</f>
        <v>90</v>
      </c>
      <c r="W1648" s="54">
        <f ca="1">IFERROR(VLOOKUP($S1648,'TA database'!$I$146:$J$193,2,FALSE),0)</f>
        <v>80</v>
      </c>
      <c r="X1648" s="54">
        <f>IFERROR(VLOOKUP($S1648,'TA database'!$I$200:$J$271,2,FALSE),0)</f>
        <v>0</v>
      </c>
      <c r="Y1648" s="59">
        <f t="shared" ca="1" si="5168"/>
        <v>34.56</v>
      </c>
      <c r="Z1648" t="str">
        <f t="shared" si="5169"/>
        <v>BIO_SR_LRG_C   →   C_UNDRGRND_STRG   →   H2_BLND_NG_P   →   H2_FC_mCHP_HEAT</v>
      </c>
      <c r="AA1648" t="str">
        <f t="shared" si="5170"/>
        <v>Building heat</v>
      </c>
      <c r="AB1648" t="str">
        <f t="shared" si="5171"/>
        <v>Public acceptability</v>
      </c>
      <c r="AC1648">
        <f t="shared" ca="1" si="5172"/>
        <v>34.56</v>
      </c>
      <c r="AD1648">
        <v>1589</v>
      </c>
      <c r="AE1648" t="str">
        <f>IF(AND(ISNUMBER(SEARCH(O1648,4)),ISNUMBER(SEARCH('(4) FCH pathway assessment'!$B$16,AB1648)),ISNUMBER(SEARCH('(4) FCH pathway assessment'!$B$10,AA1648))),AD1648,"")</f>
        <v/>
      </c>
      <c r="AF1648" t="str">
        <f t="shared" si="4977"/>
        <v/>
      </c>
      <c r="AG1648" t="str">
        <f>VLOOKUP(C1648,Assumptions!$B$116:$C$162,2,FALSE)</f>
        <v>BIO_SR_LRG_C</v>
      </c>
      <c r="AH1648" t="str">
        <f>VLOOKUP(D1648,Assumptions!$B$116:$C$162,2,FALSE)</f>
        <v>C_UNDRGRND_STRG</v>
      </c>
      <c r="AI1648" t="str">
        <f>VLOOKUP(E1648,Assumptions!$B$116:$C$162,2,FALSE)</f>
        <v>H2_BLND_NG_P</v>
      </c>
      <c r="AJ1648" t="str">
        <f>VLOOKUP(F1648,Assumptions!$B$116:$C$162,2,FALSE)</f>
        <v>H2_FC_mCHP_HEAT</v>
      </c>
    </row>
    <row r="1649" spans="2:36" x14ac:dyDescent="0.25">
      <c r="B1649" t="s">
        <v>117</v>
      </c>
      <c r="C1649" t="s">
        <v>56</v>
      </c>
      <c r="D1649" t="s">
        <v>62</v>
      </c>
      <c r="E1649" t="s">
        <v>122</v>
      </c>
      <c r="F1649" t="s">
        <v>543</v>
      </c>
      <c r="G1649" t="s">
        <v>132</v>
      </c>
      <c r="H1649" t="s">
        <v>434</v>
      </c>
      <c r="I1649" t="s">
        <v>32</v>
      </c>
      <c r="J1649" t="s">
        <v>82</v>
      </c>
      <c r="K1649">
        <f t="shared" si="5159"/>
        <v>0</v>
      </c>
      <c r="L1649">
        <f t="shared" si="5160"/>
        <v>0</v>
      </c>
      <c r="M1649">
        <f t="shared" si="5161"/>
        <v>1</v>
      </c>
      <c r="N1649">
        <f t="shared" si="5162"/>
        <v>0</v>
      </c>
      <c r="O1649">
        <f t="shared" si="5163"/>
        <v>1</v>
      </c>
      <c r="P1649" t="str">
        <f t="shared" si="5164"/>
        <v>Large centralized biomass steam reforming -Public acceptability</v>
      </c>
      <c r="Q1649" t="str">
        <f t="shared" si="5165"/>
        <v>Underground storage-Public acceptability</v>
      </c>
      <c r="R1649" t="str">
        <f t="shared" si="5166"/>
        <v>Hydrogen transmission &amp; distribution pipeline-Public acceptability</v>
      </c>
      <c r="S1649" t="str">
        <f t="shared" si="5167"/>
        <v>Micro-CHP with H2 fuel cell (heat)-Public acceptability</v>
      </c>
      <c r="T1649" s="54">
        <f ca="1">VLOOKUP($P1649,'TA database'!$I$8:$J$79,2,FALSE)</f>
        <v>80</v>
      </c>
      <c r="U1649" s="54">
        <f ca="1">VLOOKUP($Q1649,'TA database'!$I$86:$J$105,2,FALSE)</f>
        <v>60</v>
      </c>
      <c r="V1649" s="54">
        <f ca="1">VLOOKUP($R1649,'TA database'!$I$112:$J$139,2,FALSE)</f>
        <v>70</v>
      </c>
      <c r="W1649" s="54">
        <f ca="1">IFERROR(VLOOKUP($S1649,'TA database'!$I$146:$J$193,2,FALSE),0)</f>
        <v>80</v>
      </c>
      <c r="X1649" s="54">
        <f>IFERROR(VLOOKUP($S1649,'TA database'!$I$200:$J$271,2,FALSE),0)</f>
        <v>0</v>
      </c>
      <c r="Y1649" s="59">
        <f t="shared" ca="1" si="5168"/>
        <v>26.88</v>
      </c>
      <c r="Z1649" t="str">
        <f t="shared" si="5169"/>
        <v>BIO_SR_LRG_C   →   C_UNDRGRND_STRG   →   H2_T&amp;D_P   →   H2_FC_mCHP_HEAT</v>
      </c>
      <c r="AA1649" t="str">
        <f t="shared" si="5170"/>
        <v>Building heat</v>
      </c>
      <c r="AB1649" t="str">
        <f t="shared" si="5171"/>
        <v>Public acceptability</v>
      </c>
      <c r="AC1649">
        <f t="shared" ca="1" si="5172"/>
        <v>26.88</v>
      </c>
      <c r="AD1649">
        <v>1590</v>
      </c>
      <c r="AE1649" t="str">
        <f>IF(AND(ISNUMBER(SEARCH(O1649,4)),ISNUMBER(SEARCH('(4) FCH pathway assessment'!$B$16,AB1649)),ISNUMBER(SEARCH('(4) FCH pathway assessment'!$B$10,AA1649))),AD1649,"")</f>
        <v/>
      </c>
      <c r="AF1649" t="str">
        <f t="shared" si="4977"/>
        <v/>
      </c>
      <c r="AG1649" t="str">
        <f>VLOOKUP(C1649,Assumptions!$B$116:$C$162,2,FALSE)</f>
        <v>BIO_SR_LRG_C</v>
      </c>
      <c r="AH1649" t="str">
        <f>VLOOKUP(D1649,Assumptions!$B$116:$C$162,2,FALSE)</f>
        <v>C_UNDRGRND_STRG</v>
      </c>
      <c r="AI1649" t="str">
        <f>VLOOKUP(E1649,Assumptions!$B$116:$C$162,2,FALSE)</f>
        <v>H2_T&amp;D_P</v>
      </c>
      <c r="AJ1649" t="str">
        <f>VLOOKUP(F1649,Assumptions!$B$116:$C$162,2,FALSE)</f>
        <v>H2_FC_mCHP_HEAT</v>
      </c>
    </row>
    <row r="1650" spans="2:36" x14ac:dyDescent="0.25">
      <c r="B1650" t="s">
        <v>117</v>
      </c>
      <c r="C1650" t="s">
        <v>56</v>
      </c>
      <c r="D1650" s="61" t="s">
        <v>63</v>
      </c>
      <c r="E1650" t="s">
        <v>122</v>
      </c>
      <c r="F1650" t="s">
        <v>543</v>
      </c>
      <c r="G1650" t="s">
        <v>132</v>
      </c>
      <c r="H1650" t="s">
        <v>434</v>
      </c>
      <c r="I1650" t="s">
        <v>32</v>
      </c>
      <c r="J1650" t="s">
        <v>82</v>
      </c>
      <c r="K1650">
        <f t="shared" si="5159"/>
        <v>0</v>
      </c>
      <c r="L1650">
        <f t="shared" si="5160"/>
        <v>1</v>
      </c>
      <c r="M1650">
        <f t="shared" si="5161"/>
        <v>1</v>
      </c>
      <c r="N1650">
        <f t="shared" si="5162"/>
        <v>0</v>
      </c>
      <c r="O1650">
        <f t="shared" si="5163"/>
        <v>2</v>
      </c>
      <c r="P1650" t="str">
        <f t="shared" si="5164"/>
        <v>Large centralized biomass steam reforming -Public acceptability</v>
      </c>
      <c r="Q1650" t="str">
        <f t="shared" si="5165"/>
        <v>No storage-Public acceptability</v>
      </c>
      <c r="R1650" t="str">
        <f t="shared" si="5166"/>
        <v>Hydrogen transmission &amp; distribution pipeline-Public acceptability</v>
      </c>
      <c r="S1650" t="str">
        <f t="shared" si="5167"/>
        <v>Micro-CHP with H2 fuel cell (heat)-Public acceptability</v>
      </c>
      <c r="T1650" s="54">
        <f ca="1">VLOOKUP($P1650,'TA database'!$I$8:$J$79,2,FALSE)</f>
        <v>80</v>
      </c>
      <c r="U1650" s="54">
        <f ca="1">VLOOKUP($Q1650,'TA database'!$I$86:$J$105,2,FALSE)</f>
        <v>100</v>
      </c>
      <c r="V1650" s="54">
        <f ca="1">VLOOKUP($R1650,'TA database'!$I$112:$J$139,2,FALSE)</f>
        <v>70</v>
      </c>
      <c r="W1650" s="54">
        <f ca="1">IFERROR(VLOOKUP($S1650,'TA database'!$I$146:$J$193,2,FALSE),0)</f>
        <v>80</v>
      </c>
      <c r="X1650" s="54">
        <f>IFERROR(VLOOKUP($S1650,'TA database'!$I$200:$J$271,2,FALSE),0)</f>
        <v>0</v>
      </c>
      <c r="Y1650" s="59">
        <f t="shared" ref="Y1650:Y1654" ca="1" si="5173">IF($W1650=0,(PRODUCT($T1650:$V1650,$X1650))/1000000,(PRODUCT($T1650:$W1650))/1000000)</f>
        <v>44.8</v>
      </c>
      <c r="Z1650" t="str">
        <f t="shared" si="5169"/>
        <v>BIO_SR_LRG_C   →   NO_STRG   →   H2_T&amp;D_P   →   H2_FC_mCHP_HEAT</v>
      </c>
      <c r="AA1650" t="str">
        <f t="shared" si="5170"/>
        <v>Building heat</v>
      </c>
      <c r="AB1650" t="str">
        <f t="shared" si="5171"/>
        <v>Public acceptability</v>
      </c>
      <c r="AC1650">
        <f t="shared" ca="1" si="5172"/>
        <v>44.8</v>
      </c>
      <c r="AD1650">
        <v>1591</v>
      </c>
      <c r="AE1650" t="str">
        <f>IF(AND(ISNUMBER(SEARCH(O1650,4)),ISNUMBER(SEARCH('(4) FCH pathway assessment'!$B$16,AB1650)),ISNUMBER(SEARCH('(4) FCH pathway assessment'!$B$10,AA1650))),AD1650,"")</f>
        <v/>
      </c>
      <c r="AF1650" t="str">
        <f t="shared" si="4977"/>
        <v/>
      </c>
      <c r="AG1650" t="str">
        <f>VLOOKUP(C1650,Assumptions!$B$116:$C$162,2,FALSE)</f>
        <v>BIO_SR_LRG_C</v>
      </c>
      <c r="AH1650" t="str">
        <f>VLOOKUP(D1650,Assumptions!$B$116:$C$162,2,FALSE)</f>
        <v>NO_STRG</v>
      </c>
      <c r="AI1650" t="str">
        <f>VLOOKUP(E1650,Assumptions!$B$116:$C$162,2,FALSE)</f>
        <v>H2_T&amp;D_P</v>
      </c>
      <c r="AJ1650" t="str">
        <f>VLOOKUP(F1650,Assumptions!$B$116:$C$162,2,FALSE)</f>
        <v>H2_FC_mCHP_HEAT</v>
      </c>
    </row>
    <row r="1651" spans="2:36" x14ac:dyDescent="0.25">
      <c r="B1651" t="s">
        <v>112</v>
      </c>
      <c r="C1651" t="s">
        <v>49</v>
      </c>
      <c r="D1651" t="s">
        <v>62</v>
      </c>
      <c r="E1651" t="s">
        <v>157</v>
      </c>
      <c r="F1651" t="s">
        <v>543</v>
      </c>
      <c r="G1651" t="s">
        <v>132</v>
      </c>
      <c r="H1651" t="s">
        <v>434</v>
      </c>
      <c r="I1651" t="s">
        <v>32</v>
      </c>
      <c r="J1651" t="s">
        <v>82</v>
      </c>
      <c r="K1651">
        <f t="shared" si="5159"/>
        <v>1</v>
      </c>
      <c r="L1651">
        <f t="shared" si="5160"/>
        <v>0</v>
      </c>
      <c r="M1651">
        <f t="shared" si="5161"/>
        <v>0</v>
      </c>
      <c r="N1651">
        <f t="shared" si="5162"/>
        <v>0</v>
      </c>
      <c r="O1651">
        <f t="shared" si="5163"/>
        <v>1</v>
      </c>
      <c r="P1651" t="str">
        <f t="shared" si="5164"/>
        <v>Large centralized electrolysis-Public acceptability</v>
      </c>
      <c r="Q1651" t="str">
        <f t="shared" si="5165"/>
        <v>Underground storage-Public acceptability</v>
      </c>
      <c r="R1651" t="str">
        <f t="shared" si="5166"/>
        <v>Blending in natural gas pipeline-Public acceptability</v>
      </c>
      <c r="S1651" t="str">
        <f t="shared" si="5167"/>
        <v>Micro-CHP with H2 fuel cell (heat)-Public acceptability</v>
      </c>
      <c r="T1651" s="54">
        <f ca="1">VLOOKUP($P1651,'TA database'!$I$8:$J$79,2,FALSE)</f>
        <v>80</v>
      </c>
      <c r="U1651" s="54">
        <f ca="1">VLOOKUP($Q1651,'TA database'!$I$86:$J$105,2,FALSE)</f>
        <v>60</v>
      </c>
      <c r="V1651" s="54">
        <f ca="1">VLOOKUP($R1651,'TA database'!$I$112:$J$139,2,FALSE)</f>
        <v>90</v>
      </c>
      <c r="W1651" s="54">
        <f ca="1">IFERROR(VLOOKUP($S1651,'TA database'!$I$146:$J$193,2,FALSE),0)</f>
        <v>80</v>
      </c>
      <c r="X1651" s="54">
        <f>IFERROR(VLOOKUP($S1651,'TA database'!$I$200:$J$271,2,FALSE),0)</f>
        <v>0</v>
      </c>
      <c r="Y1651" s="59">
        <f t="shared" ca="1" si="5173"/>
        <v>34.56</v>
      </c>
      <c r="Z1651" t="str">
        <f t="shared" si="5169"/>
        <v>ELCTRLYZ_LRG_C   →   C_UNDRGRND_STRG   →   H2_BLND_NG_P   →   H2_FC_mCHP_HEAT</v>
      </c>
      <c r="AA1651" t="str">
        <f t="shared" si="5170"/>
        <v>Building heat</v>
      </c>
      <c r="AB1651" t="str">
        <f t="shared" si="5171"/>
        <v>Public acceptability</v>
      </c>
      <c r="AC1651">
        <f t="shared" ca="1" si="5172"/>
        <v>34.56</v>
      </c>
      <c r="AD1651">
        <v>1592</v>
      </c>
      <c r="AE1651" t="str">
        <f>IF(AND(ISNUMBER(SEARCH(O1651,4)),ISNUMBER(SEARCH('(4) FCH pathway assessment'!$B$16,AB1651)),ISNUMBER(SEARCH('(4) FCH pathway assessment'!$B$10,AA1651))),AD1651,"")</f>
        <v/>
      </c>
      <c r="AF1651" t="str">
        <f t="shared" si="4977"/>
        <v/>
      </c>
      <c r="AG1651" t="str">
        <f>VLOOKUP(C1651,Assumptions!$B$116:$C$162,2,FALSE)</f>
        <v>ELCTRLYZ_LRG_C</v>
      </c>
      <c r="AH1651" t="str">
        <f>VLOOKUP(D1651,Assumptions!$B$116:$C$162,2,FALSE)</f>
        <v>C_UNDRGRND_STRG</v>
      </c>
      <c r="AI1651" t="str">
        <f>VLOOKUP(E1651,Assumptions!$B$116:$C$162,2,FALSE)</f>
        <v>H2_BLND_NG_P</v>
      </c>
      <c r="AJ1651" t="str">
        <f>VLOOKUP(F1651,Assumptions!$B$116:$C$162,2,FALSE)</f>
        <v>H2_FC_mCHP_HEAT</v>
      </c>
    </row>
    <row r="1652" spans="2:36" x14ac:dyDescent="0.25">
      <c r="B1652" t="s">
        <v>112</v>
      </c>
      <c r="C1652" t="s">
        <v>49</v>
      </c>
      <c r="D1652" t="s">
        <v>62</v>
      </c>
      <c r="E1652" t="s">
        <v>122</v>
      </c>
      <c r="F1652" t="s">
        <v>543</v>
      </c>
      <c r="G1652" t="s">
        <v>132</v>
      </c>
      <c r="H1652" t="s">
        <v>434</v>
      </c>
      <c r="I1652" t="s">
        <v>32</v>
      </c>
      <c r="J1652" t="s">
        <v>82</v>
      </c>
      <c r="K1652">
        <f t="shared" si="5159"/>
        <v>1</v>
      </c>
      <c r="L1652">
        <f t="shared" si="5160"/>
        <v>0</v>
      </c>
      <c r="M1652">
        <f t="shared" si="5161"/>
        <v>1</v>
      </c>
      <c r="N1652">
        <f t="shared" si="5162"/>
        <v>0</v>
      </c>
      <c r="O1652">
        <f t="shared" si="5163"/>
        <v>2</v>
      </c>
      <c r="P1652" t="str">
        <f t="shared" si="5164"/>
        <v>Large centralized electrolysis-Public acceptability</v>
      </c>
      <c r="Q1652" t="str">
        <f t="shared" si="5165"/>
        <v>Underground storage-Public acceptability</v>
      </c>
      <c r="R1652" t="str">
        <f t="shared" si="5166"/>
        <v>Hydrogen transmission &amp; distribution pipeline-Public acceptability</v>
      </c>
      <c r="S1652" t="str">
        <f t="shared" si="5167"/>
        <v>Micro-CHP with H2 fuel cell (heat)-Public acceptability</v>
      </c>
      <c r="T1652" s="54">
        <f ca="1">VLOOKUP($P1652,'TA database'!$I$8:$J$79,2,FALSE)</f>
        <v>80</v>
      </c>
      <c r="U1652" s="54">
        <f ca="1">VLOOKUP($Q1652,'TA database'!$I$86:$J$105,2,FALSE)</f>
        <v>60</v>
      </c>
      <c r="V1652" s="54">
        <f ca="1">VLOOKUP($R1652,'TA database'!$I$112:$J$139,2,FALSE)</f>
        <v>70</v>
      </c>
      <c r="W1652" s="54">
        <f ca="1">IFERROR(VLOOKUP($S1652,'TA database'!$I$146:$J$193,2,FALSE),0)</f>
        <v>80</v>
      </c>
      <c r="X1652" s="54">
        <f>IFERROR(VLOOKUP($S1652,'TA database'!$I$200:$J$271,2,FALSE),0)</f>
        <v>0</v>
      </c>
      <c r="Y1652" s="59">
        <f t="shared" ca="1" si="5173"/>
        <v>26.88</v>
      </c>
      <c r="Z1652" t="str">
        <f t="shared" si="5169"/>
        <v>ELCTRLYZ_LRG_C   →   C_UNDRGRND_STRG   →   H2_T&amp;D_P   →   H2_FC_mCHP_HEAT</v>
      </c>
      <c r="AA1652" t="str">
        <f t="shared" si="5170"/>
        <v>Building heat</v>
      </c>
      <c r="AB1652" t="str">
        <f t="shared" si="5171"/>
        <v>Public acceptability</v>
      </c>
      <c r="AC1652">
        <f t="shared" ca="1" si="5172"/>
        <v>26.88</v>
      </c>
      <c r="AD1652">
        <v>1593</v>
      </c>
      <c r="AE1652" t="str">
        <f>IF(AND(ISNUMBER(SEARCH(O1652,4)),ISNUMBER(SEARCH('(4) FCH pathway assessment'!$B$16,AB1652)),ISNUMBER(SEARCH('(4) FCH pathway assessment'!$B$10,AA1652))),AD1652,"")</f>
        <v/>
      </c>
      <c r="AF1652" t="str">
        <f t="shared" si="4977"/>
        <v/>
      </c>
      <c r="AG1652" t="str">
        <f>VLOOKUP(C1652,Assumptions!$B$116:$C$162,2,FALSE)</f>
        <v>ELCTRLYZ_LRG_C</v>
      </c>
      <c r="AH1652" t="str">
        <f>VLOOKUP(D1652,Assumptions!$B$116:$C$162,2,FALSE)</f>
        <v>C_UNDRGRND_STRG</v>
      </c>
      <c r="AI1652" t="str">
        <f>VLOOKUP(E1652,Assumptions!$B$116:$C$162,2,FALSE)</f>
        <v>H2_T&amp;D_P</v>
      </c>
      <c r="AJ1652" t="str">
        <f>VLOOKUP(F1652,Assumptions!$B$116:$C$162,2,FALSE)</f>
        <v>H2_FC_mCHP_HEAT</v>
      </c>
    </row>
    <row r="1653" spans="2:36" x14ac:dyDescent="0.25">
      <c r="B1653" t="s">
        <v>112</v>
      </c>
      <c r="C1653" t="s">
        <v>49</v>
      </c>
      <c r="D1653" t="s">
        <v>155</v>
      </c>
      <c r="E1653" t="s">
        <v>157</v>
      </c>
      <c r="F1653" t="s">
        <v>543</v>
      </c>
      <c r="G1653" t="s">
        <v>132</v>
      </c>
      <c r="H1653" t="s">
        <v>434</v>
      </c>
      <c r="I1653" t="s">
        <v>32</v>
      </c>
      <c r="J1653" t="s">
        <v>82</v>
      </c>
      <c r="K1653">
        <f t="shared" ref="K1653:K1656" si="5174">SUMPRODUCT(($C$7:$C$18=$C1653)*($D$6:$H$6=$D1653)*($D$7:$H$18))</f>
        <v>1</v>
      </c>
      <c r="L1653">
        <f t="shared" ref="L1653:L1656" si="5175">SUMPRODUCT(($C$19:$C$23=$D1653)*($I$6:$O$6=$E1653)*($I$19:$O$23))</f>
        <v>1</v>
      </c>
      <c r="M1653">
        <f t="shared" ref="M1653:M1656" si="5176">SUMPRODUCT(($C$24:$C$30=$E1653)*($P$6:$AI$6=$F1653)*($P$24:$AI$30))</f>
        <v>0</v>
      </c>
      <c r="N1653">
        <f t="shared" ref="N1653:N1656" si="5177">SUMPRODUCT(($C$31:$C$50=$F1653)*($AJ$6:$AM$6=$G1653)*($AJ$31:$AM$50))</f>
        <v>0</v>
      </c>
      <c r="O1653">
        <f t="shared" ref="O1653:O1656" si="5178">K1653+L1653+M1653+N1653</f>
        <v>2</v>
      </c>
      <c r="P1653" t="str">
        <f t="shared" ref="P1653:P1656" si="5179">CONCATENATE(C1653,"-",J1653)</f>
        <v>Large centralized electrolysis-Public acceptability</v>
      </c>
      <c r="Q1653" t="str">
        <f t="shared" ref="Q1653:Q1656" si="5180">CONCATENATE(D1653,"-",J1653)</f>
        <v>Central gas storage-Public acceptability</v>
      </c>
      <c r="R1653" t="str">
        <f t="shared" ref="R1653:R1656" si="5181">CONCATENATE(E1653,"-",J1653)</f>
        <v>Blending in natural gas pipeline-Public acceptability</v>
      </c>
      <c r="S1653" t="str">
        <f t="shared" ref="S1653:S1656" si="5182">CONCATENATE(F1653,"-",J1653)</f>
        <v>Micro-CHP with H2 fuel cell (heat)-Public acceptability</v>
      </c>
      <c r="T1653" s="54">
        <f ca="1">VLOOKUP($P1653,'TA database'!$I$8:$J$79,2,FALSE)</f>
        <v>80</v>
      </c>
      <c r="U1653" s="54">
        <f ca="1">VLOOKUP($Q1653,'TA database'!$I$86:$J$105,2,FALSE)</f>
        <v>60</v>
      </c>
      <c r="V1653" s="54">
        <f ca="1">VLOOKUP($R1653,'TA database'!$I$112:$J$139,2,FALSE)</f>
        <v>90</v>
      </c>
      <c r="W1653" s="54">
        <f ca="1">IFERROR(VLOOKUP($S1653,'TA database'!$I$146:$J$193,2,FALSE),0)</f>
        <v>80</v>
      </c>
      <c r="X1653" s="54">
        <f>IFERROR(VLOOKUP($S1653,'TA database'!$I$200:$J$271,2,FALSE),0)</f>
        <v>0</v>
      </c>
      <c r="Y1653" s="59">
        <f t="shared" ca="1" si="5173"/>
        <v>34.56</v>
      </c>
      <c r="Z1653" t="str">
        <f t="shared" ref="Z1653:Z1656" si="5183">CONCATENATE(AG1653,"   →   ",AH1653,"   →   ",AI1653,"   →   ",AJ1653)</f>
        <v>ELCTRLYZ_LRG_C   →   C_GAS_STRG   →   H2_BLND_NG_P   →   H2_FC_mCHP_HEAT</v>
      </c>
      <c r="AA1653" t="str">
        <f t="shared" ref="AA1653:AA1656" si="5184">G1653</f>
        <v>Building heat</v>
      </c>
      <c r="AB1653" t="str">
        <f t="shared" ref="AB1653:AB1656" si="5185">J1653</f>
        <v>Public acceptability</v>
      </c>
      <c r="AC1653">
        <f t="shared" ref="AC1653:AC1656" ca="1" si="5186">Y1653</f>
        <v>34.56</v>
      </c>
      <c r="AD1653">
        <v>1594</v>
      </c>
      <c r="AE1653" t="str">
        <f>IF(AND(ISNUMBER(SEARCH(O1653,4)),ISNUMBER(SEARCH('(4) FCH pathway assessment'!$B$16,AB1653)),ISNUMBER(SEARCH('(4) FCH pathway assessment'!$B$10,AA1653))),AD1653,"")</f>
        <v/>
      </c>
      <c r="AF1653" t="str">
        <f t="shared" si="4977"/>
        <v/>
      </c>
      <c r="AG1653" t="str">
        <f>VLOOKUP(C1653,Assumptions!$B$116:$C$162,2,FALSE)</f>
        <v>ELCTRLYZ_LRG_C</v>
      </c>
      <c r="AH1653" t="str">
        <f>VLOOKUP(D1653,Assumptions!$B$116:$C$162,2,FALSE)</f>
        <v>C_GAS_STRG</v>
      </c>
      <c r="AI1653" t="str">
        <f>VLOOKUP(E1653,Assumptions!$B$116:$C$162,2,FALSE)</f>
        <v>H2_BLND_NG_P</v>
      </c>
      <c r="AJ1653" t="str">
        <f>VLOOKUP(F1653,Assumptions!$B$116:$C$162,2,FALSE)</f>
        <v>H2_FC_mCHP_HEAT</v>
      </c>
    </row>
    <row r="1654" spans="2:36" x14ac:dyDescent="0.25">
      <c r="B1654" t="s">
        <v>112</v>
      </c>
      <c r="C1654" t="s">
        <v>49</v>
      </c>
      <c r="D1654" t="s">
        <v>155</v>
      </c>
      <c r="E1654" t="s">
        <v>122</v>
      </c>
      <c r="F1654" t="s">
        <v>543</v>
      </c>
      <c r="G1654" t="s">
        <v>132</v>
      </c>
      <c r="H1654" t="s">
        <v>434</v>
      </c>
      <c r="I1654" t="s">
        <v>32</v>
      </c>
      <c r="J1654" t="s">
        <v>82</v>
      </c>
      <c r="K1654">
        <f t="shared" si="5174"/>
        <v>1</v>
      </c>
      <c r="L1654">
        <f t="shared" si="5175"/>
        <v>1</v>
      </c>
      <c r="M1654">
        <f t="shared" si="5176"/>
        <v>1</v>
      </c>
      <c r="N1654">
        <f t="shared" si="5177"/>
        <v>0</v>
      </c>
      <c r="O1654">
        <f t="shared" si="5178"/>
        <v>3</v>
      </c>
      <c r="P1654" t="str">
        <f t="shared" si="5179"/>
        <v>Large centralized electrolysis-Public acceptability</v>
      </c>
      <c r="Q1654" t="str">
        <f t="shared" si="5180"/>
        <v>Central gas storage-Public acceptability</v>
      </c>
      <c r="R1654" t="str">
        <f t="shared" si="5181"/>
        <v>Hydrogen transmission &amp; distribution pipeline-Public acceptability</v>
      </c>
      <c r="S1654" t="str">
        <f t="shared" si="5182"/>
        <v>Micro-CHP with H2 fuel cell (heat)-Public acceptability</v>
      </c>
      <c r="T1654" s="54">
        <f ca="1">VLOOKUP($P1654,'TA database'!$I$8:$J$79,2,FALSE)</f>
        <v>80</v>
      </c>
      <c r="U1654" s="54">
        <f ca="1">VLOOKUP($Q1654,'TA database'!$I$86:$J$105,2,FALSE)</f>
        <v>60</v>
      </c>
      <c r="V1654" s="54">
        <f ca="1">VLOOKUP($R1654,'TA database'!$I$112:$J$139,2,FALSE)</f>
        <v>70</v>
      </c>
      <c r="W1654" s="54">
        <f ca="1">IFERROR(VLOOKUP($S1654,'TA database'!$I$146:$J$193,2,FALSE),0)</f>
        <v>80</v>
      </c>
      <c r="X1654" s="54">
        <f>IFERROR(VLOOKUP($S1654,'TA database'!$I$200:$J$271,2,FALSE),0)</f>
        <v>0</v>
      </c>
      <c r="Y1654" s="59">
        <f t="shared" ca="1" si="5173"/>
        <v>26.88</v>
      </c>
      <c r="Z1654" t="str">
        <f t="shared" si="5183"/>
        <v>ELCTRLYZ_LRG_C   →   C_GAS_STRG   →   H2_T&amp;D_P   →   H2_FC_mCHP_HEAT</v>
      </c>
      <c r="AA1654" t="str">
        <f t="shared" si="5184"/>
        <v>Building heat</v>
      </c>
      <c r="AB1654" t="str">
        <f t="shared" si="5185"/>
        <v>Public acceptability</v>
      </c>
      <c r="AC1654">
        <f t="shared" ca="1" si="5186"/>
        <v>26.88</v>
      </c>
      <c r="AD1654">
        <v>1595</v>
      </c>
      <c r="AE1654" t="str">
        <f>IF(AND(ISNUMBER(SEARCH(O1654,4)),ISNUMBER(SEARCH('(4) FCH pathway assessment'!$B$16,AB1654)),ISNUMBER(SEARCH('(4) FCH pathway assessment'!$B$10,AA1654))),AD1654,"")</f>
        <v/>
      </c>
      <c r="AF1654" t="str">
        <f t="shared" si="4977"/>
        <v/>
      </c>
      <c r="AG1654" t="str">
        <f>VLOOKUP(C1654,Assumptions!$B$116:$C$162,2,FALSE)</f>
        <v>ELCTRLYZ_LRG_C</v>
      </c>
      <c r="AH1654" t="str">
        <f>VLOOKUP(D1654,Assumptions!$B$116:$C$162,2,FALSE)</f>
        <v>C_GAS_STRG</v>
      </c>
      <c r="AI1654" t="str">
        <f>VLOOKUP(E1654,Assumptions!$B$116:$C$162,2,FALSE)</f>
        <v>H2_T&amp;D_P</v>
      </c>
      <c r="AJ1654" t="str">
        <f>VLOOKUP(F1654,Assumptions!$B$116:$C$162,2,FALSE)</f>
        <v>H2_FC_mCHP_HEAT</v>
      </c>
    </row>
    <row r="1655" spans="2:36" x14ac:dyDescent="0.25">
      <c r="B1655" t="s">
        <v>112</v>
      </c>
      <c r="C1655" t="s">
        <v>51</v>
      </c>
      <c r="D1655" t="s">
        <v>155</v>
      </c>
      <c r="E1655" t="s">
        <v>157</v>
      </c>
      <c r="F1655" t="s">
        <v>543</v>
      </c>
      <c r="G1655" t="s">
        <v>132</v>
      </c>
      <c r="H1655" t="s">
        <v>434</v>
      </c>
      <c r="I1655" t="s">
        <v>32</v>
      </c>
      <c r="J1655" t="s">
        <v>82</v>
      </c>
      <c r="K1655">
        <f t="shared" si="5174"/>
        <v>1</v>
      </c>
      <c r="L1655">
        <f t="shared" si="5175"/>
        <v>1</v>
      </c>
      <c r="M1655">
        <f t="shared" si="5176"/>
        <v>0</v>
      </c>
      <c r="N1655">
        <f t="shared" si="5177"/>
        <v>0</v>
      </c>
      <c r="O1655">
        <f t="shared" si="5178"/>
        <v>2</v>
      </c>
      <c r="P1655" t="str">
        <f t="shared" si="5179"/>
        <v>Medium centralized electrolysis-Public acceptability</v>
      </c>
      <c r="Q1655" t="str">
        <f t="shared" si="5180"/>
        <v>Central gas storage-Public acceptability</v>
      </c>
      <c r="R1655" t="str">
        <f t="shared" si="5181"/>
        <v>Blending in natural gas pipeline-Public acceptability</v>
      </c>
      <c r="S1655" t="str">
        <f t="shared" si="5182"/>
        <v>Micro-CHP with H2 fuel cell (heat)-Public acceptability</v>
      </c>
      <c r="T1655" s="54">
        <f ca="1">VLOOKUP($P1655,'TA database'!$I$8:$J$79,2,FALSE)</f>
        <v>90</v>
      </c>
      <c r="U1655" s="54">
        <f ca="1">VLOOKUP($Q1655,'TA database'!$I$86:$J$105,2,FALSE)</f>
        <v>60</v>
      </c>
      <c r="V1655" s="54">
        <f ca="1">VLOOKUP($R1655,'TA database'!$I$112:$J$139,2,FALSE)</f>
        <v>90</v>
      </c>
      <c r="W1655" s="54">
        <f ca="1">IFERROR(VLOOKUP($S1655,'TA database'!$I$146:$J$193,2,FALSE),0)</f>
        <v>80</v>
      </c>
      <c r="X1655" s="54">
        <f>IFERROR(VLOOKUP($S1655,'TA database'!$I$200:$J$271,2,FALSE),0)</f>
        <v>0</v>
      </c>
      <c r="Y1655" s="59">
        <f t="shared" ref="Y1655:Y1657" ca="1" si="5187">IF($W1655=0,(PRODUCT($T1655:$V1655,$X1655))/1000000,(PRODUCT($T1655:$W1655))/1000000)</f>
        <v>38.880000000000003</v>
      </c>
      <c r="Z1655" t="str">
        <f t="shared" si="5183"/>
        <v>ELCTRLYZ_MED_C   →   C_GAS_STRG   →   H2_BLND_NG_P   →   H2_FC_mCHP_HEAT</v>
      </c>
      <c r="AA1655" t="str">
        <f t="shared" si="5184"/>
        <v>Building heat</v>
      </c>
      <c r="AB1655" t="str">
        <f t="shared" si="5185"/>
        <v>Public acceptability</v>
      </c>
      <c r="AC1655">
        <f t="shared" ca="1" si="5186"/>
        <v>38.880000000000003</v>
      </c>
      <c r="AD1655">
        <v>1596</v>
      </c>
      <c r="AE1655" t="str">
        <f>IF(AND(ISNUMBER(SEARCH(O1655,4)),ISNUMBER(SEARCH('(4) FCH pathway assessment'!$B$16,AB1655)),ISNUMBER(SEARCH('(4) FCH pathway assessment'!$B$10,AA1655))),AD1655,"")</f>
        <v/>
      </c>
      <c r="AF1655" t="str">
        <f t="shared" si="4977"/>
        <v/>
      </c>
      <c r="AG1655" t="str">
        <f>VLOOKUP(C1655,Assumptions!$B$116:$C$162,2,FALSE)</f>
        <v>ELCTRLYZ_MED_C</v>
      </c>
      <c r="AH1655" t="str">
        <f>VLOOKUP(D1655,Assumptions!$B$116:$C$162,2,FALSE)</f>
        <v>C_GAS_STRG</v>
      </c>
      <c r="AI1655" t="str">
        <f>VLOOKUP(E1655,Assumptions!$B$116:$C$162,2,FALSE)</f>
        <v>H2_BLND_NG_P</v>
      </c>
      <c r="AJ1655" t="str">
        <f>VLOOKUP(F1655,Assumptions!$B$116:$C$162,2,FALSE)</f>
        <v>H2_FC_mCHP_HEAT</v>
      </c>
    </row>
    <row r="1656" spans="2:36" x14ac:dyDescent="0.25">
      <c r="B1656" t="s">
        <v>112</v>
      </c>
      <c r="C1656" t="s">
        <v>51</v>
      </c>
      <c r="D1656" t="s">
        <v>155</v>
      </c>
      <c r="E1656" t="s">
        <v>122</v>
      </c>
      <c r="F1656" t="s">
        <v>543</v>
      </c>
      <c r="G1656" t="s">
        <v>132</v>
      </c>
      <c r="H1656" t="s">
        <v>434</v>
      </c>
      <c r="I1656" t="s">
        <v>32</v>
      </c>
      <c r="J1656" t="s">
        <v>82</v>
      </c>
      <c r="K1656">
        <f t="shared" si="5174"/>
        <v>1</v>
      </c>
      <c r="L1656">
        <f t="shared" si="5175"/>
        <v>1</v>
      </c>
      <c r="M1656">
        <f t="shared" si="5176"/>
        <v>1</v>
      </c>
      <c r="N1656">
        <f t="shared" si="5177"/>
        <v>0</v>
      </c>
      <c r="O1656">
        <f t="shared" si="5178"/>
        <v>3</v>
      </c>
      <c r="P1656" t="str">
        <f t="shared" si="5179"/>
        <v>Medium centralized electrolysis-Public acceptability</v>
      </c>
      <c r="Q1656" t="str">
        <f t="shared" si="5180"/>
        <v>Central gas storage-Public acceptability</v>
      </c>
      <c r="R1656" t="str">
        <f t="shared" si="5181"/>
        <v>Hydrogen transmission &amp; distribution pipeline-Public acceptability</v>
      </c>
      <c r="S1656" t="str">
        <f t="shared" si="5182"/>
        <v>Micro-CHP with H2 fuel cell (heat)-Public acceptability</v>
      </c>
      <c r="T1656" s="54">
        <f ca="1">VLOOKUP($P1656,'TA database'!$I$8:$J$79,2,FALSE)</f>
        <v>90</v>
      </c>
      <c r="U1656" s="54">
        <f ca="1">VLOOKUP($Q1656,'TA database'!$I$86:$J$105,2,FALSE)</f>
        <v>60</v>
      </c>
      <c r="V1656" s="54">
        <f ca="1">VLOOKUP($R1656,'TA database'!$I$112:$J$139,2,FALSE)</f>
        <v>70</v>
      </c>
      <c r="W1656" s="54">
        <f ca="1">IFERROR(VLOOKUP($S1656,'TA database'!$I$146:$J$193,2,FALSE),0)</f>
        <v>80</v>
      </c>
      <c r="X1656" s="54">
        <f>IFERROR(VLOOKUP($S1656,'TA database'!$I$200:$J$271,2,FALSE),0)</f>
        <v>0</v>
      </c>
      <c r="Y1656" s="59">
        <f t="shared" ca="1" si="5187"/>
        <v>30.24</v>
      </c>
      <c r="Z1656" t="str">
        <f t="shared" si="5183"/>
        <v>ELCTRLYZ_MED_C   →   C_GAS_STRG   →   H2_T&amp;D_P   →   H2_FC_mCHP_HEAT</v>
      </c>
      <c r="AA1656" t="str">
        <f t="shared" si="5184"/>
        <v>Building heat</v>
      </c>
      <c r="AB1656" t="str">
        <f t="shared" si="5185"/>
        <v>Public acceptability</v>
      </c>
      <c r="AC1656">
        <f t="shared" ca="1" si="5186"/>
        <v>30.24</v>
      </c>
      <c r="AD1656">
        <v>1597</v>
      </c>
      <c r="AE1656" t="str">
        <f>IF(AND(ISNUMBER(SEARCH(O1656,4)),ISNUMBER(SEARCH('(4) FCH pathway assessment'!$B$16,AB1656)),ISNUMBER(SEARCH('(4) FCH pathway assessment'!$B$10,AA1656))),AD1656,"")</f>
        <v/>
      </c>
      <c r="AF1656" t="str">
        <f t="shared" si="4977"/>
        <v/>
      </c>
      <c r="AG1656" t="str">
        <f>VLOOKUP(C1656,Assumptions!$B$116:$C$162,2,FALSE)</f>
        <v>ELCTRLYZ_MED_C</v>
      </c>
      <c r="AH1656" t="str">
        <f>VLOOKUP(D1656,Assumptions!$B$116:$C$162,2,FALSE)</f>
        <v>C_GAS_STRG</v>
      </c>
      <c r="AI1656" t="str">
        <f>VLOOKUP(E1656,Assumptions!$B$116:$C$162,2,FALSE)</f>
        <v>H2_T&amp;D_P</v>
      </c>
      <c r="AJ1656" t="str">
        <f>VLOOKUP(F1656,Assumptions!$B$116:$C$162,2,FALSE)</f>
        <v>H2_FC_mCHP_HEAT</v>
      </c>
    </row>
    <row r="1657" spans="2:36" x14ac:dyDescent="0.25">
      <c r="B1657" t="s">
        <v>112</v>
      </c>
      <c r="C1657" t="s">
        <v>52</v>
      </c>
      <c r="D1657" s="60" t="s">
        <v>130</v>
      </c>
      <c r="E1657" t="s">
        <v>128</v>
      </c>
      <c r="F1657" t="s">
        <v>543</v>
      </c>
      <c r="G1657" t="s">
        <v>132</v>
      </c>
      <c r="H1657" t="s">
        <v>434</v>
      </c>
      <c r="I1657" t="s">
        <v>32</v>
      </c>
      <c r="J1657" t="s">
        <v>82</v>
      </c>
      <c r="K1657">
        <f t="shared" ref="K1657:K1660" si="5188">SUMPRODUCT(($C$7:$C$18=$C1657)*($D$6:$H$6=$D1657)*($D$7:$H$18))</f>
        <v>1</v>
      </c>
      <c r="L1657">
        <f t="shared" ref="L1657:L1660" si="5189">SUMPRODUCT(($C$19:$C$23=$D1657)*($I$6:$O$6=$E1657)*($I$19:$O$23))</f>
        <v>1</v>
      </c>
      <c r="M1657">
        <f t="shared" ref="M1657:M1660" si="5190">SUMPRODUCT(($C$24:$C$30=$E1657)*($P$6:$AI$6=$F1657)*($P$24:$AI$30))</f>
        <v>1</v>
      </c>
      <c r="N1657">
        <f t="shared" ref="N1657:N1660" si="5191">SUMPRODUCT(($C$31:$C$50=$F1657)*($AJ$6:$AM$6=$G1657)*($AJ$31:$AM$50))</f>
        <v>0</v>
      </c>
      <c r="O1657">
        <f t="shared" ref="O1657:O1660" si="5192">K1657+L1657+M1657+N1657</f>
        <v>3</v>
      </c>
      <c r="P1657" t="str">
        <f t="shared" ref="P1657:P1660" si="5193">CONCATENATE(C1657,"-",J1657)</f>
        <v>Small decentralized electrolysis-Public acceptability</v>
      </c>
      <c r="Q1657" t="str">
        <f t="shared" ref="Q1657:Q1660" si="5194">CONCATENATE(D1657,"-",J1657)</f>
        <v>Distributed gas storage-Public acceptability</v>
      </c>
      <c r="R1657" t="str">
        <f t="shared" ref="R1657:R1660" si="5195">CONCATENATE(E1657,"-",J1657)</f>
        <v>Hydrogen distribution pipeline-Public acceptability</v>
      </c>
      <c r="S1657" t="str">
        <f t="shared" ref="S1657:S1660" si="5196">CONCATENATE(F1657,"-",J1657)</f>
        <v>Micro-CHP with H2 fuel cell (heat)-Public acceptability</v>
      </c>
      <c r="T1657" s="54">
        <f ca="1">VLOOKUP($P1657,'TA database'!$I$8:$J$79,2,FALSE)</f>
        <v>90</v>
      </c>
      <c r="U1657" s="54">
        <f ca="1">VLOOKUP($Q1657,'TA database'!$I$86:$J$105,2,FALSE)</f>
        <v>60</v>
      </c>
      <c r="V1657" s="54">
        <f ca="1">VLOOKUP($R1657,'TA database'!$I$112:$J$139,2,FALSE)</f>
        <v>70</v>
      </c>
      <c r="W1657" s="54">
        <f ca="1">IFERROR(VLOOKUP($S1657,'TA database'!$I$146:$J$193,2,FALSE),0)</f>
        <v>80</v>
      </c>
      <c r="X1657" s="54">
        <f>IFERROR(VLOOKUP($S1657,'TA database'!$I$200:$J$271,2,FALSE),0)</f>
        <v>0</v>
      </c>
      <c r="Y1657" s="59">
        <f t="shared" ca="1" si="5187"/>
        <v>30.24</v>
      </c>
      <c r="Z1657" t="str">
        <f t="shared" ref="Z1657:Z1660" si="5197">CONCATENATE(AG1657,"   →   ",AH1657,"   →   ",AI1657,"   →   ",AJ1657)</f>
        <v>ELCTRLYZ_SML_D   →   D_GAS_STRG   →   H2_DSTRB_P   →   H2_FC_mCHP_HEAT</v>
      </c>
      <c r="AA1657" t="str">
        <f t="shared" ref="AA1657:AA1660" si="5198">G1657</f>
        <v>Building heat</v>
      </c>
      <c r="AB1657" t="str">
        <f t="shared" ref="AB1657:AB1660" si="5199">J1657</f>
        <v>Public acceptability</v>
      </c>
      <c r="AC1657">
        <f t="shared" ref="AC1657:AC1660" ca="1" si="5200">Y1657</f>
        <v>30.24</v>
      </c>
      <c r="AD1657">
        <v>1598</v>
      </c>
      <c r="AE1657" t="str">
        <f>IF(AND(ISNUMBER(SEARCH(O1657,4)),ISNUMBER(SEARCH('(4) FCH pathway assessment'!$B$16,AB1657)),ISNUMBER(SEARCH('(4) FCH pathway assessment'!$B$10,AA1657))),AD1657,"")</f>
        <v/>
      </c>
      <c r="AF1657" t="str">
        <f t="shared" si="4977"/>
        <v/>
      </c>
      <c r="AG1657" t="str">
        <f>VLOOKUP(C1657,Assumptions!$B$116:$C$162,2,FALSE)</f>
        <v>ELCTRLYZ_SML_D</v>
      </c>
      <c r="AH1657" t="str">
        <f>VLOOKUP(D1657,Assumptions!$B$116:$C$162,2,FALSE)</f>
        <v>D_GAS_STRG</v>
      </c>
      <c r="AI1657" t="str">
        <f>VLOOKUP(E1657,Assumptions!$B$116:$C$162,2,FALSE)</f>
        <v>H2_DSTRB_P</v>
      </c>
      <c r="AJ1657" t="str">
        <f>VLOOKUP(F1657,Assumptions!$B$116:$C$162,2,FALSE)</f>
        <v>H2_FC_mCHP_HEAT</v>
      </c>
    </row>
    <row r="1658" spans="2:36" x14ac:dyDescent="0.25">
      <c r="B1658" t="s">
        <v>127</v>
      </c>
      <c r="C1658" t="s">
        <v>57</v>
      </c>
      <c r="D1658" t="s">
        <v>62</v>
      </c>
      <c r="E1658" t="s">
        <v>157</v>
      </c>
      <c r="F1658" t="s">
        <v>543</v>
      </c>
      <c r="G1658" t="s">
        <v>132</v>
      </c>
      <c r="H1658" t="s">
        <v>434</v>
      </c>
      <c r="I1658" t="s">
        <v>32</v>
      </c>
      <c r="J1658" t="s">
        <v>82</v>
      </c>
      <c r="K1658">
        <f t="shared" si="5188"/>
        <v>1</v>
      </c>
      <c r="L1658">
        <f t="shared" si="5189"/>
        <v>0</v>
      </c>
      <c r="M1658">
        <f t="shared" si="5190"/>
        <v>0</v>
      </c>
      <c r="N1658">
        <f t="shared" si="5191"/>
        <v>0</v>
      </c>
      <c r="O1658">
        <f t="shared" si="5192"/>
        <v>1</v>
      </c>
      <c r="P1658" t="str">
        <f t="shared" si="5193"/>
        <v>Large centralized natural gas steam reforming-Public acceptability</v>
      </c>
      <c r="Q1658" t="str">
        <f t="shared" si="5194"/>
        <v>Underground storage-Public acceptability</v>
      </c>
      <c r="R1658" t="str">
        <f t="shared" si="5195"/>
        <v>Blending in natural gas pipeline-Public acceptability</v>
      </c>
      <c r="S1658" t="str">
        <f t="shared" si="5196"/>
        <v>Micro-CHP with H2 fuel cell (heat)-Public acceptability</v>
      </c>
      <c r="T1658" s="54">
        <f ca="1">VLOOKUP($P1658,'TA database'!$I$8:$J$79,2,FALSE)</f>
        <v>90</v>
      </c>
      <c r="U1658" s="54">
        <f ca="1">VLOOKUP($Q1658,'TA database'!$I$86:$J$105,2,FALSE)</f>
        <v>60</v>
      </c>
      <c r="V1658" s="54">
        <f ca="1">VLOOKUP($R1658,'TA database'!$I$112:$J$139,2,FALSE)</f>
        <v>90</v>
      </c>
      <c r="W1658" s="54">
        <f ca="1">IFERROR(VLOOKUP($S1658,'TA database'!$I$146:$J$193,2,FALSE),0)</f>
        <v>80</v>
      </c>
      <c r="X1658" s="54">
        <f>IFERROR(VLOOKUP($S1658,'TA database'!$I$200:$J$271,2,FALSE),0)</f>
        <v>0</v>
      </c>
      <c r="Y1658" s="59">
        <f t="shared" ref="Y1658:Y1662" ca="1" si="5201">IF($W1658=0,(PRODUCT($T1658:$V1658,$X1658))/1000000,(PRODUCT($T1658:$W1658))/1000000)</f>
        <v>38.880000000000003</v>
      </c>
      <c r="Z1658" t="str">
        <f t="shared" si="5197"/>
        <v>NG_SR_LRG_C   →   C_UNDRGRND_STRG   →   H2_BLND_NG_P   →   H2_FC_mCHP_HEAT</v>
      </c>
      <c r="AA1658" t="str">
        <f t="shared" si="5198"/>
        <v>Building heat</v>
      </c>
      <c r="AB1658" t="str">
        <f t="shared" si="5199"/>
        <v>Public acceptability</v>
      </c>
      <c r="AC1658">
        <f t="shared" ca="1" si="5200"/>
        <v>38.880000000000003</v>
      </c>
      <c r="AD1658">
        <v>1599</v>
      </c>
      <c r="AE1658" t="str">
        <f>IF(AND(ISNUMBER(SEARCH(O1658,4)),ISNUMBER(SEARCH('(4) FCH pathway assessment'!$B$16,AB1658)),ISNUMBER(SEARCH('(4) FCH pathway assessment'!$B$10,AA1658))),AD1658,"")</f>
        <v/>
      </c>
      <c r="AF1658" t="str">
        <f t="shared" si="4977"/>
        <v/>
      </c>
      <c r="AG1658" t="str">
        <f>VLOOKUP(C1658,Assumptions!$B$116:$C$162,2,FALSE)</f>
        <v>NG_SR_LRG_C</v>
      </c>
      <c r="AH1658" t="str">
        <f>VLOOKUP(D1658,Assumptions!$B$116:$C$162,2,FALSE)</f>
        <v>C_UNDRGRND_STRG</v>
      </c>
      <c r="AI1658" t="str">
        <f>VLOOKUP(E1658,Assumptions!$B$116:$C$162,2,FALSE)</f>
        <v>H2_BLND_NG_P</v>
      </c>
      <c r="AJ1658" t="str">
        <f>VLOOKUP(F1658,Assumptions!$B$116:$C$162,2,FALSE)</f>
        <v>H2_FC_mCHP_HEAT</v>
      </c>
    </row>
    <row r="1659" spans="2:36" x14ac:dyDescent="0.25">
      <c r="B1659" t="s">
        <v>127</v>
      </c>
      <c r="C1659" t="s">
        <v>57</v>
      </c>
      <c r="D1659" t="s">
        <v>62</v>
      </c>
      <c r="E1659" t="s">
        <v>122</v>
      </c>
      <c r="F1659" t="s">
        <v>543</v>
      </c>
      <c r="G1659" t="s">
        <v>132</v>
      </c>
      <c r="H1659" t="s">
        <v>434</v>
      </c>
      <c r="I1659" t="s">
        <v>32</v>
      </c>
      <c r="J1659" t="s">
        <v>82</v>
      </c>
      <c r="K1659">
        <f t="shared" si="5188"/>
        <v>1</v>
      </c>
      <c r="L1659">
        <f t="shared" si="5189"/>
        <v>0</v>
      </c>
      <c r="M1659">
        <f t="shared" si="5190"/>
        <v>1</v>
      </c>
      <c r="N1659">
        <f t="shared" si="5191"/>
        <v>0</v>
      </c>
      <c r="O1659">
        <f t="shared" si="5192"/>
        <v>2</v>
      </c>
      <c r="P1659" t="str">
        <f t="shared" si="5193"/>
        <v>Large centralized natural gas steam reforming-Public acceptability</v>
      </c>
      <c r="Q1659" t="str">
        <f t="shared" si="5194"/>
        <v>Underground storage-Public acceptability</v>
      </c>
      <c r="R1659" t="str">
        <f t="shared" si="5195"/>
        <v>Hydrogen transmission &amp; distribution pipeline-Public acceptability</v>
      </c>
      <c r="S1659" t="str">
        <f t="shared" si="5196"/>
        <v>Micro-CHP with H2 fuel cell (heat)-Public acceptability</v>
      </c>
      <c r="T1659" s="54">
        <f ca="1">VLOOKUP($P1659,'TA database'!$I$8:$J$79,2,FALSE)</f>
        <v>90</v>
      </c>
      <c r="U1659" s="54">
        <f ca="1">VLOOKUP($Q1659,'TA database'!$I$86:$J$105,2,FALSE)</f>
        <v>60</v>
      </c>
      <c r="V1659" s="54">
        <f ca="1">VLOOKUP($R1659,'TA database'!$I$112:$J$139,2,FALSE)</f>
        <v>70</v>
      </c>
      <c r="W1659" s="54">
        <f ca="1">IFERROR(VLOOKUP($S1659,'TA database'!$I$146:$J$193,2,FALSE),0)</f>
        <v>80</v>
      </c>
      <c r="X1659" s="54">
        <f>IFERROR(VLOOKUP($S1659,'TA database'!$I$200:$J$271,2,FALSE),0)</f>
        <v>0</v>
      </c>
      <c r="Y1659" s="59">
        <f t="shared" ca="1" si="5201"/>
        <v>30.24</v>
      </c>
      <c r="Z1659" t="str">
        <f t="shared" si="5197"/>
        <v>NG_SR_LRG_C   →   C_UNDRGRND_STRG   →   H2_T&amp;D_P   →   H2_FC_mCHP_HEAT</v>
      </c>
      <c r="AA1659" t="str">
        <f t="shared" si="5198"/>
        <v>Building heat</v>
      </c>
      <c r="AB1659" t="str">
        <f t="shared" si="5199"/>
        <v>Public acceptability</v>
      </c>
      <c r="AC1659">
        <f t="shared" ca="1" si="5200"/>
        <v>30.24</v>
      </c>
      <c r="AD1659">
        <v>1600</v>
      </c>
      <c r="AE1659" t="str">
        <f>IF(AND(ISNUMBER(SEARCH(O1659,4)),ISNUMBER(SEARCH('(4) FCH pathway assessment'!$B$16,AB1659)),ISNUMBER(SEARCH('(4) FCH pathway assessment'!$B$10,AA1659))),AD1659,"")</f>
        <v/>
      </c>
      <c r="AF1659" t="str">
        <f t="shared" si="4977"/>
        <v/>
      </c>
      <c r="AG1659" t="str">
        <f>VLOOKUP(C1659,Assumptions!$B$116:$C$162,2,FALSE)</f>
        <v>NG_SR_LRG_C</v>
      </c>
      <c r="AH1659" t="str">
        <f>VLOOKUP(D1659,Assumptions!$B$116:$C$162,2,FALSE)</f>
        <v>C_UNDRGRND_STRG</v>
      </c>
      <c r="AI1659" t="str">
        <f>VLOOKUP(E1659,Assumptions!$B$116:$C$162,2,FALSE)</f>
        <v>H2_T&amp;D_P</v>
      </c>
      <c r="AJ1659" t="str">
        <f>VLOOKUP(F1659,Assumptions!$B$116:$C$162,2,FALSE)</f>
        <v>H2_FC_mCHP_HEAT</v>
      </c>
    </row>
    <row r="1660" spans="2:36" x14ac:dyDescent="0.25">
      <c r="B1660" t="s">
        <v>127</v>
      </c>
      <c r="C1660" t="s">
        <v>57</v>
      </c>
      <c r="D1660" s="61" t="s">
        <v>63</v>
      </c>
      <c r="E1660" t="s">
        <v>122</v>
      </c>
      <c r="F1660" t="s">
        <v>543</v>
      </c>
      <c r="G1660" t="s">
        <v>132</v>
      </c>
      <c r="H1660" t="s">
        <v>434</v>
      </c>
      <c r="I1660" t="s">
        <v>32</v>
      </c>
      <c r="J1660" t="s">
        <v>82</v>
      </c>
      <c r="K1660">
        <f t="shared" si="5188"/>
        <v>1</v>
      </c>
      <c r="L1660">
        <f t="shared" si="5189"/>
        <v>1</v>
      </c>
      <c r="M1660">
        <f t="shared" si="5190"/>
        <v>1</v>
      </c>
      <c r="N1660">
        <f t="shared" si="5191"/>
        <v>0</v>
      </c>
      <c r="O1660">
        <f t="shared" si="5192"/>
        <v>3</v>
      </c>
      <c r="P1660" t="str">
        <f t="shared" si="5193"/>
        <v>Large centralized natural gas steam reforming-Public acceptability</v>
      </c>
      <c r="Q1660" t="str">
        <f t="shared" si="5194"/>
        <v>No storage-Public acceptability</v>
      </c>
      <c r="R1660" t="str">
        <f t="shared" si="5195"/>
        <v>Hydrogen transmission &amp; distribution pipeline-Public acceptability</v>
      </c>
      <c r="S1660" t="str">
        <f t="shared" si="5196"/>
        <v>Micro-CHP with H2 fuel cell (heat)-Public acceptability</v>
      </c>
      <c r="T1660" s="54">
        <f ca="1">VLOOKUP($P1660,'TA database'!$I$8:$J$79,2,FALSE)</f>
        <v>90</v>
      </c>
      <c r="U1660" s="54">
        <f ca="1">VLOOKUP($Q1660,'TA database'!$I$86:$J$105,2,FALSE)</f>
        <v>100</v>
      </c>
      <c r="V1660" s="54">
        <f ca="1">VLOOKUP($R1660,'TA database'!$I$112:$J$139,2,FALSE)</f>
        <v>70</v>
      </c>
      <c r="W1660" s="54">
        <f ca="1">IFERROR(VLOOKUP($S1660,'TA database'!$I$146:$J$193,2,FALSE),0)</f>
        <v>80</v>
      </c>
      <c r="X1660" s="54">
        <f>IFERROR(VLOOKUP($S1660,'TA database'!$I$200:$J$271,2,FALSE),0)</f>
        <v>0</v>
      </c>
      <c r="Y1660" s="59">
        <f t="shared" ca="1" si="5201"/>
        <v>50.4</v>
      </c>
      <c r="Z1660" t="str">
        <f t="shared" si="5197"/>
        <v>NG_SR_LRG_C   →   NO_STRG   →   H2_T&amp;D_P   →   H2_FC_mCHP_HEAT</v>
      </c>
      <c r="AA1660" t="str">
        <f t="shared" si="5198"/>
        <v>Building heat</v>
      </c>
      <c r="AB1660" t="str">
        <f t="shared" si="5199"/>
        <v>Public acceptability</v>
      </c>
      <c r="AC1660">
        <f t="shared" ca="1" si="5200"/>
        <v>50.4</v>
      </c>
      <c r="AD1660">
        <v>1601</v>
      </c>
      <c r="AE1660" t="str">
        <f>IF(AND(ISNUMBER(SEARCH(O1660,4)),ISNUMBER(SEARCH('(4) FCH pathway assessment'!$B$16,AB1660)),ISNUMBER(SEARCH('(4) FCH pathway assessment'!$B$10,AA1660))),AD1660,"")</f>
        <v/>
      </c>
      <c r="AF1660" t="str">
        <f t="shared" ref="AF1660:AF1723" si="5202">IFERROR(SMALL($AE$60:$AE$1991,AD1660),"")</f>
        <v/>
      </c>
      <c r="AG1660" t="str">
        <f>VLOOKUP(C1660,Assumptions!$B$116:$C$162,2,FALSE)</f>
        <v>NG_SR_LRG_C</v>
      </c>
      <c r="AH1660" t="str">
        <f>VLOOKUP(D1660,Assumptions!$B$116:$C$162,2,FALSE)</f>
        <v>NO_STRG</v>
      </c>
      <c r="AI1660" t="str">
        <f>VLOOKUP(E1660,Assumptions!$B$116:$C$162,2,FALSE)</f>
        <v>H2_T&amp;D_P</v>
      </c>
      <c r="AJ1660" t="str">
        <f>VLOOKUP(F1660,Assumptions!$B$116:$C$162,2,FALSE)</f>
        <v>H2_FC_mCHP_HEAT</v>
      </c>
    </row>
    <row r="1661" spans="2:36" x14ac:dyDescent="0.25">
      <c r="B1661" t="s">
        <v>127</v>
      </c>
      <c r="C1661" t="s">
        <v>58</v>
      </c>
      <c r="D1661" t="s">
        <v>155</v>
      </c>
      <c r="E1661" t="s">
        <v>157</v>
      </c>
      <c r="F1661" t="s">
        <v>543</v>
      </c>
      <c r="G1661" t="s">
        <v>132</v>
      </c>
      <c r="H1661" t="s">
        <v>434</v>
      </c>
      <c r="I1661" t="s">
        <v>32</v>
      </c>
      <c r="J1661" t="s">
        <v>82</v>
      </c>
      <c r="K1661">
        <f t="shared" ref="K1661:K1663" si="5203">SUMPRODUCT(($C$7:$C$18=$C1661)*($D$6:$H$6=$D1661)*($D$7:$H$18))</f>
        <v>1</v>
      </c>
      <c r="L1661">
        <f t="shared" ref="L1661:L1663" si="5204">SUMPRODUCT(($C$19:$C$23=$D1661)*($I$6:$O$6=$E1661)*($I$19:$O$23))</f>
        <v>1</v>
      </c>
      <c r="M1661">
        <f t="shared" ref="M1661:M1663" si="5205">SUMPRODUCT(($C$24:$C$30=$E1661)*($P$6:$AI$6=$F1661)*($P$24:$AI$30))</f>
        <v>0</v>
      </c>
      <c r="N1661">
        <f t="shared" ref="N1661:N1663" si="5206">SUMPRODUCT(($C$31:$C$50=$F1661)*($AJ$6:$AM$6=$G1661)*($AJ$31:$AM$50))</f>
        <v>0</v>
      </c>
      <c r="O1661">
        <f t="shared" ref="O1661:O1663" si="5207">K1661+L1661+M1661+N1661</f>
        <v>2</v>
      </c>
      <c r="P1661" t="str">
        <f t="shared" ref="P1661:P1663" si="5208">CONCATENATE(C1661,"-",J1661)</f>
        <v>Small centralized natural gas steam reforming-Public acceptability</v>
      </c>
      <c r="Q1661" t="str">
        <f t="shared" ref="Q1661:Q1663" si="5209">CONCATENATE(D1661,"-",J1661)</f>
        <v>Central gas storage-Public acceptability</v>
      </c>
      <c r="R1661" t="str">
        <f t="shared" ref="R1661:R1663" si="5210">CONCATENATE(E1661,"-",J1661)</f>
        <v>Blending in natural gas pipeline-Public acceptability</v>
      </c>
      <c r="S1661" t="str">
        <f t="shared" ref="S1661:S1663" si="5211">CONCATENATE(F1661,"-",J1661)</f>
        <v>Micro-CHP with H2 fuel cell (heat)-Public acceptability</v>
      </c>
      <c r="T1661" s="54">
        <f ca="1">VLOOKUP($P1661,'TA database'!$I$8:$J$79,2,FALSE)</f>
        <v>90</v>
      </c>
      <c r="U1661" s="54">
        <f ca="1">VLOOKUP($Q1661,'TA database'!$I$86:$J$105,2,FALSE)</f>
        <v>60</v>
      </c>
      <c r="V1661" s="54">
        <f ca="1">VLOOKUP($R1661,'TA database'!$I$112:$J$139,2,FALSE)</f>
        <v>90</v>
      </c>
      <c r="W1661" s="54">
        <f ca="1">IFERROR(VLOOKUP($S1661,'TA database'!$I$146:$J$193,2,FALSE),0)</f>
        <v>80</v>
      </c>
      <c r="X1661" s="54">
        <f>IFERROR(VLOOKUP($S1661,'TA database'!$I$200:$J$271,2,FALSE),0)</f>
        <v>0</v>
      </c>
      <c r="Y1661" s="59">
        <f t="shared" ca="1" si="5201"/>
        <v>38.880000000000003</v>
      </c>
      <c r="Z1661" t="str">
        <f t="shared" ref="Z1661:Z1663" si="5212">CONCATENATE(AG1661,"   →   ",AH1661,"   →   ",AI1661,"   →   ",AJ1661)</f>
        <v>NG_SR_SML_C   →   C_GAS_STRG   →   H2_BLND_NG_P   →   H2_FC_mCHP_HEAT</v>
      </c>
      <c r="AA1661" t="str">
        <f t="shared" ref="AA1661:AA1663" si="5213">G1661</f>
        <v>Building heat</v>
      </c>
      <c r="AB1661" t="str">
        <f t="shared" ref="AB1661:AB1663" si="5214">J1661</f>
        <v>Public acceptability</v>
      </c>
      <c r="AC1661">
        <f t="shared" ref="AC1661:AC1663" ca="1" si="5215">Y1661</f>
        <v>38.880000000000003</v>
      </c>
      <c r="AD1661">
        <v>1602</v>
      </c>
      <c r="AE1661" t="str">
        <f>IF(AND(ISNUMBER(SEARCH(O1661,4)),ISNUMBER(SEARCH('(4) FCH pathway assessment'!$B$16,AB1661)),ISNUMBER(SEARCH('(4) FCH pathway assessment'!$B$10,AA1661))),AD1661,"")</f>
        <v/>
      </c>
      <c r="AF1661" t="str">
        <f t="shared" si="5202"/>
        <v/>
      </c>
      <c r="AG1661" t="str">
        <f>VLOOKUP(C1661,Assumptions!$B$116:$C$162,2,FALSE)</f>
        <v>NG_SR_SML_C</v>
      </c>
      <c r="AH1661" t="str">
        <f>VLOOKUP(D1661,Assumptions!$B$116:$C$162,2,FALSE)</f>
        <v>C_GAS_STRG</v>
      </c>
      <c r="AI1661" t="str">
        <f>VLOOKUP(E1661,Assumptions!$B$116:$C$162,2,FALSE)</f>
        <v>H2_BLND_NG_P</v>
      </c>
      <c r="AJ1661" t="str">
        <f>VLOOKUP(F1661,Assumptions!$B$116:$C$162,2,FALSE)</f>
        <v>H2_FC_mCHP_HEAT</v>
      </c>
    </row>
    <row r="1662" spans="2:36" x14ac:dyDescent="0.25">
      <c r="B1662" t="s">
        <v>127</v>
      </c>
      <c r="C1662" t="s">
        <v>58</v>
      </c>
      <c r="D1662" t="s">
        <v>155</v>
      </c>
      <c r="E1662" t="s">
        <v>122</v>
      </c>
      <c r="F1662" t="s">
        <v>543</v>
      </c>
      <c r="G1662" t="s">
        <v>132</v>
      </c>
      <c r="H1662" t="s">
        <v>434</v>
      </c>
      <c r="I1662" t="s">
        <v>32</v>
      </c>
      <c r="J1662" t="s">
        <v>82</v>
      </c>
      <c r="K1662">
        <f t="shared" si="5203"/>
        <v>1</v>
      </c>
      <c r="L1662">
        <f t="shared" si="5204"/>
        <v>1</v>
      </c>
      <c r="M1662">
        <f t="shared" si="5205"/>
        <v>1</v>
      </c>
      <c r="N1662">
        <f t="shared" si="5206"/>
        <v>0</v>
      </c>
      <c r="O1662">
        <f t="shared" si="5207"/>
        <v>3</v>
      </c>
      <c r="P1662" t="str">
        <f t="shared" si="5208"/>
        <v>Small centralized natural gas steam reforming-Public acceptability</v>
      </c>
      <c r="Q1662" t="str">
        <f t="shared" si="5209"/>
        <v>Central gas storage-Public acceptability</v>
      </c>
      <c r="R1662" t="str">
        <f t="shared" si="5210"/>
        <v>Hydrogen transmission &amp; distribution pipeline-Public acceptability</v>
      </c>
      <c r="S1662" t="str">
        <f t="shared" si="5211"/>
        <v>Micro-CHP with H2 fuel cell (heat)-Public acceptability</v>
      </c>
      <c r="T1662" s="54">
        <f ca="1">VLOOKUP($P1662,'TA database'!$I$8:$J$79,2,FALSE)</f>
        <v>90</v>
      </c>
      <c r="U1662" s="54">
        <f ca="1">VLOOKUP($Q1662,'TA database'!$I$86:$J$105,2,FALSE)</f>
        <v>60</v>
      </c>
      <c r="V1662" s="54">
        <f ca="1">VLOOKUP($R1662,'TA database'!$I$112:$J$139,2,FALSE)</f>
        <v>70</v>
      </c>
      <c r="W1662" s="54">
        <f ca="1">IFERROR(VLOOKUP($S1662,'TA database'!$I$146:$J$193,2,FALSE),0)</f>
        <v>80</v>
      </c>
      <c r="X1662" s="54">
        <f>IFERROR(VLOOKUP($S1662,'TA database'!$I$200:$J$271,2,FALSE),0)</f>
        <v>0</v>
      </c>
      <c r="Y1662" s="59">
        <f t="shared" ca="1" si="5201"/>
        <v>30.24</v>
      </c>
      <c r="Z1662" t="str">
        <f t="shared" si="5212"/>
        <v>NG_SR_SML_C   →   C_GAS_STRG   →   H2_T&amp;D_P   →   H2_FC_mCHP_HEAT</v>
      </c>
      <c r="AA1662" t="str">
        <f t="shared" si="5213"/>
        <v>Building heat</v>
      </c>
      <c r="AB1662" t="str">
        <f t="shared" si="5214"/>
        <v>Public acceptability</v>
      </c>
      <c r="AC1662">
        <f t="shared" ca="1" si="5215"/>
        <v>30.24</v>
      </c>
      <c r="AD1662">
        <v>1603</v>
      </c>
      <c r="AE1662" t="str">
        <f>IF(AND(ISNUMBER(SEARCH(O1662,4)),ISNUMBER(SEARCH('(4) FCH pathway assessment'!$B$16,AB1662)),ISNUMBER(SEARCH('(4) FCH pathway assessment'!$B$10,AA1662))),AD1662,"")</f>
        <v/>
      </c>
      <c r="AF1662" t="str">
        <f t="shared" si="5202"/>
        <v/>
      </c>
      <c r="AG1662" t="str">
        <f>VLOOKUP(C1662,Assumptions!$B$116:$C$162,2,FALSE)</f>
        <v>NG_SR_SML_C</v>
      </c>
      <c r="AH1662" t="str">
        <f>VLOOKUP(D1662,Assumptions!$B$116:$C$162,2,FALSE)</f>
        <v>C_GAS_STRG</v>
      </c>
      <c r="AI1662" t="str">
        <f>VLOOKUP(E1662,Assumptions!$B$116:$C$162,2,FALSE)</f>
        <v>H2_T&amp;D_P</v>
      </c>
      <c r="AJ1662" t="str">
        <f>VLOOKUP(F1662,Assumptions!$B$116:$C$162,2,FALSE)</f>
        <v>H2_FC_mCHP_HEAT</v>
      </c>
    </row>
    <row r="1663" spans="2:36" x14ac:dyDescent="0.25">
      <c r="B1663" t="s">
        <v>127</v>
      </c>
      <c r="C1663" t="s">
        <v>59</v>
      </c>
      <c r="D1663" s="60" t="s">
        <v>130</v>
      </c>
      <c r="E1663" t="s">
        <v>128</v>
      </c>
      <c r="F1663" t="s">
        <v>543</v>
      </c>
      <c r="G1663" t="s">
        <v>132</v>
      </c>
      <c r="H1663" t="s">
        <v>434</v>
      </c>
      <c r="I1663" t="s">
        <v>32</v>
      </c>
      <c r="J1663" t="s">
        <v>82</v>
      </c>
      <c r="K1663">
        <f t="shared" si="5203"/>
        <v>1</v>
      </c>
      <c r="L1663">
        <f t="shared" si="5204"/>
        <v>1</v>
      </c>
      <c r="M1663">
        <f t="shared" si="5205"/>
        <v>1</v>
      </c>
      <c r="N1663">
        <f t="shared" si="5206"/>
        <v>0</v>
      </c>
      <c r="O1663">
        <f t="shared" si="5207"/>
        <v>3</v>
      </c>
      <c r="P1663" t="str">
        <f t="shared" si="5208"/>
        <v>Medium decentralized natural gas steam reforming-Public acceptability</v>
      </c>
      <c r="Q1663" t="str">
        <f t="shared" si="5209"/>
        <v>Distributed gas storage-Public acceptability</v>
      </c>
      <c r="R1663" t="str">
        <f t="shared" si="5210"/>
        <v>Hydrogen distribution pipeline-Public acceptability</v>
      </c>
      <c r="S1663" t="str">
        <f t="shared" si="5211"/>
        <v>Micro-CHP with H2 fuel cell (heat)-Public acceptability</v>
      </c>
      <c r="T1663" s="54">
        <f ca="1">VLOOKUP($P1663,'TA database'!$I$8:$J$79,2,FALSE)</f>
        <v>100</v>
      </c>
      <c r="U1663" s="54">
        <f ca="1">VLOOKUP($Q1663,'TA database'!$I$86:$J$105,2,FALSE)</f>
        <v>60</v>
      </c>
      <c r="V1663" s="54">
        <f ca="1">VLOOKUP($R1663,'TA database'!$I$112:$J$139,2,FALSE)</f>
        <v>70</v>
      </c>
      <c r="W1663" s="54">
        <f ca="1">IFERROR(VLOOKUP($S1663,'TA database'!$I$146:$J$193,2,FALSE),0)</f>
        <v>80</v>
      </c>
      <c r="X1663" s="54">
        <f>IFERROR(VLOOKUP($S1663,'TA database'!$I$200:$J$271,2,FALSE),0)</f>
        <v>0</v>
      </c>
      <c r="Y1663" s="59">
        <f t="shared" ref="Y1663:Y1664" ca="1" si="5216">IF($W1663=0,(PRODUCT($T1663:$V1663,$X1663))/1000000,(PRODUCT($T1663:$W1663))/1000000)</f>
        <v>33.6</v>
      </c>
      <c r="Z1663" t="str">
        <f t="shared" si="5212"/>
        <v>NG_SR_MED_D   →   D_GAS_STRG   →   H2_DSTRB_P   →   H2_FC_mCHP_HEAT</v>
      </c>
      <c r="AA1663" t="str">
        <f t="shared" si="5213"/>
        <v>Building heat</v>
      </c>
      <c r="AB1663" t="str">
        <f t="shared" si="5214"/>
        <v>Public acceptability</v>
      </c>
      <c r="AC1663">
        <f t="shared" ca="1" si="5215"/>
        <v>33.6</v>
      </c>
      <c r="AD1663">
        <v>1604</v>
      </c>
      <c r="AE1663" t="str">
        <f>IF(AND(ISNUMBER(SEARCH(O1663,4)),ISNUMBER(SEARCH('(4) FCH pathway assessment'!$B$16,AB1663)),ISNUMBER(SEARCH('(4) FCH pathway assessment'!$B$10,AA1663))),AD1663,"")</f>
        <v/>
      </c>
      <c r="AF1663" t="str">
        <f t="shared" si="5202"/>
        <v/>
      </c>
      <c r="AG1663" t="str">
        <f>VLOOKUP(C1663,Assumptions!$B$116:$C$162,2,FALSE)</f>
        <v>NG_SR_MED_D</v>
      </c>
      <c r="AH1663" t="str">
        <f>VLOOKUP(D1663,Assumptions!$B$116:$C$162,2,FALSE)</f>
        <v>D_GAS_STRG</v>
      </c>
      <c r="AI1663" t="str">
        <f>VLOOKUP(E1663,Assumptions!$B$116:$C$162,2,FALSE)</f>
        <v>H2_DSTRB_P</v>
      </c>
      <c r="AJ1663" t="str">
        <f>VLOOKUP(F1663,Assumptions!$B$116:$C$162,2,FALSE)</f>
        <v>H2_FC_mCHP_HEAT</v>
      </c>
    </row>
    <row r="1664" spans="2:36" x14ac:dyDescent="0.25">
      <c r="B1664" t="s">
        <v>127</v>
      </c>
      <c r="C1664" t="s">
        <v>60</v>
      </c>
      <c r="D1664" s="60" t="s">
        <v>130</v>
      </c>
      <c r="E1664" t="s">
        <v>128</v>
      </c>
      <c r="F1664" t="s">
        <v>543</v>
      </c>
      <c r="G1664" t="s">
        <v>132</v>
      </c>
      <c r="H1664" t="s">
        <v>434</v>
      </c>
      <c r="I1664" t="s">
        <v>32</v>
      </c>
      <c r="J1664" t="s">
        <v>82</v>
      </c>
      <c r="K1664">
        <f t="shared" ref="K1664" si="5217">SUMPRODUCT(($C$7:$C$18=$C1664)*($D$6:$H$6=$D1664)*($D$7:$H$18))</f>
        <v>1</v>
      </c>
      <c r="L1664">
        <f t="shared" ref="L1664" si="5218">SUMPRODUCT(($C$19:$C$23=$D1664)*($I$6:$O$6=$E1664)*($I$19:$O$23))</f>
        <v>1</v>
      </c>
      <c r="M1664">
        <f t="shared" ref="M1664" si="5219">SUMPRODUCT(($C$24:$C$30=$E1664)*($P$6:$AI$6=$F1664)*($P$24:$AI$30))</f>
        <v>1</v>
      </c>
      <c r="N1664">
        <f t="shared" ref="N1664" si="5220">SUMPRODUCT(($C$31:$C$50=$F1664)*($AJ$6:$AM$6=$G1664)*($AJ$31:$AM$50))</f>
        <v>0</v>
      </c>
      <c r="O1664">
        <f t="shared" ref="O1664" si="5221">K1664+L1664+M1664+N1664</f>
        <v>3</v>
      </c>
      <c r="P1664" t="str">
        <f t="shared" ref="P1664" si="5222">CONCATENATE(C1664,"-",J1664)</f>
        <v>Small decentralized natural gas steam reforming-Public acceptability</v>
      </c>
      <c r="Q1664" t="str">
        <f t="shared" ref="Q1664" si="5223">CONCATENATE(D1664,"-",J1664)</f>
        <v>Distributed gas storage-Public acceptability</v>
      </c>
      <c r="R1664" t="str">
        <f t="shared" ref="R1664" si="5224">CONCATENATE(E1664,"-",J1664)</f>
        <v>Hydrogen distribution pipeline-Public acceptability</v>
      </c>
      <c r="S1664" t="str">
        <f t="shared" ref="S1664" si="5225">CONCATENATE(F1664,"-",J1664)</f>
        <v>Micro-CHP with H2 fuel cell (heat)-Public acceptability</v>
      </c>
      <c r="T1664" s="54">
        <f ca="1">VLOOKUP($P1664,'TA database'!$I$8:$J$79,2,FALSE)</f>
        <v>100</v>
      </c>
      <c r="U1664" s="54">
        <f ca="1">VLOOKUP($Q1664,'TA database'!$I$86:$J$105,2,FALSE)</f>
        <v>60</v>
      </c>
      <c r="V1664" s="54">
        <f ca="1">VLOOKUP($R1664,'TA database'!$I$112:$J$139,2,FALSE)</f>
        <v>70</v>
      </c>
      <c r="W1664" s="54">
        <f ca="1">IFERROR(VLOOKUP($S1664,'TA database'!$I$146:$J$193,2,FALSE),0)</f>
        <v>80</v>
      </c>
      <c r="X1664" s="54">
        <f>IFERROR(VLOOKUP($S1664,'TA database'!$I$200:$J$271,2,FALSE),0)</f>
        <v>0</v>
      </c>
      <c r="Y1664" s="59">
        <f t="shared" ca="1" si="5216"/>
        <v>33.6</v>
      </c>
      <c r="Z1664" t="str">
        <f t="shared" ref="Z1664" si="5226">CONCATENATE(AG1664,"   →   ",AH1664,"   →   ",AI1664,"   →   ",AJ1664)</f>
        <v>NG_SR_SML_D   →   D_GAS_STRG   →   H2_DSTRB_P   →   H2_FC_mCHP_HEAT</v>
      </c>
      <c r="AA1664" t="str">
        <f t="shared" ref="AA1664" si="5227">G1664</f>
        <v>Building heat</v>
      </c>
      <c r="AB1664" t="str">
        <f t="shared" ref="AB1664" si="5228">J1664</f>
        <v>Public acceptability</v>
      </c>
      <c r="AC1664">
        <f t="shared" ref="AC1664" ca="1" si="5229">Y1664</f>
        <v>33.6</v>
      </c>
      <c r="AD1664">
        <v>1605</v>
      </c>
      <c r="AE1664" t="str">
        <f>IF(AND(ISNUMBER(SEARCH(O1664,4)),ISNUMBER(SEARCH('(4) FCH pathway assessment'!$B$16,AB1664)),ISNUMBER(SEARCH('(4) FCH pathway assessment'!$B$10,AA1664))),AD1664,"")</f>
        <v/>
      </c>
      <c r="AF1664" t="str">
        <f t="shared" si="5202"/>
        <v/>
      </c>
      <c r="AG1664" t="str">
        <f>VLOOKUP(C1664,Assumptions!$B$116:$C$162,2,FALSE)</f>
        <v>NG_SR_SML_D</v>
      </c>
      <c r="AH1664" t="str">
        <f>VLOOKUP(D1664,Assumptions!$B$116:$C$162,2,FALSE)</f>
        <v>D_GAS_STRG</v>
      </c>
      <c r="AI1664" t="str">
        <f>VLOOKUP(E1664,Assumptions!$B$116:$C$162,2,FALSE)</f>
        <v>H2_DSTRB_P</v>
      </c>
      <c r="AJ1664" t="str">
        <f>VLOOKUP(F1664,Assumptions!$B$116:$C$162,2,FALSE)</f>
        <v>H2_FC_mCHP_HEAT</v>
      </c>
    </row>
    <row r="1665" spans="2:36" x14ac:dyDescent="0.25">
      <c r="B1665" t="s">
        <v>117</v>
      </c>
      <c r="C1665" t="s">
        <v>53</v>
      </c>
      <c r="D1665" t="s">
        <v>155</v>
      </c>
      <c r="E1665" t="s">
        <v>65</v>
      </c>
      <c r="F1665" t="s">
        <v>553</v>
      </c>
      <c r="G1665" t="s">
        <v>132</v>
      </c>
      <c r="H1665" t="s">
        <v>434</v>
      </c>
      <c r="I1665" t="s">
        <v>32</v>
      </c>
      <c r="J1665" t="s">
        <v>82</v>
      </c>
      <c r="K1665">
        <f t="shared" ref="K1665" si="5230">SUMPRODUCT(($C$7:$C$18=$C1665)*($D$6:$H$6=$D1665)*($D$7:$H$18))</f>
        <v>0</v>
      </c>
      <c r="L1665">
        <f t="shared" ref="L1665" si="5231">SUMPRODUCT(($C$19:$C$23=$D1665)*($I$6:$O$6=$E1665)*($I$19:$O$23))</f>
        <v>1</v>
      </c>
      <c r="M1665">
        <f t="shared" ref="M1665" si="5232">SUMPRODUCT(($C$24:$C$30=$E1665)*($P$6:$AI$6=$F1665)*($P$24:$AI$30))</f>
        <v>0</v>
      </c>
      <c r="N1665">
        <f t="shared" ref="N1665" si="5233">SUMPRODUCT(($C$31:$C$50=$F1665)*($AJ$6:$AM$6=$G1665)*($AJ$31:$AM$50))</f>
        <v>1</v>
      </c>
      <c r="O1665">
        <f t="shared" ref="O1665" si="5234">K1665+L1665+M1665+N1665</f>
        <v>2</v>
      </c>
      <c r="P1665" t="str">
        <f t="shared" ref="P1665" si="5235">CONCATENATE(C1665,"-",J1665)</f>
        <v>Medium centralized biomass gasification-Public acceptability</v>
      </c>
      <c r="Q1665" t="str">
        <f t="shared" ref="Q1665" si="5236">CONCATENATE(D1665,"-",J1665)</f>
        <v>Central gas storage-Public acceptability</v>
      </c>
      <c r="R1665" t="str">
        <f t="shared" ref="R1665" si="5237">CONCATENATE(E1665,"-",J1665)</f>
        <v>Methanation-Public acceptability</v>
      </c>
      <c r="S1665" t="str">
        <f t="shared" ref="S1665" si="5238">CONCATENATE(F1665,"-",J1665)</f>
        <v>Micro-CHP with natural gas fuel cell (heat)-Public acceptability</v>
      </c>
      <c r="T1665" s="54">
        <f ca="1">VLOOKUP($P1665,'TA database'!$I$8:$J$79,2,FALSE)</f>
        <v>70</v>
      </c>
      <c r="U1665" s="54">
        <f ca="1">VLOOKUP($Q1665,'TA database'!$I$86:$J$105,2,FALSE)</f>
        <v>60</v>
      </c>
      <c r="V1665" s="54">
        <f ca="1">VLOOKUP($R1665,'TA database'!$I$112:$J$139,2,FALSE)</f>
        <v>70</v>
      </c>
      <c r="W1665" s="54">
        <f ca="1">IFERROR(VLOOKUP($S1665,'TA database'!$I$146:$J$193,2,FALSE),0)</f>
        <v>80</v>
      </c>
      <c r="X1665" s="54">
        <f>IFERROR(VLOOKUP($S1665,'TA database'!$I$200:$J$271,2,FALSE),0)</f>
        <v>0</v>
      </c>
      <c r="Y1665" s="59">
        <f t="shared" ref="Y1665" ca="1" si="5239">IF($W1665=0,(PRODUCT($T1665:$V1665,$X1665))/1000000,(PRODUCT($T1665:$W1665))/1000000)</f>
        <v>23.52</v>
      </c>
      <c r="Z1665" t="str">
        <f t="shared" ref="Z1665" si="5240">CONCATENATE(AG1665,"   →   ",AH1665,"   →   ",AI1665,"   →   ",AJ1665)</f>
        <v>BIO_GSF_MED_C   →   C_GAS_STRG   →   METHANATION   →   NG_FC_mCHP_HEAT</v>
      </c>
      <c r="AA1665" t="str">
        <f t="shared" ref="AA1665" si="5241">G1665</f>
        <v>Building heat</v>
      </c>
      <c r="AB1665" t="str">
        <f t="shared" ref="AB1665" si="5242">J1665</f>
        <v>Public acceptability</v>
      </c>
      <c r="AC1665">
        <f t="shared" ref="AC1665" ca="1" si="5243">Y1665</f>
        <v>23.52</v>
      </c>
      <c r="AD1665">
        <v>1606</v>
      </c>
      <c r="AE1665" t="str">
        <f>IF(AND(ISNUMBER(SEARCH(O1665,4)),ISNUMBER(SEARCH('(4) FCH pathway assessment'!$B$16,AB1665)),ISNUMBER(SEARCH('(4) FCH pathway assessment'!$B$10,AA1665))),AD1665,"")</f>
        <v/>
      </c>
      <c r="AF1665" t="str">
        <f t="shared" si="5202"/>
        <v/>
      </c>
      <c r="AG1665" t="str">
        <f>VLOOKUP(C1665,Assumptions!$B$116:$C$162,2,FALSE)</f>
        <v>BIO_GSF_MED_C</v>
      </c>
      <c r="AH1665" t="str">
        <f>VLOOKUP(D1665,Assumptions!$B$116:$C$162,2,FALSE)</f>
        <v>C_GAS_STRG</v>
      </c>
      <c r="AI1665" t="str">
        <f>VLOOKUP(E1665,Assumptions!$B$116:$C$162,2,FALSE)</f>
        <v>METHANATION</v>
      </c>
      <c r="AJ1665" t="str">
        <f>VLOOKUP(F1665,Assumptions!$B$116:$C$162,2,FALSE)</f>
        <v>NG_FC_mCHP_HEAT</v>
      </c>
    </row>
    <row r="1666" spans="2:36" x14ac:dyDescent="0.25">
      <c r="B1666" t="s">
        <v>117</v>
      </c>
      <c r="C1666" t="s">
        <v>54</v>
      </c>
      <c r="D1666" t="s">
        <v>155</v>
      </c>
      <c r="E1666" t="s">
        <v>65</v>
      </c>
      <c r="F1666" t="s">
        <v>553</v>
      </c>
      <c r="G1666" t="s">
        <v>132</v>
      </c>
      <c r="H1666" t="s">
        <v>434</v>
      </c>
      <c r="I1666" t="s">
        <v>32</v>
      </c>
      <c r="J1666" t="s">
        <v>82</v>
      </c>
      <c r="K1666">
        <f t="shared" ref="K1666" si="5244">SUMPRODUCT(($C$7:$C$18=$C1666)*($D$6:$H$6=$D1666)*($D$7:$H$18))</f>
        <v>0</v>
      </c>
      <c r="L1666">
        <f t="shared" ref="L1666" si="5245">SUMPRODUCT(($C$19:$C$23=$D1666)*($I$6:$O$6=$E1666)*($I$19:$O$23))</f>
        <v>1</v>
      </c>
      <c r="M1666">
        <f t="shared" ref="M1666" si="5246">SUMPRODUCT(($C$24:$C$30=$E1666)*($P$6:$AI$6=$F1666)*($P$24:$AI$30))</f>
        <v>0</v>
      </c>
      <c r="N1666">
        <f t="shared" ref="N1666" si="5247">SUMPRODUCT(($C$31:$C$50=$F1666)*($AJ$6:$AM$6=$G1666)*($AJ$31:$AM$50))</f>
        <v>1</v>
      </c>
      <c r="O1666">
        <f t="shared" ref="O1666" si="5248">K1666+L1666+M1666+N1666</f>
        <v>2</v>
      </c>
      <c r="P1666" t="str">
        <f t="shared" ref="P1666" si="5249">CONCATENATE(C1666,"-",J1666)</f>
        <v>Medium centralized biomass gasification w/ CCS-Public acceptability</v>
      </c>
      <c r="Q1666" t="str">
        <f t="shared" ref="Q1666" si="5250">CONCATENATE(D1666,"-",J1666)</f>
        <v>Central gas storage-Public acceptability</v>
      </c>
      <c r="R1666" t="str">
        <f t="shared" ref="R1666" si="5251">CONCATENATE(E1666,"-",J1666)</f>
        <v>Methanation-Public acceptability</v>
      </c>
      <c r="S1666" t="str">
        <f t="shared" ref="S1666" si="5252">CONCATENATE(F1666,"-",J1666)</f>
        <v>Micro-CHP with natural gas fuel cell (heat)-Public acceptability</v>
      </c>
      <c r="T1666" s="54">
        <f ca="1">VLOOKUP($P1666,'TA database'!$I$8:$J$79,2,FALSE)</f>
        <v>60</v>
      </c>
      <c r="U1666" s="54">
        <f ca="1">VLOOKUP($Q1666,'TA database'!$I$86:$J$105,2,FALSE)</f>
        <v>60</v>
      </c>
      <c r="V1666" s="54">
        <f ca="1">VLOOKUP($R1666,'TA database'!$I$112:$J$139,2,FALSE)</f>
        <v>70</v>
      </c>
      <c r="W1666" s="54">
        <f ca="1">IFERROR(VLOOKUP($S1666,'TA database'!$I$146:$J$193,2,FALSE),0)</f>
        <v>80</v>
      </c>
      <c r="X1666" s="54">
        <f>IFERROR(VLOOKUP($S1666,'TA database'!$I$200:$J$271,2,FALSE),0)</f>
        <v>0</v>
      </c>
      <c r="Y1666" s="59">
        <f t="shared" ref="Y1666" ca="1" si="5253">IF($W1666=0,(PRODUCT($T1666:$V1666,$X1666))/1000000,(PRODUCT($T1666:$W1666))/1000000)</f>
        <v>20.16</v>
      </c>
      <c r="Z1666" t="str">
        <f t="shared" ref="Z1666" si="5254">CONCATENATE(AG1666,"   →   ",AH1666,"   →   ",AI1666,"   →   ",AJ1666)</f>
        <v>BIO_GSF_CCS_MED_C   →   C_GAS_STRG   →   METHANATION   →   NG_FC_mCHP_HEAT</v>
      </c>
      <c r="AA1666" t="str">
        <f t="shared" ref="AA1666" si="5255">G1666</f>
        <v>Building heat</v>
      </c>
      <c r="AB1666" t="str">
        <f t="shared" ref="AB1666" si="5256">J1666</f>
        <v>Public acceptability</v>
      </c>
      <c r="AC1666">
        <f t="shared" ref="AC1666" ca="1" si="5257">Y1666</f>
        <v>20.16</v>
      </c>
      <c r="AD1666">
        <v>1607</v>
      </c>
      <c r="AE1666" t="str">
        <f>IF(AND(ISNUMBER(SEARCH(O1666,4)),ISNUMBER(SEARCH('(4) FCH pathway assessment'!$B$16,AB1666)),ISNUMBER(SEARCH('(4) FCH pathway assessment'!$B$10,AA1666))),AD1666,"")</f>
        <v/>
      </c>
      <c r="AF1666" t="str">
        <f t="shared" si="5202"/>
        <v/>
      </c>
      <c r="AG1666" t="str">
        <f>VLOOKUP(C1666,Assumptions!$B$116:$C$162,2,FALSE)</f>
        <v>BIO_GSF_CCS_MED_C</v>
      </c>
      <c r="AH1666" t="str">
        <f>VLOOKUP(D1666,Assumptions!$B$116:$C$162,2,FALSE)</f>
        <v>C_GAS_STRG</v>
      </c>
      <c r="AI1666" t="str">
        <f>VLOOKUP(E1666,Assumptions!$B$116:$C$162,2,FALSE)</f>
        <v>METHANATION</v>
      </c>
      <c r="AJ1666" t="str">
        <f>VLOOKUP(F1666,Assumptions!$B$116:$C$162,2,FALSE)</f>
        <v>NG_FC_mCHP_HEAT</v>
      </c>
    </row>
    <row r="1667" spans="2:36" x14ac:dyDescent="0.25">
      <c r="B1667" t="s">
        <v>117</v>
      </c>
      <c r="C1667" t="s">
        <v>56</v>
      </c>
      <c r="D1667" t="s">
        <v>62</v>
      </c>
      <c r="E1667" t="s">
        <v>65</v>
      </c>
      <c r="F1667" t="s">
        <v>553</v>
      </c>
      <c r="G1667" t="s">
        <v>132</v>
      </c>
      <c r="H1667" t="s">
        <v>434</v>
      </c>
      <c r="I1667" t="s">
        <v>32</v>
      </c>
      <c r="J1667" t="s">
        <v>82</v>
      </c>
      <c r="K1667">
        <f t="shared" ref="K1667:K1669" si="5258">SUMPRODUCT(($C$7:$C$18=$C1667)*($D$6:$H$6=$D1667)*($D$7:$H$18))</f>
        <v>0</v>
      </c>
      <c r="L1667">
        <f t="shared" ref="L1667:L1669" si="5259">SUMPRODUCT(($C$19:$C$23=$D1667)*($I$6:$O$6=$E1667)*($I$19:$O$23))</f>
        <v>0</v>
      </c>
      <c r="M1667">
        <f t="shared" ref="M1667:M1669" si="5260">SUMPRODUCT(($C$24:$C$30=$E1667)*($P$6:$AI$6=$F1667)*($P$24:$AI$30))</f>
        <v>0</v>
      </c>
      <c r="N1667">
        <f t="shared" ref="N1667:N1669" si="5261">SUMPRODUCT(($C$31:$C$50=$F1667)*($AJ$6:$AM$6=$G1667)*($AJ$31:$AM$50))</f>
        <v>1</v>
      </c>
      <c r="O1667">
        <f t="shared" ref="O1667:O1669" si="5262">K1667+L1667+M1667+N1667</f>
        <v>1</v>
      </c>
      <c r="P1667" t="str">
        <f t="shared" ref="P1667:P1669" si="5263">CONCATENATE(C1667,"-",J1667)</f>
        <v>Large centralized biomass steam reforming -Public acceptability</v>
      </c>
      <c r="Q1667" t="str">
        <f t="shared" ref="Q1667:Q1669" si="5264">CONCATENATE(D1667,"-",J1667)</f>
        <v>Underground storage-Public acceptability</v>
      </c>
      <c r="R1667" t="str">
        <f t="shared" ref="R1667:R1669" si="5265">CONCATENATE(E1667,"-",J1667)</f>
        <v>Methanation-Public acceptability</v>
      </c>
      <c r="S1667" t="str">
        <f t="shared" ref="S1667:S1669" si="5266">CONCATENATE(F1667,"-",J1667)</f>
        <v>Micro-CHP with natural gas fuel cell (heat)-Public acceptability</v>
      </c>
      <c r="T1667" s="54">
        <f ca="1">VLOOKUP($P1667,'TA database'!$I$8:$J$79,2,FALSE)</f>
        <v>80</v>
      </c>
      <c r="U1667" s="54">
        <f ca="1">VLOOKUP($Q1667,'TA database'!$I$86:$J$105,2,FALSE)</f>
        <v>60</v>
      </c>
      <c r="V1667" s="54">
        <f ca="1">VLOOKUP($R1667,'TA database'!$I$112:$J$139,2,FALSE)</f>
        <v>70</v>
      </c>
      <c r="W1667" s="54">
        <f ca="1">IFERROR(VLOOKUP($S1667,'TA database'!$I$146:$J$193,2,FALSE),0)</f>
        <v>80</v>
      </c>
      <c r="X1667" s="54">
        <f>IFERROR(VLOOKUP($S1667,'TA database'!$I$200:$J$271,2,FALSE),0)</f>
        <v>0</v>
      </c>
      <c r="Y1667" s="59">
        <f t="shared" ref="Y1667:Y1668" ca="1" si="5267">IF($W1667=0,(PRODUCT($T1667:$V1667,$X1667))/1000000,(PRODUCT($T1667:$W1667))/1000000)</f>
        <v>26.88</v>
      </c>
      <c r="Z1667" t="str">
        <f t="shared" ref="Z1667:Z1669" si="5268">CONCATENATE(AG1667,"   →   ",AH1667,"   →   ",AI1667,"   →   ",AJ1667)</f>
        <v>BIO_SR_LRG_C   →   C_UNDRGRND_STRG   →   METHANATION   →   NG_FC_mCHP_HEAT</v>
      </c>
      <c r="AA1667" t="str">
        <f t="shared" ref="AA1667:AA1669" si="5269">G1667</f>
        <v>Building heat</v>
      </c>
      <c r="AB1667" t="str">
        <f t="shared" ref="AB1667:AB1669" si="5270">J1667</f>
        <v>Public acceptability</v>
      </c>
      <c r="AC1667">
        <f t="shared" ref="AC1667:AC1669" ca="1" si="5271">Y1667</f>
        <v>26.88</v>
      </c>
      <c r="AD1667">
        <v>1608</v>
      </c>
      <c r="AE1667" t="str">
        <f>IF(AND(ISNUMBER(SEARCH(O1667,4)),ISNUMBER(SEARCH('(4) FCH pathway assessment'!$B$16,AB1667)),ISNUMBER(SEARCH('(4) FCH pathway assessment'!$B$10,AA1667))),AD1667,"")</f>
        <v/>
      </c>
      <c r="AF1667" t="str">
        <f t="shared" si="5202"/>
        <v/>
      </c>
      <c r="AG1667" t="str">
        <f>VLOOKUP(C1667,Assumptions!$B$116:$C$162,2,FALSE)</f>
        <v>BIO_SR_LRG_C</v>
      </c>
      <c r="AH1667" t="str">
        <f>VLOOKUP(D1667,Assumptions!$B$116:$C$162,2,FALSE)</f>
        <v>C_UNDRGRND_STRG</v>
      </c>
      <c r="AI1667" t="str">
        <f>VLOOKUP(E1667,Assumptions!$B$116:$C$162,2,FALSE)</f>
        <v>METHANATION</v>
      </c>
      <c r="AJ1667" t="str">
        <f>VLOOKUP(F1667,Assumptions!$B$116:$C$162,2,FALSE)</f>
        <v>NG_FC_mCHP_HEAT</v>
      </c>
    </row>
    <row r="1668" spans="2:36" x14ac:dyDescent="0.25">
      <c r="B1668" t="s">
        <v>112</v>
      </c>
      <c r="C1668" t="s">
        <v>49</v>
      </c>
      <c r="D1668" t="s">
        <v>62</v>
      </c>
      <c r="E1668" t="s">
        <v>65</v>
      </c>
      <c r="F1668" t="s">
        <v>553</v>
      </c>
      <c r="G1668" t="s">
        <v>132</v>
      </c>
      <c r="H1668" t="s">
        <v>434</v>
      </c>
      <c r="I1668" t="s">
        <v>32</v>
      </c>
      <c r="J1668" t="s">
        <v>82</v>
      </c>
      <c r="K1668">
        <f t="shared" si="5258"/>
        <v>1</v>
      </c>
      <c r="L1668">
        <f t="shared" si="5259"/>
        <v>0</v>
      </c>
      <c r="M1668">
        <f t="shared" si="5260"/>
        <v>0</v>
      </c>
      <c r="N1668">
        <f t="shared" si="5261"/>
        <v>1</v>
      </c>
      <c r="O1668">
        <f t="shared" si="5262"/>
        <v>2</v>
      </c>
      <c r="P1668" t="str">
        <f t="shared" si="5263"/>
        <v>Large centralized electrolysis-Public acceptability</v>
      </c>
      <c r="Q1668" t="str">
        <f t="shared" si="5264"/>
        <v>Underground storage-Public acceptability</v>
      </c>
      <c r="R1668" t="str">
        <f t="shared" si="5265"/>
        <v>Methanation-Public acceptability</v>
      </c>
      <c r="S1668" t="str">
        <f t="shared" si="5266"/>
        <v>Micro-CHP with natural gas fuel cell (heat)-Public acceptability</v>
      </c>
      <c r="T1668" s="54">
        <f ca="1">VLOOKUP($P1668,'TA database'!$I$8:$J$79,2,FALSE)</f>
        <v>80</v>
      </c>
      <c r="U1668" s="54">
        <f ca="1">VLOOKUP($Q1668,'TA database'!$I$86:$J$105,2,FALSE)</f>
        <v>60</v>
      </c>
      <c r="V1668" s="54">
        <f ca="1">VLOOKUP($R1668,'TA database'!$I$112:$J$139,2,FALSE)</f>
        <v>70</v>
      </c>
      <c r="W1668" s="54">
        <f ca="1">IFERROR(VLOOKUP($S1668,'TA database'!$I$146:$J$193,2,FALSE),0)</f>
        <v>80</v>
      </c>
      <c r="X1668" s="54">
        <f>IFERROR(VLOOKUP($S1668,'TA database'!$I$200:$J$271,2,FALSE),0)</f>
        <v>0</v>
      </c>
      <c r="Y1668" s="59">
        <f t="shared" ca="1" si="5267"/>
        <v>26.88</v>
      </c>
      <c r="Z1668" t="str">
        <f t="shared" si="5268"/>
        <v>ELCTRLYZ_LRG_C   →   C_UNDRGRND_STRG   →   METHANATION   →   NG_FC_mCHP_HEAT</v>
      </c>
      <c r="AA1668" t="str">
        <f t="shared" si="5269"/>
        <v>Building heat</v>
      </c>
      <c r="AB1668" t="str">
        <f t="shared" si="5270"/>
        <v>Public acceptability</v>
      </c>
      <c r="AC1668">
        <f t="shared" ca="1" si="5271"/>
        <v>26.88</v>
      </c>
      <c r="AD1668">
        <v>1609</v>
      </c>
      <c r="AE1668" t="str">
        <f>IF(AND(ISNUMBER(SEARCH(O1668,4)),ISNUMBER(SEARCH('(4) FCH pathway assessment'!$B$16,AB1668)),ISNUMBER(SEARCH('(4) FCH pathway assessment'!$B$10,AA1668))),AD1668,"")</f>
        <v/>
      </c>
      <c r="AF1668" t="str">
        <f t="shared" si="5202"/>
        <v/>
      </c>
      <c r="AG1668" t="str">
        <f>VLOOKUP(C1668,Assumptions!$B$116:$C$162,2,FALSE)</f>
        <v>ELCTRLYZ_LRG_C</v>
      </c>
      <c r="AH1668" t="str">
        <f>VLOOKUP(D1668,Assumptions!$B$116:$C$162,2,FALSE)</f>
        <v>C_UNDRGRND_STRG</v>
      </c>
      <c r="AI1668" t="str">
        <f>VLOOKUP(E1668,Assumptions!$B$116:$C$162,2,FALSE)</f>
        <v>METHANATION</v>
      </c>
      <c r="AJ1668" t="str">
        <f>VLOOKUP(F1668,Assumptions!$B$116:$C$162,2,FALSE)</f>
        <v>NG_FC_mCHP_HEAT</v>
      </c>
    </row>
    <row r="1669" spans="2:36" x14ac:dyDescent="0.25">
      <c r="B1669" t="s">
        <v>112</v>
      </c>
      <c r="C1669" t="s">
        <v>49</v>
      </c>
      <c r="D1669" t="s">
        <v>155</v>
      </c>
      <c r="E1669" t="s">
        <v>65</v>
      </c>
      <c r="F1669" t="s">
        <v>553</v>
      </c>
      <c r="G1669" t="s">
        <v>132</v>
      </c>
      <c r="H1669" t="s">
        <v>434</v>
      </c>
      <c r="I1669" t="s">
        <v>32</v>
      </c>
      <c r="J1669" t="s">
        <v>82</v>
      </c>
      <c r="K1669">
        <f t="shared" si="5258"/>
        <v>1</v>
      </c>
      <c r="L1669">
        <f t="shared" si="5259"/>
        <v>1</v>
      </c>
      <c r="M1669">
        <f t="shared" si="5260"/>
        <v>0</v>
      </c>
      <c r="N1669">
        <f t="shared" si="5261"/>
        <v>1</v>
      </c>
      <c r="O1669">
        <f t="shared" si="5262"/>
        <v>3</v>
      </c>
      <c r="P1669" t="str">
        <f t="shared" si="5263"/>
        <v>Large centralized electrolysis-Public acceptability</v>
      </c>
      <c r="Q1669" t="str">
        <f t="shared" si="5264"/>
        <v>Central gas storage-Public acceptability</v>
      </c>
      <c r="R1669" t="str">
        <f t="shared" si="5265"/>
        <v>Methanation-Public acceptability</v>
      </c>
      <c r="S1669" t="str">
        <f t="shared" si="5266"/>
        <v>Micro-CHP with natural gas fuel cell (heat)-Public acceptability</v>
      </c>
      <c r="T1669" s="54">
        <f ca="1">VLOOKUP($P1669,'TA database'!$I$8:$J$79,2,FALSE)</f>
        <v>80</v>
      </c>
      <c r="U1669" s="54">
        <f ca="1">VLOOKUP($Q1669,'TA database'!$I$86:$J$105,2,FALSE)</f>
        <v>60</v>
      </c>
      <c r="V1669" s="54">
        <f ca="1">VLOOKUP($R1669,'TA database'!$I$112:$J$139,2,FALSE)</f>
        <v>70</v>
      </c>
      <c r="W1669" s="54">
        <f ca="1">IFERROR(VLOOKUP($S1669,'TA database'!$I$146:$J$193,2,FALSE),0)</f>
        <v>80</v>
      </c>
      <c r="X1669" s="54">
        <f>IFERROR(VLOOKUP($S1669,'TA database'!$I$200:$J$271,2,FALSE),0)</f>
        <v>0</v>
      </c>
      <c r="Y1669" s="59">
        <f t="shared" ref="Y1669:Y1670" ca="1" si="5272">IF($W1669=0,(PRODUCT($T1669:$V1669,$X1669))/1000000,(PRODUCT($T1669:$W1669))/1000000)</f>
        <v>26.88</v>
      </c>
      <c r="Z1669" t="str">
        <f t="shared" si="5268"/>
        <v>ELCTRLYZ_LRG_C   →   C_GAS_STRG   →   METHANATION   →   NG_FC_mCHP_HEAT</v>
      </c>
      <c r="AA1669" t="str">
        <f t="shared" si="5269"/>
        <v>Building heat</v>
      </c>
      <c r="AB1669" t="str">
        <f t="shared" si="5270"/>
        <v>Public acceptability</v>
      </c>
      <c r="AC1669">
        <f t="shared" ca="1" si="5271"/>
        <v>26.88</v>
      </c>
      <c r="AD1669">
        <v>1610</v>
      </c>
      <c r="AE1669" t="str">
        <f>IF(AND(ISNUMBER(SEARCH(O1669,4)),ISNUMBER(SEARCH('(4) FCH pathway assessment'!$B$16,AB1669)),ISNUMBER(SEARCH('(4) FCH pathway assessment'!$B$10,AA1669))),AD1669,"")</f>
        <v/>
      </c>
      <c r="AF1669" t="str">
        <f t="shared" si="5202"/>
        <v/>
      </c>
      <c r="AG1669" t="str">
        <f>VLOOKUP(C1669,Assumptions!$B$116:$C$162,2,FALSE)</f>
        <v>ELCTRLYZ_LRG_C</v>
      </c>
      <c r="AH1669" t="str">
        <f>VLOOKUP(D1669,Assumptions!$B$116:$C$162,2,FALSE)</f>
        <v>C_GAS_STRG</v>
      </c>
      <c r="AI1669" t="str">
        <f>VLOOKUP(E1669,Assumptions!$B$116:$C$162,2,FALSE)</f>
        <v>METHANATION</v>
      </c>
      <c r="AJ1669" t="str">
        <f>VLOOKUP(F1669,Assumptions!$B$116:$C$162,2,FALSE)</f>
        <v>NG_FC_mCHP_HEAT</v>
      </c>
    </row>
    <row r="1670" spans="2:36" x14ac:dyDescent="0.25">
      <c r="B1670" t="s">
        <v>112</v>
      </c>
      <c r="C1670" t="s">
        <v>51</v>
      </c>
      <c r="D1670" t="s">
        <v>155</v>
      </c>
      <c r="E1670" t="s">
        <v>65</v>
      </c>
      <c r="F1670" t="s">
        <v>553</v>
      </c>
      <c r="G1670" t="s">
        <v>132</v>
      </c>
      <c r="H1670" t="s">
        <v>434</v>
      </c>
      <c r="I1670" t="s">
        <v>32</v>
      </c>
      <c r="J1670" t="s">
        <v>82</v>
      </c>
      <c r="K1670">
        <f t="shared" ref="K1670" si="5273">SUMPRODUCT(($C$7:$C$18=$C1670)*($D$6:$H$6=$D1670)*($D$7:$H$18))</f>
        <v>1</v>
      </c>
      <c r="L1670">
        <f t="shared" ref="L1670" si="5274">SUMPRODUCT(($C$19:$C$23=$D1670)*($I$6:$O$6=$E1670)*($I$19:$O$23))</f>
        <v>1</v>
      </c>
      <c r="M1670">
        <f t="shared" ref="M1670" si="5275">SUMPRODUCT(($C$24:$C$30=$E1670)*($P$6:$AI$6=$F1670)*($P$24:$AI$30))</f>
        <v>0</v>
      </c>
      <c r="N1670">
        <f t="shared" ref="N1670" si="5276">SUMPRODUCT(($C$31:$C$50=$F1670)*($AJ$6:$AM$6=$G1670)*($AJ$31:$AM$50))</f>
        <v>1</v>
      </c>
      <c r="O1670">
        <f t="shared" ref="O1670" si="5277">K1670+L1670+M1670+N1670</f>
        <v>3</v>
      </c>
      <c r="P1670" t="str">
        <f t="shared" ref="P1670" si="5278">CONCATENATE(C1670,"-",J1670)</f>
        <v>Medium centralized electrolysis-Public acceptability</v>
      </c>
      <c r="Q1670" t="str">
        <f t="shared" ref="Q1670" si="5279">CONCATENATE(D1670,"-",J1670)</f>
        <v>Central gas storage-Public acceptability</v>
      </c>
      <c r="R1670" t="str">
        <f t="shared" ref="R1670" si="5280">CONCATENATE(E1670,"-",J1670)</f>
        <v>Methanation-Public acceptability</v>
      </c>
      <c r="S1670" t="str">
        <f t="shared" ref="S1670" si="5281">CONCATENATE(F1670,"-",J1670)</f>
        <v>Micro-CHP with natural gas fuel cell (heat)-Public acceptability</v>
      </c>
      <c r="T1670" s="54">
        <f ca="1">VLOOKUP($P1670,'TA database'!$I$8:$J$79,2,FALSE)</f>
        <v>90</v>
      </c>
      <c r="U1670" s="54">
        <f ca="1">VLOOKUP($Q1670,'TA database'!$I$86:$J$105,2,FALSE)</f>
        <v>60</v>
      </c>
      <c r="V1670" s="54">
        <f ca="1">VLOOKUP($R1670,'TA database'!$I$112:$J$139,2,FALSE)</f>
        <v>70</v>
      </c>
      <c r="W1670" s="54">
        <f ca="1">IFERROR(VLOOKUP($S1670,'TA database'!$I$146:$J$193,2,FALSE),0)</f>
        <v>80</v>
      </c>
      <c r="X1670" s="54">
        <f>IFERROR(VLOOKUP($S1670,'TA database'!$I$200:$J$271,2,FALSE),0)</f>
        <v>0</v>
      </c>
      <c r="Y1670" s="59">
        <f t="shared" ca="1" si="5272"/>
        <v>30.24</v>
      </c>
      <c r="Z1670" t="str">
        <f t="shared" ref="Z1670" si="5282">CONCATENATE(AG1670,"   →   ",AH1670,"   →   ",AI1670,"   →   ",AJ1670)</f>
        <v>ELCTRLYZ_MED_C   →   C_GAS_STRG   →   METHANATION   →   NG_FC_mCHP_HEAT</v>
      </c>
      <c r="AA1670" t="str">
        <f t="shared" ref="AA1670" si="5283">G1670</f>
        <v>Building heat</v>
      </c>
      <c r="AB1670" t="str">
        <f t="shared" ref="AB1670" si="5284">J1670</f>
        <v>Public acceptability</v>
      </c>
      <c r="AC1670">
        <f t="shared" ref="AC1670" ca="1" si="5285">Y1670</f>
        <v>30.24</v>
      </c>
      <c r="AD1670">
        <v>1611</v>
      </c>
      <c r="AE1670" t="str">
        <f>IF(AND(ISNUMBER(SEARCH(O1670,4)),ISNUMBER(SEARCH('(4) FCH pathway assessment'!$B$16,AB1670)),ISNUMBER(SEARCH('(4) FCH pathway assessment'!$B$10,AA1670))),AD1670,"")</f>
        <v/>
      </c>
      <c r="AF1670" t="str">
        <f t="shared" si="5202"/>
        <v/>
      </c>
      <c r="AG1670" t="str">
        <f>VLOOKUP(C1670,Assumptions!$B$116:$C$162,2,FALSE)</f>
        <v>ELCTRLYZ_MED_C</v>
      </c>
      <c r="AH1670" t="str">
        <f>VLOOKUP(D1670,Assumptions!$B$116:$C$162,2,FALSE)</f>
        <v>C_GAS_STRG</v>
      </c>
      <c r="AI1670" t="str">
        <f>VLOOKUP(E1670,Assumptions!$B$116:$C$162,2,FALSE)</f>
        <v>METHANATION</v>
      </c>
      <c r="AJ1670" t="str">
        <f>VLOOKUP(F1670,Assumptions!$B$116:$C$162,2,FALSE)</f>
        <v>NG_FC_mCHP_HEAT</v>
      </c>
    </row>
    <row r="1671" spans="2:36" x14ac:dyDescent="0.25">
      <c r="B1671" t="s">
        <v>127</v>
      </c>
      <c r="C1671" t="s">
        <v>57</v>
      </c>
      <c r="D1671" t="s">
        <v>62</v>
      </c>
      <c r="E1671" t="s">
        <v>65</v>
      </c>
      <c r="F1671" t="s">
        <v>553</v>
      </c>
      <c r="G1671" t="s">
        <v>132</v>
      </c>
      <c r="H1671" t="s">
        <v>434</v>
      </c>
      <c r="I1671" t="s">
        <v>32</v>
      </c>
      <c r="J1671" t="s">
        <v>82</v>
      </c>
      <c r="K1671">
        <f t="shared" ref="K1671:K1672" si="5286">SUMPRODUCT(($C$7:$C$18=$C1671)*($D$6:$H$6=$D1671)*($D$7:$H$18))</f>
        <v>1</v>
      </c>
      <c r="L1671">
        <f t="shared" ref="L1671:L1672" si="5287">SUMPRODUCT(($C$19:$C$23=$D1671)*($I$6:$O$6=$E1671)*($I$19:$O$23))</f>
        <v>0</v>
      </c>
      <c r="M1671">
        <f t="shared" ref="M1671:M1672" si="5288">SUMPRODUCT(($C$24:$C$30=$E1671)*($P$6:$AI$6=$F1671)*($P$24:$AI$30))</f>
        <v>0</v>
      </c>
      <c r="N1671">
        <f t="shared" ref="N1671:N1672" si="5289">SUMPRODUCT(($C$31:$C$50=$F1671)*($AJ$6:$AM$6=$G1671)*($AJ$31:$AM$50))</f>
        <v>1</v>
      </c>
      <c r="O1671">
        <f t="shared" ref="O1671:O1672" si="5290">K1671+L1671+M1671+N1671</f>
        <v>2</v>
      </c>
      <c r="P1671" t="str">
        <f t="shared" ref="P1671:P1672" si="5291">CONCATENATE(C1671,"-",J1671)</f>
        <v>Large centralized natural gas steam reforming-Public acceptability</v>
      </c>
      <c r="Q1671" t="str">
        <f t="shared" ref="Q1671:Q1672" si="5292">CONCATENATE(D1671,"-",J1671)</f>
        <v>Underground storage-Public acceptability</v>
      </c>
      <c r="R1671" t="str">
        <f t="shared" ref="R1671:R1672" si="5293">CONCATENATE(E1671,"-",J1671)</f>
        <v>Methanation-Public acceptability</v>
      </c>
      <c r="S1671" t="str">
        <f t="shared" ref="S1671:S1672" si="5294">CONCATENATE(F1671,"-",J1671)</f>
        <v>Micro-CHP with natural gas fuel cell (heat)-Public acceptability</v>
      </c>
      <c r="T1671" s="54">
        <f ca="1">VLOOKUP($P1671,'TA database'!$I$8:$J$79,2,FALSE)</f>
        <v>90</v>
      </c>
      <c r="U1671" s="54">
        <f ca="1">VLOOKUP($Q1671,'TA database'!$I$86:$J$105,2,FALSE)</f>
        <v>60</v>
      </c>
      <c r="V1671" s="54">
        <f ca="1">VLOOKUP($R1671,'TA database'!$I$112:$J$139,2,FALSE)</f>
        <v>70</v>
      </c>
      <c r="W1671" s="54">
        <f ca="1">IFERROR(VLOOKUP($S1671,'TA database'!$I$146:$J$193,2,FALSE),0)</f>
        <v>80</v>
      </c>
      <c r="X1671" s="54">
        <f>IFERROR(VLOOKUP($S1671,'TA database'!$I$200:$J$271,2,FALSE),0)</f>
        <v>0</v>
      </c>
      <c r="Y1671" s="59">
        <f t="shared" ref="Y1671" ca="1" si="5295">IF($W1671=0,(PRODUCT($T1671:$V1671,$X1671))/1000000,(PRODUCT($T1671:$W1671))/1000000)</f>
        <v>30.24</v>
      </c>
      <c r="Z1671" t="str">
        <f t="shared" ref="Z1671:Z1672" si="5296">CONCATENATE(AG1671,"   →   ",AH1671,"   →   ",AI1671,"   →   ",AJ1671)</f>
        <v>NG_SR_LRG_C   →   C_UNDRGRND_STRG   →   METHANATION   →   NG_FC_mCHP_HEAT</v>
      </c>
      <c r="AA1671" t="str">
        <f t="shared" ref="AA1671:AA1672" si="5297">G1671</f>
        <v>Building heat</v>
      </c>
      <c r="AB1671" t="str">
        <f t="shared" ref="AB1671:AB1672" si="5298">J1671</f>
        <v>Public acceptability</v>
      </c>
      <c r="AC1671">
        <f t="shared" ref="AC1671:AC1672" ca="1" si="5299">Y1671</f>
        <v>30.24</v>
      </c>
      <c r="AD1671">
        <v>1612</v>
      </c>
      <c r="AE1671" t="str">
        <f>IF(AND(ISNUMBER(SEARCH(O1671,4)),ISNUMBER(SEARCH('(4) FCH pathway assessment'!$B$16,AB1671)),ISNUMBER(SEARCH('(4) FCH pathway assessment'!$B$10,AA1671))),AD1671,"")</f>
        <v/>
      </c>
      <c r="AF1671" t="str">
        <f t="shared" si="5202"/>
        <v/>
      </c>
      <c r="AG1671" t="str">
        <f>VLOOKUP(C1671,Assumptions!$B$116:$C$162,2,FALSE)</f>
        <v>NG_SR_LRG_C</v>
      </c>
      <c r="AH1671" t="str">
        <f>VLOOKUP(D1671,Assumptions!$B$116:$C$162,2,FALSE)</f>
        <v>C_UNDRGRND_STRG</v>
      </c>
      <c r="AI1671" t="str">
        <f>VLOOKUP(E1671,Assumptions!$B$116:$C$162,2,FALSE)</f>
        <v>METHANATION</v>
      </c>
      <c r="AJ1671" t="str">
        <f>VLOOKUP(F1671,Assumptions!$B$116:$C$162,2,FALSE)</f>
        <v>NG_FC_mCHP_HEAT</v>
      </c>
    </row>
    <row r="1672" spans="2:36" x14ac:dyDescent="0.25">
      <c r="B1672" t="s">
        <v>127</v>
      </c>
      <c r="C1672" t="s">
        <v>58</v>
      </c>
      <c r="D1672" t="s">
        <v>155</v>
      </c>
      <c r="E1672" t="s">
        <v>65</v>
      </c>
      <c r="F1672" t="s">
        <v>553</v>
      </c>
      <c r="G1672" t="s">
        <v>132</v>
      </c>
      <c r="H1672" t="s">
        <v>434</v>
      </c>
      <c r="I1672" t="s">
        <v>32</v>
      </c>
      <c r="J1672" t="s">
        <v>82</v>
      </c>
      <c r="K1672">
        <f t="shared" si="5286"/>
        <v>1</v>
      </c>
      <c r="L1672">
        <f t="shared" si="5287"/>
        <v>1</v>
      </c>
      <c r="M1672">
        <f t="shared" si="5288"/>
        <v>0</v>
      </c>
      <c r="N1672">
        <f t="shared" si="5289"/>
        <v>1</v>
      </c>
      <c r="O1672">
        <f t="shared" si="5290"/>
        <v>3</v>
      </c>
      <c r="P1672" t="str">
        <f t="shared" si="5291"/>
        <v>Small centralized natural gas steam reforming-Public acceptability</v>
      </c>
      <c r="Q1672" t="str">
        <f t="shared" si="5292"/>
        <v>Central gas storage-Public acceptability</v>
      </c>
      <c r="R1672" t="str">
        <f t="shared" si="5293"/>
        <v>Methanation-Public acceptability</v>
      </c>
      <c r="S1672" t="str">
        <f t="shared" si="5294"/>
        <v>Micro-CHP with natural gas fuel cell (heat)-Public acceptability</v>
      </c>
      <c r="T1672" s="54">
        <f ca="1">VLOOKUP($P1672,'TA database'!$I$8:$J$79,2,FALSE)</f>
        <v>90</v>
      </c>
      <c r="U1672" s="54">
        <f ca="1">VLOOKUP($Q1672,'TA database'!$I$86:$J$105,2,FALSE)</f>
        <v>60</v>
      </c>
      <c r="V1672" s="54">
        <f ca="1">VLOOKUP($R1672,'TA database'!$I$112:$J$139,2,FALSE)</f>
        <v>70</v>
      </c>
      <c r="W1672" s="54">
        <f ca="1">IFERROR(VLOOKUP($S1672,'TA database'!$I$146:$J$193,2,FALSE),0)</f>
        <v>80</v>
      </c>
      <c r="X1672" s="54">
        <f>IFERROR(VLOOKUP($S1672,'TA database'!$I$200:$J$271,2,FALSE),0)</f>
        <v>0</v>
      </c>
      <c r="Y1672" s="59">
        <f t="shared" ref="Y1672" ca="1" si="5300">IF($W1672=0,(PRODUCT($T1672:$V1672,$X1672))/1000000,(PRODUCT($T1672:$W1672))/1000000)</f>
        <v>30.24</v>
      </c>
      <c r="Z1672" t="str">
        <f t="shared" si="5296"/>
        <v>NG_SR_SML_C   →   C_GAS_STRG   →   METHANATION   →   NG_FC_mCHP_HEAT</v>
      </c>
      <c r="AA1672" t="str">
        <f t="shared" si="5297"/>
        <v>Building heat</v>
      </c>
      <c r="AB1672" t="str">
        <f t="shared" si="5298"/>
        <v>Public acceptability</v>
      </c>
      <c r="AC1672">
        <f t="shared" ca="1" si="5299"/>
        <v>30.24</v>
      </c>
      <c r="AD1672">
        <v>1613</v>
      </c>
      <c r="AE1672" t="str">
        <f>IF(AND(ISNUMBER(SEARCH(O1672,4)),ISNUMBER(SEARCH('(4) FCH pathway assessment'!$B$16,AB1672)),ISNUMBER(SEARCH('(4) FCH pathway assessment'!$B$10,AA1672))),AD1672,"")</f>
        <v/>
      </c>
      <c r="AF1672" t="str">
        <f t="shared" si="5202"/>
        <v/>
      </c>
      <c r="AG1672" t="str">
        <f>VLOOKUP(C1672,Assumptions!$B$116:$C$162,2,FALSE)</f>
        <v>NG_SR_SML_C</v>
      </c>
      <c r="AH1672" t="str">
        <f>VLOOKUP(D1672,Assumptions!$B$116:$C$162,2,FALSE)</f>
        <v>C_GAS_STRG</v>
      </c>
      <c r="AI1672" t="str">
        <f>VLOOKUP(E1672,Assumptions!$B$116:$C$162,2,FALSE)</f>
        <v>METHANATION</v>
      </c>
      <c r="AJ1672" t="str">
        <f>VLOOKUP(F1672,Assumptions!$B$116:$C$162,2,FALSE)</f>
        <v>NG_FC_mCHP_HEAT</v>
      </c>
    </row>
    <row r="1673" spans="2:36" x14ac:dyDescent="0.25">
      <c r="B1673" t="s">
        <v>127</v>
      </c>
      <c r="C1673" t="s">
        <v>174</v>
      </c>
      <c r="D1673" s="61" t="s">
        <v>177</v>
      </c>
      <c r="E1673" t="s">
        <v>180</v>
      </c>
      <c r="F1673" t="s">
        <v>553</v>
      </c>
      <c r="G1673" t="s">
        <v>132</v>
      </c>
      <c r="H1673" t="s">
        <v>434</v>
      </c>
      <c r="I1673" t="s">
        <v>32</v>
      </c>
      <c r="J1673" t="s">
        <v>82</v>
      </c>
      <c r="K1673">
        <f t="shared" ref="K1673:K1674" si="5301">SUMPRODUCT(($C$7:$C$18=$C1673)*($D$6:$H$6=$D1673)*($D$7:$H$18))</f>
        <v>1</v>
      </c>
      <c r="L1673">
        <f t="shared" ref="L1673:L1674" si="5302">SUMPRODUCT(($C$19:$C$23=$D1673)*($I$6:$O$6=$E1673)*($I$19:$O$23))</f>
        <v>1</v>
      </c>
      <c r="M1673">
        <f t="shared" ref="M1673:M1674" si="5303">SUMPRODUCT(($C$24:$C$30=$E1673)*($P$6:$AI$6=$F1673)*($P$24:$AI$30))</f>
        <v>1</v>
      </c>
      <c r="N1673">
        <f t="shared" ref="N1673:N1674" si="5304">SUMPRODUCT(($C$31:$C$50=$F1673)*($AJ$6:$AM$6=$G1673)*($AJ$31:$AM$50))</f>
        <v>1</v>
      </c>
      <c r="O1673">
        <f t="shared" ref="O1673" si="5305">K1673+L1673+M1673+N1673</f>
        <v>4</v>
      </c>
      <c r="P1673" t="str">
        <f t="shared" ref="P1673:P1674" si="5306">CONCATENATE(C1673,"-",J1673)</f>
        <v>Natural gas production-Public acceptability</v>
      </c>
      <c r="Q1673" t="str">
        <f t="shared" ref="Q1673:Q1674" si="5307">CONCATENATE(D1673,"-",J1673)</f>
        <v>Natural gas storage-Public acceptability</v>
      </c>
      <c r="R1673" t="str">
        <f t="shared" ref="R1673:R1674" si="5308">CONCATENATE(E1673,"-",J1673)</f>
        <v>Natural gas transport-Public acceptability</v>
      </c>
      <c r="S1673" t="str">
        <f t="shared" ref="S1673:S1674" si="5309">CONCATENATE(F1673,"-",J1673)</f>
        <v>Micro-CHP with natural gas fuel cell (heat)-Public acceptability</v>
      </c>
      <c r="T1673" s="54">
        <f ca="1">VLOOKUP($P1673,'TA database'!$I$8:$J$79,2,FALSE)</f>
        <v>100</v>
      </c>
      <c r="U1673" s="54">
        <f ca="1">VLOOKUP($Q1673,'TA database'!$I$86:$J$105,2,FALSE)</f>
        <v>80</v>
      </c>
      <c r="V1673" s="54">
        <f ca="1">VLOOKUP($R1673,'TA database'!$I$112:$J$139,2,FALSE)</f>
        <v>90</v>
      </c>
      <c r="W1673" s="54">
        <f ca="1">IFERROR(VLOOKUP($S1673,'TA database'!$I$146:$J$193,2,FALSE),0)</f>
        <v>80</v>
      </c>
      <c r="X1673" s="54">
        <f>IFERROR(VLOOKUP($S1673,'TA database'!$I$200:$J$271,2,FALSE),0)</f>
        <v>0</v>
      </c>
      <c r="Y1673" s="59">
        <f t="shared" ref="Y1673" ca="1" si="5310">IF($W1673=0,(PRODUCT($T1673:$V1673,$X1673))/1000000,(PRODUCT($T1673:$W1673))/1000000)</f>
        <v>57.6</v>
      </c>
      <c r="Z1673" t="str">
        <f t="shared" ref="Z1673" si="5311">CONCATENATE(AG1673,"   →   ",AH1673,"   →   ",AI1673,"   →   ",AJ1673)</f>
        <v>[NG_PROD]   →   [NG_STRG]   →   [NG_TRNSP]   →   NG_FC_mCHP_HEAT</v>
      </c>
      <c r="AA1673" t="str">
        <f t="shared" ref="AA1673" si="5312">G1673</f>
        <v>Building heat</v>
      </c>
      <c r="AB1673" t="str">
        <f t="shared" ref="AB1673" si="5313">J1673</f>
        <v>Public acceptability</v>
      </c>
      <c r="AC1673">
        <f t="shared" ref="AC1673" ca="1" si="5314">Y1673</f>
        <v>57.6</v>
      </c>
      <c r="AD1673">
        <v>1614</v>
      </c>
      <c r="AE1673" t="str">
        <f>IF(AND(ISNUMBER(SEARCH(O1673,4)),ISNUMBER(SEARCH('(4) FCH pathway assessment'!$B$16,AB1673)),ISNUMBER(SEARCH('(4) FCH pathway assessment'!$B$10,AA1673))),AD1673,"")</f>
        <v/>
      </c>
      <c r="AF1673" t="str">
        <f t="shared" si="5202"/>
        <v/>
      </c>
      <c r="AG1673" t="str">
        <f>VLOOKUP(C1673,Assumptions!$B$116:$C$162,2,FALSE)</f>
        <v>[NG_PROD]</v>
      </c>
      <c r="AH1673" t="str">
        <f>VLOOKUP(D1673,Assumptions!$B$116:$C$162,2,FALSE)</f>
        <v>[NG_STRG]</v>
      </c>
      <c r="AI1673" t="str">
        <f>VLOOKUP(E1673,Assumptions!$B$116:$C$162,2,FALSE)</f>
        <v>[NG_TRNSP]</v>
      </c>
      <c r="AJ1673" t="str">
        <f>VLOOKUP(F1673,Assumptions!$B$116:$C$162,2,FALSE)</f>
        <v>NG_FC_mCHP_HEAT</v>
      </c>
    </row>
    <row r="1674" spans="2:36" x14ac:dyDescent="0.25">
      <c r="B1674" t="s">
        <v>117</v>
      </c>
      <c r="C1674" t="s">
        <v>53</v>
      </c>
      <c r="D1674" t="s">
        <v>155</v>
      </c>
      <c r="E1674" t="s">
        <v>157</v>
      </c>
      <c r="F1674" t="s">
        <v>570</v>
      </c>
      <c r="G1674" t="s">
        <v>120</v>
      </c>
      <c r="H1674" t="s">
        <v>432</v>
      </c>
      <c r="I1674" t="s">
        <v>32</v>
      </c>
      <c r="J1674" t="s">
        <v>534</v>
      </c>
      <c r="K1674">
        <f t="shared" si="5301"/>
        <v>0</v>
      </c>
      <c r="L1674">
        <f t="shared" si="5302"/>
        <v>1</v>
      </c>
      <c r="M1674">
        <f t="shared" si="5303"/>
        <v>0</v>
      </c>
      <c r="N1674">
        <f t="shared" si="5304"/>
        <v>1</v>
      </c>
      <c r="O1674">
        <f t="shared" ref="O1674:O1681" si="5315">K1674+L1674+M1674+N1674</f>
        <v>2</v>
      </c>
      <c r="P1674" t="str">
        <f t="shared" si="5306"/>
        <v>Medium centralized biomass gasification-Regulatory coverage</v>
      </c>
      <c r="Q1674" t="str">
        <f t="shared" si="5307"/>
        <v>Central gas storage-Regulatory coverage</v>
      </c>
      <c r="R1674" t="str">
        <f t="shared" si="5308"/>
        <v>Blending in natural gas pipeline-Regulatory coverage</v>
      </c>
      <c r="S1674" t="str">
        <f t="shared" si="5309"/>
        <v>Industrial H2 boiler-Regulatory coverage</v>
      </c>
      <c r="T1674">
        <f ca="1">VLOOKUP($P1674,'TA database'!$I$8:$J$79,2,FALSE)</f>
        <v>100</v>
      </c>
      <c r="U1674">
        <f ca="1">VLOOKUP($Q1674,'TA database'!$I$86:$J$105,2,FALSE)</f>
        <v>80</v>
      </c>
      <c r="V1674">
        <f ca="1">VLOOKUP($R1674,'TA database'!$I$112:$J$139,2,FALSE)</f>
        <v>100</v>
      </c>
      <c r="W1674">
        <f ca="1">IFERROR(VLOOKUP($S1674,'TA database'!$I$146:$J$193,2,FALSE),0)</f>
        <v>50</v>
      </c>
      <c r="X1674">
        <f>IFERROR(VLOOKUP($S1674,'TA database'!$I$200:$J$271,2,FALSE),0)</f>
        <v>0</v>
      </c>
      <c r="Y1674">
        <f t="shared" ref="Y1674:Y1681" ca="1" si="5316">IF($W1674=0,SUM($T1674:$V1674,$X1674)/4,SUM($T1674:$W1674)/4)</f>
        <v>82.5</v>
      </c>
      <c r="Z1674" t="str">
        <f t="shared" ref="Z1674:Z1681" si="5317">CONCATENATE(AG1674,"   →   ",AH1674,"   →   ",AI1674,"   →   ",AJ1674)</f>
        <v>BIO_GSF_MED_C   →   C_GAS_STRG   →   H2_BLND_NG_P   →   H2_IND_BOIL_HEAT</v>
      </c>
      <c r="AA1674" t="str">
        <f t="shared" ref="AA1674:AA1681" si="5318">G1674</f>
        <v>Industrial heat</v>
      </c>
      <c r="AB1674" t="str">
        <f t="shared" ref="AB1674:AB1681" si="5319">J1674</f>
        <v>Regulatory coverage</v>
      </c>
      <c r="AC1674">
        <f t="shared" ref="AC1674:AC1681" ca="1" si="5320">Y1674</f>
        <v>82.5</v>
      </c>
      <c r="AD1674">
        <v>1615</v>
      </c>
      <c r="AE1674" t="str">
        <f>IF(AND(ISNUMBER(SEARCH(O1674,4)),ISNUMBER(SEARCH('(4) FCH pathway assessment'!$B$16,AB1674)),ISNUMBER(SEARCH('(4) FCH pathway assessment'!$B$10,AA1674))),AD1674,"")</f>
        <v/>
      </c>
      <c r="AF1674" t="str">
        <f t="shared" si="5202"/>
        <v/>
      </c>
      <c r="AG1674" t="str">
        <f>VLOOKUP(C1674,Assumptions!$B$116:$C$162,2,FALSE)</f>
        <v>BIO_GSF_MED_C</v>
      </c>
      <c r="AH1674" t="str">
        <f>VLOOKUP(D1674,Assumptions!$B$116:$C$162,2,FALSE)</f>
        <v>C_GAS_STRG</v>
      </c>
      <c r="AI1674" t="str">
        <f>VLOOKUP(E1674,Assumptions!$B$116:$C$162,2,FALSE)</f>
        <v>H2_BLND_NG_P</v>
      </c>
      <c r="AJ1674" t="str">
        <f>VLOOKUP(F1674,Assumptions!$B$116:$C$162,2,FALSE)</f>
        <v>H2_IND_BOIL_HEAT</v>
      </c>
    </row>
    <row r="1675" spans="2:36" x14ac:dyDescent="0.25">
      <c r="B1675" t="s">
        <v>117</v>
      </c>
      <c r="C1675" t="s">
        <v>53</v>
      </c>
      <c r="D1675" t="s">
        <v>155</v>
      </c>
      <c r="E1675" t="s">
        <v>122</v>
      </c>
      <c r="F1675" t="s">
        <v>570</v>
      </c>
      <c r="G1675" t="s">
        <v>120</v>
      </c>
      <c r="H1675" t="s">
        <v>432</v>
      </c>
      <c r="I1675" t="s">
        <v>32</v>
      </c>
      <c r="J1675" t="s">
        <v>534</v>
      </c>
      <c r="K1675">
        <f t="shared" ref="K1675:K1681" si="5321">SUMPRODUCT(($C$7:$C$18=$C1675)*($D$6:$H$6=$D1675)*($D$7:$H$18))</f>
        <v>0</v>
      </c>
      <c r="L1675">
        <f t="shared" ref="L1675:L1681" si="5322">SUMPRODUCT(($C$19:$C$23=$D1675)*($I$6:$O$6=$E1675)*($I$19:$O$23))</f>
        <v>1</v>
      </c>
      <c r="M1675">
        <f t="shared" ref="M1675:M1681" si="5323">SUMPRODUCT(($C$24:$C$30=$E1675)*($P$6:$AI$6=$F1675)*($P$24:$AI$30))</f>
        <v>1</v>
      </c>
      <c r="N1675">
        <f t="shared" ref="N1675:N1681" si="5324">SUMPRODUCT(($C$31:$C$50=$F1675)*($AJ$6:$AM$6=$G1675)*($AJ$31:$AM$50))</f>
        <v>1</v>
      </c>
      <c r="O1675">
        <f t="shared" si="5315"/>
        <v>3</v>
      </c>
      <c r="P1675" t="str">
        <f t="shared" ref="P1675:P1681" si="5325">CONCATENATE(C1675,"-",J1675)</f>
        <v>Medium centralized biomass gasification-Regulatory coverage</v>
      </c>
      <c r="Q1675" t="str">
        <f t="shared" ref="Q1675:Q1681" si="5326">CONCATENATE(D1675,"-",J1675)</f>
        <v>Central gas storage-Regulatory coverage</v>
      </c>
      <c r="R1675" t="str">
        <f t="shared" ref="R1675:R1681" si="5327">CONCATENATE(E1675,"-",J1675)</f>
        <v>Hydrogen transmission &amp; distribution pipeline-Regulatory coverage</v>
      </c>
      <c r="S1675" t="str">
        <f t="shared" ref="S1675:S1681" si="5328">CONCATENATE(F1675,"-",J1675)</f>
        <v>Industrial H2 boiler-Regulatory coverage</v>
      </c>
      <c r="T1675">
        <f ca="1">VLOOKUP($P1675,'TA database'!$I$8:$J$79,2,FALSE)</f>
        <v>100</v>
      </c>
      <c r="U1675">
        <f ca="1">VLOOKUP($Q1675,'TA database'!$I$86:$J$105,2,FALSE)</f>
        <v>80</v>
      </c>
      <c r="V1675">
        <f ca="1">VLOOKUP($R1675,'TA database'!$I$112:$J$139,2,FALSE)</f>
        <v>40</v>
      </c>
      <c r="W1675">
        <f ca="1">IFERROR(VLOOKUP($S1675,'TA database'!$I$146:$J$193,2,FALSE),0)</f>
        <v>50</v>
      </c>
      <c r="X1675">
        <f>IFERROR(VLOOKUP($S1675,'TA database'!$I$200:$J$271,2,FALSE),0)</f>
        <v>0</v>
      </c>
      <c r="Y1675">
        <f t="shared" ca="1" si="5316"/>
        <v>67.5</v>
      </c>
      <c r="Z1675" t="str">
        <f t="shared" si="5317"/>
        <v>BIO_GSF_MED_C   →   C_GAS_STRG   →   H2_T&amp;D_P   →   H2_IND_BOIL_HEAT</v>
      </c>
      <c r="AA1675" t="str">
        <f t="shared" si="5318"/>
        <v>Industrial heat</v>
      </c>
      <c r="AB1675" t="str">
        <f t="shared" si="5319"/>
        <v>Regulatory coverage</v>
      </c>
      <c r="AC1675">
        <f t="shared" ca="1" si="5320"/>
        <v>67.5</v>
      </c>
      <c r="AD1675">
        <v>1616</v>
      </c>
      <c r="AE1675" t="str">
        <f>IF(AND(ISNUMBER(SEARCH(O1675,4)),ISNUMBER(SEARCH('(4) FCH pathway assessment'!$B$16,AB1675)),ISNUMBER(SEARCH('(4) FCH pathway assessment'!$B$10,AA1675))),AD1675,"")</f>
        <v/>
      </c>
      <c r="AF1675" t="str">
        <f t="shared" si="5202"/>
        <v/>
      </c>
      <c r="AG1675" t="str">
        <f>VLOOKUP(C1675,Assumptions!$B$116:$C$162,2,FALSE)</f>
        <v>BIO_GSF_MED_C</v>
      </c>
      <c r="AH1675" t="str">
        <f>VLOOKUP(D1675,Assumptions!$B$116:$C$162,2,FALSE)</f>
        <v>C_GAS_STRG</v>
      </c>
      <c r="AI1675" t="str">
        <f>VLOOKUP(E1675,Assumptions!$B$116:$C$162,2,FALSE)</f>
        <v>H2_T&amp;D_P</v>
      </c>
      <c r="AJ1675" t="str">
        <f>VLOOKUP(F1675,Assumptions!$B$116:$C$162,2,FALSE)</f>
        <v>H2_IND_BOIL_HEAT</v>
      </c>
    </row>
    <row r="1676" spans="2:36" x14ac:dyDescent="0.25">
      <c r="B1676" t="s">
        <v>117</v>
      </c>
      <c r="C1676" t="s">
        <v>53</v>
      </c>
      <c r="D1676" t="s">
        <v>155</v>
      </c>
      <c r="E1676" t="s">
        <v>116</v>
      </c>
      <c r="F1676" t="s">
        <v>570</v>
      </c>
      <c r="G1676" t="s">
        <v>120</v>
      </c>
      <c r="H1676" t="s">
        <v>432</v>
      </c>
      <c r="I1676" t="s">
        <v>32</v>
      </c>
      <c r="J1676" t="s">
        <v>534</v>
      </c>
      <c r="K1676">
        <f t="shared" si="5321"/>
        <v>0</v>
      </c>
      <c r="L1676">
        <f t="shared" si="5322"/>
        <v>1</v>
      </c>
      <c r="M1676">
        <f t="shared" si="5323"/>
        <v>1</v>
      </c>
      <c r="N1676">
        <f t="shared" si="5324"/>
        <v>1</v>
      </c>
      <c r="O1676">
        <f t="shared" si="5315"/>
        <v>3</v>
      </c>
      <c r="P1676" t="str">
        <f t="shared" si="5325"/>
        <v>Medium centralized biomass gasification-Regulatory coverage</v>
      </c>
      <c r="Q1676" t="str">
        <f t="shared" si="5326"/>
        <v>Central gas storage-Regulatory coverage</v>
      </c>
      <c r="R1676" t="str">
        <f t="shared" si="5327"/>
        <v>Liquid hydrogen truck-Regulatory coverage</v>
      </c>
      <c r="S1676" t="str">
        <f t="shared" si="5328"/>
        <v>Industrial H2 boiler-Regulatory coverage</v>
      </c>
      <c r="T1676">
        <f ca="1">VLOOKUP($P1676,'TA database'!$I$8:$J$79,2,FALSE)</f>
        <v>100</v>
      </c>
      <c r="U1676">
        <f ca="1">VLOOKUP($Q1676,'TA database'!$I$86:$J$105,2,FALSE)</f>
        <v>80</v>
      </c>
      <c r="V1676">
        <f ca="1">VLOOKUP($R1676,'TA database'!$I$112:$J$139,2,FALSE)</f>
        <v>40</v>
      </c>
      <c r="W1676">
        <f ca="1">IFERROR(VLOOKUP($S1676,'TA database'!$I$146:$J$193,2,FALSE),0)</f>
        <v>50</v>
      </c>
      <c r="X1676">
        <f>IFERROR(VLOOKUP($S1676,'TA database'!$I$200:$J$271,2,FALSE),0)</f>
        <v>0</v>
      </c>
      <c r="Y1676">
        <f t="shared" ca="1" si="5316"/>
        <v>67.5</v>
      </c>
      <c r="Z1676" t="str">
        <f t="shared" si="5317"/>
        <v>BIO_GSF_MED_C   →   C_GAS_STRG   →   LQ_TRUCK   →   H2_IND_BOIL_HEAT</v>
      </c>
      <c r="AA1676" t="str">
        <f t="shared" si="5318"/>
        <v>Industrial heat</v>
      </c>
      <c r="AB1676" t="str">
        <f t="shared" si="5319"/>
        <v>Regulatory coverage</v>
      </c>
      <c r="AC1676">
        <f t="shared" ca="1" si="5320"/>
        <v>67.5</v>
      </c>
      <c r="AD1676">
        <v>1617</v>
      </c>
      <c r="AE1676" t="str">
        <f>IF(AND(ISNUMBER(SEARCH(O1676,4)),ISNUMBER(SEARCH('(4) FCH pathway assessment'!$B$16,AB1676)),ISNUMBER(SEARCH('(4) FCH pathway assessment'!$B$10,AA1676))),AD1676,"")</f>
        <v/>
      </c>
      <c r="AF1676" t="str">
        <f t="shared" si="5202"/>
        <v/>
      </c>
      <c r="AG1676" t="str">
        <f>VLOOKUP(C1676,Assumptions!$B$116:$C$162,2,FALSE)</f>
        <v>BIO_GSF_MED_C</v>
      </c>
      <c r="AH1676" t="str">
        <f>VLOOKUP(D1676,Assumptions!$B$116:$C$162,2,FALSE)</f>
        <v>C_GAS_STRG</v>
      </c>
      <c r="AI1676" t="str">
        <f>VLOOKUP(E1676,Assumptions!$B$116:$C$162,2,FALSE)</f>
        <v>LQ_TRUCK</v>
      </c>
      <c r="AJ1676" t="str">
        <f>VLOOKUP(F1676,Assumptions!$B$116:$C$162,2,FALSE)</f>
        <v>H2_IND_BOIL_HEAT</v>
      </c>
    </row>
    <row r="1677" spans="2:36" x14ac:dyDescent="0.25">
      <c r="B1677" t="s">
        <v>117</v>
      </c>
      <c r="C1677" t="s">
        <v>53</v>
      </c>
      <c r="D1677" t="s">
        <v>155</v>
      </c>
      <c r="E1677" t="s">
        <v>66</v>
      </c>
      <c r="F1677" t="s">
        <v>570</v>
      </c>
      <c r="G1677" t="s">
        <v>120</v>
      </c>
      <c r="H1677" t="s">
        <v>432</v>
      </c>
      <c r="I1677" t="s">
        <v>32</v>
      </c>
      <c r="J1677" t="s">
        <v>534</v>
      </c>
      <c r="K1677">
        <f t="shared" si="5321"/>
        <v>0</v>
      </c>
      <c r="L1677">
        <f t="shared" si="5322"/>
        <v>1</v>
      </c>
      <c r="M1677">
        <f t="shared" si="5323"/>
        <v>1</v>
      </c>
      <c r="N1677">
        <f t="shared" si="5324"/>
        <v>1</v>
      </c>
      <c r="O1677">
        <f t="shared" si="5315"/>
        <v>3</v>
      </c>
      <c r="P1677" t="str">
        <f t="shared" si="5325"/>
        <v>Medium centralized biomass gasification-Regulatory coverage</v>
      </c>
      <c r="Q1677" t="str">
        <f t="shared" si="5326"/>
        <v>Central gas storage-Regulatory coverage</v>
      </c>
      <c r="R1677" t="str">
        <f t="shared" si="5327"/>
        <v>Onsite-Regulatory coverage</v>
      </c>
      <c r="S1677" t="str">
        <f t="shared" si="5328"/>
        <v>Industrial H2 boiler-Regulatory coverage</v>
      </c>
      <c r="T1677">
        <f ca="1">VLOOKUP($P1677,'TA database'!$I$8:$J$79,2,FALSE)</f>
        <v>100</v>
      </c>
      <c r="U1677">
        <f ca="1">VLOOKUP($Q1677,'TA database'!$I$86:$J$105,2,FALSE)</f>
        <v>80</v>
      </c>
      <c r="V1677">
        <f ca="1">VLOOKUP($R1677,'TA database'!$I$112:$J$139,2,FALSE)</f>
        <v>100</v>
      </c>
      <c r="W1677">
        <f ca="1">IFERROR(VLOOKUP($S1677,'TA database'!$I$146:$J$193,2,FALSE),0)</f>
        <v>50</v>
      </c>
      <c r="X1677">
        <f>IFERROR(VLOOKUP($S1677,'TA database'!$I$200:$J$271,2,FALSE),0)</f>
        <v>0</v>
      </c>
      <c r="Y1677">
        <f t="shared" ca="1" si="5316"/>
        <v>82.5</v>
      </c>
      <c r="Z1677" t="str">
        <f t="shared" si="5317"/>
        <v>BIO_GSF_MED_C   →   C_GAS_STRG   →   ONSITE_USE   →   H2_IND_BOIL_HEAT</v>
      </c>
      <c r="AA1677" t="str">
        <f t="shared" si="5318"/>
        <v>Industrial heat</v>
      </c>
      <c r="AB1677" t="str">
        <f t="shared" si="5319"/>
        <v>Regulatory coverage</v>
      </c>
      <c r="AC1677">
        <f t="shared" ca="1" si="5320"/>
        <v>82.5</v>
      </c>
      <c r="AD1677">
        <v>1618</v>
      </c>
      <c r="AE1677" t="str">
        <f>IF(AND(ISNUMBER(SEARCH(O1677,4)),ISNUMBER(SEARCH('(4) FCH pathway assessment'!$B$16,AB1677)),ISNUMBER(SEARCH('(4) FCH pathway assessment'!$B$10,AA1677))),AD1677,"")</f>
        <v/>
      </c>
      <c r="AF1677" t="str">
        <f t="shared" si="5202"/>
        <v/>
      </c>
      <c r="AG1677" t="str">
        <f>VLOOKUP(C1677,Assumptions!$B$116:$C$162,2,FALSE)</f>
        <v>BIO_GSF_MED_C</v>
      </c>
      <c r="AH1677" t="str">
        <f>VLOOKUP(D1677,Assumptions!$B$116:$C$162,2,FALSE)</f>
        <v>C_GAS_STRG</v>
      </c>
      <c r="AI1677" t="str">
        <f>VLOOKUP(E1677,Assumptions!$B$116:$C$162,2,FALSE)</f>
        <v>ONSITE_USE</v>
      </c>
      <c r="AJ1677" t="str">
        <f>VLOOKUP(F1677,Assumptions!$B$116:$C$162,2,FALSE)</f>
        <v>H2_IND_BOIL_HEAT</v>
      </c>
    </row>
    <row r="1678" spans="2:36" x14ac:dyDescent="0.25">
      <c r="B1678" t="s">
        <v>117</v>
      </c>
      <c r="C1678" t="s">
        <v>54</v>
      </c>
      <c r="D1678" t="s">
        <v>155</v>
      </c>
      <c r="E1678" t="s">
        <v>157</v>
      </c>
      <c r="F1678" t="s">
        <v>570</v>
      </c>
      <c r="G1678" t="s">
        <v>120</v>
      </c>
      <c r="H1678" t="s">
        <v>432</v>
      </c>
      <c r="I1678" t="s">
        <v>32</v>
      </c>
      <c r="J1678" t="s">
        <v>534</v>
      </c>
      <c r="K1678">
        <f t="shared" si="5321"/>
        <v>0</v>
      </c>
      <c r="L1678">
        <f t="shared" si="5322"/>
        <v>1</v>
      </c>
      <c r="M1678">
        <f t="shared" si="5323"/>
        <v>0</v>
      </c>
      <c r="N1678">
        <f t="shared" si="5324"/>
        <v>1</v>
      </c>
      <c r="O1678">
        <f t="shared" si="5315"/>
        <v>2</v>
      </c>
      <c r="P1678" t="str">
        <f t="shared" si="5325"/>
        <v>Medium centralized biomass gasification w/ CCS-Regulatory coverage</v>
      </c>
      <c r="Q1678" t="str">
        <f t="shared" si="5326"/>
        <v>Central gas storage-Regulatory coverage</v>
      </c>
      <c r="R1678" t="str">
        <f t="shared" si="5327"/>
        <v>Blending in natural gas pipeline-Regulatory coverage</v>
      </c>
      <c r="S1678" t="str">
        <f t="shared" si="5328"/>
        <v>Industrial H2 boiler-Regulatory coverage</v>
      </c>
      <c r="T1678">
        <f ca="1">VLOOKUP($P1678,'TA database'!$I$8:$J$79,2,FALSE)</f>
        <v>80</v>
      </c>
      <c r="U1678">
        <f ca="1">VLOOKUP($Q1678,'TA database'!$I$86:$J$105,2,FALSE)</f>
        <v>80</v>
      </c>
      <c r="V1678">
        <f ca="1">VLOOKUP($R1678,'TA database'!$I$112:$J$139,2,FALSE)</f>
        <v>100</v>
      </c>
      <c r="W1678">
        <f ca="1">IFERROR(VLOOKUP($S1678,'TA database'!$I$146:$J$193,2,FALSE),0)</f>
        <v>50</v>
      </c>
      <c r="X1678">
        <f>IFERROR(VLOOKUP($S1678,'TA database'!$I$200:$J$271,2,FALSE),0)</f>
        <v>0</v>
      </c>
      <c r="Y1678">
        <f t="shared" ca="1" si="5316"/>
        <v>77.5</v>
      </c>
      <c r="Z1678" t="str">
        <f t="shared" si="5317"/>
        <v>BIO_GSF_CCS_MED_C   →   C_GAS_STRG   →   H2_BLND_NG_P   →   H2_IND_BOIL_HEAT</v>
      </c>
      <c r="AA1678" t="str">
        <f t="shared" si="5318"/>
        <v>Industrial heat</v>
      </c>
      <c r="AB1678" t="str">
        <f t="shared" si="5319"/>
        <v>Regulatory coverage</v>
      </c>
      <c r="AC1678">
        <f t="shared" ca="1" si="5320"/>
        <v>77.5</v>
      </c>
      <c r="AD1678">
        <v>1619</v>
      </c>
      <c r="AE1678" t="str">
        <f>IF(AND(ISNUMBER(SEARCH(O1678,4)),ISNUMBER(SEARCH('(4) FCH pathway assessment'!$B$16,AB1678)),ISNUMBER(SEARCH('(4) FCH pathway assessment'!$B$10,AA1678))),AD1678,"")</f>
        <v/>
      </c>
      <c r="AF1678" t="str">
        <f t="shared" si="5202"/>
        <v/>
      </c>
      <c r="AG1678" t="str">
        <f>VLOOKUP(C1678,Assumptions!$B$116:$C$162,2,FALSE)</f>
        <v>BIO_GSF_CCS_MED_C</v>
      </c>
      <c r="AH1678" t="str">
        <f>VLOOKUP(D1678,Assumptions!$B$116:$C$162,2,FALSE)</f>
        <v>C_GAS_STRG</v>
      </c>
      <c r="AI1678" t="str">
        <f>VLOOKUP(E1678,Assumptions!$B$116:$C$162,2,FALSE)</f>
        <v>H2_BLND_NG_P</v>
      </c>
      <c r="AJ1678" t="str">
        <f>VLOOKUP(F1678,Assumptions!$B$116:$C$162,2,FALSE)</f>
        <v>H2_IND_BOIL_HEAT</v>
      </c>
    </row>
    <row r="1679" spans="2:36" x14ac:dyDescent="0.25">
      <c r="B1679" t="s">
        <v>117</v>
      </c>
      <c r="C1679" t="s">
        <v>54</v>
      </c>
      <c r="D1679" t="s">
        <v>155</v>
      </c>
      <c r="E1679" t="s">
        <v>122</v>
      </c>
      <c r="F1679" t="s">
        <v>570</v>
      </c>
      <c r="G1679" t="s">
        <v>120</v>
      </c>
      <c r="H1679" t="s">
        <v>432</v>
      </c>
      <c r="I1679" t="s">
        <v>32</v>
      </c>
      <c r="J1679" t="s">
        <v>534</v>
      </c>
      <c r="K1679">
        <f t="shared" si="5321"/>
        <v>0</v>
      </c>
      <c r="L1679">
        <f t="shared" si="5322"/>
        <v>1</v>
      </c>
      <c r="M1679">
        <f t="shared" si="5323"/>
        <v>1</v>
      </c>
      <c r="N1679">
        <f t="shared" si="5324"/>
        <v>1</v>
      </c>
      <c r="O1679">
        <f t="shared" si="5315"/>
        <v>3</v>
      </c>
      <c r="P1679" t="str">
        <f t="shared" si="5325"/>
        <v>Medium centralized biomass gasification w/ CCS-Regulatory coverage</v>
      </c>
      <c r="Q1679" t="str">
        <f t="shared" si="5326"/>
        <v>Central gas storage-Regulatory coverage</v>
      </c>
      <c r="R1679" t="str">
        <f t="shared" si="5327"/>
        <v>Hydrogen transmission &amp; distribution pipeline-Regulatory coverage</v>
      </c>
      <c r="S1679" t="str">
        <f t="shared" si="5328"/>
        <v>Industrial H2 boiler-Regulatory coverage</v>
      </c>
      <c r="T1679">
        <f ca="1">VLOOKUP($P1679,'TA database'!$I$8:$J$79,2,FALSE)</f>
        <v>80</v>
      </c>
      <c r="U1679">
        <f ca="1">VLOOKUP($Q1679,'TA database'!$I$86:$J$105,2,FALSE)</f>
        <v>80</v>
      </c>
      <c r="V1679">
        <f ca="1">VLOOKUP($R1679,'TA database'!$I$112:$J$139,2,FALSE)</f>
        <v>40</v>
      </c>
      <c r="W1679">
        <f ca="1">IFERROR(VLOOKUP($S1679,'TA database'!$I$146:$J$193,2,FALSE),0)</f>
        <v>50</v>
      </c>
      <c r="X1679">
        <f>IFERROR(VLOOKUP($S1679,'TA database'!$I$200:$J$271,2,FALSE),0)</f>
        <v>0</v>
      </c>
      <c r="Y1679">
        <f t="shared" ca="1" si="5316"/>
        <v>62.5</v>
      </c>
      <c r="Z1679" t="str">
        <f t="shared" si="5317"/>
        <v>BIO_GSF_CCS_MED_C   →   C_GAS_STRG   →   H2_T&amp;D_P   →   H2_IND_BOIL_HEAT</v>
      </c>
      <c r="AA1679" t="str">
        <f t="shared" si="5318"/>
        <v>Industrial heat</v>
      </c>
      <c r="AB1679" t="str">
        <f t="shared" si="5319"/>
        <v>Regulatory coverage</v>
      </c>
      <c r="AC1679">
        <f t="shared" ca="1" si="5320"/>
        <v>62.5</v>
      </c>
      <c r="AD1679">
        <v>1620</v>
      </c>
      <c r="AE1679" t="str">
        <f>IF(AND(ISNUMBER(SEARCH(O1679,4)),ISNUMBER(SEARCH('(4) FCH pathway assessment'!$B$16,AB1679)),ISNUMBER(SEARCH('(4) FCH pathway assessment'!$B$10,AA1679))),AD1679,"")</f>
        <v/>
      </c>
      <c r="AF1679" t="str">
        <f t="shared" si="5202"/>
        <v/>
      </c>
      <c r="AG1679" t="str">
        <f>VLOOKUP(C1679,Assumptions!$B$116:$C$162,2,FALSE)</f>
        <v>BIO_GSF_CCS_MED_C</v>
      </c>
      <c r="AH1679" t="str">
        <f>VLOOKUP(D1679,Assumptions!$B$116:$C$162,2,FALSE)</f>
        <v>C_GAS_STRG</v>
      </c>
      <c r="AI1679" t="str">
        <f>VLOOKUP(E1679,Assumptions!$B$116:$C$162,2,FALSE)</f>
        <v>H2_T&amp;D_P</v>
      </c>
      <c r="AJ1679" t="str">
        <f>VLOOKUP(F1679,Assumptions!$B$116:$C$162,2,FALSE)</f>
        <v>H2_IND_BOIL_HEAT</v>
      </c>
    </row>
    <row r="1680" spans="2:36" x14ac:dyDescent="0.25">
      <c r="B1680" t="s">
        <v>117</v>
      </c>
      <c r="C1680" t="s">
        <v>54</v>
      </c>
      <c r="D1680" t="s">
        <v>155</v>
      </c>
      <c r="E1680" t="s">
        <v>116</v>
      </c>
      <c r="F1680" t="s">
        <v>570</v>
      </c>
      <c r="G1680" t="s">
        <v>120</v>
      </c>
      <c r="H1680" t="s">
        <v>432</v>
      </c>
      <c r="I1680" t="s">
        <v>32</v>
      </c>
      <c r="J1680" t="s">
        <v>534</v>
      </c>
      <c r="K1680">
        <f t="shared" si="5321"/>
        <v>0</v>
      </c>
      <c r="L1680">
        <f t="shared" si="5322"/>
        <v>1</v>
      </c>
      <c r="M1680">
        <f t="shared" si="5323"/>
        <v>1</v>
      </c>
      <c r="N1680">
        <f t="shared" si="5324"/>
        <v>1</v>
      </c>
      <c r="O1680">
        <f t="shared" si="5315"/>
        <v>3</v>
      </c>
      <c r="P1680" t="str">
        <f t="shared" si="5325"/>
        <v>Medium centralized biomass gasification w/ CCS-Regulatory coverage</v>
      </c>
      <c r="Q1680" t="str">
        <f t="shared" si="5326"/>
        <v>Central gas storage-Regulatory coverage</v>
      </c>
      <c r="R1680" t="str">
        <f t="shared" si="5327"/>
        <v>Liquid hydrogen truck-Regulatory coverage</v>
      </c>
      <c r="S1680" t="str">
        <f t="shared" si="5328"/>
        <v>Industrial H2 boiler-Regulatory coverage</v>
      </c>
      <c r="T1680">
        <f ca="1">VLOOKUP($P1680,'TA database'!$I$8:$J$79,2,FALSE)</f>
        <v>80</v>
      </c>
      <c r="U1680">
        <f ca="1">VLOOKUP($Q1680,'TA database'!$I$86:$J$105,2,FALSE)</f>
        <v>80</v>
      </c>
      <c r="V1680">
        <f ca="1">VLOOKUP($R1680,'TA database'!$I$112:$J$139,2,FALSE)</f>
        <v>40</v>
      </c>
      <c r="W1680">
        <f ca="1">IFERROR(VLOOKUP($S1680,'TA database'!$I$146:$J$193,2,FALSE),0)</f>
        <v>50</v>
      </c>
      <c r="X1680">
        <f>IFERROR(VLOOKUP($S1680,'TA database'!$I$200:$J$271,2,FALSE),0)</f>
        <v>0</v>
      </c>
      <c r="Y1680">
        <f t="shared" ca="1" si="5316"/>
        <v>62.5</v>
      </c>
      <c r="Z1680" t="str">
        <f t="shared" si="5317"/>
        <v>BIO_GSF_CCS_MED_C   →   C_GAS_STRG   →   LQ_TRUCK   →   H2_IND_BOIL_HEAT</v>
      </c>
      <c r="AA1680" t="str">
        <f t="shared" si="5318"/>
        <v>Industrial heat</v>
      </c>
      <c r="AB1680" t="str">
        <f t="shared" si="5319"/>
        <v>Regulatory coverage</v>
      </c>
      <c r="AC1680">
        <f t="shared" ca="1" si="5320"/>
        <v>62.5</v>
      </c>
      <c r="AD1680">
        <v>1621</v>
      </c>
      <c r="AE1680" t="str">
        <f>IF(AND(ISNUMBER(SEARCH(O1680,4)),ISNUMBER(SEARCH('(4) FCH pathway assessment'!$B$16,AB1680)),ISNUMBER(SEARCH('(4) FCH pathway assessment'!$B$10,AA1680))),AD1680,"")</f>
        <v/>
      </c>
      <c r="AF1680" t="str">
        <f t="shared" si="5202"/>
        <v/>
      </c>
      <c r="AG1680" t="str">
        <f>VLOOKUP(C1680,Assumptions!$B$116:$C$162,2,FALSE)</f>
        <v>BIO_GSF_CCS_MED_C</v>
      </c>
      <c r="AH1680" t="str">
        <f>VLOOKUP(D1680,Assumptions!$B$116:$C$162,2,FALSE)</f>
        <v>C_GAS_STRG</v>
      </c>
      <c r="AI1680" t="str">
        <f>VLOOKUP(E1680,Assumptions!$B$116:$C$162,2,FALSE)</f>
        <v>LQ_TRUCK</v>
      </c>
      <c r="AJ1680" t="str">
        <f>VLOOKUP(F1680,Assumptions!$B$116:$C$162,2,FALSE)</f>
        <v>H2_IND_BOIL_HEAT</v>
      </c>
    </row>
    <row r="1681" spans="2:36" x14ac:dyDescent="0.25">
      <c r="B1681" t="s">
        <v>117</v>
      </c>
      <c r="C1681" t="s">
        <v>54</v>
      </c>
      <c r="D1681" t="s">
        <v>155</v>
      </c>
      <c r="E1681" t="s">
        <v>66</v>
      </c>
      <c r="F1681" t="s">
        <v>570</v>
      </c>
      <c r="G1681" t="s">
        <v>120</v>
      </c>
      <c r="H1681" t="s">
        <v>432</v>
      </c>
      <c r="I1681" t="s">
        <v>32</v>
      </c>
      <c r="J1681" t="s">
        <v>534</v>
      </c>
      <c r="K1681">
        <f t="shared" si="5321"/>
        <v>0</v>
      </c>
      <c r="L1681">
        <f t="shared" si="5322"/>
        <v>1</v>
      </c>
      <c r="M1681">
        <f t="shared" si="5323"/>
        <v>1</v>
      </c>
      <c r="N1681">
        <f t="shared" si="5324"/>
        <v>1</v>
      </c>
      <c r="O1681">
        <f t="shared" si="5315"/>
        <v>3</v>
      </c>
      <c r="P1681" t="str">
        <f t="shared" si="5325"/>
        <v>Medium centralized biomass gasification w/ CCS-Regulatory coverage</v>
      </c>
      <c r="Q1681" t="str">
        <f t="shared" si="5326"/>
        <v>Central gas storage-Regulatory coverage</v>
      </c>
      <c r="R1681" t="str">
        <f t="shared" si="5327"/>
        <v>Onsite-Regulatory coverage</v>
      </c>
      <c r="S1681" t="str">
        <f t="shared" si="5328"/>
        <v>Industrial H2 boiler-Regulatory coverage</v>
      </c>
      <c r="T1681">
        <f ca="1">VLOOKUP($P1681,'TA database'!$I$8:$J$79,2,FALSE)</f>
        <v>80</v>
      </c>
      <c r="U1681">
        <f ca="1">VLOOKUP($Q1681,'TA database'!$I$86:$J$105,2,FALSE)</f>
        <v>80</v>
      </c>
      <c r="V1681">
        <f ca="1">VLOOKUP($R1681,'TA database'!$I$112:$J$139,2,FALSE)</f>
        <v>100</v>
      </c>
      <c r="W1681">
        <f ca="1">IFERROR(VLOOKUP($S1681,'TA database'!$I$146:$J$193,2,FALSE),0)</f>
        <v>50</v>
      </c>
      <c r="X1681">
        <f>IFERROR(VLOOKUP($S1681,'TA database'!$I$200:$J$271,2,FALSE),0)</f>
        <v>0</v>
      </c>
      <c r="Y1681">
        <f t="shared" ca="1" si="5316"/>
        <v>77.5</v>
      </c>
      <c r="Z1681" t="str">
        <f t="shared" si="5317"/>
        <v>BIO_GSF_CCS_MED_C   →   C_GAS_STRG   →   ONSITE_USE   →   H2_IND_BOIL_HEAT</v>
      </c>
      <c r="AA1681" t="str">
        <f t="shared" si="5318"/>
        <v>Industrial heat</v>
      </c>
      <c r="AB1681" t="str">
        <f t="shared" si="5319"/>
        <v>Regulatory coverage</v>
      </c>
      <c r="AC1681">
        <f t="shared" ca="1" si="5320"/>
        <v>77.5</v>
      </c>
      <c r="AD1681">
        <v>1622</v>
      </c>
      <c r="AE1681" t="str">
        <f>IF(AND(ISNUMBER(SEARCH(O1681,4)),ISNUMBER(SEARCH('(4) FCH pathway assessment'!$B$16,AB1681)),ISNUMBER(SEARCH('(4) FCH pathway assessment'!$B$10,AA1681))),AD1681,"")</f>
        <v/>
      </c>
      <c r="AF1681" t="str">
        <f t="shared" si="5202"/>
        <v/>
      </c>
      <c r="AG1681" t="str">
        <f>VLOOKUP(C1681,Assumptions!$B$116:$C$162,2,FALSE)</f>
        <v>BIO_GSF_CCS_MED_C</v>
      </c>
      <c r="AH1681" t="str">
        <f>VLOOKUP(D1681,Assumptions!$B$116:$C$162,2,FALSE)</f>
        <v>C_GAS_STRG</v>
      </c>
      <c r="AI1681" t="str">
        <f>VLOOKUP(E1681,Assumptions!$B$116:$C$162,2,FALSE)</f>
        <v>ONSITE_USE</v>
      </c>
      <c r="AJ1681" t="str">
        <f>VLOOKUP(F1681,Assumptions!$B$116:$C$162,2,FALSE)</f>
        <v>H2_IND_BOIL_HEAT</v>
      </c>
    </row>
    <row r="1682" spans="2:36" x14ac:dyDescent="0.25">
      <c r="B1682" t="s">
        <v>117</v>
      </c>
      <c r="C1682" t="s">
        <v>55</v>
      </c>
      <c r="D1682" s="60" t="s">
        <v>130</v>
      </c>
      <c r="E1682" t="s">
        <v>66</v>
      </c>
      <c r="F1682" t="s">
        <v>570</v>
      </c>
      <c r="G1682" t="s">
        <v>120</v>
      </c>
      <c r="H1682" t="s">
        <v>432</v>
      </c>
      <c r="I1682" t="s">
        <v>32</v>
      </c>
      <c r="J1682" t="s">
        <v>534</v>
      </c>
      <c r="K1682">
        <f t="shared" ref="K1682:K1687" si="5329">SUMPRODUCT(($C$7:$C$18=$C1682)*($D$6:$H$6=$D1682)*($D$7:$H$18))</f>
        <v>0</v>
      </c>
      <c r="L1682">
        <f t="shared" ref="L1682:L1687" si="5330">SUMPRODUCT(($C$19:$C$23=$D1682)*($I$6:$O$6=$E1682)*($I$19:$O$23))</f>
        <v>1</v>
      </c>
      <c r="M1682">
        <f t="shared" ref="M1682:M1687" si="5331">SUMPRODUCT(($C$24:$C$30=$E1682)*($P$6:$AI$6=$F1682)*($P$24:$AI$30))</f>
        <v>1</v>
      </c>
      <c r="N1682">
        <f t="shared" ref="N1682:N1687" si="5332">SUMPRODUCT(($C$31:$C$50=$F1682)*($AJ$6:$AM$6=$G1682)*($AJ$31:$AM$50))</f>
        <v>1</v>
      </c>
      <c r="O1682">
        <f t="shared" ref="O1682:O1687" si="5333">K1682+L1682+M1682+N1682</f>
        <v>3</v>
      </c>
      <c r="P1682" t="str">
        <f t="shared" ref="P1682:P1687" si="5334">CONCATENATE(C1682,"-",J1682)</f>
        <v>Small decentralized biomass gasification-Regulatory coverage</v>
      </c>
      <c r="Q1682" t="str">
        <f t="shared" ref="Q1682:Q1687" si="5335">CONCATENATE(D1682,"-",J1682)</f>
        <v>Distributed gas storage-Regulatory coverage</v>
      </c>
      <c r="R1682" t="str">
        <f t="shared" ref="R1682:R1687" si="5336">CONCATENATE(E1682,"-",J1682)</f>
        <v>Onsite-Regulatory coverage</v>
      </c>
      <c r="S1682" t="str">
        <f t="shared" ref="S1682:S1687" si="5337">CONCATENATE(F1682,"-",J1682)</f>
        <v>Industrial H2 boiler-Regulatory coverage</v>
      </c>
      <c r="T1682">
        <f ca="1">VLOOKUP($P1682,'TA database'!$I$8:$J$79,2,FALSE)</f>
        <v>100</v>
      </c>
      <c r="U1682">
        <f ca="1">VLOOKUP($Q1682,'TA database'!$I$86:$J$105,2,FALSE)</f>
        <v>100</v>
      </c>
      <c r="V1682">
        <f ca="1">VLOOKUP($R1682,'TA database'!$I$112:$J$139,2,FALSE)</f>
        <v>100</v>
      </c>
      <c r="W1682">
        <f ca="1">IFERROR(VLOOKUP($S1682,'TA database'!$I$146:$J$193,2,FALSE),0)</f>
        <v>50</v>
      </c>
      <c r="X1682">
        <f>IFERROR(VLOOKUP($S1682,'TA database'!$I$200:$J$271,2,FALSE),0)</f>
        <v>0</v>
      </c>
      <c r="Y1682">
        <f t="shared" ref="Y1682:Y1687" ca="1" si="5338">IF($W1682=0,SUM($T1682:$V1682,$X1682)/4,SUM($T1682:$W1682)/4)</f>
        <v>87.5</v>
      </c>
      <c r="Z1682" t="str">
        <f t="shared" ref="Z1682:Z1687" si="5339">CONCATENATE(AG1682,"   →   ",AH1682,"   →   ",AI1682,"   →   ",AJ1682)</f>
        <v>BIO_GSF_SML_D   →   D_GAS_STRG   →   ONSITE_USE   →   H2_IND_BOIL_HEAT</v>
      </c>
      <c r="AA1682" t="str">
        <f t="shared" ref="AA1682:AA1687" si="5340">G1682</f>
        <v>Industrial heat</v>
      </c>
      <c r="AB1682" t="str">
        <f t="shared" ref="AB1682:AB1687" si="5341">J1682</f>
        <v>Regulatory coverage</v>
      </c>
      <c r="AC1682">
        <f t="shared" ref="AC1682:AC1687" ca="1" si="5342">Y1682</f>
        <v>87.5</v>
      </c>
      <c r="AD1682">
        <v>1623</v>
      </c>
      <c r="AE1682" t="str">
        <f>IF(AND(ISNUMBER(SEARCH(O1682,4)),ISNUMBER(SEARCH('(4) FCH pathway assessment'!$B$16,AB1682)),ISNUMBER(SEARCH('(4) FCH pathway assessment'!$B$10,AA1682))),AD1682,"")</f>
        <v/>
      </c>
      <c r="AF1682" t="str">
        <f t="shared" si="5202"/>
        <v/>
      </c>
      <c r="AG1682" t="str">
        <f>VLOOKUP(C1682,Assumptions!$B$116:$C$162,2,FALSE)</f>
        <v>BIO_GSF_SML_D</v>
      </c>
      <c r="AH1682" t="str">
        <f>VLOOKUP(D1682,Assumptions!$B$116:$C$162,2,FALSE)</f>
        <v>D_GAS_STRG</v>
      </c>
      <c r="AI1682" t="str">
        <f>VLOOKUP(E1682,Assumptions!$B$116:$C$162,2,FALSE)</f>
        <v>ONSITE_USE</v>
      </c>
      <c r="AJ1682" t="str">
        <f>VLOOKUP(F1682,Assumptions!$B$116:$C$162,2,FALSE)</f>
        <v>H2_IND_BOIL_HEAT</v>
      </c>
    </row>
    <row r="1683" spans="2:36" x14ac:dyDescent="0.25">
      <c r="B1683" t="s">
        <v>117</v>
      </c>
      <c r="C1683" t="s">
        <v>56</v>
      </c>
      <c r="D1683" t="s">
        <v>62</v>
      </c>
      <c r="E1683" t="s">
        <v>157</v>
      </c>
      <c r="F1683" t="s">
        <v>570</v>
      </c>
      <c r="G1683" t="s">
        <v>120</v>
      </c>
      <c r="H1683" t="s">
        <v>432</v>
      </c>
      <c r="I1683" t="s">
        <v>32</v>
      </c>
      <c r="J1683" t="s">
        <v>534</v>
      </c>
      <c r="K1683">
        <f t="shared" si="5329"/>
        <v>0</v>
      </c>
      <c r="L1683">
        <f t="shared" si="5330"/>
        <v>0</v>
      </c>
      <c r="M1683">
        <f t="shared" si="5331"/>
        <v>0</v>
      </c>
      <c r="N1683">
        <f t="shared" si="5332"/>
        <v>1</v>
      </c>
      <c r="O1683">
        <f t="shared" si="5333"/>
        <v>1</v>
      </c>
      <c r="P1683" t="str">
        <f t="shared" si="5334"/>
        <v>Large centralized biomass steam reforming -Regulatory coverage</v>
      </c>
      <c r="Q1683" t="str">
        <f t="shared" si="5335"/>
        <v>Underground storage-Regulatory coverage</v>
      </c>
      <c r="R1683" t="str">
        <f t="shared" si="5336"/>
        <v>Blending in natural gas pipeline-Regulatory coverage</v>
      </c>
      <c r="S1683" t="str">
        <f t="shared" si="5337"/>
        <v>Industrial H2 boiler-Regulatory coverage</v>
      </c>
      <c r="T1683">
        <f ca="1">VLOOKUP($P1683,'TA database'!$I$8:$J$79,2,FALSE)</f>
        <v>100</v>
      </c>
      <c r="U1683">
        <f ca="1">VLOOKUP($Q1683,'TA database'!$I$86:$J$105,2,FALSE)</f>
        <v>0</v>
      </c>
      <c r="V1683">
        <f ca="1">VLOOKUP($R1683,'TA database'!$I$112:$J$139,2,FALSE)</f>
        <v>100</v>
      </c>
      <c r="W1683">
        <f ca="1">IFERROR(VLOOKUP($S1683,'TA database'!$I$146:$J$193,2,FALSE),0)</f>
        <v>50</v>
      </c>
      <c r="X1683">
        <f>IFERROR(VLOOKUP($S1683,'TA database'!$I$200:$J$271,2,FALSE),0)</f>
        <v>0</v>
      </c>
      <c r="Y1683">
        <f t="shared" ca="1" si="5338"/>
        <v>62.5</v>
      </c>
      <c r="Z1683" t="str">
        <f t="shared" si="5339"/>
        <v>BIO_SR_LRG_C   →   C_UNDRGRND_STRG   →   H2_BLND_NG_P   →   H2_IND_BOIL_HEAT</v>
      </c>
      <c r="AA1683" t="str">
        <f t="shared" si="5340"/>
        <v>Industrial heat</v>
      </c>
      <c r="AB1683" t="str">
        <f t="shared" si="5341"/>
        <v>Regulatory coverage</v>
      </c>
      <c r="AC1683">
        <f t="shared" ca="1" si="5342"/>
        <v>62.5</v>
      </c>
      <c r="AD1683">
        <v>1624</v>
      </c>
      <c r="AE1683" t="str">
        <f>IF(AND(ISNUMBER(SEARCH(O1683,4)),ISNUMBER(SEARCH('(4) FCH pathway assessment'!$B$16,AB1683)),ISNUMBER(SEARCH('(4) FCH pathway assessment'!$B$10,AA1683))),AD1683,"")</f>
        <v/>
      </c>
      <c r="AF1683" t="str">
        <f t="shared" si="5202"/>
        <v/>
      </c>
      <c r="AG1683" t="str">
        <f>VLOOKUP(C1683,Assumptions!$B$116:$C$162,2,FALSE)</f>
        <v>BIO_SR_LRG_C</v>
      </c>
      <c r="AH1683" t="str">
        <f>VLOOKUP(D1683,Assumptions!$B$116:$C$162,2,FALSE)</f>
        <v>C_UNDRGRND_STRG</v>
      </c>
      <c r="AI1683" t="str">
        <f>VLOOKUP(E1683,Assumptions!$B$116:$C$162,2,FALSE)</f>
        <v>H2_BLND_NG_P</v>
      </c>
      <c r="AJ1683" t="str">
        <f>VLOOKUP(F1683,Assumptions!$B$116:$C$162,2,FALSE)</f>
        <v>H2_IND_BOIL_HEAT</v>
      </c>
    </row>
    <row r="1684" spans="2:36" x14ac:dyDescent="0.25">
      <c r="B1684" t="s">
        <v>117</v>
      </c>
      <c r="C1684" t="s">
        <v>56</v>
      </c>
      <c r="D1684" t="s">
        <v>62</v>
      </c>
      <c r="E1684" t="s">
        <v>122</v>
      </c>
      <c r="F1684" t="s">
        <v>570</v>
      </c>
      <c r="G1684" t="s">
        <v>120</v>
      </c>
      <c r="H1684" t="s">
        <v>432</v>
      </c>
      <c r="I1684" t="s">
        <v>32</v>
      </c>
      <c r="J1684" t="s">
        <v>534</v>
      </c>
      <c r="K1684">
        <f t="shared" si="5329"/>
        <v>0</v>
      </c>
      <c r="L1684">
        <f t="shared" si="5330"/>
        <v>0</v>
      </c>
      <c r="M1684">
        <f t="shared" si="5331"/>
        <v>1</v>
      </c>
      <c r="N1684">
        <f t="shared" si="5332"/>
        <v>1</v>
      </c>
      <c r="O1684">
        <f t="shared" si="5333"/>
        <v>2</v>
      </c>
      <c r="P1684" t="str">
        <f t="shared" si="5334"/>
        <v>Large centralized biomass steam reforming -Regulatory coverage</v>
      </c>
      <c r="Q1684" t="str">
        <f t="shared" si="5335"/>
        <v>Underground storage-Regulatory coverage</v>
      </c>
      <c r="R1684" t="str">
        <f t="shared" si="5336"/>
        <v>Hydrogen transmission &amp; distribution pipeline-Regulatory coverage</v>
      </c>
      <c r="S1684" t="str">
        <f t="shared" si="5337"/>
        <v>Industrial H2 boiler-Regulatory coverage</v>
      </c>
      <c r="T1684">
        <f ca="1">VLOOKUP($P1684,'TA database'!$I$8:$J$79,2,FALSE)</f>
        <v>100</v>
      </c>
      <c r="U1684">
        <f ca="1">VLOOKUP($Q1684,'TA database'!$I$86:$J$105,2,FALSE)</f>
        <v>0</v>
      </c>
      <c r="V1684">
        <f ca="1">VLOOKUP($R1684,'TA database'!$I$112:$J$139,2,FALSE)</f>
        <v>40</v>
      </c>
      <c r="W1684">
        <f ca="1">IFERROR(VLOOKUP($S1684,'TA database'!$I$146:$J$193,2,FALSE),0)</f>
        <v>50</v>
      </c>
      <c r="X1684">
        <f>IFERROR(VLOOKUP($S1684,'TA database'!$I$200:$J$271,2,FALSE),0)</f>
        <v>0</v>
      </c>
      <c r="Y1684">
        <f t="shared" ca="1" si="5338"/>
        <v>47.5</v>
      </c>
      <c r="Z1684" t="str">
        <f t="shared" si="5339"/>
        <v>BIO_SR_LRG_C   →   C_UNDRGRND_STRG   →   H2_T&amp;D_P   →   H2_IND_BOIL_HEAT</v>
      </c>
      <c r="AA1684" t="str">
        <f t="shared" si="5340"/>
        <v>Industrial heat</v>
      </c>
      <c r="AB1684" t="str">
        <f t="shared" si="5341"/>
        <v>Regulatory coverage</v>
      </c>
      <c r="AC1684">
        <f t="shared" ca="1" si="5342"/>
        <v>47.5</v>
      </c>
      <c r="AD1684">
        <v>1625</v>
      </c>
      <c r="AE1684" t="str">
        <f>IF(AND(ISNUMBER(SEARCH(O1684,4)),ISNUMBER(SEARCH('(4) FCH pathway assessment'!$B$16,AB1684)),ISNUMBER(SEARCH('(4) FCH pathway assessment'!$B$10,AA1684))),AD1684,"")</f>
        <v/>
      </c>
      <c r="AF1684" t="str">
        <f t="shared" si="5202"/>
        <v/>
      </c>
      <c r="AG1684" t="str">
        <f>VLOOKUP(C1684,Assumptions!$B$116:$C$162,2,FALSE)</f>
        <v>BIO_SR_LRG_C</v>
      </c>
      <c r="AH1684" t="str">
        <f>VLOOKUP(D1684,Assumptions!$B$116:$C$162,2,FALSE)</f>
        <v>C_UNDRGRND_STRG</v>
      </c>
      <c r="AI1684" t="str">
        <f>VLOOKUP(E1684,Assumptions!$B$116:$C$162,2,FALSE)</f>
        <v>H2_T&amp;D_P</v>
      </c>
      <c r="AJ1684" t="str">
        <f>VLOOKUP(F1684,Assumptions!$B$116:$C$162,2,FALSE)</f>
        <v>H2_IND_BOIL_HEAT</v>
      </c>
    </row>
    <row r="1685" spans="2:36" x14ac:dyDescent="0.25">
      <c r="B1685" t="s">
        <v>117</v>
      </c>
      <c r="C1685" t="s">
        <v>56</v>
      </c>
      <c r="D1685" t="s">
        <v>62</v>
      </c>
      <c r="E1685" t="s">
        <v>116</v>
      </c>
      <c r="F1685" t="s">
        <v>570</v>
      </c>
      <c r="G1685" t="s">
        <v>120</v>
      </c>
      <c r="H1685" t="s">
        <v>432</v>
      </c>
      <c r="I1685" t="s">
        <v>32</v>
      </c>
      <c r="J1685" t="s">
        <v>534</v>
      </c>
      <c r="K1685">
        <f t="shared" si="5329"/>
        <v>0</v>
      </c>
      <c r="L1685">
        <f t="shared" si="5330"/>
        <v>0</v>
      </c>
      <c r="M1685">
        <f t="shared" si="5331"/>
        <v>1</v>
      </c>
      <c r="N1685">
        <f t="shared" si="5332"/>
        <v>1</v>
      </c>
      <c r="O1685">
        <f t="shared" si="5333"/>
        <v>2</v>
      </c>
      <c r="P1685" t="str">
        <f t="shared" si="5334"/>
        <v>Large centralized biomass steam reforming -Regulatory coverage</v>
      </c>
      <c r="Q1685" t="str">
        <f t="shared" si="5335"/>
        <v>Underground storage-Regulatory coverage</v>
      </c>
      <c r="R1685" t="str">
        <f t="shared" si="5336"/>
        <v>Liquid hydrogen truck-Regulatory coverage</v>
      </c>
      <c r="S1685" t="str">
        <f t="shared" si="5337"/>
        <v>Industrial H2 boiler-Regulatory coverage</v>
      </c>
      <c r="T1685">
        <f ca="1">VLOOKUP($P1685,'TA database'!$I$8:$J$79,2,FALSE)</f>
        <v>100</v>
      </c>
      <c r="U1685">
        <f ca="1">VLOOKUP($Q1685,'TA database'!$I$86:$J$105,2,FALSE)</f>
        <v>0</v>
      </c>
      <c r="V1685">
        <f ca="1">VLOOKUP($R1685,'TA database'!$I$112:$J$139,2,FALSE)</f>
        <v>40</v>
      </c>
      <c r="W1685">
        <f ca="1">IFERROR(VLOOKUP($S1685,'TA database'!$I$146:$J$193,2,FALSE),0)</f>
        <v>50</v>
      </c>
      <c r="X1685">
        <f>IFERROR(VLOOKUP($S1685,'TA database'!$I$200:$J$271,2,FALSE),0)</f>
        <v>0</v>
      </c>
      <c r="Y1685">
        <f t="shared" ca="1" si="5338"/>
        <v>47.5</v>
      </c>
      <c r="Z1685" t="str">
        <f t="shared" si="5339"/>
        <v>BIO_SR_LRG_C   →   C_UNDRGRND_STRG   →   LQ_TRUCK   →   H2_IND_BOIL_HEAT</v>
      </c>
      <c r="AA1685" t="str">
        <f t="shared" si="5340"/>
        <v>Industrial heat</v>
      </c>
      <c r="AB1685" t="str">
        <f t="shared" si="5341"/>
        <v>Regulatory coverage</v>
      </c>
      <c r="AC1685">
        <f t="shared" ca="1" si="5342"/>
        <v>47.5</v>
      </c>
      <c r="AD1685">
        <v>1626</v>
      </c>
      <c r="AE1685" t="str">
        <f>IF(AND(ISNUMBER(SEARCH(O1685,4)),ISNUMBER(SEARCH('(4) FCH pathway assessment'!$B$16,AB1685)),ISNUMBER(SEARCH('(4) FCH pathway assessment'!$B$10,AA1685))),AD1685,"")</f>
        <v/>
      </c>
      <c r="AF1685" t="str">
        <f t="shared" si="5202"/>
        <v/>
      </c>
      <c r="AG1685" t="str">
        <f>VLOOKUP(C1685,Assumptions!$B$116:$C$162,2,FALSE)</f>
        <v>BIO_SR_LRG_C</v>
      </c>
      <c r="AH1685" t="str">
        <f>VLOOKUP(D1685,Assumptions!$B$116:$C$162,2,FALSE)</f>
        <v>C_UNDRGRND_STRG</v>
      </c>
      <c r="AI1685" t="str">
        <f>VLOOKUP(E1685,Assumptions!$B$116:$C$162,2,FALSE)</f>
        <v>LQ_TRUCK</v>
      </c>
      <c r="AJ1685" t="str">
        <f>VLOOKUP(F1685,Assumptions!$B$116:$C$162,2,FALSE)</f>
        <v>H2_IND_BOIL_HEAT</v>
      </c>
    </row>
    <row r="1686" spans="2:36" x14ac:dyDescent="0.25">
      <c r="B1686" t="s">
        <v>117</v>
      </c>
      <c r="C1686" t="s">
        <v>56</v>
      </c>
      <c r="D1686" t="s">
        <v>62</v>
      </c>
      <c r="E1686" t="s">
        <v>66</v>
      </c>
      <c r="F1686" t="s">
        <v>570</v>
      </c>
      <c r="G1686" t="s">
        <v>120</v>
      </c>
      <c r="H1686" t="s">
        <v>432</v>
      </c>
      <c r="I1686" t="s">
        <v>32</v>
      </c>
      <c r="J1686" t="s">
        <v>534</v>
      </c>
      <c r="K1686">
        <f t="shared" si="5329"/>
        <v>0</v>
      </c>
      <c r="L1686">
        <f t="shared" si="5330"/>
        <v>0</v>
      </c>
      <c r="M1686">
        <f t="shared" si="5331"/>
        <v>1</v>
      </c>
      <c r="N1686">
        <f t="shared" si="5332"/>
        <v>1</v>
      </c>
      <c r="O1686">
        <f t="shared" si="5333"/>
        <v>2</v>
      </c>
      <c r="P1686" t="str">
        <f t="shared" si="5334"/>
        <v>Large centralized biomass steam reforming -Regulatory coverage</v>
      </c>
      <c r="Q1686" t="str">
        <f t="shared" si="5335"/>
        <v>Underground storage-Regulatory coverage</v>
      </c>
      <c r="R1686" t="str">
        <f t="shared" si="5336"/>
        <v>Onsite-Regulatory coverage</v>
      </c>
      <c r="S1686" t="str">
        <f t="shared" si="5337"/>
        <v>Industrial H2 boiler-Regulatory coverage</v>
      </c>
      <c r="T1686">
        <f ca="1">VLOOKUP($P1686,'TA database'!$I$8:$J$79,2,FALSE)</f>
        <v>100</v>
      </c>
      <c r="U1686">
        <f ca="1">VLOOKUP($Q1686,'TA database'!$I$86:$J$105,2,FALSE)</f>
        <v>0</v>
      </c>
      <c r="V1686">
        <f ca="1">VLOOKUP($R1686,'TA database'!$I$112:$J$139,2,FALSE)</f>
        <v>100</v>
      </c>
      <c r="W1686">
        <f ca="1">IFERROR(VLOOKUP($S1686,'TA database'!$I$146:$J$193,2,FALSE),0)</f>
        <v>50</v>
      </c>
      <c r="X1686">
        <f>IFERROR(VLOOKUP($S1686,'TA database'!$I$200:$J$271,2,FALSE),0)</f>
        <v>0</v>
      </c>
      <c r="Y1686">
        <f t="shared" ca="1" si="5338"/>
        <v>62.5</v>
      </c>
      <c r="Z1686" t="str">
        <f t="shared" si="5339"/>
        <v>BIO_SR_LRG_C   →   C_UNDRGRND_STRG   →   ONSITE_USE   →   H2_IND_BOIL_HEAT</v>
      </c>
      <c r="AA1686" t="str">
        <f t="shared" si="5340"/>
        <v>Industrial heat</v>
      </c>
      <c r="AB1686" t="str">
        <f t="shared" si="5341"/>
        <v>Regulatory coverage</v>
      </c>
      <c r="AC1686">
        <f t="shared" ca="1" si="5342"/>
        <v>62.5</v>
      </c>
      <c r="AD1686">
        <v>1627</v>
      </c>
      <c r="AE1686" t="str">
        <f>IF(AND(ISNUMBER(SEARCH(O1686,4)),ISNUMBER(SEARCH('(4) FCH pathway assessment'!$B$16,AB1686)),ISNUMBER(SEARCH('(4) FCH pathway assessment'!$B$10,AA1686))),AD1686,"")</f>
        <v/>
      </c>
      <c r="AF1686" t="str">
        <f t="shared" si="5202"/>
        <v/>
      </c>
      <c r="AG1686" t="str">
        <f>VLOOKUP(C1686,Assumptions!$B$116:$C$162,2,FALSE)</f>
        <v>BIO_SR_LRG_C</v>
      </c>
      <c r="AH1686" t="str">
        <f>VLOOKUP(D1686,Assumptions!$B$116:$C$162,2,FALSE)</f>
        <v>C_UNDRGRND_STRG</v>
      </c>
      <c r="AI1686" t="str">
        <f>VLOOKUP(E1686,Assumptions!$B$116:$C$162,2,FALSE)</f>
        <v>ONSITE_USE</v>
      </c>
      <c r="AJ1686" t="str">
        <f>VLOOKUP(F1686,Assumptions!$B$116:$C$162,2,FALSE)</f>
        <v>H2_IND_BOIL_HEAT</v>
      </c>
    </row>
    <row r="1687" spans="2:36" x14ac:dyDescent="0.25">
      <c r="B1687" t="s">
        <v>117</v>
      </c>
      <c r="C1687" t="s">
        <v>56</v>
      </c>
      <c r="D1687" s="61" t="s">
        <v>63</v>
      </c>
      <c r="E1687" t="s">
        <v>122</v>
      </c>
      <c r="F1687" t="s">
        <v>570</v>
      </c>
      <c r="G1687" t="s">
        <v>120</v>
      </c>
      <c r="H1687" t="s">
        <v>432</v>
      </c>
      <c r="I1687" t="s">
        <v>32</v>
      </c>
      <c r="J1687" t="s">
        <v>534</v>
      </c>
      <c r="K1687">
        <f t="shared" si="5329"/>
        <v>0</v>
      </c>
      <c r="L1687">
        <f t="shared" si="5330"/>
        <v>1</v>
      </c>
      <c r="M1687">
        <f t="shared" si="5331"/>
        <v>1</v>
      </c>
      <c r="N1687">
        <f t="shared" si="5332"/>
        <v>1</v>
      </c>
      <c r="O1687">
        <f t="shared" si="5333"/>
        <v>3</v>
      </c>
      <c r="P1687" t="str">
        <f t="shared" si="5334"/>
        <v>Large centralized biomass steam reforming -Regulatory coverage</v>
      </c>
      <c r="Q1687" t="str">
        <f t="shared" si="5335"/>
        <v>No storage-Regulatory coverage</v>
      </c>
      <c r="R1687" t="str">
        <f t="shared" si="5336"/>
        <v>Hydrogen transmission &amp; distribution pipeline-Regulatory coverage</v>
      </c>
      <c r="S1687" t="str">
        <f t="shared" si="5337"/>
        <v>Industrial H2 boiler-Regulatory coverage</v>
      </c>
      <c r="T1687">
        <f ca="1">VLOOKUP($P1687,'TA database'!$I$8:$J$79,2,FALSE)</f>
        <v>100</v>
      </c>
      <c r="U1687">
        <f ca="1">VLOOKUP($Q1687,'TA database'!$I$86:$J$105,2,FALSE)</f>
        <v>100</v>
      </c>
      <c r="V1687">
        <f ca="1">VLOOKUP($R1687,'TA database'!$I$112:$J$139,2,FALSE)</f>
        <v>40</v>
      </c>
      <c r="W1687">
        <f ca="1">IFERROR(VLOOKUP($S1687,'TA database'!$I$146:$J$193,2,FALSE),0)</f>
        <v>50</v>
      </c>
      <c r="X1687">
        <f>IFERROR(VLOOKUP($S1687,'TA database'!$I$200:$J$271,2,FALSE),0)</f>
        <v>0</v>
      </c>
      <c r="Y1687">
        <f t="shared" ca="1" si="5338"/>
        <v>72.5</v>
      </c>
      <c r="Z1687" t="str">
        <f t="shared" si="5339"/>
        <v>BIO_SR_LRG_C   →   NO_STRG   →   H2_T&amp;D_P   →   H2_IND_BOIL_HEAT</v>
      </c>
      <c r="AA1687" t="str">
        <f t="shared" si="5340"/>
        <v>Industrial heat</v>
      </c>
      <c r="AB1687" t="str">
        <f t="shared" si="5341"/>
        <v>Regulatory coverage</v>
      </c>
      <c r="AC1687">
        <f t="shared" ca="1" si="5342"/>
        <v>72.5</v>
      </c>
      <c r="AD1687">
        <v>1628</v>
      </c>
      <c r="AE1687" t="str">
        <f>IF(AND(ISNUMBER(SEARCH(O1687,4)),ISNUMBER(SEARCH('(4) FCH pathway assessment'!$B$16,AB1687)),ISNUMBER(SEARCH('(4) FCH pathway assessment'!$B$10,AA1687))),AD1687,"")</f>
        <v/>
      </c>
      <c r="AF1687" t="str">
        <f t="shared" si="5202"/>
        <v/>
      </c>
      <c r="AG1687" t="str">
        <f>VLOOKUP(C1687,Assumptions!$B$116:$C$162,2,FALSE)</f>
        <v>BIO_SR_LRG_C</v>
      </c>
      <c r="AH1687" t="str">
        <f>VLOOKUP(D1687,Assumptions!$B$116:$C$162,2,FALSE)</f>
        <v>NO_STRG</v>
      </c>
      <c r="AI1687" t="str">
        <f>VLOOKUP(E1687,Assumptions!$B$116:$C$162,2,FALSE)</f>
        <v>H2_T&amp;D_P</v>
      </c>
      <c r="AJ1687" t="str">
        <f>VLOOKUP(F1687,Assumptions!$B$116:$C$162,2,FALSE)</f>
        <v>H2_IND_BOIL_HEAT</v>
      </c>
    </row>
    <row r="1688" spans="2:36" x14ac:dyDescent="0.25">
      <c r="B1688" t="s">
        <v>112</v>
      </c>
      <c r="C1688" t="s">
        <v>49</v>
      </c>
      <c r="D1688" t="s">
        <v>62</v>
      </c>
      <c r="E1688" t="s">
        <v>157</v>
      </c>
      <c r="F1688" t="s">
        <v>570</v>
      </c>
      <c r="G1688" t="s">
        <v>120</v>
      </c>
      <c r="H1688" t="s">
        <v>432</v>
      </c>
      <c r="I1688" t="s">
        <v>32</v>
      </c>
      <c r="J1688" t="s">
        <v>534</v>
      </c>
      <c r="K1688">
        <f t="shared" ref="K1688:K1699" si="5343">SUMPRODUCT(($C$7:$C$18=$C1688)*($D$6:$H$6=$D1688)*($D$7:$H$18))</f>
        <v>1</v>
      </c>
      <c r="L1688">
        <f t="shared" ref="L1688:L1699" si="5344">SUMPRODUCT(($C$19:$C$23=$D1688)*($I$6:$O$6=$E1688)*($I$19:$O$23))</f>
        <v>0</v>
      </c>
      <c r="M1688">
        <f t="shared" ref="M1688:M1699" si="5345">SUMPRODUCT(($C$24:$C$30=$E1688)*($P$6:$AI$6=$F1688)*($P$24:$AI$30))</f>
        <v>0</v>
      </c>
      <c r="N1688">
        <f t="shared" ref="N1688:N1699" si="5346">SUMPRODUCT(($C$31:$C$50=$F1688)*($AJ$6:$AM$6=$G1688)*($AJ$31:$AM$50))</f>
        <v>1</v>
      </c>
      <c r="O1688">
        <f t="shared" ref="O1688:O1699" si="5347">K1688+L1688+M1688+N1688</f>
        <v>2</v>
      </c>
      <c r="P1688" t="str">
        <f t="shared" ref="P1688:P1699" si="5348">CONCATENATE(C1688,"-",J1688)</f>
        <v>Large centralized electrolysis-Regulatory coverage</v>
      </c>
      <c r="Q1688" t="str">
        <f t="shared" ref="Q1688:Q1699" si="5349">CONCATENATE(D1688,"-",J1688)</f>
        <v>Underground storage-Regulatory coverage</v>
      </c>
      <c r="R1688" t="str">
        <f t="shared" ref="R1688:R1699" si="5350">CONCATENATE(E1688,"-",J1688)</f>
        <v>Blending in natural gas pipeline-Regulatory coverage</v>
      </c>
      <c r="S1688" t="str">
        <f t="shared" ref="S1688:S1699" si="5351">CONCATENATE(F1688,"-",J1688)</f>
        <v>Industrial H2 boiler-Regulatory coverage</v>
      </c>
      <c r="T1688">
        <f ca="1">VLOOKUP($P1688,'TA database'!$I$8:$J$79,2,FALSE)</f>
        <v>100</v>
      </c>
      <c r="U1688">
        <f ca="1">VLOOKUP($Q1688,'TA database'!$I$86:$J$105,2,FALSE)</f>
        <v>0</v>
      </c>
      <c r="V1688">
        <f ca="1">VLOOKUP($R1688,'TA database'!$I$112:$J$139,2,FALSE)</f>
        <v>100</v>
      </c>
      <c r="W1688">
        <f ca="1">IFERROR(VLOOKUP($S1688,'TA database'!$I$146:$J$193,2,FALSE),0)</f>
        <v>50</v>
      </c>
      <c r="X1688">
        <f>IFERROR(VLOOKUP($S1688,'TA database'!$I$200:$J$271,2,FALSE),0)</f>
        <v>0</v>
      </c>
      <c r="Y1688">
        <f t="shared" ref="Y1688:Y1699" ca="1" si="5352">IF($W1688=0,SUM($T1688:$V1688,$X1688)/4,SUM($T1688:$W1688)/4)</f>
        <v>62.5</v>
      </c>
      <c r="Z1688" t="str">
        <f t="shared" ref="Z1688:Z1699" si="5353">CONCATENATE(AG1688,"   →   ",AH1688,"   →   ",AI1688,"   →   ",AJ1688)</f>
        <v>ELCTRLYZ_LRG_C   →   C_UNDRGRND_STRG   →   H2_BLND_NG_P   →   H2_IND_BOIL_HEAT</v>
      </c>
      <c r="AA1688" t="str">
        <f t="shared" ref="AA1688:AA1699" si="5354">G1688</f>
        <v>Industrial heat</v>
      </c>
      <c r="AB1688" t="str">
        <f t="shared" ref="AB1688:AB1699" si="5355">J1688</f>
        <v>Regulatory coverage</v>
      </c>
      <c r="AC1688">
        <f t="shared" ref="AC1688:AC1699" ca="1" si="5356">Y1688</f>
        <v>62.5</v>
      </c>
      <c r="AD1688">
        <v>1629</v>
      </c>
      <c r="AE1688" t="str">
        <f>IF(AND(ISNUMBER(SEARCH(O1688,4)),ISNUMBER(SEARCH('(4) FCH pathway assessment'!$B$16,AB1688)),ISNUMBER(SEARCH('(4) FCH pathway assessment'!$B$10,AA1688))),AD1688,"")</f>
        <v/>
      </c>
      <c r="AF1688" t="str">
        <f t="shared" si="5202"/>
        <v/>
      </c>
      <c r="AG1688" t="str">
        <f>VLOOKUP(C1688,Assumptions!$B$116:$C$162,2,FALSE)</f>
        <v>ELCTRLYZ_LRG_C</v>
      </c>
      <c r="AH1688" t="str">
        <f>VLOOKUP(D1688,Assumptions!$B$116:$C$162,2,FALSE)</f>
        <v>C_UNDRGRND_STRG</v>
      </c>
      <c r="AI1688" t="str">
        <f>VLOOKUP(E1688,Assumptions!$B$116:$C$162,2,FALSE)</f>
        <v>H2_BLND_NG_P</v>
      </c>
      <c r="AJ1688" t="str">
        <f>VLOOKUP(F1688,Assumptions!$B$116:$C$162,2,FALSE)</f>
        <v>H2_IND_BOIL_HEAT</v>
      </c>
    </row>
    <row r="1689" spans="2:36" x14ac:dyDescent="0.25">
      <c r="B1689" t="s">
        <v>112</v>
      </c>
      <c r="C1689" t="s">
        <v>49</v>
      </c>
      <c r="D1689" t="s">
        <v>62</v>
      </c>
      <c r="E1689" t="s">
        <v>122</v>
      </c>
      <c r="F1689" t="s">
        <v>570</v>
      </c>
      <c r="G1689" t="s">
        <v>120</v>
      </c>
      <c r="H1689" t="s">
        <v>432</v>
      </c>
      <c r="I1689" t="s">
        <v>32</v>
      </c>
      <c r="J1689" t="s">
        <v>534</v>
      </c>
      <c r="K1689">
        <f t="shared" si="5343"/>
        <v>1</v>
      </c>
      <c r="L1689">
        <f t="shared" si="5344"/>
        <v>0</v>
      </c>
      <c r="M1689">
        <f t="shared" si="5345"/>
        <v>1</v>
      </c>
      <c r="N1689">
        <f t="shared" si="5346"/>
        <v>1</v>
      </c>
      <c r="O1689">
        <f t="shared" si="5347"/>
        <v>3</v>
      </c>
      <c r="P1689" t="str">
        <f t="shared" si="5348"/>
        <v>Large centralized electrolysis-Regulatory coverage</v>
      </c>
      <c r="Q1689" t="str">
        <f t="shared" si="5349"/>
        <v>Underground storage-Regulatory coverage</v>
      </c>
      <c r="R1689" t="str">
        <f t="shared" si="5350"/>
        <v>Hydrogen transmission &amp; distribution pipeline-Regulatory coverage</v>
      </c>
      <c r="S1689" t="str">
        <f t="shared" si="5351"/>
        <v>Industrial H2 boiler-Regulatory coverage</v>
      </c>
      <c r="T1689">
        <f ca="1">VLOOKUP($P1689,'TA database'!$I$8:$J$79,2,FALSE)</f>
        <v>100</v>
      </c>
      <c r="U1689">
        <f ca="1">VLOOKUP($Q1689,'TA database'!$I$86:$J$105,2,FALSE)</f>
        <v>0</v>
      </c>
      <c r="V1689">
        <f ca="1">VLOOKUP($R1689,'TA database'!$I$112:$J$139,2,FALSE)</f>
        <v>40</v>
      </c>
      <c r="W1689">
        <f ca="1">IFERROR(VLOOKUP($S1689,'TA database'!$I$146:$J$193,2,FALSE),0)</f>
        <v>50</v>
      </c>
      <c r="X1689">
        <f>IFERROR(VLOOKUP($S1689,'TA database'!$I$200:$J$271,2,FALSE),0)</f>
        <v>0</v>
      </c>
      <c r="Y1689">
        <f t="shared" ca="1" si="5352"/>
        <v>47.5</v>
      </c>
      <c r="Z1689" t="str">
        <f t="shared" si="5353"/>
        <v>ELCTRLYZ_LRG_C   →   C_UNDRGRND_STRG   →   H2_T&amp;D_P   →   H2_IND_BOIL_HEAT</v>
      </c>
      <c r="AA1689" t="str">
        <f t="shared" si="5354"/>
        <v>Industrial heat</v>
      </c>
      <c r="AB1689" t="str">
        <f t="shared" si="5355"/>
        <v>Regulatory coverage</v>
      </c>
      <c r="AC1689">
        <f t="shared" ca="1" si="5356"/>
        <v>47.5</v>
      </c>
      <c r="AD1689">
        <v>1630</v>
      </c>
      <c r="AE1689" t="str">
        <f>IF(AND(ISNUMBER(SEARCH(O1689,4)),ISNUMBER(SEARCH('(4) FCH pathway assessment'!$B$16,AB1689)),ISNUMBER(SEARCH('(4) FCH pathway assessment'!$B$10,AA1689))),AD1689,"")</f>
        <v/>
      </c>
      <c r="AF1689" t="str">
        <f t="shared" si="5202"/>
        <v/>
      </c>
      <c r="AG1689" t="str">
        <f>VLOOKUP(C1689,Assumptions!$B$116:$C$162,2,FALSE)</f>
        <v>ELCTRLYZ_LRG_C</v>
      </c>
      <c r="AH1689" t="str">
        <f>VLOOKUP(D1689,Assumptions!$B$116:$C$162,2,FALSE)</f>
        <v>C_UNDRGRND_STRG</v>
      </c>
      <c r="AI1689" t="str">
        <f>VLOOKUP(E1689,Assumptions!$B$116:$C$162,2,FALSE)</f>
        <v>H2_T&amp;D_P</v>
      </c>
      <c r="AJ1689" t="str">
        <f>VLOOKUP(F1689,Assumptions!$B$116:$C$162,2,FALSE)</f>
        <v>H2_IND_BOIL_HEAT</v>
      </c>
    </row>
    <row r="1690" spans="2:36" x14ac:dyDescent="0.25">
      <c r="B1690" t="s">
        <v>112</v>
      </c>
      <c r="C1690" t="s">
        <v>49</v>
      </c>
      <c r="D1690" t="s">
        <v>62</v>
      </c>
      <c r="E1690" t="s">
        <v>116</v>
      </c>
      <c r="F1690" t="s">
        <v>570</v>
      </c>
      <c r="G1690" t="s">
        <v>120</v>
      </c>
      <c r="H1690" t="s">
        <v>432</v>
      </c>
      <c r="I1690" t="s">
        <v>32</v>
      </c>
      <c r="J1690" t="s">
        <v>534</v>
      </c>
      <c r="K1690">
        <f t="shared" si="5343"/>
        <v>1</v>
      </c>
      <c r="L1690">
        <f t="shared" si="5344"/>
        <v>0</v>
      </c>
      <c r="M1690">
        <f t="shared" si="5345"/>
        <v>1</v>
      </c>
      <c r="N1690">
        <f t="shared" si="5346"/>
        <v>1</v>
      </c>
      <c r="O1690">
        <f t="shared" si="5347"/>
        <v>3</v>
      </c>
      <c r="P1690" t="str">
        <f t="shared" si="5348"/>
        <v>Large centralized electrolysis-Regulatory coverage</v>
      </c>
      <c r="Q1690" t="str">
        <f t="shared" si="5349"/>
        <v>Underground storage-Regulatory coverage</v>
      </c>
      <c r="R1690" t="str">
        <f t="shared" si="5350"/>
        <v>Liquid hydrogen truck-Regulatory coverage</v>
      </c>
      <c r="S1690" t="str">
        <f t="shared" si="5351"/>
        <v>Industrial H2 boiler-Regulatory coverage</v>
      </c>
      <c r="T1690">
        <f ca="1">VLOOKUP($P1690,'TA database'!$I$8:$J$79,2,FALSE)</f>
        <v>100</v>
      </c>
      <c r="U1690">
        <f ca="1">VLOOKUP($Q1690,'TA database'!$I$86:$J$105,2,FALSE)</f>
        <v>0</v>
      </c>
      <c r="V1690">
        <f ca="1">VLOOKUP($R1690,'TA database'!$I$112:$J$139,2,FALSE)</f>
        <v>40</v>
      </c>
      <c r="W1690">
        <f ca="1">IFERROR(VLOOKUP($S1690,'TA database'!$I$146:$J$193,2,FALSE),0)</f>
        <v>50</v>
      </c>
      <c r="X1690">
        <f>IFERROR(VLOOKUP($S1690,'TA database'!$I$200:$J$271,2,FALSE),0)</f>
        <v>0</v>
      </c>
      <c r="Y1690">
        <f t="shared" ca="1" si="5352"/>
        <v>47.5</v>
      </c>
      <c r="Z1690" t="str">
        <f t="shared" si="5353"/>
        <v>ELCTRLYZ_LRG_C   →   C_UNDRGRND_STRG   →   LQ_TRUCK   →   H2_IND_BOIL_HEAT</v>
      </c>
      <c r="AA1690" t="str">
        <f t="shared" si="5354"/>
        <v>Industrial heat</v>
      </c>
      <c r="AB1690" t="str">
        <f t="shared" si="5355"/>
        <v>Regulatory coverage</v>
      </c>
      <c r="AC1690">
        <f t="shared" ca="1" si="5356"/>
        <v>47.5</v>
      </c>
      <c r="AD1690">
        <v>1631</v>
      </c>
      <c r="AE1690" t="str">
        <f>IF(AND(ISNUMBER(SEARCH(O1690,4)),ISNUMBER(SEARCH('(4) FCH pathway assessment'!$B$16,AB1690)),ISNUMBER(SEARCH('(4) FCH pathway assessment'!$B$10,AA1690))),AD1690,"")</f>
        <v/>
      </c>
      <c r="AF1690" t="str">
        <f t="shared" si="5202"/>
        <v/>
      </c>
      <c r="AG1690" t="str">
        <f>VLOOKUP(C1690,Assumptions!$B$116:$C$162,2,FALSE)</f>
        <v>ELCTRLYZ_LRG_C</v>
      </c>
      <c r="AH1690" t="str">
        <f>VLOOKUP(D1690,Assumptions!$B$116:$C$162,2,FALSE)</f>
        <v>C_UNDRGRND_STRG</v>
      </c>
      <c r="AI1690" t="str">
        <f>VLOOKUP(E1690,Assumptions!$B$116:$C$162,2,FALSE)</f>
        <v>LQ_TRUCK</v>
      </c>
      <c r="AJ1690" t="str">
        <f>VLOOKUP(F1690,Assumptions!$B$116:$C$162,2,FALSE)</f>
        <v>H2_IND_BOIL_HEAT</v>
      </c>
    </row>
    <row r="1691" spans="2:36" x14ac:dyDescent="0.25">
      <c r="B1691" t="s">
        <v>112</v>
      </c>
      <c r="C1691" t="s">
        <v>49</v>
      </c>
      <c r="D1691" t="s">
        <v>62</v>
      </c>
      <c r="E1691" t="s">
        <v>66</v>
      </c>
      <c r="F1691" t="s">
        <v>570</v>
      </c>
      <c r="G1691" t="s">
        <v>120</v>
      </c>
      <c r="H1691" t="s">
        <v>432</v>
      </c>
      <c r="I1691" t="s">
        <v>32</v>
      </c>
      <c r="J1691" t="s">
        <v>534</v>
      </c>
      <c r="K1691">
        <f t="shared" si="5343"/>
        <v>1</v>
      </c>
      <c r="L1691">
        <f t="shared" si="5344"/>
        <v>0</v>
      </c>
      <c r="M1691">
        <f t="shared" si="5345"/>
        <v>1</v>
      </c>
      <c r="N1691">
        <f t="shared" si="5346"/>
        <v>1</v>
      </c>
      <c r="O1691">
        <f t="shared" si="5347"/>
        <v>3</v>
      </c>
      <c r="P1691" t="str">
        <f t="shared" si="5348"/>
        <v>Large centralized electrolysis-Regulatory coverage</v>
      </c>
      <c r="Q1691" t="str">
        <f t="shared" si="5349"/>
        <v>Underground storage-Regulatory coverage</v>
      </c>
      <c r="R1691" t="str">
        <f t="shared" si="5350"/>
        <v>Onsite-Regulatory coverage</v>
      </c>
      <c r="S1691" t="str">
        <f t="shared" si="5351"/>
        <v>Industrial H2 boiler-Regulatory coverage</v>
      </c>
      <c r="T1691">
        <f ca="1">VLOOKUP($P1691,'TA database'!$I$8:$J$79,2,FALSE)</f>
        <v>100</v>
      </c>
      <c r="U1691">
        <f ca="1">VLOOKUP($Q1691,'TA database'!$I$86:$J$105,2,FALSE)</f>
        <v>0</v>
      </c>
      <c r="V1691">
        <f ca="1">VLOOKUP($R1691,'TA database'!$I$112:$J$139,2,FALSE)</f>
        <v>100</v>
      </c>
      <c r="W1691">
        <f ca="1">IFERROR(VLOOKUP($S1691,'TA database'!$I$146:$J$193,2,FALSE),0)</f>
        <v>50</v>
      </c>
      <c r="X1691">
        <f>IFERROR(VLOOKUP($S1691,'TA database'!$I$200:$J$271,2,FALSE),0)</f>
        <v>0</v>
      </c>
      <c r="Y1691">
        <f t="shared" ca="1" si="5352"/>
        <v>62.5</v>
      </c>
      <c r="Z1691" t="str">
        <f t="shared" si="5353"/>
        <v>ELCTRLYZ_LRG_C   →   C_UNDRGRND_STRG   →   ONSITE_USE   →   H2_IND_BOIL_HEAT</v>
      </c>
      <c r="AA1691" t="str">
        <f t="shared" si="5354"/>
        <v>Industrial heat</v>
      </c>
      <c r="AB1691" t="str">
        <f t="shared" si="5355"/>
        <v>Regulatory coverage</v>
      </c>
      <c r="AC1691">
        <f t="shared" ca="1" si="5356"/>
        <v>62.5</v>
      </c>
      <c r="AD1691">
        <v>1632</v>
      </c>
      <c r="AE1691" t="str">
        <f>IF(AND(ISNUMBER(SEARCH(O1691,4)),ISNUMBER(SEARCH('(4) FCH pathway assessment'!$B$16,AB1691)),ISNUMBER(SEARCH('(4) FCH pathway assessment'!$B$10,AA1691))),AD1691,"")</f>
        <v/>
      </c>
      <c r="AF1691" t="str">
        <f t="shared" si="5202"/>
        <v/>
      </c>
      <c r="AG1691" t="str">
        <f>VLOOKUP(C1691,Assumptions!$B$116:$C$162,2,FALSE)</f>
        <v>ELCTRLYZ_LRG_C</v>
      </c>
      <c r="AH1691" t="str">
        <f>VLOOKUP(D1691,Assumptions!$B$116:$C$162,2,FALSE)</f>
        <v>C_UNDRGRND_STRG</v>
      </c>
      <c r="AI1691" t="str">
        <f>VLOOKUP(E1691,Assumptions!$B$116:$C$162,2,FALSE)</f>
        <v>ONSITE_USE</v>
      </c>
      <c r="AJ1691" t="str">
        <f>VLOOKUP(F1691,Assumptions!$B$116:$C$162,2,FALSE)</f>
        <v>H2_IND_BOIL_HEAT</v>
      </c>
    </row>
    <row r="1692" spans="2:36" x14ac:dyDescent="0.25">
      <c r="B1692" t="s">
        <v>112</v>
      </c>
      <c r="C1692" t="s">
        <v>49</v>
      </c>
      <c r="D1692" t="s">
        <v>155</v>
      </c>
      <c r="E1692" t="s">
        <v>157</v>
      </c>
      <c r="F1692" t="s">
        <v>570</v>
      </c>
      <c r="G1692" t="s">
        <v>120</v>
      </c>
      <c r="H1692" t="s">
        <v>432</v>
      </c>
      <c r="I1692" t="s">
        <v>32</v>
      </c>
      <c r="J1692" t="s">
        <v>534</v>
      </c>
      <c r="K1692">
        <f t="shared" si="5343"/>
        <v>1</v>
      </c>
      <c r="L1692">
        <f t="shared" si="5344"/>
        <v>1</v>
      </c>
      <c r="M1692">
        <f t="shared" si="5345"/>
        <v>0</v>
      </c>
      <c r="N1692">
        <f t="shared" si="5346"/>
        <v>1</v>
      </c>
      <c r="O1692">
        <f t="shared" si="5347"/>
        <v>3</v>
      </c>
      <c r="P1692" t="str">
        <f t="shared" si="5348"/>
        <v>Large centralized electrolysis-Regulatory coverage</v>
      </c>
      <c r="Q1692" t="str">
        <f t="shared" si="5349"/>
        <v>Central gas storage-Regulatory coverage</v>
      </c>
      <c r="R1692" t="str">
        <f t="shared" si="5350"/>
        <v>Blending in natural gas pipeline-Regulatory coverage</v>
      </c>
      <c r="S1692" t="str">
        <f t="shared" si="5351"/>
        <v>Industrial H2 boiler-Regulatory coverage</v>
      </c>
      <c r="T1692">
        <f ca="1">VLOOKUP($P1692,'TA database'!$I$8:$J$79,2,FALSE)</f>
        <v>100</v>
      </c>
      <c r="U1692">
        <f ca="1">VLOOKUP($Q1692,'TA database'!$I$86:$J$105,2,FALSE)</f>
        <v>80</v>
      </c>
      <c r="V1692">
        <f ca="1">VLOOKUP($R1692,'TA database'!$I$112:$J$139,2,FALSE)</f>
        <v>100</v>
      </c>
      <c r="W1692">
        <f ca="1">IFERROR(VLOOKUP($S1692,'TA database'!$I$146:$J$193,2,FALSE),0)</f>
        <v>50</v>
      </c>
      <c r="X1692">
        <f>IFERROR(VLOOKUP($S1692,'TA database'!$I$200:$J$271,2,FALSE),0)</f>
        <v>0</v>
      </c>
      <c r="Y1692">
        <f t="shared" ca="1" si="5352"/>
        <v>82.5</v>
      </c>
      <c r="Z1692" t="str">
        <f t="shared" si="5353"/>
        <v>ELCTRLYZ_LRG_C   →   C_GAS_STRG   →   H2_BLND_NG_P   →   H2_IND_BOIL_HEAT</v>
      </c>
      <c r="AA1692" t="str">
        <f t="shared" si="5354"/>
        <v>Industrial heat</v>
      </c>
      <c r="AB1692" t="str">
        <f t="shared" si="5355"/>
        <v>Regulatory coverage</v>
      </c>
      <c r="AC1692">
        <f t="shared" ca="1" si="5356"/>
        <v>82.5</v>
      </c>
      <c r="AD1692">
        <v>1633</v>
      </c>
      <c r="AE1692" t="str">
        <f>IF(AND(ISNUMBER(SEARCH(O1692,4)),ISNUMBER(SEARCH('(4) FCH pathway assessment'!$B$16,AB1692)),ISNUMBER(SEARCH('(4) FCH pathway assessment'!$B$10,AA1692))),AD1692,"")</f>
        <v/>
      </c>
      <c r="AF1692" t="str">
        <f t="shared" si="5202"/>
        <v/>
      </c>
      <c r="AG1692" t="str">
        <f>VLOOKUP(C1692,Assumptions!$B$116:$C$162,2,FALSE)</f>
        <v>ELCTRLYZ_LRG_C</v>
      </c>
      <c r="AH1692" t="str">
        <f>VLOOKUP(D1692,Assumptions!$B$116:$C$162,2,FALSE)</f>
        <v>C_GAS_STRG</v>
      </c>
      <c r="AI1692" t="str">
        <f>VLOOKUP(E1692,Assumptions!$B$116:$C$162,2,FALSE)</f>
        <v>H2_BLND_NG_P</v>
      </c>
      <c r="AJ1692" t="str">
        <f>VLOOKUP(F1692,Assumptions!$B$116:$C$162,2,FALSE)</f>
        <v>H2_IND_BOIL_HEAT</v>
      </c>
    </row>
    <row r="1693" spans="2:36" x14ac:dyDescent="0.25">
      <c r="B1693" t="s">
        <v>112</v>
      </c>
      <c r="C1693" t="s">
        <v>49</v>
      </c>
      <c r="D1693" t="s">
        <v>155</v>
      </c>
      <c r="E1693" t="s">
        <v>122</v>
      </c>
      <c r="F1693" t="s">
        <v>570</v>
      </c>
      <c r="G1693" t="s">
        <v>120</v>
      </c>
      <c r="H1693" t="s">
        <v>432</v>
      </c>
      <c r="I1693" t="s">
        <v>32</v>
      </c>
      <c r="J1693" t="s">
        <v>534</v>
      </c>
      <c r="K1693">
        <f t="shared" si="5343"/>
        <v>1</v>
      </c>
      <c r="L1693">
        <f t="shared" si="5344"/>
        <v>1</v>
      </c>
      <c r="M1693">
        <f t="shared" si="5345"/>
        <v>1</v>
      </c>
      <c r="N1693">
        <f t="shared" si="5346"/>
        <v>1</v>
      </c>
      <c r="O1693">
        <f t="shared" si="5347"/>
        <v>4</v>
      </c>
      <c r="P1693" t="str">
        <f t="shared" si="5348"/>
        <v>Large centralized electrolysis-Regulatory coverage</v>
      </c>
      <c r="Q1693" t="str">
        <f t="shared" si="5349"/>
        <v>Central gas storage-Regulatory coverage</v>
      </c>
      <c r="R1693" t="str">
        <f t="shared" si="5350"/>
        <v>Hydrogen transmission &amp; distribution pipeline-Regulatory coverage</v>
      </c>
      <c r="S1693" t="str">
        <f t="shared" si="5351"/>
        <v>Industrial H2 boiler-Regulatory coverage</v>
      </c>
      <c r="T1693">
        <f ca="1">VLOOKUP($P1693,'TA database'!$I$8:$J$79,2,FALSE)</f>
        <v>100</v>
      </c>
      <c r="U1693">
        <f ca="1">VLOOKUP($Q1693,'TA database'!$I$86:$J$105,2,FALSE)</f>
        <v>80</v>
      </c>
      <c r="V1693">
        <f ca="1">VLOOKUP($R1693,'TA database'!$I$112:$J$139,2,FALSE)</f>
        <v>40</v>
      </c>
      <c r="W1693">
        <f ca="1">IFERROR(VLOOKUP($S1693,'TA database'!$I$146:$J$193,2,FALSE),0)</f>
        <v>50</v>
      </c>
      <c r="X1693">
        <f>IFERROR(VLOOKUP($S1693,'TA database'!$I$200:$J$271,2,FALSE),0)</f>
        <v>0</v>
      </c>
      <c r="Y1693">
        <f t="shared" ca="1" si="5352"/>
        <v>67.5</v>
      </c>
      <c r="Z1693" t="str">
        <f t="shared" si="5353"/>
        <v>ELCTRLYZ_LRG_C   →   C_GAS_STRG   →   H2_T&amp;D_P   →   H2_IND_BOIL_HEAT</v>
      </c>
      <c r="AA1693" t="str">
        <f t="shared" si="5354"/>
        <v>Industrial heat</v>
      </c>
      <c r="AB1693" t="str">
        <f t="shared" si="5355"/>
        <v>Regulatory coverage</v>
      </c>
      <c r="AC1693">
        <f t="shared" ca="1" si="5356"/>
        <v>67.5</v>
      </c>
      <c r="AD1693">
        <v>1634</v>
      </c>
      <c r="AE1693" t="str">
        <f>IF(AND(ISNUMBER(SEARCH(O1693,4)),ISNUMBER(SEARCH('(4) FCH pathway assessment'!$B$16,AB1693)),ISNUMBER(SEARCH('(4) FCH pathway assessment'!$B$10,AA1693))),AD1693,"")</f>
        <v/>
      </c>
      <c r="AF1693" t="str">
        <f t="shared" si="5202"/>
        <v/>
      </c>
      <c r="AG1693" t="str">
        <f>VLOOKUP(C1693,Assumptions!$B$116:$C$162,2,FALSE)</f>
        <v>ELCTRLYZ_LRG_C</v>
      </c>
      <c r="AH1693" t="str">
        <f>VLOOKUP(D1693,Assumptions!$B$116:$C$162,2,FALSE)</f>
        <v>C_GAS_STRG</v>
      </c>
      <c r="AI1693" t="str">
        <f>VLOOKUP(E1693,Assumptions!$B$116:$C$162,2,FALSE)</f>
        <v>H2_T&amp;D_P</v>
      </c>
      <c r="AJ1693" t="str">
        <f>VLOOKUP(F1693,Assumptions!$B$116:$C$162,2,FALSE)</f>
        <v>H2_IND_BOIL_HEAT</v>
      </c>
    </row>
    <row r="1694" spans="2:36" x14ac:dyDescent="0.25">
      <c r="B1694" t="s">
        <v>112</v>
      </c>
      <c r="C1694" t="s">
        <v>49</v>
      </c>
      <c r="D1694" t="s">
        <v>155</v>
      </c>
      <c r="E1694" t="s">
        <v>116</v>
      </c>
      <c r="F1694" t="s">
        <v>570</v>
      </c>
      <c r="G1694" t="s">
        <v>120</v>
      </c>
      <c r="H1694" t="s">
        <v>432</v>
      </c>
      <c r="I1694" t="s">
        <v>32</v>
      </c>
      <c r="J1694" t="s">
        <v>534</v>
      </c>
      <c r="K1694">
        <f t="shared" si="5343"/>
        <v>1</v>
      </c>
      <c r="L1694">
        <f t="shared" si="5344"/>
        <v>1</v>
      </c>
      <c r="M1694">
        <f t="shared" si="5345"/>
        <v>1</v>
      </c>
      <c r="N1694">
        <f t="shared" si="5346"/>
        <v>1</v>
      </c>
      <c r="O1694">
        <f t="shared" si="5347"/>
        <v>4</v>
      </c>
      <c r="P1694" t="str">
        <f t="shared" si="5348"/>
        <v>Large centralized electrolysis-Regulatory coverage</v>
      </c>
      <c r="Q1694" t="str">
        <f t="shared" si="5349"/>
        <v>Central gas storage-Regulatory coverage</v>
      </c>
      <c r="R1694" t="str">
        <f t="shared" si="5350"/>
        <v>Liquid hydrogen truck-Regulatory coverage</v>
      </c>
      <c r="S1694" t="str">
        <f t="shared" si="5351"/>
        <v>Industrial H2 boiler-Regulatory coverage</v>
      </c>
      <c r="T1694">
        <f ca="1">VLOOKUP($P1694,'TA database'!$I$8:$J$79,2,FALSE)</f>
        <v>100</v>
      </c>
      <c r="U1694">
        <f ca="1">VLOOKUP($Q1694,'TA database'!$I$86:$J$105,2,FALSE)</f>
        <v>80</v>
      </c>
      <c r="V1694">
        <f ca="1">VLOOKUP($R1694,'TA database'!$I$112:$J$139,2,FALSE)</f>
        <v>40</v>
      </c>
      <c r="W1694">
        <f ca="1">IFERROR(VLOOKUP($S1694,'TA database'!$I$146:$J$193,2,FALSE),0)</f>
        <v>50</v>
      </c>
      <c r="X1694">
        <f>IFERROR(VLOOKUP($S1694,'TA database'!$I$200:$J$271,2,FALSE),0)</f>
        <v>0</v>
      </c>
      <c r="Y1694">
        <f t="shared" ca="1" si="5352"/>
        <v>67.5</v>
      </c>
      <c r="Z1694" t="str">
        <f t="shared" si="5353"/>
        <v>ELCTRLYZ_LRG_C   →   C_GAS_STRG   →   LQ_TRUCK   →   H2_IND_BOIL_HEAT</v>
      </c>
      <c r="AA1694" t="str">
        <f t="shared" si="5354"/>
        <v>Industrial heat</v>
      </c>
      <c r="AB1694" t="str">
        <f t="shared" si="5355"/>
        <v>Regulatory coverage</v>
      </c>
      <c r="AC1694">
        <f t="shared" ca="1" si="5356"/>
        <v>67.5</v>
      </c>
      <c r="AD1694">
        <v>1635</v>
      </c>
      <c r="AE1694" t="str">
        <f>IF(AND(ISNUMBER(SEARCH(O1694,4)),ISNUMBER(SEARCH('(4) FCH pathway assessment'!$B$16,AB1694)),ISNUMBER(SEARCH('(4) FCH pathway assessment'!$B$10,AA1694))),AD1694,"")</f>
        <v/>
      </c>
      <c r="AF1694" t="str">
        <f t="shared" si="5202"/>
        <v/>
      </c>
      <c r="AG1694" t="str">
        <f>VLOOKUP(C1694,Assumptions!$B$116:$C$162,2,FALSE)</f>
        <v>ELCTRLYZ_LRG_C</v>
      </c>
      <c r="AH1694" t="str">
        <f>VLOOKUP(D1694,Assumptions!$B$116:$C$162,2,FALSE)</f>
        <v>C_GAS_STRG</v>
      </c>
      <c r="AI1694" t="str">
        <f>VLOOKUP(E1694,Assumptions!$B$116:$C$162,2,FALSE)</f>
        <v>LQ_TRUCK</v>
      </c>
      <c r="AJ1694" t="str">
        <f>VLOOKUP(F1694,Assumptions!$B$116:$C$162,2,FALSE)</f>
        <v>H2_IND_BOIL_HEAT</v>
      </c>
    </row>
    <row r="1695" spans="2:36" x14ac:dyDescent="0.25">
      <c r="B1695" t="s">
        <v>112</v>
      </c>
      <c r="C1695" t="s">
        <v>49</v>
      </c>
      <c r="D1695" t="s">
        <v>155</v>
      </c>
      <c r="E1695" t="s">
        <v>66</v>
      </c>
      <c r="F1695" t="s">
        <v>570</v>
      </c>
      <c r="G1695" t="s">
        <v>120</v>
      </c>
      <c r="H1695" t="s">
        <v>432</v>
      </c>
      <c r="I1695" t="s">
        <v>32</v>
      </c>
      <c r="J1695" t="s">
        <v>534</v>
      </c>
      <c r="K1695">
        <f t="shared" si="5343"/>
        <v>1</v>
      </c>
      <c r="L1695">
        <f t="shared" si="5344"/>
        <v>1</v>
      </c>
      <c r="M1695">
        <f t="shared" si="5345"/>
        <v>1</v>
      </c>
      <c r="N1695">
        <f t="shared" si="5346"/>
        <v>1</v>
      </c>
      <c r="O1695">
        <f t="shared" si="5347"/>
        <v>4</v>
      </c>
      <c r="P1695" t="str">
        <f t="shared" si="5348"/>
        <v>Large centralized electrolysis-Regulatory coverage</v>
      </c>
      <c r="Q1695" t="str">
        <f t="shared" si="5349"/>
        <v>Central gas storage-Regulatory coverage</v>
      </c>
      <c r="R1695" t="str">
        <f t="shared" si="5350"/>
        <v>Onsite-Regulatory coverage</v>
      </c>
      <c r="S1695" t="str">
        <f t="shared" si="5351"/>
        <v>Industrial H2 boiler-Regulatory coverage</v>
      </c>
      <c r="T1695">
        <f ca="1">VLOOKUP($P1695,'TA database'!$I$8:$J$79,2,FALSE)</f>
        <v>100</v>
      </c>
      <c r="U1695">
        <f ca="1">VLOOKUP($Q1695,'TA database'!$I$86:$J$105,2,FALSE)</f>
        <v>80</v>
      </c>
      <c r="V1695">
        <f ca="1">VLOOKUP($R1695,'TA database'!$I$112:$J$139,2,FALSE)</f>
        <v>100</v>
      </c>
      <c r="W1695">
        <f ca="1">IFERROR(VLOOKUP($S1695,'TA database'!$I$146:$J$193,2,FALSE),0)</f>
        <v>50</v>
      </c>
      <c r="X1695">
        <f>IFERROR(VLOOKUP($S1695,'TA database'!$I$200:$J$271,2,FALSE),0)</f>
        <v>0</v>
      </c>
      <c r="Y1695">
        <f t="shared" ca="1" si="5352"/>
        <v>82.5</v>
      </c>
      <c r="Z1695" t="str">
        <f t="shared" si="5353"/>
        <v>ELCTRLYZ_LRG_C   →   C_GAS_STRG   →   ONSITE_USE   →   H2_IND_BOIL_HEAT</v>
      </c>
      <c r="AA1695" t="str">
        <f t="shared" si="5354"/>
        <v>Industrial heat</v>
      </c>
      <c r="AB1695" t="str">
        <f t="shared" si="5355"/>
        <v>Regulatory coverage</v>
      </c>
      <c r="AC1695">
        <f t="shared" ca="1" si="5356"/>
        <v>82.5</v>
      </c>
      <c r="AD1695">
        <v>1636</v>
      </c>
      <c r="AE1695" t="str">
        <f>IF(AND(ISNUMBER(SEARCH(O1695,4)),ISNUMBER(SEARCH('(4) FCH pathway assessment'!$B$16,AB1695)),ISNUMBER(SEARCH('(4) FCH pathway assessment'!$B$10,AA1695))),AD1695,"")</f>
        <v/>
      </c>
      <c r="AF1695" t="str">
        <f t="shared" si="5202"/>
        <v/>
      </c>
      <c r="AG1695" t="str">
        <f>VLOOKUP(C1695,Assumptions!$B$116:$C$162,2,FALSE)</f>
        <v>ELCTRLYZ_LRG_C</v>
      </c>
      <c r="AH1695" t="str">
        <f>VLOOKUP(D1695,Assumptions!$B$116:$C$162,2,FALSE)</f>
        <v>C_GAS_STRG</v>
      </c>
      <c r="AI1695" t="str">
        <f>VLOOKUP(E1695,Assumptions!$B$116:$C$162,2,FALSE)</f>
        <v>ONSITE_USE</v>
      </c>
      <c r="AJ1695" t="str">
        <f>VLOOKUP(F1695,Assumptions!$B$116:$C$162,2,FALSE)</f>
        <v>H2_IND_BOIL_HEAT</v>
      </c>
    </row>
    <row r="1696" spans="2:36" x14ac:dyDescent="0.25">
      <c r="B1696" t="s">
        <v>112</v>
      </c>
      <c r="C1696" t="s">
        <v>51</v>
      </c>
      <c r="D1696" t="s">
        <v>155</v>
      </c>
      <c r="E1696" t="s">
        <v>157</v>
      </c>
      <c r="F1696" t="s">
        <v>570</v>
      </c>
      <c r="G1696" t="s">
        <v>120</v>
      </c>
      <c r="H1696" t="s">
        <v>432</v>
      </c>
      <c r="I1696" t="s">
        <v>32</v>
      </c>
      <c r="J1696" t="s">
        <v>534</v>
      </c>
      <c r="K1696">
        <f t="shared" si="5343"/>
        <v>1</v>
      </c>
      <c r="L1696">
        <f t="shared" si="5344"/>
        <v>1</v>
      </c>
      <c r="M1696">
        <f t="shared" si="5345"/>
        <v>0</v>
      </c>
      <c r="N1696">
        <f t="shared" si="5346"/>
        <v>1</v>
      </c>
      <c r="O1696">
        <f t="shared" si="5347"/>
        <v>3</v>
      </c>
      <c r="P1696" t="str">
        <f t="shared" si="5348"/>
        <v>Medium centralized electrolysis-Regulatory coverage</v>
      </c>
      <c r="Q1696" t="str">
        <f t="shared" si="5349"/>
        <v>Central gas storage-Regulatory coverage</v>
      </c>
      <c r="R1696" t="str">
        <f t="shared" si="5350"/>
        <v>Blending in natural gas pipeline-Regulatory coverage</v>
      </c>
      <c r="S1696" t="str">
        <f t="shared" si="5351"/>
        <v>Industrial H2 boiler-Regulatory coverage</v>
      </c>
      <c r="T1696">
        <f ca="1">VLOOKUP($P1696,'TA database'!$I$8:$J$79,2,FALSE)</f>
        <v>100</v>
      </c>
      <c r="U1696">
        <f ca="1">VLOOKUP($Q1696,'TA database'!$I$86:$J$105,2,FALSE)</f>
        <v>80</v>
      </c>
      <c r="V1696">
        <f ca="1">VLOOKUP($R1696,'TA database'!$I$112:$J$139,2,FALSE)</f>
        <v>100</v>
      </c>
      <c r="W1696">
        <f ca="1">IFERROR(VLOOKUP($S1696,'TA database'!$I$146:$J$193,2,FALSE),0)</f>
        <v>50</v>
      </c>
      <c r="X1696">
        <f>IFERROR(VLOOKUP($S1696,'TA database'!$I$200:$J$271,2,FALSE),0)</f>
        <v>0</v>
      </c>
      <c r="Y1696">
        <f t="shared" ca="1" si="5352"/>
        <v>82.5</v>
      </c>
      <c r="Z1696" t="str">
        <f t="shared" si="5353"/>
        <v>ELCTRLYZ_MED_C   →   C_GAS_STRG   →   H2_BLND_NG_P   →   H2_IND_BOIL_HEAT</v>
      </c>
      <c r="AA1696" t="str">
        <f t="shared" si="5354"/>
        <v>Industrial heat</v>
      </c>
      <c r="AB1696" t="str">
        <f t="shared" si="5355"/>
        <v>Regulatory coverage</v>
      </c>
      <c r="AC1696">
        <f t="shared" ca="1" si="5356"/>
        <v>82.5</v>
      </c>
      <c r="AD1696">
        <v>1637</v>
      </c>
      <c r="AE1696" t="str">
        <f>IF(AND(ISNUMBER(SEARCH(O1696,4)),ISNUMBER(SEARCH('(4) FCH pathway assessment'!$B$16,AB1696)),ISNUMBER(SEARCH('(4) FCH pathway assessment'!$B$10,AA1696))),AD1696,"")</f>
        <v/>
      </c>
      <c r="AF1696" t="str">
        <f t="shared" si="5202"/>
        <v/>
      </c>
      <c r="AG1696" t="str">
        <f>VLOOKUP(C1696,Assumptions!$B$116:$C$162,2,FALSE)</f>
        <v>ELCTRLYZ_MED_C</v>
      </c>
      <c r="AH1696" t="str">
        <f>VLOOKUP(D1696,Assumptions!$B$116:$C$162,2,FALSE)</f>
        <v>C_GAS_STRG</v>
      </c>
      <c r="AI1696" t="str">
        <f>VLOOKUP(E1696,Assumptions!$B$116:$C$162,2,FALSE)</f>
        <v>H2_BLND_NG_P</v>
      </c>
      <c r="AJ1696" t="str">
        <f>VLOOKUP(F1696,Assumptions!$B$116:$C$162,2,FALSE)</f>
        <v>H2_IND_BOIL_HEAT</v>
      </c>
    </row>
    <row r="1697" spans="2:36" x14ac:dyDescent="0.25">
      <c r="B1697" t="s">
        <v>112</v>
      </c>
      <c r="C1697" t="s">
        <v>51</v>
      </c>
      <c r="D1697" t="s">
        <v>155</v>
      </c>
      <c r="E1697" t="s">
        <v>122</v>
      </c>
      <c r="F1697" t="s">
        <v>570</v>
      </c>
      <c r="G1697" t="s">
        <v>120</v>
      </c>
      <c r="H1697" t="s">
        <v>432</v>
      </c>
      <c r="I1697" t="s">
        <v>32</v>
      </c>
      <c r="J1697" t="s">
        <v>534</v>
      </c>
      <c r="K1697">
        <f t="shared" si="5343"/>
        <v>1</v>
      </c>
      <c r="L1697">
        <f t="shared" si="5344"/>
        <v>1</v>
      </c>
      <c r="M1697">
        <f t="shared" si="5345"/>
        <v>1</v>
      </c>
      <c r="N1697">
        <f t="shared" si="5346"/>
        <v>1</v>
      </c>
      <c r="O1697">
        <f t="shared" si="5347"/>
        <v>4</v>
      </c>
      <c r="P1697" t="str">
        <f t="shared" si="5348"/>
        <v>Medium centralized electrolysis-Regulatory coverage</v>
      </c>
      <c r="Q1697" t="str">
        <f t="shared" si="5349"/>
        <v>Central gas storage-Regulatory coverage</v>
      </c>
      <c r="R1697" t="str">
        <f t="shared" si="5350"/>
        <v>Hydrogen transmission &amp; distribution pipeline-Regulatory coverage</v>
      </c>
      <c r="S1697" t="str">
        <f t="shared" si="5351"/>
        <v>Industrial H2 boiler-Regulatory coverage</v>
      </c>
      <c r="T1697">
        <f ca="1">VLOOKUP($P1697,'TA database'!$I$8:$J$79,2,FALSE)</f>
        <v>100</v>
      </c>
      <c r="U1697">
        <f ca="1">VLOOKUP($Q1697,'TA database'!$I$86:$J$105,2,FALSE)</f>
        <v>80</v>
      </c>
      <c r="V1697">
        <f ca="1">VLOOKUP($R1697,'TA database'!$I$112:$J$139,2,FALSE)</f>
        <v>40</v>
      </c>
      <c r="W1697">
        <f ca="1">IFERROR(VLOOKUP($S1697,'TA database'!$I$146:$J$193,2,FALSE),0)</f>
        <v>50</v>
      </c>
      <c r="X1697">
        <f>IFERROR(VLOOKUP($S1697,'TA database'!$I$200:$J$271,2,FALSE),0)</f>
        <v>0</v>
      </c>
      <c r="Y1697">
        <f t="shared" ca="1" si="5352"/>
        <v>67.5</v>
      </c>
      <c r="Z1697" t="str">
        <f t="shared" si="5353"/>
        <v>ELCTRLYZ_MED_C   →   C_GAS_STRG   →   H2_T&amp;D_P   →   H2_IND_BOIL_HEAT</v>
      </c>
      <c r="AA1697" t="str">
        <f t="shared" si="5354"/>
        <v>Industrial heat</v>
      </c>
      <c r="AB1697" t="str">
        <f t="shared" si="5355"/>
        <v>Regulatory coverage</v>
      </c>
      <c r="AC1697">
        <f t="shared" ca="1" si="5356"/>
        <v>67.5</v>
      </c>
      <c r="AD1697">
        <v>1638</v>
      </c>
      <c r="AE1697" t="str">
        <f>IF(AND(ISNUMBER(SEARCH(O1697,4)),ISNUMBER(SEARCH('(4) FCH pathway assessment'!$B$16,AB1697)),ISNUMBER(SEARCH('(4) FCH pathway assessment'!$B$10,AA1697))),AD1697,"")</f>
        <v/>
      </c>
      <c r="AF1697" t="str">
        <f t="shared" si="5202"/>
        <v/>
      </c>
      <c r="AG1697" t="str">
        <f>VLOOKUP(C1697,Assumptions!$B$116:$C$162,2,FALSE)</f>
        <v>ELCTRLYZ_MED_C</v>
      </c>
      <c r="AH1697" t="str">
        <f>VLOOKUP(D1697,Assumptions!$B$116:$C$162,2,FALSE)</f>
        <v>C_GAS_STRG</v>
      </c>
      <c r="AI1697" t="str">
        <f>VLOOKUP(E1697,Assumptions!$B$116:$C$162,2,FALSE)</f>
        <v>H2_T&amp;D_P</v>
      </c>
      <c r="AJ1697" t="str">
        <f>VLOOKUP(F1697,Assumptions!$B$116:$C$162,2,FALSE)</f>
        <v>H2_IND_BOIL_HEAT</v>
      </c>
    </row>
    <row r="1698" spans="2:36" x14ac:dyDescent="0.25">
      <c r="B1698" t="s">
        <v>112</v>
      </c>
      <c r="C1698" t="s">
        <v>51</v>
      </c>
      <c r="D1698" t="s">
        <v>155</v>
      </c>
      <c r="E1698" t="s">
        <v>116</v>
      </c>
      <c r="F1698" t="s">
        <v>570</v>
      </c>
      <c r="G1698" t="s">
        <v>120</v>
      </c>
      <c r="H1698" t="s">
        <v>432</v>
      </c>
      <c r="I1698" t="s">
        <v>32</v>
      </c>
      <c r="J1698" t="s">
        <v>534</v>
      </c>
      <c r="K1698">
        <f t="shared" si="5343"/>
        <v>1</v>
      </c>
      <c r="L1698">
        <f t="shared" si="5344"/>
        <v>1</v>
      </c>
      <c r="M1698">
        <f t="shared" si="5345"/>
        <v>1</v>
      </c>
      <c r="N1698">
        <f t="shared" si="5346"/>
        <v>1</v>
      </c>
      <c r="O1698">
        <f t="shared" si="5347"/>
        <v>4</v>
      </c>
      <c r="P1698" t="str">
        <f t="shared" si="5348"/>
        <v>Medium centralized electrolysis-Regulatory coverage</v>
      </c>
      <c r="Q1698" t="str">
        <f t="shared" si="5349"/>
        <v>Central gas storage-Regulatory coverage</v>
      </c>
      <c r="R1698" t="str">
        <f t="shared" si="5350"/>
        <v>Liquid hydrogen truck-Regulatory coverage</v>
      </c>
      <c r="S1698" t="str">
        <f t="shared" si="5351"/>
        <v>Industrial H2 boiler-Regulatory coverage</v>
      </c>
      <c r="T1698">
        <f ca="1">VLOOKUP($P1698,'TA database'!$I$8:$J$79,2,FALSE)</f>
        <v>100</v>
      </c>
      <c r="U1698">
        <f ca="1">VLOOKUP($Q1698,'TA database'!$I$86:$J$105,2,FALSE)</f>
        <v>80</v>
      </c>
      <c r="V1698">
        <f ca="1">VLOOKUP($R1698,'TA database'!$I$112:$J$139,2,FALSE)</f>
        <v>40</v>
      </c>
      <c r="W1698">
        <f ca="1">IFERROR(VLOOKUP($S1698,'TA database'!$I$146:$J$193,2,FALSE),0)</f>
        <v>50</v>
      </c>
      <c r="X1698">
        <f>IFERROR(VLOOKUP($S1698,'TA database'!$I$200:$J$271,2,FALSE),0)</f>
        <v>0</v>
      </c>
      <c r="Y1698">
        <f t="shared" ca="1" si="5352"/>
        <v>67.5</v>
      </c>
      <c r="Z1698" t="str">
        <f t="shared" si="5353"/>
        <v>ELCTRLYZ_MED_C   →   C_GAS_STRG   →   LQ_TRUCK   →   H2_IND_BOIL_HEAT</v>
      </c>
      <c r="AA1698" t="str">
        <f t="shared" si="5354"/>
        <v>Industrial heat</v>
      </c>
      <c r="AB1698" t="str">
        <f t="shared" si="5355"/>
        <v>Regulatory coverage</v>
      </c>
      <c r="AC1698">
        <f t="shared" ca="1" si="5356"/>
        <v>67.5</v>
      </c>
      <c r="AD1698">
        <v>1639</v>
      </c>
      <c r="AE1698" t="str">
        <f>IF(AND(ISNUMBER(SEARCH(O1698,4)),ISNUMBER(SEARCH('(4) FCH pathway assessment'!$B$16,AB1698)),ISNUMBER(SEARCH('(4) FCH pathway assessment'!$B$10,AA1698))),AD1698,"")</f>
        <v/>
      </c>
      <c r="AF1698" t="str">
        <f t="shared" si="5202"/>
        <v/>
      </c>
      <c r="AG1698" t="str">
        <f>VLOOKUP(C1698,Assumptions!$B$116:$C$162,2,FALSE)</f>
        <v>ELCTRLYZ_MED_C</v>
      </c>
      <c r="AH1698" t="str">
        <f>VLOOKUP(D1698,Assumptions!$B$116:$C$162,2,FALSE)</f>
        <v>C_GAS_STRG</v>
      </c>
      <c r="AI1698" t="str">
        <f>VLOOKUP(E1698,Assumptions!$B$116:$C$162,2,FALSE)</f>
        <v>LQ_TRUCK</v>
      </c>
      <c r="AJ1698" t="str">
        <f>VLOOKUP(F1698,Assumptions!$B$116:$C$162,2,FALSE)</f>
        <v>H2_IND_BOIL_HEAT</v>
      </c>
    </row>
    <row r="1699" spans="2:36" x14ac:dyDescent="0.25">
      <c r="B1699" t="s">
        <v>112</v>
      </c>
      <c r="C1699" t="s">
        <v>51</v>
      </c>
      <c r="D1699" t="s">
        <v>155</v>
      </c>
      <c r="E1699" t="s">
        <v>66</v>
      </c>
      <c r="F1699" t="s">
        <v>570</v>
      </c>
      <c r="G1699" t="s">
        <v>120</v>
      </c>
      <c r="H1699" t="s">
        <v>432</v>
      </c>
      <c r="I1699" t="s">
        <v>32</v>
      </c>
      <c r="J1699" t="s">
        <v>534</v>
      </c>
      <c r="K1699">
        <f t="shared" si="5343"/>
        <v>1</v>
      </c>
      <c r="L1699">
        <f t="shared" si="5344"/>
        <v>1</v>
      </c>
      <c r="M1699">
        <f t="shared" si="5345"/>
        <v>1</v>
      </c>
      <c r="N1699">
        <f t="shared" si="5346"/>
        <v>1</v>
      </c>
      <c r="O1699">
        <f t="shared" si="5347"/>
        <v>4</v>
      </c>
      <c r="P1699" t="str">
        <f t="shared" si="5348"/>
        <v>Medium centralized electrolysis-Regulatory coverage</v>
      </c>
      <c r="Q1699" t="str">
        <f t="shared" si="5349"/>
        <v>Central gas storage-Regulatory coverage</v>
      </c>
      <c r="R1699" t="str">
        <f t="shared" si="5350"/>
        <v>Onsite-Regulatory coverage</v>
      </c>
      <c r="S1699" t="str">
        <f t="shared" si="5351"/>
        <v>Industrial H2 boiler-Regulatory coverage</v>
      </c>
      <c r="T1699">
        <f ca="1">VLOOKUP($P1699,'TA database'!$I$8:$J$79,2,FALSE)</f>
        <v>100</v>
      </c>
      <c r="U1699">
        <f ca="1">VLOOKUP($Q1699,'TA database'!$I$86:$J$105,2,FALSE)</f>
        <v>80</v>
      </c>
      <c r="V1699">
        <f ca="1">VLOOKUP($R1699,'TA database'!$I$112:$J$139,2,FALSE)</f>
        <v>100</v>
      </c>
      <c r="W1699">
        <f ca="1">IFERROR(VLOOKUP($S1699,'TA database'!$I$146:$J$193,2,FALSE),0)</f>
        <v>50</v>
      </c>
      <c r="X1699">
        <f>IFERROR(VLOOKUP($S1699,'TA database'!$I$200:$J$271,2,FALSE),0)</f>
        <v>0</v>
      </c>
      <c r="Y1699">
        <f t="shared" ca="1" si="5352"/>
        <v>82.5</v>
      </c>
      <c r="Z1699" t="str">
        <f t="shared" si="5353"/>
        <v>ELCTRLYZ_MED_C   →   C_GAS_STRG   →   ONSITE_USE   →   H2_IND_BOIL_HEAT</v>
      </c>
      <c r="AA1699" t="str">
        <f t="shared" si="5354"/>
        <v>Industrial heat</v>
      </c>
      <c r="AB1699" t="str">
        <f t="shared" si="5355"/>
        <v>Regulatory coverage</v>
      </c>
      <c r="AC1699">
        <f t="shared" ca="1" si="5356"/>
        <v>82.5</v>
      </c>
      <c r="AD1699">
        <v>1640</v>
      </c>
      <c r="AE1699" t="str">
        <f>IF(AND(ISNUMBER(SEARCH(O1699,4)),ISNUMBER(SEARCH('(4) FCH pathway assessment'!$B$16,AB1699)),ISNUMBER(SEARCH('(4) FCH pathway assessment'!$B$10,AA1699))),AD1699,"")</f>
        <v/>
      </c>
      <c r="AF1699" t="str">
        <f t="shared" si="5202"/>
        <v/>
      </c>
      <c r="AG1699" t="str">
        <f>VLOOKUP(C1699,Assumptions!$B$116:$C$162,2,FALSE)</f>
        <v>ELCTRLYZ_MED_C</v>
      </c>
      <c r="AH1699" t="str">
        <f>VLOOKUP(D1699,Assumptions!$B$116:$C$162,2,FALSE)</f>
        <v>C_GAS_STRG</v>
      </c>
      <c r="AI1699" t="str">
        <f>VLOOKUP(E1699,Assumptions!$B$116:$C$162,2,FALSE)</f>
        <v>ONSITE_USE</v>
      </c>
      <c r="AJ1699" t="str">
        <f>VLOOKUP(F1699,Assumptions!$B$116:$C$162,2,FALSE)</f>
        <v>H2_IND_BOIL_HEAT</v>
      </c>
    </row>
    <row r="1700" spans="2:36" x14ac:dyDescent="0.25">
      <c r="B1700" t="s">
        <v>112</v>
      </c>
      <c r="C1700" t="s">
        <v>52</v>
      </c>
      <c r="D1700" s="60" t="s">
        <v>130</v>
      </c>
      <c r="E1700" t="s">
        <v>66</v>
      </c>
      <c r="F1700" t="s">
        <v>570</v>
      </c>
      <c r="G1700" t="s">
        <v>120</v>
      </c>
      <c r="H1700" t="s">
        <v>432</v>
      </c>
      <c r="I1700" t="s">
        <v>32</v>
      </c>
      <c r="J1700" t="s">
        <v>534</v>
      </c>
      <c r="K1700">
        <f t="shared" ref="K1700:K1704" si="5357">SUMPRODUCT(($C$7:$C$18=$C1700)*($D$6:$H$6=$D1700)*($D$7:$H$18))</f>
        <v>1</v>
      </c>
      <c r="L1700">
        <f t="shared" ref="L1700:L1704" si="5358">SUMPRODUCT(($C$19:$C$23=$D1700)*($I$6:$O$6=$E1700)*($I$19:$O$23))</f>
        <v>1</v>
      </c>
      <c r="M1700">
        <f t="shared" ref="M1700:M1704" si="5359">SUMPRODUCT(($C$24:$C$30=$E1700)*($P$6:$AI$6=$F1700)*($P$24:$AI$30))</f>
        <v>1</v>
      </c>
      <c r="N1700">
        <f t="shared" ref="N1700:N1704" si="5360">SUMPRODUCT(($C$31:$C$50=$F1700)*($AJ$6:$AM$6=$G1700)*($AJ$31:$AM$50))</f>
        <v>1</v>
      </c>
      <c r="O1700">
        <f t="shared" ref="O1700:O1704" si="5361">K1700+L1700+M1700+N1700</f>
        <v>4</v>
      </c>
      <c r="P1700" t="str">
        <f t="shared" ref="P1700:P1704" si="5362">CONCATENATE(C1700,"-",J1700)</f>
        <v>Small decentralized electrolysis-Regulatory coverage</v>
      </c>
      <c r="Q1700" t="str">
        <f t="shared" ref="Q1700:Q1704" si="5363">CONCATENATE(D1700,"-",J1700)</f>
        <v>Distributed gas storage-Regulatory coverage</v>
      </c>
      <c r="R1700" t="str">
        <f t="shared" ref="R1700:R1704" si="5364">CONCATENATE(E1700,"-",J1700)</f>
        <v>Onsite-Regulatory coverage</v>
      </c>
      <c r="S1700" t="str">
        <f t="shared" ref="S1700:S1704" si="5365">CONCATENATE(F1700,"-",J1700)</f>
        <v>Industrial H2 boiler-Regulatory coverage</v>
      </c>
      <c r="T1700">
        <f ca="1">VLOOKUP($P1700,'TA database'!$I$8:$J$79,2,FALSE)</f>
        <v>100</v>
      </c>
      <c r="U1700">
        <f ca="1">VLOOKUP($Q1700,'TA database'!$I$86:$J$105,2,FALSE)</f>
        <v>100</v>
      </c>
      <c r="V1700">
        <f ca="1">VLOOKUP($R1700,'TA database'!$I$112:$J$139,2,FALSE)</f>
        <v>100</v>
      </c>
      <c r="W1700">
        <f ca="1">IFERROR(VLOOKUP($S1700,'TA database'!$I$146:$J$193,2,FALSE),0)</f>
        <v>50</v>
      </c>
      <c r="X1700">
        <f>IFERROR(VLOOKUP($S1700,'TA database'!$I$200:$J$271,2,FALSE),0)</f>
        <v>0</v>
      </c>
      <c r="Y1700">
        <f t="shared" ref="Y1700:Y1704" ca="1" si="5366">IF($W1700=0,SUM($T1700:$V1700,$X1700)/4,SUM($T1700:$W1700)/4)</f>
        <v>87.5</v>
      </c>
      <c r="Z1700" t="str">
        <f t="shared" ref="Z1700:Z1704" si="5367">CONCATENATE(AG1700,"   →   ",AH1700,"   →   ",AI1700,"   →   ",AJ1700)</f>
        <v>ELCTRLYZ_SML_D   →   D_GAS_STRG   →   ONSITE_USE   →   H2_IND_BOIL_HEAT</v>
      </c>
      <c r="AA1700" t="str">
        <f t="shared" ref="AA1700:AA1704" si="5368">G1700</f>
        <v>Industrial heat</v>
      </c>
      <c r="AB1700" t="str">
        <f t="shared" ref="AB1700:AB1704" si="5369">J1700</f>
        <v>Regulatory coverage</v>
      </c>
      <c r="AC1700">
        <f t="shared" ref="AC1700:AC1704" ca="1" si="5370">Y1700</f>
        <v>87.5</v>
      </c>
      <c r="AD1700">
        <v>1641</v>
      </c>
      <c r="AE1700" t="str">
        <f>IF(AND(ISNUMBER(SEARCH(O1700,4)),ISNUMBER(SEARCH('(4) FCH pathway assessment'!$B$16,AB1700)),ISNUMBER(SEARCH('(4) FCH pathway assessment'!$B$10,AA1700))),AD1700,"")</f>
        <v/>
      </c>
      <c r="AF1700" t="str">
        <f t="shared" si="5202"/>
        <v/>
      </c>
      <c r="AG1700" t="str">
        <f>VLOOKUP(C1700,Assumptions!$B$116:$C$162,2,FALSE)</f>
        <v>ELCTRLYZ_SML_D</v>
      </c>
      <c r="AH1700" t="str">
        <f>VLOOKUP(D1700,Assumptions!$B$116:$C$162,2,FALSE)</f>
        <v>D_GAS_STRG</v>
      </c>
      <c r="AI1700" t="str">
        <f>VLOOKUP(E1700,Assumptions!$B$116:$C$162,2,FALSE)</f>
        <v>ONSITE_USE</v>
      </c>
      <c r="AJ1700" t="str">
        <f>VLOOKUP(F1700,Assumptions!$B$116:$C$162,2,FALSE)</f>
        <v>H2_IND_BOIL_HEAT</v>
      </c>
    </row>
    <row r="1701" spans="2:36" x14ac:dyDescent="0.25">
      <c r="B1701" t="s">
        <v>127</v>
      </c>
      <c r="C1701" t="s">
        <v>57</v>
      </c>
      <c r="D1701" t="s">
        <v>62</v>
      </c>
      <c r="E1701" t="s">
        <v>157</v>
      </c>
      <c r="F1701" t="s">
        <v>570</v>
      </c>
      <c r="G1701" t="s">
        <v>120</v>
      </c>
      <c r="H1701" t="s">
        <v>432</v>
      </c>
      <c r="I1701" t="s">
        <v>32</v>
      </c>
      <c r="J1701" t="s">
        <v>534</v>
      </c>
      <c r="K1701">
        <f t="shared" si="5357"/>
        <v>1</v>
      </c>
      <c r="L1701">
        <f t="shared" si="5358"/>
        <v>0</v>
      </c>
      <c r="M1701">
        <f t="shared" si="5359"/>
        <v>0</v>
      </c>
      <c r="N1701">
        <f t="shared" si="5360"/>
        <v>1</v>
      </c>
      <c r="O1701">
        <f t="shared" si="5361"/>
        <v>2</v>
      </c>
      <c r="P1701" t="str">
        <f t="shared" si="5362"/>
        <v>Large centralized natural gas steam reforming-Regulatory coverage</v>
      </c>
      <c r="Q1701" t="str">
        <f t="shared" si="5363"/>
        <v>Underground storage-Regulatory coverage</v>
      </c>
      <c r="R1701" t="str">
        <f t="shared" si="5364"/>
        <v>Blending in natural gas pipeline-Regulatory coverage</v>
      </c>
      <c r="S1701" t="str">
        <f t="shared" si="5365"/>
        <v>Industrial H2 boiler-Regulatory coverage</v>
      </c>
      <c r="T1701">
        <f ca="1">VLOOKUP($P1701,'TA database'!$I$8:$J$79,2,FALSE)</f>
        <v>100</v>
      </c>
      <c r="U1701">
        <f ca="1">VLOOKUP($Q1701,'TA database'!$I$86:$J$105,2,FALSE)</f>
        <v>0</v>
      </c>
      <c r="V1701">
        <f ca="1">VLOOKUP($R1701,'TA database'!$I$112:$J$139,2,FALSE)</f>
        <v>100</v>
      </c>
      <c r="W1701">
        <f ca="1">IFERROR(VLOOKUP($S1701,'TA database'!$I$146:$J$193,2,FALSE),0)</f>
        <v>50</v>
      </c>
      <c r="X1701">
        <f>IFERROR(VLOOKUP($S1701,'TA database'!$I$200:$J$271,2,FALSE),0)</f>
        <v>0</v>
      </c>
      <c r="Y1701">
        <f t="shared" ca="1" si="5366"/>
        <v>62.5</v>
      </c>
      <c r="Z1701" t="str">
        <f t="shared" si="5367"/>
        <v>NG_SR_LRG_C   →   C_UNDRGRND_STRG   →   H2_BLND_NG_P   →   H2_IND_BOIL_HEAT</v>
      </c>
      <c r="AA1701" t="str">
        <f t="shared" si="5368"/>
        <v>Industrial heat</v>
      </c>
      <c r="AB1701" t="str">
        <f t="shared" si="5369"/>
        <v>Regulatory coverage</v>
      </c>
      <c r="AC1701">
        <f t="shared" ca="1" si="5370"/>
        <v>62.5</v>
      </c>
      <c r="AD1701">
        <v>1642</v>
      </c>
      <c r="AE1701" t="str">
        <f>IF(AND(ISNUMBER(SEARCH(O1701,4)),ISNUMBER(SEARCH('(4) FCH pathway assessment'!$B$16,AB1701)),ISNUMBER(SEARCH('(4) FCH pathway assessment'!$B$10,AA1701))),AD1701,"")</f>
        <v/>
      </c>
      <c r="AF1701" t="str">
        <f t="shared" si="5202"/>
        <v/>
      </c>
      <c r="AG1701" t="str">
        <f>VLOOKUP(C1701,Assumptions!$B$116:$C$162,2,FALSE)</f>
        <v>NG_SR_LRG_C</v>
      </c>
      <c r="AH1701" t="str">
        <f>VLOOKUP(D1701,Assumptions!$B$116:$C$162,2,FALSE)</f>
        <v>C_UNDRGRND_STRG</v>
      </c>
      <c r="AI1701" t="str">
        <f>VLOOKUP(E1701,Assumptions!$B$116:$C$162,2,FALSE)</f>
        <v>H2_BLND_NG_P</v>
      </c>
      <c r="AJ1701" t="str">
        <f>VLOOKUP(F1701,Assumptions!$B$116:$C$162,2,FALSE)</f>
        <v>H2_IND_BOIL_HEAT</v>
      </c>
    </row>
    <row r="1702" spans="2:36" x14ac:dyDescent="0.25">
      <c r="B1702" t="s">
        <v>127</v>
      </c>
      <c r="C1702" t="s">
        <v>57</v>
      </c>
      <c r="D1702" t="s">
        <v>62</v>
      </c>
      <c r="E1702" t="s">
        <v>122</v>
      </c>
      <c r="F1702" t="s">
        <v>570</v>
      </c>
      <c r="G1702" t="s">
        <v>120</v>
      </c>
      <c r="H1702" t="s">
        <v>432</v>
      </c>
      <c r="I1702" t="s">
        <v>32</v>
      </c>
      <c r="J1702" t="s">
        <v>534</v>
      </c>
      <c r="K1702">
        <f t="shared" si="5357"/>
        <v>1</v>
      </c>
      <c r="L1702">
        <f t="shared" si="5358"/>
        <v>0</v>
      </c>
      <c r="M1702">
        <f t="shared" si="5359"/>
        <v>1</v>
      </c>
      <c r="N1702">
        <f t="shared" si="5360"/>
        <v>1</v>
      </c>
      <c r="O1702">
        <f t="shared" si="5361"/>
        <v>3</v>
      </c>
      <c r="P1702" t="str">
        <f t="shared" si="5362"/>
        <v>Large centralized natural gas steam reforming-Regulatory coverage</v>
      </c>
      <c r="Q1702" t="str">
        <f t="shared" si="5363"/>
        <v>Underground storage-Regulatory coverage</v>
      </c>
      <c r="R1702" t="str">
        <f t="shared" si="5364"/>
        <v>Hydrogen transmission &amp; distribution pipeline-Regulatory coverage</v>
      </c>
      <c r="S1702" t="str">
        <f t="shared" si="5365"/>
        <v>Industrial H2 boiler-Regulatory coverage</v>
      </c>
      <c r="T1702">
        <f ca="1">VLOOKUP($P1702,'TA database'!$I$8:$J$79,2,FALSE)</f>
        <v>100</v>
      </c>
      <c r="U1702">
        <f ca="1">VLOOKUP($Q1702,'TA database'!$I$86:$J$105,2,FALSE)</f>
        <v>0</v>
      </c>
      <c r="V1702">
        <f ca="1">VLOOKUP($R1702,'TA database'!$I$112:$J$139,2,FALSE)</f>
        <v>40</v>
      </c>
      <c r="W1702">
        <f ca="1">IFERROR(VLOOKUP($S1702,'TA database'!$I$146:$J$193,2,FALSE),0)</f>
        <v>50</v>
      </c>
      <c r="X1702">
        <f>IFERROR(VLOOKUP($S1702,'TA database'!$I$200:$J$271,2,FALSE),0)</f>
        <v>0</v>
      </c>
      <c r="Y1702">
        <f t="shared" ca="1" si="5366"/>
        <v>47.5</v>
      </c>
      <c r="Z1702" t="str">
        <f t="shared" si="5367"/>
        <v>NG_SR_LRG_C   →   C_UNDRGRND_STRG   →   H2_T&amp;D_P   →   H2_IND_BOIL_HEAT</v>
      </c>
      <c r="AA1702" t="str">
        <f t="shared" si="5368"/>
        <v>Industrial heat</v>
      </c>
      <c r="AB1702" t="str">
        <f t="shared" si="5369"/>
        <v>Regulatory coverage</v>
      </c>
      <c r="AC1702">
        <f t="shared" ca="1" si="5370"/>
        <v>47.5</v>
      </c>
      <c r="AD1702">
        <v>1643</v>
      </c>
      <c r="AE1702" t="str">
        <f>IF(AND(ISNUMBER(SEARCH(O1702,4)),ISNUMBER(SEARCH('(4) FCH pathway assessment'!$B$16,AB1702)),ISNUMBER(SEARCH('(4) FCH pathway assessment'!$B$10,AA1702))),AD1702,"")</f>
        <v/>
      </c>
      <c r="AF1702" t="str">
        <f t="shared" si="5202"/>
        <v/>
      </c>
      <c r="AG1702" t="str">
        <f>VLOOKUP(C1702,Assumptions!$B$116:$C$162,2,FALSE)</f>
        <v>NG_SR_LRG_C</v>
      </c>
      <c r="AH1702" t="str">
        <f>VLOOKUP(D1702,Assumptions!$B$116:$C$162,2,FALSE)</f>
        <v>C_UNDRGRND_STRG</v>
      </c>
      <c r="AI1702" t="str">
        <f>VLOOKUP(E1702,Assumptions!$B$116:$C$162,2,FALSE)</f>
        <v>H2_T&amp;D_P</v>
      </c>
      <c r="AJ1702" t="str">
        <f>VLOOKUP(F1702,Assumptions!$B$116:$C$162,2,FALSE)</f>
        <v>H2_IND_BOIL_HEAT</v>
      </c>
    </row>
    <row r="1703" spans="2:36" x14ac:dyDescent="0.25">
      <c r="B1703" t="s">
        <v>127</v>
      </c>
      <c r="C1703" t="s">
        <v>57</v>
      </c>
      <c r="D1703" t="s">
        <v>62</v>
      </c>
      <c r="E1703" t="s">
        <v>116</v>
      </c>
      <c r="F1703" t="s">
        <v>570</v>
      </c>
      <c r="G1703" t="s">
        <v>120</v>
      </c>
      <c r="H1703" t="s">
        <v>432</v>
      </c>
      <c r="I1703" t="s">
        <v>32</v>
      </c>
      <c r="J1703" t="s">
        <v>534</v>
      </c>
      <c r="K1703">
        <f t="shared" si="5357"/>
        <v>1</v>
      </c>
      <c r="L1703">
        <f t="shared" si="5358"/>
        <v>0</v>
      </c>
      <c r="M1703">
        <f t="shared" si="5359"/>
        <v>1</v>
      </c>
      <c r="N1703">
        <f t="shared" si="5360"/>
        <v>1</v>
      </c>
      <c r="O1703">
        <f t="shared" si="5361"/>
        <v>3</v>
      </c>
      <c r="P1703" t="str">
        <f t="shared" si="5362"/>
        <v>Large centralized natural gas steam reforming-Regulatory coverage</v>
      </c>
      <c r="Q1703" t="str">
        <f t="shared" si="5363"/>
        <v>Underground storage-Regulatory coverage</v>
      </c>
      <c r="R1703" t="str">
        <f t="shared" si="5364"/>
        <v>Liquid hydrogen truck-Regulatory coverage</v>
      </c>
      <c r="S1703" t="str">
        <f t="shared" si="5365"/>
        <v>Industrial H2 boiler-Regulatory coverage</v>
      </c>
      <c r="T1703">
        <f ca="1">VLOOKUP($P1703,'TA database'!$I$8:$J$79,2,FALSE)</f>
        <v>100</v>
      </c>
      <c r="U1703">
        <f ca="1">VLOOKUP($Q1703,'TA database'!$I$86:$J$105,2,FALSE)</f>
        <v>0</v>
      </c>
      <c r="V1703">
        <f ca="1">VLOOKUP($R1703,'TA database'!$I$112:$J$139,2,FALSE)</f>
        <v>40</v>
      </c>
      <c r="W1703">
        <f ca="1">IFERROR(VLOOKUP($S1703,'TA database'!$I$146:$J$193,2,FALSE),0)</f>
        <v>50</v>
      </c>
      <c r="X1703">
        <f>IFERROR(VLOOKUP($S1703,'TA database'!$I$200:$J$271,2,FALSE),0)</f>
        <v>0</v>
      </c>
      <c r="Y1703">
        <f t="shared" ca="1" si="5366"/>
        <v>47.5</v>
      </c>
      <c r="Z1703" t="str">
        <f t="shared" si="5367"/>
        <v>NG_SR_LRG_C   →   C_UNDRGRND_STRG   →   LQ_TRUCK   →   H2_IND_BOIL_HEAT</v>
      </c>
      <c r="AA1703" t="str">
        <f t="shared" si="5368"/>
        <v>Industrial heat</v>
      </c>
      <c r="AB1703" t="str">
        <f t="shared" si="5369"/>
        <v>Regulatory coverage</v>
      </c>
      <c r="AC1703">
        <f t="shared" ca="1" si="5370"/>
        <v>47.5</v>
      </c>
      <c r="AD1703">
        <v>1644</v>
      </c>
      <c r="AE1703" t="str">
        <f>IF(AND(ISNUMBER(SEARCH(O1703,4)),ISNUMBER(SEARCH('(4) FCH pathway assessment'!$B$16,AB1703)),ISNUMBER(SEARCH('(4) FCH pathway assessment'!$B$10,AA1703))),AD1703,"")</f>
        <v/>
      </c>
      <c r="AF1703" t="str">
        <f t="shared" si="5202"/>
        <v/>
      </c>
      <c r="AG1703" t="str">
        <f>VLOOKUP(C1703,Assumptions!$B$116:$C$162,2,FALSE)</f>
        <v>NG_SR_LRG_C</v>
      </c>
      <c r="AH1703" t="str">
        <f>VLOOKUP(D1703,Assumptions!$B$116:$C$162,2,FALSE)</f>
        <v>C_UNDRGRND_STRG</v>
      </c>
      <c r="AI1703" t="str">
        <f>VLOOKUP(E1703,Assumptions!$B$116:$C$162,2,FALSE)</f>
        <v>LQ_TRUCK</v>
      </c>
      <c r="AJ1703" t="str">
        <f>VLOOKUP(F1703,Assumptions!$B$116:$C$162,2,FALSE)</f>
        <v>H2_IND_BOIL_HEAT</v>
      </c>
    </row>
    <row r="1704" spans="2:36" x14ac:dyDescent="0.25">
      <c r="B1704" t="s">
        <v>127</v>
      </c>
      <c r="C1704" t="s">
        <v>57</v>
      </c>
      <c r="D1704" t="s">
        <v>62</v>
      </c>
      <c r="E1704" t="s">
        <v>66</v>
      </c>
      <c r="F1704" t="s">
        <v>570</v>
      </c>
      <c r="G1704" t="s">
        <v>120</v>
      </c>
      <c r="H1704" t="s">
        <v>432</v>
      </c>
      <c r="I1704" t="s">
        <v>32</v>
      </c>
      <c r="J1704" t="s">
        <v>534</v>
      </c>
      <c r="K1704">
        <f t="shared" si="5357"/>
        <v>1</v>
      </c>
      <c r="L1704">
        <f t="shared" si="5358"/>
        <v>0</v>
      </c>
      <c r="M1704">
        <f t="shared" si="5359"/>
        <v>1</v>
      </c>
      <c r="N1704">
        <f t="shared" si="5360"/>
        <v>1</v>
      </c>
      <c r="O1704">
        <f t="shared" si="5361"/>
        <v>3</v>
      </c>
      <c r="P1704" t="str">
        <f t="shared" si="5362"/>
        <v>Large centralized natural gas steam reforming-Regulatory coverage</v>
      </c>
      <c r="Q1704" t="str">
        <f t="shared" si="5363"/>
        <v>Underground storage-Regulatory coverage</v>
      </c>
      <c r="R1704" t="str">
        <f t="shared" si="5364"/>
        <v>Onsite-Regulatory coverage</v>
      </c>
      <c r="S1704" t="str">
        <f t="shared" si="5365"/>
        <v>Industrial H2 boiler-Regulatory coverage</v>
      </c>
      <c r="T1704">
        <f ca="1">VLOOKUP($P1704,'TA database'!$I$8:$J$79,2,FALSE)</f>
        <v>100</v>
      </c>
      <c r="U1704">
        <f ca="1">VLOOKUP($Q1704,'TA database'!$I$86:$J$105,2,FALSE)</f>
        <v>0</v>
      </c>
      <c r="V1704">
        <f ca="1">VLOOKUP($R1704,'TA database'!$I$112:$J$139,2,FALSE)</f>
        <v>100</v>
      </c>
      <c r="W1704">
        <f ca="1">IFERROR(VLOOKUP($S1704,'TA database'!$I$146:$J$193,2,FALSE),0)</f>
        <v>50</v>
      </c>
      <c r="X1704">
        <f>IFERROR(VLOOKUP($S1704,'TA database'!$I$200:$J$271,2,FALSE),0)</f>
        <v>0</v>
      </c>
      <c r="Y1704">
        <f t="shared" ca="1" si="5366"/>
        <v>62.5</v>
      </c>
      <c r="Z1704" t="str">
        <f t="shared" si="5367"/>
        <v>NG_SR_LRG_C   →   C_UNDRGRND_STRG   →   ONSITE_USE   →   H2_IND_BOIL_HEAT</v>
      </c>
      <c r="AA1704" t="str">
        <f t="shared" si="5368"/>
        <v>Industrial heat</v>
      </c>
      <c r="AB1704" t="str">
        <f t="shared" si="5369"/>
        <v>Regulatory coverage</v>
      </c>
      <c r="AC1704">
        <f t="shared" ca="1" si="5370"/>
        <v>62.5</v>
      </c>
      <c r="AD1704">
        <v>1645</v>
      </c>
      <c r="AE1704" t="str">
        <f>IF(AND(ISNUMBER(SEARCH(O1704,4)),ISNUMBER(SEARCH('(4) FCH pathway assessment'!$B$16,AB1704)),ISNUMBER(SEARCH('(4) FCH pathway assessment'!$B$10,AA1704))),AD1704,"")</f>
        <v/>
      </c>
      <c r="AF1704" t="str">
        <f t="shared" si="5202"/>
        <v/>
      </c>
      <c r="AG1704" t="str">
        <f>VLOOKUP(C1704,Assumptions!$B$116:$C$162,2,FALSE)</f>
        <v>NG_SR_LRG_C</v>
      </c>
      <c r="AH1704" t="str">
        <f>VLOOKUP(D1704,Assumptions!$B$116:$C$162,2,FALSE)</f>
        <v>C_UNDRGRND_STRG</v>
      </c>
      <c r="AI1704" t="str">
        <f>VLOOKUP(E1704,Assumptions!$B$116:$C$162,2,FALSE)</f>
        <v>ONSITE_USE</v>
      </c>
      <c r="AJ1704" t="str">
        <f>VLOOKUP(F1704,Assumptions!$B$116:$C$162,2,FALSE)</f>
        <v>H2_IND_BOIL_HEAT</v>
      </c>
    </row>
    <row r="1705" spans="2:36" x14ac:dyDescent="0.25">
      <c r="B1705" t="s">
        <v>127</v>
      </c>
      <c r="C1705" t="s">
        <v>57</v>
      </c>
      <c r="D1705" s="61" t="s">
        <v>63</v>
      </c>
      <c r="E1705" t="s">
        <v>122</v>
      </c>
      <c r="F1705" t="s">
        <v>570</v>
      </c>
      <c r="G1705" t="s">
        <v>120</v>
      </c>
      <c r="H1705" t="s">
        <v>432</v>
      </c>
      <c r="I1705" t="s">
        <v>32</v>
      </c>
      <c r="J1705" t="s">
        <v>534</v>
      </c>
      <c r="K1705">
        <f t="shared" ref="K1705:K1709" si="5371">SUMPRODUCT(($C$7:$C$18=$C1705)*($D$6:$H$6=$D1705)*($D$7:$H$18))</f>
        <v>1</v>
      </c>
      <c r="L1705">
        <f t="shared" ref="L1705:L1709" si="5372">SUMPRODUCT(($C$19:$C$23=$D1705)*($I$6:$O$6=$E1705)*($I$19:$O$23))</f>
        <v>1</v>
      </c>
      <c r="M1705">
        <f t="shared" ref="M1705:M1709" si="5373">SUMPRODUCT(($C$24:$C$30=$E1705)*($P$6:$AI$6=$F1705)*($P$24:$AI$30))</f>
        <v>1</v>
      </c>
      <c r="N1705">
        <f t="shared" ref="N1705:N1709" si="5374">SUMPRODUCT(($C$31:$C$50=$F1705)*($AJ$6:$AM$6=$G1705)*($AJ$31:$AM$50))</f>
        <v>1</v>
      </c>
      <c r="O1705">
        <f t="shared" ref="O1705:O1709" si="5375">K1705+L1705+M1705+N1705</f>
        <v>4</v>
      </c>
      <c r="P1705" t="str">
        <f t="shared" ref="P1705:P1709" si="5376">CONCATENATE(C1705,"-",J1705)</f>
        <v>Large centralized natural gas steam reforming-Regulatory coverage</v>
      </c>
      <c r="Q1705" t="str">
        <f t="shared" ref="Q1705:Q1709" si="5377">CONCATENATE(D1705,"-",J1705)</f>
        <v>No storage-Regulatory coverage</v>
      </c>
      <c r="R1705" t="str">
        <f t="shared" ref="R1705:R1709" si="5378">CONCATENATE(E1705,"-",J1705)</f>
        <v>Hydrogen transmission &amp; distribution pipeline-Regulatory coverage</v>
      </c>
      <c r="S1705" t="str">
        <f t="shared" ref="S1705:S1709" si="5379">CONCATENATE(F1705,"-",J1705)</f>
        <v>Industrial H2 boiler-Regulatory coverage</v>
      </c>
      <c r="T1705">
        <f ca="1">VLOOKUP($P1705,'TA database'!$I$8:$J$79,2,FALSE)</f>
        <v>100</v>
      </c>
      <c r="U1705">
        <f ca="1">VLOOKUP($Q1705,'TA database'!$I$86:$J$105,2,FALSE)</f>
        <v>100</v>
      </c>
      <c r="V1705">
        <f ca="1">VLOOKUP($R1705,'TA database'!$I$112:$J$139,2,FALSE)</f>
        <v>40</v>
      </c>
      <c r="W1705">
        <f ca="1">IFERROR(VLOOKUP($S1705,'TA database'!$I$146:$J$193,2,FALSE),0)</f>
        <v>50</v>
      </c>
      <c r="X1705">
        <f>IFERROR(VLOOKUP($S1705,'TA database'!$I$200:$J$271,2,FALSE),0)</f>
        <v>0</v>
      </c>
      <c r="Y1705">
        <f t="shared" ref="Y1705:Y1709" ca="1" si="5380">IF($W1705=0,SUM($T1705:$V1705,$X1705)/4,SUM($T1705:$W1705)/4)</f>
        <v>72.5</v>
      </c>
      <c r="Z1705" t="str">
        <f t="shared" ref="Z1705:Z1709" si="5381">CONCATENATE(AG1705,"   →   ",AH1705,"   →   ",AI1705,"   →   ",AJ1705)</f>
        <v>NG_SR_LRG_C   →   NO_STRG   →   H2_T&amp;D_P   →   H2_IND_BOIL_HEAT</v>
      </c>
      <c r="AA1705" t="str">
        <f t="shared" ref="AA1705:AA1709" si="5382">G1705</f>
        <v>Industrial heat</v>
      </c>
      <c r="AB1705" t="str">
        <f t="shared" ref="AB1705:AB1709" si="5383">J1705</f>
        <v>Regulatory coverage</v>
      </c>
      <c r="AC1705">
        <f t="shared" ref="AC1705:AC1709" ca="1" si="5384">Y1705</f>
        <v>72.5</v>
      </c>
      <c r="AD1705">
        <v>1646</v>
      </c>
      <c r="AE1705" t="str">
        <f>IF(AND(ISNUMBER(SEARCH(O1705,4)),ISNUMBER(SEARCH('(4) FCH pathway assessment'!$B$16,AB1705)),ISNUMBER(SEARCH('(4) FCH pathway assessment'!$B$10,AA1705))),AD1705,"")</f>
        <v/>
      </c>
      <c r="AF1705" t="str">
        <f t="shared" si="5202"/>
        <v/>
      </c>
      <c r="AG1705" t="str">
        <f>VLOOKUP(C1705,Assumptions!$B$116:$C$162,2,FALSE)</f>
        <v>NG_SR_LRG_C</v>
      </c>
      <c r="AH1705" t="str">
        <f>VLOOKUP(D1705,Assumptions!$B$116:$C$162,2,FALSE)</f>
        <v>NO_STRG</v>
      </c>
      <c r="AI1705" t="str">
        <f>VLOOKUP(E1705,Assumptions!$B$116:$C$162,2,FALSE)</f>
        <v>H2_T&amp;D_P</v>
      </c>
      <c r="AJ1705" t="str">
        <f>VLOOKUP(F1705,Assumptions!$B$116:$C$162,2,FALSE)</f>
        <v>H2_IND_BOIL_HEAT</v>
      </c>
    </row>
    <row r="1706" spans="2:36" x14ac:dyDescent="0.25">
      <c r="B1706" t="s">
        <v>127</v>
      </c>
      <c r="C1706" t="s">
        <v>58</v>
      </c>
      <c r="D1706" t="s">
        <v>155</v>
      </c>
      <c r="E1706" t="s">
        <v>157</v>
      </c>
      <c r="F1706" t="s">
        <v>570</v>
      </c>
      <c r="G1706" t="s">
        <v>120</v>
      </c>
      <c r="H1706" t="s">
        <v>432</v>
      </c>
      <c r="I1706" t="s">
        <v>32</v>
      </c>
      <c r="J1706" t="s">
        <v>534</v>
      </c>
      <c r="K1706">
        <f t="shared" si="5371"/>
        <v>1</v>
      </c>
      <c r="L1706">
        <f t="shared" si="5372"/>
        <v>1</v>
      </c>
      <c r="M1706">
        <f t="shared" si="5373"/>
        <v>0</v>
      </c>
      <c r="N1706">
        <f t="shared" si="5374"/>
        <v>1</v>
      </c>
      <c r="O1706">
        <f t="shared" si="5375"/>
        <v>3</v>
      </c>
      <c r="P1706" t="str">
        <f t="shared" si="5376"/>
        <v>Small centralized natural gas steam reforming-Regulatory coverage</v>
      </c>
      <c r="Q1706" t="str">
        <f t="shared" si="5377"/>
        <v>Central gas storage-Regulatory coverage</v>
      </c>
      <c r="R1706" t="str">
        <f t="shared" si="5378"/>
        <v>Blending in natural gas pipeline-Regulatory coverage</v>
      </c>
      <c r="S1706" t="str">
        <f t="shared" si="5379"/>
        <v>Industrial H2 boiler-Regulatory coverage</v>
      </c>
      <c r="T1706">
        <f ca="1">VLOOKUP($P1706,'TA database'!$I$8:$J$79,2,FALSE)</f>
        <v>100</v>
      </c>
      <c r="U1706">
        <f ca="1">VLOOKUP($Q1706,'TA database'!$I$86:$J$105,2,FALSE)</f>
        <v>80</v>
      </c>
      <c r="V1706">
        <f ca="1">VLOOKUP($R1706,'TA database'!$I$112:$J$139,2,FALSE)</f>
        <v>100</v>
      </c>
      <c r="W1706">
        <f ca="1">IFERROR(VLOOKUP($S1706,'TA database'!$I$146:$J$193,2,FALSE),0)</f>
        <v>50</v>
      </c>
      <c r="X1706">
        <f>IFERROR(VLOOKUP($S1706,'TA database'!$I$200:$J$271,2,FALSE),0)</f>
        <v>0</v>
      </c>
      <c r="Y1706">
        <f t="shared" ca="1" si="5380"/>
        <v>82.5</v>
      </c>
      <c r="Z1706" t="str">
        <f t="shared" si="5381"/>
        <v>NG_SR_SML_C   →   C_GAS_STRG   →   H2_BLND_NG_P   →   H2_IND_BOIL_HEAT</v>
      </c>
      <c r="AA1706" t="str">
        <f t="shared" si="5382"/>
        <v>Industrial heat</v>
      </c>
      <c r="AB1706" t="str">
        <f t="shared" si="5383"/>
        <v>Regulatory coverage</v>
      </c>
      <c r="AC1706">
        <f t="shared" ca="1" si="5384"/>
        <v>82.5</v>
      </c>
      <c r="AD1706">
        <v>1647</v>
      </c>
      <c r="AE1706" t="str">
        <f>IF(AND(ISNUMBER(SEARCH(O1706,4)),ISNUMBER(SEARCH('(4) FCH pathway assessment'!$B$16,AB1706)),ISNUMBER(SEARCH('(4) FCH pathway assessment'!$B$10,AA1706))),AD1706,"")</f>
        <v/>
      </c>
      <c r="AF1706" t="str">
        <f t="shared" si="5202"/>
        <v/>
      </c>
      <c r="AG1706" t="str">
        <f>VLOOKUP(C1706,Assumptions!$B$116:$C$162,2,FALSE)</f>
        <v>NG_SR_SML_C</v>
      </c>
      <c r="AH1706" t="str">
        <f>VLOOKUP(D1706,Assumptions!$B$116:$C$162,2,FALSE)</f>
        <v>C_GAS_STRG</v>
      </c>
      <c r="AI1706" t="str">
        <f>VLOOKUP(E1706,Assumptions!$B$116:$C$162,2,FALSE)</f>
        <v>H2_BLND_NG_P</v>
      </c>
      <c r="AJ1706" t="str">
        <f>VLOOKUP(F1706,Assumptions!$B$116:$C$162,2,FALSE)</f>
        <v>H2_IND_BOIL_HEAT</v>
      </c>
    </row>
    <row r="1707" spans="2:36" x14ac:dyDescent="0.25">
      <c r="B1707" t="s">
        <v>127</v>
      </c>
      <c r="C1707" t="s">
        <v>58</v>
      </c>
      <c r="D1707" t="s">
        <v>155</v>
      </c>
      <c r="E1707" t="s">
        <v>122</v>
      </c>
      <c r="F1707" t="s">
        <v>570</v>
      </c>
      <c r="G1707" t="s">
        <v>120</v>
      </c>
      <c r="H1707" t="s">
        <v>432</v>
      </c>
      <c r="I1707" t="s">
        <v>32</v>
      </c>
      <c r="J1707" t="s">
        <v>534</v>
      </c>
      <c r="K1707">
        <f t="shared" si="5371"/>
        <v>1</v>
      </c>
      <c r="L1707">
        <f t="shared" si="5372"/>
        <v>1</v>
      </c>
      <c r="M1707">
        <f t="shared" si="5373"/>
        <v>1</v>
      </c>
      <c r="N1707">
        <f t="shared" si="5374"/>
        <v>1</v>
      </c>
      <c r="O1707">
        <f t="shared" si="5375"/>
        <v>4</v>
      </c>
      <c r="P1707" t="str">
        <f t="shared" si="5376"/>
        <v>Small centralized natural gas steam reforming-Regulatory coverage</v>
      </c>
      <c r="Q1707" t="str">
        <f t="shared" si="5377"/>
        <v>Central gas storage-Regulatory coverage</v>
      </c>
      <c r="R1707" t="str">
        <f t="shared" si="5378"/>
        <v>Hydrogen transmission &amp; distribution pipeline-Regulatory coverage</v>
      </c>
      <c r="S1707" t="str">
        <f t="shared" si="5379"/>
        <v>Industrial H2 boiler-Regulatory coverage</v>
      </c>
      <c r="T1707">
        <f ca="1">VLOOKUP($P1707,'TA database'!$I$8:$J$79,2,FALSE)</f>
        <v>100</v>
      </c>
      <c r="U1707">
        <f ca="1">VLOOKUP($Q1707,'TA database'!$I$86:$J$105,2,FALSE)</f>
        <v>80</v>
      </c>
      <c r="V1707">
        <f ca="1">VLOOKUP($R1707,'TA database'!$I$112:$J$139,2,FALSE)</f>
        <v>40</v>
      </c>
      <c r="W1707">
        <f ca="1">IFERROR(VLOOKUP($S1707,'TA database'!$I$146:$J$193,2,FALSE),0)</f>
        <v>50</v>
      </c>
      <c r="X1707">
        <f>IFERROR(VLOOKUP($S1707,'TA database'!$I$200:$J$271,2,FALSE),0)</f>
        <v>0</v>
      </c>
      <c r="Y1707">
        <f t="shared" ca="1" si="5380"/>
        <v>67.5</v>
      </c>
      <c r="Z1707" t="str">
        <f t="shared" si="5381"/>
        <v>NG_SR_SML_C   →   C_GAS_STRG   →   H2_T&amp;D_P   →   H2_IND_BOIL_HEAT</v>
      </c>
      <c r="AA1707" t="str">
        <f t="shared" si="5382"/>
        <v>Industrial heat</v>
      </c>
      <c r="AB1707" t="str">
        <f t="shared" si="5383"/>
        <v>Regulatory coverage</v>
      </c>
      <c r="AC1707">
        <f t="shared" ca="1" si="5384"/>
        <v>67.5</v>
      </c>
      <c r="AD1707">
        <v>1648</v>
      </c>
      <c r="AE1707" t="str">
        <f>IF(AND(ISNUMBER(SEARCH(O1707,4)),ISNUMBER(SEARCH('(4) FCH pathway assessment'!$B$16,AB1707)),ISNUMBER(SEARCH('(4) FCH pathway assessment'!$B$10,AA1707))),AD1707,"")</f>
        <v/>
      </c>
      <c r="AF1707" t="str">
        <f t="shared" si="5202"/>
        <v/>
      </c>
      <c r="AG1707" t="str">
        <f>VLOOKUP(C1707,Assumptions!$B$116:$C$162,2,FALSE)</f>
        <v>NG_SR_SML_C</v>
      </c>
      <c r="AH1707" t="str">
        <f>VLOOKUP(D1707,Assumptions!$B$116:$C$162,2,FALSE)</f>
        <v>C_GAS_STRG</v>
      </c>
      <c r="AI1707" t="str">
        <f>VLOOKUP(E1707,Assumptions!$B$116:$C$162,2,FALSE)</f>
        <v>H2_T&amp;D_P</v>
      </c>
      <c r="AJ1707" t="str">
        <f>VLOOKUP(F1707,Assumptions!$B$116:$C$162,2,FALSE)</f>
        <v>H2_IND_BOIL_HEAT</v>
      </c>
    </row>
    <row r="1708" spans="2:36" x14ac:dyDescent="0.25">
      <c r="B1708" t="s">
        <v>127</v>
      </c>
      <c r="C1708" t="s">
        <v>58</v>
      </c>
      <c r="D1708" t="s">
        <v>155</v>
      </c>
      <c r="E1708" t="s">
        <v>116</v>
      </c>
      <c r="F1708" t="s">
        <v>570</v>
      </c>
      <c r="G1708" t="s">
        <v>120</v>
      </c>
      <c r="H1708" t="s">
        <v>432</v>
      </c>
      <c r="I1708" t="s">
        <v>32</v>
      </c>
      <c r="J1708" t="s">
        <v>534</v>
      </c>
      <c r="K1708">
        <f t="shared" si="5371"/>
        <v>1</v>
      </c>
      <c r="L1708">
        <f t="shared" si="5372"/>
        <v>1</v>
      </c>
      <c r="M1708">
        <f t="shared" si="5373"/>
        <v>1</v>
      </c>
      <c r="N1708">
        <f t="shared" si="5374"/>
        <v>1</v>
      </c>
      <c r="O1708">
        <f t="shared" si="5375"/>
        <v>4</v>
      </c>
      <c r="P1708" t="str">
        <f t="shared" si="5376"/>
        <v>Small centralized natural gas steam reforming-Regulatory coverage</v>
      </c>
      <c r="Q1708" t="str">
        <f t="shared" si="5377"/>
        <v>Central gas storage-Regulatory coverage</v>
      </c>
      <c r="R1708" t="str">
        <f t="shared" si="5378"/>
        <v>Liquid hydrogen truck-Regulatory coverage</v>
      </c>
      <c r="S1708" t="str">
        <f t="shared" si="5379"/>
        <v>Industrial H2 boiler-Regulatory coverage</v>
      </c>
      <c r="T1708">
        <f ca="1">VLOOKUP($P1708,'TA database'!$I$8:$J$79,2,FALSE)</f>
        <v>100</v>
      </c>
      <c r="U1708">
        <f ca="1">VLOOKUP($Q1708,'TA database'!$I$86:$J$105,2,FALSE)</f>
        <v>80</v>
      </c>
      <c r="V1708">
        <f ca="1">VLOOKUP($R1708,'TA database'!$I$112:$J$139,2,FALSE)</f>
        <v>40</v>
      </c>
      <c r="W1708">
        <f ca="1">IFERROR(VLOOKUP($S1708,'TA database'!$I$146:$J$193,2,FALSE),0)</f>
        <v>50</v>
      </c>
      <c r="X1708">
        <f>IFERROR(VLOOKUP($S1708,'TA database'!$I$200:$J$271,2,FALSE),0)</f>
        <v>0</v>
      </c>
      <c r="Y1708">
        <f t="shared" ca="1" si="5380"/>
        <v>67.5</v>
      </c>
      <c r="Z1708" t="str">
        <f t="shared" si="5381"/>
        <v>NG_SR_SML_C   →   C_GAS_STRG   →   LQ_TRUCK   →   H2_IND_BOIL_HEAT</v>
      </c>
      <c r="AA1708" t="str">
        <f t="shared" si="5382"/>
        <v>Industrial heat</v>
      </c>
      <c r="AB1708" t="str">
        <f t="shared" si="5383"/>
        <v>Regulatory coverage</v>
      </c>
      <c r="AC1708">
        <f t="shared" ca="1" si="5384"/>
        <v>67.5</v>
      </c>
      <c r="AD1708">
        <v>1649</v>
      </c>
      <c r="AE1708" t="str">
        <f>IF(AND(ISNUMBER(SEARCH(O1708,4)),ISNUMBER(SEARCH('(4) FCH pathway assessment'!$B$16,AB1708)),ISNUMBER(SEARCH('(4) FCH pathway assessment'!$B$10,AA1708))),AD1708,"")</f>
        <v/>
      </c>
      <c r="AF1708" t="str">
        <f t="shared" si="5202"/>
        <v/>
      </c>
      <c r="AG1708" t="str">
        <f>VLOOKUP(C1708,Assumptions!$B$116:$C$162,2,FALSE)</f>
        <v>NG_SR_SML_C</v>
      </c>
      <c r="AH1708" t="str">
        <f>VLOOKUP(D1708,Assumptions!$B$116:$C$162,2,FALSE)</f>
        <v>C_GAS_STRG</v>
      </c>
      <c r="AI1708" t="str">
        <f>VLOOKUP(E1708,Assumptions!$B$116:$C$162,2,FALSE)</f>
        <v>LQ_TRUCK</v>
      </c>
      <c r="AJ1708" t="str">
        <f>VLOOKUP(F1708,Assumptions!$B$116:$C$162,2,FALSE)</f>
        <v>H2_IND_BOIL_HEAT</v>
      </c>
    </row>
    <row r="1709" spans="2:36" x14ac:dyDescent="0.25">
      <c r="B1709" t="s">
        <v>127</v>
      </c>
      <c r="C1709" t="s">
        <v>58</v>
      </c>
      <c r="D1709" t="s">
        <v>155</v>
      </c>
      <c r="E1709" t="s">
        <v>66</v>
      </c>
      <c r="F1709" t="s">
        <v>570</v>
      </c>
      <c r="G1709" t="s">
        <v>120</v>
      </c>
      <c r="H1709" t="s">
        <v>432</v>
      </c>
      <c r="I1709" t="s">
        <v>32</v>
      </c>
      <c r="J1709" t="s">
        <v>534</v>
      </c>
      <c r="K1709">
        <f t="shared" si="5371"/>
        <v>1</v>
      </c>
      <c r="L1709">
        <f t="shared" si="5372"/>
        <v>1</v>
      </c>
      <c r="M1709">
        <f t="shared" si="5373"/>
        <v>1</v>
      </c>
      <c r="N1709">
        <f t="shared" si="5374"/>
        <v>1</v>
      </c>
      <c r="O1709">
        <f t="shared" si="5375"/>
        <v>4</v>
      </c>
      <c r="P1709" t="str">
        <f t="shared" si="5376"/>
        <v>Small centralized natural gas steam reforming-Regulatory coverage</v>
      </c>
      <c r="Q1709" t="str">
        <f t="shared" si="5377"/>
        <v>Central gas storage-Regulatory coverage</v>
      </c>
      <c r="R1709" t="str">
        <f t="shared" si="5378"/>
        <v>Onsite-Regulatory coverage</v>
      </c>
      <c r="S1709" t="str">
        <f t="shared" si="5379"/>
        <v>Industrial H2 boiler-Regulatory coverage</v>
      </c>
      <c r="T1709">
        <f ca="1">VLOOKUP($P1709,'TA database'!$I$8:$J$79,2,FALSE)</f>
        <v>100</v>
      </c>
      <c r="U1709">
        <f ca="1">VLOOKUP($Q1709,'TA database'!$I$86:$J$105,2,FALSE)</f>
        <v>80</v>
      </c>
      <c r="V1709">
        <f ca="1">VLOOKUP($R1709,'TA database'!$I$112:$J$139,2,FALSE)</f>
        <v>100</v>
      </c>
      <c r="W1709">
        <f ca="1">IFERROR(VLOOKUP($S1709,'TA database'!$I$146:$J$193,2,FALSE),0)</f>
        <v>50</v>
      </c>
      <c r="X1709">
        <f>IFERROR(VLOOKUP($S1709,'TA database'!$I$200:$J$271,2,FALSE),0)</f>
        <v>0</v>
      </c>
      <c r="Y1709">
        <f t="shared" ca="1" si="5380"/>
        <v>82.5</v>
      </c>
      <c r="Z1709" t="str">
        <f t="shared" si="5381"/>
        <v>NG_SR_SML_C   →   C_GAS_STRG   →   ONSITE_USE   →   H2_IND_BOIL_HEAT</v>
      </c>
      <c r="AA1709" t="str">
        <f t="shared" si="5382"/>
        <v>Industrial heat</v>
      </c>
      <c r="AB1709" t="str">
        <f t="shared" si="5383"/>
        <v>Regulatory coverage</v>
      </c>
      <c r="AC1709">
        <f t="shared" ca="1" si="5384"/>
        <v>82.5</v>
      </c>
      <c r="AD1709">
        <v>1650</v>
      </c>
      <c r="AE1709" t="str">
        <f>IF(AND(ISNUMBER(SEARCH(O1709,4)),ISNUMBER(SEARCH('(4) FCH pathway assessment'!$B$16,AB1709)),ISNUMBER(SEARCH('(4) FCH pathway assessment'!$B$10,AA1709))),AD1709,"")</f>
        <v/>
      </c>
      <c r="AF1709" t="str">
        <f t="shared" si="5202"/>
        <v/>
      </c>
      <c r="AG1709" t="str">
        <f>VLOOKUP(C1709,Assumptions!$B$116:$C$162,2,FALSE)</f>
        <v>NG_SR_SML_C</v>
      </c>
      <c r="AH1709" t="str">
        <f>VLOOKUP(D1709,Assumptions!$B$116:$C$162,2,FALSE)</f>
        <v>C_GAS_STRG</v>
      </c>
      <c r="AI1709" t="str">
        <f>VLOOKUP(E1709,Assumptions!$B$116:$C$162,2,FALSE)</f>
        <v>ONSITE_USE</v>
      </c>
      <c r="AJ1709" t="str">
        <f>VLOOKUP(F1709,Assumptions!$B$116:$C$162,2,FALSE)</f>
        <v>H2_IND_BOIL_HEAT</v>
      </c>
    </row>
    <row r="1710" spans="2:36" x14ac:dyDescent="0.25">
      <c r="B1710" t="s">
        <v>127</v>
      </c>
      <c r="C1710" t="s">
        <v>59</v>
      </c>
      <c r="D1710" s="60" t="s">
        <v>130</v>
      </c>
      <c r="E1710" t="s">
        <v>66</v>
      </c>
      <c r="F1710" t="s">
        <v>570</v>
      </c>
      <c r="G1710" t="s">
        <v>120</v>
      </c>
      <c r="H1710" t="s">
        <v>432</v>
      </c>
      <c r="I1710" t="s">
        <v>32</v>
      </c>
      <c r="J1710" t="s">
        <v>534</v>
      </c>
      <c r="K1710">
        <f t="shared" ref="K1710:K1711" si="5385">SUMPRODUCT(($C$7:$C$18=$C1710)*($D$6:$H$6=$D1710)*($D$7:$H$18))</f>
        <v>1</v>
      </c>
      <c r="L1710">
        <f t="shared" ref="L1710:L1711" si="5386">SUMPRODUCT(($C$19:$C$23=$D1710)*($I$6:$O$6=$E1710)*($I$19:$O$23))</f>
        <v>1</v>
      </c>
      <c r="M1710">
        <f t="shared" ref="M1710:M1711" si="5387">SUMPRODUCT(($C$24:$C$30=$E1710)*($P$6:$AI$6=$F1710)*($P$24:$AI$30))</f>
        <v>1</v>
      </c>
      <c r="N1710">
        <f t="shared" ref="N1710:N1711" si="5388">SUMPRODUCT(($C$31:$C$50=$F1710)*($AJ$6:$AM$6=$G1710)*($AJ$31:$AM$50))</f>
        <v>1</v>
      </c>
      <c r="O1710">
        <f t="shared" ref="O1710:O1711" si="5389">K1710+L1710+M1710+N1710</f>
        <v>4</v>
      </c>
      <c r="P1710" t="str">
        <f t="shared" ref="P1710:P1711" si="5390">CONCATENATE(C1710,"-",J1710)</f>
        <v>Medium decentralized natural gas steam reforming-Regulatory coverage</v>
      </c>
      <c r="Q1710" t="str">
        <f t="shared" ref="Q1710:Q1711" si="5391">CONCATENATE(D1710,"-",J1710)</f>
        <v>Distributed gas storage-Regulatory coverage</v>
      </c>
      <c r="R1710" t="str">
        <f t="shared" ref="R1710:R1711" si="5392">CONCATENATE(E1710,"-",J1710)</f>
        <v>Onsite-Regulatory coverage</v>
      </c>
      <c r="S1710" t="str">
        <f t="shared" ref="S1710:S1711" si="5393">CONCATENATE(F1710,"-",J1710)</f>
        <v>Industrial H2 boiler-Regulatory coverage</v>
      </c>
      <c r="T1710">
        <f ca="1">VLOOKUP($P1710,'TA database'!$I$8:$J$79,2,FALSE)</f>
        <v>100</v>
      </c>
      <c r="U1710">
        <f ca="1">VLOOKUP($Q1710,'TA database'!$I$86:$J$105,2,FALSE)</f>
        <v>100</v>
      </c>
      <c r="V1710">
        <f ca="1">VLOOKUP($R1710,'TA database'!$I$112:$J$139,2,FALSE)</f>
        <v>100</v>
      </c>
      <c r="W1710">
        <f ca="1">IFERROR(VLOOKUP($S1710,'TA database'!$I$146:$J$193,2,FALSE),0)</f>
        <v>50</v>
      </c>
      <c r="X1710">
        <f>IFERROR(VLOOKUP($S1710,'TA database'!$I$200:$J$271,2,FALSE),0)</f>
        <v>0</v>
      </c>
      <c r="Y1710">
        <f t="shared" ref="Y1710:Y1711" ca="1" si="5394">IF($W1710=0,SUM($T1710:$V1710,$X1710)/4,SUM($T1710:$W1710)/4)</f>
        <v>87.5</v>
      </c>
      <c r="Z1710" t="str">
        <f t="shared" ref="Z1710:Z1711" si="5395">CONCATENATE(AG1710,"   →   ",AH1710,"   →   ",AI1710,"   →   ",AJ1710)</f>
        <v>NG_SR_MED_D   →   D_GAS_STRG   →   ONSITE_USE   →   H2_IND_BOIL_HEAT</v>
      </c>
      <c r="AA1710" t="str">
        <f t="shared" ref="AA1710:AA1711" si="5396">G1710</f>
        <v>Industrial heat</v>
      </c>
      <c r="AB1710" t="str">
        <f t="shared" ref="AB1710:AB1711" si="5397">J1710</f>
        <v>Regulatory coverage</v>
      </c>
      <c r="AC1710">
        <f t="shared" ref="AC1710:AC1711" ca="1" si="5398">Y1710</f>
        <v>87.5</v>
      </c>
      <c r="AD1710">
        <v>1651</v>
      </c>
      <c r="AE1710" t="str">
        <f>IF(AND(ISNUMBER(SEARCH(O1710,4)),ISNUMBER(SEARCH('(4) FCH pathway assessment'!$B$16,AB1710)),ISNUMBER(SEARCH('(4) FCH pathway assessment'!$B$10,AA1710))),AD1710,"")</f>
        <v/>
      </c>
      <c r="AF1710" t="str">
        <f t="shared" si="5202"/>
        <v/>
      </c>
      <c r="AG1710" t="str">
        <f>VLOOKUP(C1710,Assumptions!$B$116:$C$162,2,FALSE)</f>
        <v>NG_SR_MED_D</v>
      </c>
      <c r="AH1710" t="str">
        <f>VLOOKUP(D1710,Assumptions!$B$116:$C$162,2,FALSE)</f>
        <v>D_GAS_STRG</v>
      </c>
      <c r="AI1710" t="str">
        <f>VLOOKUP(E1710,Assumptions!$B$116:$C$162,2,FALSE)</f>
        <v>ONSITE_USE</v>
      </c>
      <c r="AJ1710" t="str">
        <f>VLOOKUP(F1710,Assumptions!$B$116:$C$162,2,FALSE)</f>
        <v>H2_IND_BOIL_HEAT</v>
      </c>
    </row>
    <row r="1711" spans="2:36" x14ac:dyDescent="0.25">
      <c r="B1711" t="s">
        <v>127</v>
      </c>
      <c r="C1711" t="s">
        <v>60</v>
      </c>
      <c r="D1711" s="60" t="s">
        <v>130</v>
      </c>
      <c r="E1711" t="s">
        <v>66</v>
      </c>
      <c r="F1711" t="s">
        <v>570</v>
      </c>
      <c r="G1711" t="s">
        <v>120</v>
      </c>
      <c r="H1711" t="s">
        <v>432</v>
      </c>
      <c r="I1711" t="s">
        <v>32</v>
      </c>
      <c r="J1711" t="s">
        <v>534</v>
      </c>
      <c r="K1711">
        <f t="shared" si="5385"/>
        <v>1</v>
      </c>
      <c r="L1711">
        <f t="shared" si="5386"/>
        <v>1</v>
      </c>
      <c r="M1711">
        <f t="shared" si="5387"/>
        <v>1</v>
      </c>
      <c r="N1711">
        <f t="shared" si="5388"/>
        <v>1</v>
      </c>
      <c r="O1711">
        <f t="shared" si="5389"/>
        <v>4</v>
      </c>
      <c r="P1711" t="str">
        <f t="shared" si="5390"/>
        <v>Small decentralized natural gas steam reforming-Regulatory coverage</v>
      </c>
      <c r="Q1711" t="str">
        <f t="shared" si="5391"/>
        <v>Distributed gas storage-Regulatory coverage</v>
      </c>
      <c r="R1711" t="str">
        <f t="shared" si="5392"/>
        <v>Onsite-Regulatory coverage</v>
      </c>
      <c r="S1711" t="str">
        <f t="shared" si="5393"/>
        <v>Industrial H2 boiler-Regulatory coverage</v>
      </c>
      <c r="T1711">
        <f ca="1">VLOOKUP($P1711,'TA database'!$I$8:$J$79,2,FALSE)</f>
        <v>100</v>
      </c>
      <c r="U1711">
        <f ca="1">VLOOKUP($Q1711,'TA database'!$I$86:$J$105,2,FALSE)</f>
        <v>100</v>
      </c>
      <c r="V1711">
        <f ca="1">VLOOKUP($R1711,'TA database'!$I$112:$J$139,2,FALSE)</f>
        <v>100</v>
      </c>
      <c r="W1711">
        <f ca="1">IFERROR(VLOOKUP($S1711,'TA database'!$I$146:$J$193,2,FALSE),0)</f>
        <v>50</v>
      </c>
      <c r="X1711">
        <f>IFERROR(VLOOKUP($S1711,'TA database'!$I$200:$J$271,2,FALSE),0)</f>
        <v>0</v>
      </c>
      <c r="Y1711">
        <f t="shared" ca="1" si="5394"/>
        <v>87.5</v>
      </c>
      <c r="Z1711" t="str">
        <f t="shared" si="5395"/>
        <v>NG_SR_SML_D   →   D_GAS_STRG   →   ONSITE_USE   →   H2_IND_BOIL_HEAT</v>
      </c>
      <c r="AA1711" t="str">
        <f t="shared" si="5396"/>
        <v>Industrial heat</v>
      </c>
      <c r="AB1711" t="str">
        <f t="shared" si="5397"/>
        <v>Regulatory coverage</v>
      </c>
      <c r="AC1711">
        <f t="shared" ca="1" si="5398"/>
        <v>87.5</v>
      </c>
      <c r="AD1711">
        <v>1652</v>
      </c>
      <c r="AE1711" t="str">
        <f>IF(AND(ISNUMBER(SEARCH(O1711,4)),ISNUMBER(SEARCH('(4) FCH pathway assessment'!$B$16,AB1711)),ISNUMBER(SEARCH('(4) FCH pathway assessment'!$B$10,AA1711))),AD1711,"")</f>
        <v/>
      </c>
      <c r="AF1711" t="str">
        <f t="shared" si="5202"/>
        <v/>
      </c>
      <c r="AG1711" t="str">
        <f>VLOOKUP(C1711,Assumptions!$B$116:$C$162,2,FALSE)</f>
        <v>NG_SR_SML_D</v>
      </c>
      <c r="AH1711" t="str">
        <f>VLOOKUP(D1711,Assumptions!$B$116:$C$162,2,FALSE)</f>
        <v>D_GAS_STRG</v>
      </c>
      <c r="AI1711" t="str">
        <f>VLOOKUP(E1711,Assumptions!$B$116:$C$162,2,FALSE)</f>
        <v>ONSITE_USE</v>
      </c>
      <c r="AJ1711" t="str">
        <f>VLOOKUP(F1711,Assumptions!$B$116:$C$162,2,FALSE)</f>
        <v>H2_IND_BOIL_HEAT</v>
      </c>
    </row>
    <row r="1712" spans="2:36" x14ac:dyDescent="0.25">
      <c r="B1712" t="s">
        <v>117</v>
      </c>
      <c r="C1712" t="s">
        <v>53</v>
      </c>
      <c r="D1712" t="s">
        <v>155</v>
      </c>
      <c r="E1712" t="s">
        <v>157</v>
      </c>
      <c r="F1712" t="s">
        <v>549</v>
      </c>
      <c r="G1712" t="s">
        <v>114</v>
      </c>
      <c r="H1712" t="s">
        <v>433</v>
      </c>
      <c r="I1712" t="s">
        <v>32</v>
      </c>
      <c r="J1712" t="s">
        <v>534</v>
      </c>
      <c r="K1712">
        <f t="shared" ref="K1712:K1715" si="5399">SUMPRODUCT(($C$7:$C$18=$C1712)*($D$6:$H$6=$D1712)*($D$7:$H$18))</f>
        <v>0</v>
      </c>
      <c r="L1712">
        <f t="shared" ref="L1712:L1715" si="5400">SUMPRODUCT(($C$19:$C$23=$D1712)*($I$6:$O$6=$E1712)*($I$19:$O$23))</f>
        <v>1</v>
      </c>
      <c r="M1712">
        <f t="shared" ref="M1712:M1715" si="5401">SUMPRODUCT(($C$24:$C$30=$E1712)*($P$6:$AI$6=$F1712)*($P$24:$AI$30))</f>
        <v>0</v>
      </c>
      <c r="N1712">
        <f t="shared" ref="N1712:N1715" si="5402">SUMPRODUCT(($C$31:$C$50=$F1712)*($AJ$6:$AM$6=$G1712)*($AJ$31:$AM$50))</f>
        <v>0</v>
      </c>
      <c r="O1712">
        <f t="shared" ref="O1712:O1715" si="5403">K1712+L1712+M1712+N1712</f>
        <v>1</v>
      </c>
      <c r="P1712" t="str">
        <f t="shared" ref="P1712:P1715" si="5404">CONCATENATE(C1712,"-",J1712)</f>
        <v>Medium centralized biomass gasification-Regulatory coverage</v>
      </c>
      <c r="Q1712" t="str">
        <f t="shared" ref="Q1712:Q1715" si="5405">CONCATENATE(D1712,"-",J1712)</f>
        <v>Central gas storage-Regulatory coverage</v>
      </c>
      <c r="R1712" t="str">
        <f t="shared" ref="R1712:R1715" si="5406">CONCATENATE(E1712,"-",J1712)</f>
        <v>Blending in natural gas pipeline-Regulatory coverage</v>
      </c>
      <c r="S1712" t="str">
        <f t="shared" ref="S1712:S1715" si="5407">CONCATENATE(F1712,"-",J1712)</f>
        <v>District-CHP with H2 fuel cell (power)-Regulatory coverage</v>
      </c>
      <c r="T1712">
        <f ca="1">VLOOKUP($P1712,'TA database'!$I$8:$J$79,2,FALSE)</f>
        <v>100</v>
      </c>
      <c r="U1712">
        <f ca="1">VLOOKUP($Q1712,'TA database'!$I$86:$J$105,2,FALSE)</f>
        <v>80</v>
      </c>
      <c r="V1712">
        <f ca="1">VLOOKUP($R1712,'TA database'!$I$112:$J$139,2,FALSE)</f>
        <v>100</v>
      </c>
      <c r="W1712">
        <f>IFERROR(VLOOKUP($S1712,'TA database'!$I$146:$J$193,2,FALSE),0)</f>
        <v>0</v>
      </c>
      <c r="X1712">
        <f ca="1">IFERROR(VLOOKUP($S1712,'TA database'!$I$200:$J$271,2,FALSE),0)</f>
        <v>100</v>
      </c>
      <c r="Y1712">
        <f t="shared" ref="Y1712:Y1715" ca="1" si="5408">IF($W1712=0,SUM($T1712:$V1712,$X1712)/4,SUM($T1712:$W1712)/4)</f>
        <v>95</v>
      </c>
      <c r="Z1712" t="str">
        <f t="shared" ref="Z1712:Z1715" si="5409">CONCATENATE(AG1712,"   →   ",AH1712,"   →   ",AI1712,"   →   ",AJ1712)</f>
        <v>BIO_GSF_MED_C   →   C_GAS_STRG   →   H2_BLND_NG_P   →   H2_FC_DCHP_PWR</v>
      </c>
      <c r="AA1712" t="str">
        <f t="shared" ref="AA1712:AA1715" si="5410">G1712</f>
        <v>Grid electricity</v>
      </c>
      <c r="AB1712" t="str">
        <f t="shared" ref="AB1712:AB1715" si="5411">J1712</f>
        <v>Regulatory coverage</v>
      </c>
      <c r="AC1712">
        <f t="shared" ref="AC1712:AC1715" ca="1" si="5412">Y1712</f>
        <v>95</v>
      </c>
      <c r="AD1712">
        <v>1653</v>
      </c>
      <c r="AE1712" t="str">
        <f>IF(AND(ISNUMBER(SEARCH(O1712,4)),ISNUMBER(SEARCH('(4) FCH pathway assessment'!$B$16,AB1712)),ISNUMBER(SEARCH('(4) FCH pathway assessment'!$B$10,AA1712))),AD1712,"")</f>
        <v/>
      </c>
      <c r="AF1712" t="str">
        <f t="shared" si="5202"/>
        <v/>
      </c>
      <c r="AG1712" t="str">
        <f>VLOOKUP(C1712,Assumptions!$B$116:$C$162,2,FALSE)</f>
        <v>BIO_GSF_MED_C</v>
      </c>
      <c r="AH1712" t="str">
        <f>VLOOKUP(D1712,Assumptions!$B$116:$C$162,2,FALSE)</f>
        <v>C_GAS_STRG</v>
      </c>
      <c r="AI1712" t="str">
        <f>VLOOKUP(E1712,Assumptions!$B$116:$C$162,2,FALSE)</f>
        <v>H2_BLND_NG_P</v>
      </c>
      <c r="AJ1712" t="str">
        <f>VLOOKUP(F1712,Assumptions!$B$116:$C$162,2,FALSE)</f>
        <v>H2_FC_DCHP_PWR</v>
      </c>
    </row>
    <row r="1713" spans="2:36" x14ac:dyDescent="0.25">
      <c r="B1713" t="s">
        <v>117</v>
      </c>
      <c r="C1713" t="s">
        <v>53</v>
      </c>
      <c r="D1713" t="s">
        <v>155</v>
      </c>
      <c r="E1713" t="s">
        <v>122</v>
      </c>
      <c r="F1713" t="s">
        <v>549</v>
      </c>
      <c r="G1713" t="s">
        <v>114</v>
      </c>
      <c r="H1713" t="s">
        <v>433</v>
      </c>
      <c r="I1713" t="s">
        <v>32</v>
      </c>
      <c r="J1713" t="s">
        <v>534</v>
      </c>
      <c r="K1713">
        <f t="shared" si="5399"/>
        <v>0</v>
      </c>
      <c r="L1713">
        <f t="shared" si="5400"/>
        <v>1</v>
      </c>
      <c r="M1713">
        <f t="shared" si="5401"/>
        <v>1</v>
      </c>
      <c r="N1713">
        <f t="shared" si="5402"/>
        <v>0</v>
      </c>
      <c r="O1713">
        <f t="shared" si="5403"/>
        <v>2</v>
      </c>
      <c r="P1713" t="str">
        <f t="shared" si="5404"/>
        <v>Medium centralized biomass gasification-Regulatory coverage</v>
      </c>
      <c r="Q1713" t="str">
        <f t="shared" si="5405"/>
        <v>Central gas storage-Regulatory coverage</v>
      </c>
      <c r="R1713" t="str">
        <f t="shared" si="5406"/>
        <v>Hydrogen transmission &amp; distribution pipeline-Regulatory coverage</v>
      </c>
      <c r="S1713" t="str">
        <f t="shared" si="5407"/>
        <v>District-CHP with H2 fuel cell (power)-Regulatory coverage</v>
      </c>
      <c r="T1713">
        <f ca="1">VLOOKUP($P1713,'TA database'!$I$8:$J$79,2,FALSE)</f>
        <v>100</v>
      </c>
      <c r="U1713">
        <f ca="1">VLOOKUP($Q1713,'TA database'!$I$86:$J$105,2,FALSE)</f>
        <v>80</v>
      </c>
      <c r="V1713">
        <f ca="1">VLOOKUP($R1713,'TA database'!$I$112:$J$139,2,FALSE)</f>
        <v>40</v>
      </c>
      <c r="W1713">
        <f>IFERROR(VLOOKUP($S1713,'TA database'!$I$146:$J$193,2,FALSE),0)</f>
        <v>0</v>
      </c>
      <c r="X1713">
        <f ca="1">IFERROR(VLOOKUP($S1713,'TA database'!$I$200:$J$271,2,FALSE),0)</f>
        <v>100</v>
      </c>
      <c r="Y1713">
        <f t="shared" ca="1" si="5408"/>
        <v>80</v>
      </c>
      <c r="Z1713" t="str">
        <f t="shared" si="5409"/>
        <v>BIO_GSF_MED_C   →   C_GAS_STRG   →   H2_T&amp;D_P   →   H2_FC_DCHP_PWR</v>
      </c>
      <c r="AA1713" t="str">
        <f t="shared" si="5410"/>
        <v>Grid electricity</v>
      </c>
      <c r="AB1713" t="str">
        <f t="shared" si="5411"/>
        <v>Regulatory coverage</v>
      </c>
      <c r="AC1713">
        <f t="shared" ca="1" si="5412"/>
        <v>80</v>
      </c>
      <c r="AD1713">
        <v>1654</v>
      </c>
      <c r="AE1713" t="str">
        <f>IF(AND(ISNUMBER(SEARCH(O1713,4)),ISNUMBER(SEARCH('(4) FCH pathway assessment'!$B$16,AB1713)),ISNUMBER(SEARCH('(4) FCH pathway assessment'!$B$10,AA1713))),AD1713,"")</f>
        <v/>
      </c>
      <c r="AF1713" t="str">
        <f t="shared" si="5202"/>
        <v/>
      </c>
      <c r="AG1713" t="str">
        <f>VLOOKUP(C1713,Assumptions!$B$116:$C$162,2,FALSE)</f>
        <v>BIO_GSF_MED_C</v>
      </c>
      <c r="AH1713" t="str">
        <f>VLOOKUP(D1713,Assumptions!$B$116:$C$162,2,FALSE)</f>
        <v>C_GAS_STRG</v>
      </c>
      <c r="AI1713" t="str">
        <f>VLOOKUP(E1713,Assumptions!$B$116:$C$162,2,FALSE)</f>
        <v>H2_T&amp;D_P</v>
      </c>
      <c r="AJ1713" t="str">
        <f>VLOOKUP(F1713,Assumptions!$B$116:$C$162,2,FALSE)</f>
        <v>H2_FC_DCHP_PWR</v>
      </c>
    </row>
    <row r="1714" spans="2:36" x14ac:dyDescent="0.25">
      <c r="B1714" t="s">
        <v>117</v>
      </c>
      <c r="C1714" t="s">
        <v>53</v>
      </c>
      <c r="D1714" t="s">
        <v>155</v>
      </c>
      <c r="E1714" t="s">
        <v>116</v>
      </c>
      <c r="F1714" t="s">
        <v>549</v>
      </c>
      <c r="G1714" t="s">
        <v>114</v>
      </c>
      <c r="H1714" t="s">
        <v>433</v>
      </c>
      <c r="I1714" t="s">
        <v>32</v>
      </c>
      <c r="J1714" t="s">
        <v>534</v>
      </c>
      <c r="K1714">
        <f t="shared" si="5399"/>
        <v>0</v>
      </c>
      <c r="L1714">
        <f t="shared" si="5400"/>
        <v>1</v>
      </c>
      <c r="M1714">
        <f t="shared" si="5401"/>
        <v>1</v>
      </c>
      <c r="N1714">
        <f t="shared" si="5402"/>
        <v>0</v>
      </c>
      <c r="O1714">
        <f t="shared" si="5403"/>
        <v>2</v>
      </c>
      <c r="P1714" t="str">
        <f t="shared" si="5404"/>
        <v>Medium centralized biomass gasification-Regulatory coverage</v>
      </c>
      <c r="Q1714" t="str">
        <f t="shared" si="5405"/>
        <v>Central gas storage-Regulatory coverage</v>
      </c>
      <c r="R1714" t="str">
        <f t="shared" si="5406"/>
        <v>Liquid hydrogen truck-Regulatory coverage</v>
      </c>
      <c r="S1714" t="str">
        <f t="shared" si="5407"/>
        <v>District-CHP with H2 fuel cell (power)-Regulatory coverage</v>
      </c>
      <c r="T1714">
        <f ca="1">VLOOKUP($P1714,'TA database'!$I$8:$J$79,2,FALSE)</f>
        <v>100</v>
      </c>
      <c r="U1714">
        <f ca="1">VLOOKUP($Q1714,'TA database'!$I$86:$J$105,2,FALSE)</f>
        <v>80</v>
      </c>
      <c r="V1714">
        <f ca="1">VLOOKUP($R1714,'TA database'!$I$112:$J$139,2,FALSE)</f>
        <v>40</v>
      </c>
      <c r="W1714">
        <f>IFERROR(VLOOKUP($S1714,'TA database'!$I$146:$J$193,2,FALSE),0)</f>
        <v>0</v>
      </c>
      <c r="X1714">
        <f ca="1">IFERROR(VLOOKUP($S1714,'TA database'!$I$200:$J$271,2,FALSE),0)</f>
        <v>100</v>
      </c>
      <c r="Y1714">
        <f t="shared" ca="1" si="5408"/>
        <v>80</v>
      </c>
      <c r="Z1714" t="str">
        <f t="shared" si="5409"/>
        <v>BIO_GSF_MED_C   →   C_GAS_STRG   →   LQ_TRUCK   →   H2_FC_DCHP_PWR</v>
      </c>
      <c r="AA1714" t="str">
        <f t="shared" si="5410"/>
        <v>Grid electricity</v>
      </c>
      <c r="AB1714" t="str">
        <f t="shared" si="5411"/>
        <v>Regulatory coverage</v>
      </c>
      <c r="AC1714">
        <f t="shared" ca="1" si="5412"/>
        <v>80</v>
      </c>
      <c r="AD1714">
        <v>1655</v>
      </c>
      <c r="AE1714" t="str">
        <f>IF(AND(ISNUMBER(SEARCH(O1714,4)),ISNUMBER(SEARCH('(4) FCH pathway assessment'!$B$16,AB1714)),ISNUMBER(SEARCH('(4) FCH pathway assessment'!$B$10,AA1714))),AD1714,"")</f>
        <v/>
      </c>
      <c r="AF1714" t="str">
        <f t="shared" si="5202"/>
        <v/>
      </c>
      <c r="AG1714" t="str">
        <f>VLOOKUP(C1714,Assumptions!$B$116:$C$162,2,FALSE)</f>
        <v>BIO_GSF_MED_C</v>
      </c>
      <c r="AH1714" t="str">
        <f>VLOOKUP(D1714,Assumptions!$B$116:$C$162,2,FALSE)</f>
        <v>C_GAS_STRG</v>
      </c>
      <c r="AI1714" t="str">
        <f>VLOOKUP(E1714,Assumptions!$B$116:$C$162,2,FALSE)</f>
        <v>LQ_TRUCK</v>
      </c>
      <c r="AJ1714" t="str">
        <f>VLOOKUP(F1714,Assumptions!$B$116:$C$162,2,FALSE)</f>
        <v>H2_FC_DCHP_PWR</v>
      </c>
    </row>
    <row r="1715" spans="2:36" x14ac:dyDescent="0.25">
      <c r="B1715" t="s">
        <v>117</v>
      </c>
      <c r="C1715" t="s">
        <v>53</v>
      </c>
      <c r="D1715" t="s">
        <v>155</v>
      </c>
      <c r="E1715" t="s">
        <v>66</v>
      </c>
      <c r="F1715" t="s">
        <v>549</v>
      </c>
      <c r="G1715" t="s">
        <v>114</v>
      </c>
      <c r="H1715" t="s">
        <v>433</v>
      </c>
      <c r="I1715" t="s">
        <v>32</v>
      </c>
      <c r="J1715" t="s">
        <v>534</v>
      </c>
      <c r="K1715">
        <f t="shared" si="5399"/>
        <v>0</v>
      </c>
      <c r="L1715">
        <f t="shared" si="5400"/>
        <v>1</v>
      </c>
      <c r="M1715">
        <f t="shared" si="5401"/>
        <v>1</v>
      </c>
      <c r="N1715">
        <f t="shared" si="5402"/>
        <v>0</v>
      </c>
      <c r="O1715">
        <f t="shared" si="5403"/>
        <v>2</v>
      </c>
      <c r="P1715" t="str">
        <f t="shared" si="5404"/>
        <v>Medium centralized biomass gasification-Regulatory coverage</v>
      </c>
      <c r="Q1715" t="str">
        <f t="shared" si="5405"/>
        <v>Central gas storage-Regulatory coverage</v>
      </c>
      <c r="R1715" t="str">
        <f t="shared" si="5406"/>
        <v>Onsite-Regulatory coverage</v>
      </c>
      <c r="S1715" t="str">
        <f t="shared" si="5407"/>
        <v>District-CHP with H2 fuel cell (power)-Regulatory coverage</v>
      </c>
      <c r="T1715">
        <f ca="1">VLOOKUP($P1715,'TA database'!$I$8:$J$79,2,FALSE)</f>
        <v>100</v>
      </c>
      <c r="U1715">
        <f ca="1">VLOOKUP($Q1715,'TA database'!$I$86:$J$105,2,FALSE)</f>
        <v>80</v>
      </c>
      <c r="V1715">
        <f ca="1">VLOOKUP($R1715,'TA database'!$I$112:$J$139,2,FALSE)</f>
        <v>100</v>
      </c>
      <c r="W1715">
        <f>IFERROR(VLOOKUP($S1715,'TA database'!$I$146:$J$193,2,FALSE),0)</f>
        <v>0</v>
      </c>
      <c r="X1715">
        <f ca="1">IFERROR(VLOOKUP($S1715,'TA database'!$I$200:$J$271,2,FALSE),0)</f>
        <v>100</v>
      </c>
      <c r="Y1715">
        <f t="shared" ca="1" si="5408"/>
        <v>95</v>
      </c>
      <c r="Z1715" t="str">
        <f t="shared" si="5409"/>
        <v>BIO_GSF_MED_C   →   C_GAS_STRG   →   ONSITE_USE   →   H2_FC_DCHP_PWR</v>
      </c>
      <c r="AA1715" t="str">
        <f t="shared" si="5410"/>
        <v>Grid electricity</v>
      </c>
      <c r="AB1715" t="str">
        <f t="shared" si="5411"/>
        <v>Regulatory coverage</v>
      </c>
      <c r="AC1715">
        <f t="shared" ca="1" si="5412"/>
        <v>95</v>
      </c>
      <c r="AD1715">
        <v>1656</v>
      </c>
      <c r="AE1715" t="str">
        <f>IF(AND(ISNUMBER(SEARCH(O1715,4)),ISNUMBER(SEARCH('(4) FCH pathway assessment'!$B$16,AB1715)),ISNUMBER(SEARCH('(4) FCH pathway assessment'!$B$10,AA1715))),AD1715,"")</f>
        <v/>
      </c>
      <c r="AF1715" t="str">
        <f t="shared" si="5202"/>
        <v/>
      </c>
      <c r="AG1715" t="str">
        <f>VLOOKUP(C1715,Assumptions!$B$116:$C$162,2,FALSE)</f>
        <v>BIO_GSF_MED_C</v>
      </c>
      <c r="AH1715" t="str">
        <f>VLOOKUP(D1715,Assumptions!$B$116:$C$162,2,FALSE)</f>
        <v>C_GAS_STRG</v>
      </c>
      <c r="AI1715" t="str">
        <f>VLOOKUP(E1715,Assumptions!$B$116:$C$162,2,FALSE)</f>
        <v>ONSITE_USE</v>
      </c>
      <c r="AJ1715" t="str">
        <f>VLOOKUP(F1715,Assumptions!$B$116:$C$162,2,FALSE)</f>
        <v>H2_FC_DCHP_PWR</v>
      </c>
    </row>
    <row r="1716" spans="2:36" x14ac:dyDescent="0.25">
      <c r="B1716" t="s">
        <v>117</v>
      </c>
      <c r="C1716" t="s">
        <v>54</v>
      </c>
      <c r="D1716" t="s">
        <v>155</v>
      </c>
      <c r="E1716" t="s">
        <v>157</v>
      </c>
      <c r="F1716" t="s">
        <v>549</v>
      </c>
      <c r="G1716" t="s">
        <v>114</v>
      </c>
      <c r="H1716" t="s">
        <v>433</v>
      </c>
      <c r="I1716" t="s">
        <v>32</v>
      </c>
      <c r="J1716" t="s">
        <v>534</v>
      </c>
      <c r="K1716">
        <f t="shared" ref="K1716:K1720" si="5413">SUMPRODUCT(($C$7:$C$18=$C1716)*($D$6:$H$6=$D1716)*($D$7:$H$18))</f>
        <v>0</v>
      </c>
      <c r="L1716">
        <f t="shared" ref="L1716:L1720" si="5414">SUMPRODUCT(($C$19:$C$23=$D1716)*($I$6:$O$6=$E1716)*($I$19:$O$23))</f>
        <v>1</v>
      </c>
      <c r="M1716">
        <f t="shared" ref="M1716:M1720" si="5415">SUMPRODUCT(($C$24:$C$30=$E1716)*($P$6:$AI$6=$F1716)*($P$24:$AI$30))</f>
        <v>0</v>
      </c>
      <c r="N1716">
        <f t="shared" ref="N1716:N1720" si="5416">SUMPRODUCT(($C$31:$C$50=$F1716)*($AJ$6:$AM$6=$G1716)*($AJ$31:$AM$50))</f>
        <v>0</v>
      </c>
      <c r="O1716">
        <f t="shared" ref="O1716:O1720" si="5417">K1716+L1716+M1716+N1716</f>
        <v>1</v>
      </c>
      <c r="P1716" t="str">
        <f t="shared" ref="P1716:P1720" si="5418">CONCATENATE(C1716,"-",J1716)</f>
        <v>Medium centralized biomass gasification w/ CCS-Regulatory coverage</v>
      </c>
      <c r="Q1716" t="str">
        <f t="shared" ref="Q1716:Q1720" si="5419">CONCATENATE(D1716,"-",J1716)</f>
        <v>Central gas storage-Regulatory coverage</v>
      </c>
      <c r="R1716" t="str">
        <f t="shared" ref="R1716:R1720" si="5420">CONCATENATE(E1716,"-",J1716)</f>
        <v>Blending in natural gas pipeline-Regulatory coverage</v>
      </c>
      <c r="S1716" t="str">
        <f t="shared" ref="S1716:S1720" si="5421">CONCATENATE(F1716,"-",J1716)</f>
        <v>District-CHP with H2 fuel cell (power)-Regulatory coverage</v>
      </c>
      <c r="T1716">
        <f ca="1">VLOOKUP($P1716,'TA database'!$I$8:$J$79,2,FALSE)</f>
        <v>80</v>
      </c>
      <c r="U1716">
        <f ca="1">VLOOKUP($Q1716,'TA database'!$I$86:$J$105,2,FALSE)</f>
        <v>80</v>
      </c>
      <c r="V1716">
        <f ca="1">VLOOKUP($R1716,'TA database'!$I$112:$J$139,2,FALSE)</f>
        <v>100</v>
      </c>
      <c r="W1716">
        <f>IFERROR(VLOOKUP($S1716,'TA database'!$I$146:$J$193,2,FALSE),0)</f>
        <v>0</v>
      </c>
      <c r="X1716">
        <f ca="1">IFERROR(VLOOKUP($S1716,'TA database'!$I$200:$J$271,2,FALSE),0)</f>
        <v>100</v>
      </c>
      <c r="Y1716">
        <f t="shared" ref="Y1716:Y1720" ca="1" si="5422">IF($W1716=0,SUM($T1716:$V1716,$X1716)/4,SUM($T1716:$W1716)/4)</f>
        <v>90</v>
      </c>
      <c r="Z1716" t="str">
        <f t="shared" ref="Z1716:Z1720" si="5423">CONCATENATE(AG1716,"   →   ",AH1716,"   →   ",AI1716,"   →   ",AJ1716)</f>
        <v>BIO_GSF_CCS_MED_C   →   C_GAS_STRG   →   H2_BLND_NG_P   →   H2_FC_DCHP_PWR</v>
      </c>
      <c r="AA1716" t="str">
        <f t="shared" ref="AA1716:AA1720" si="5424">G1716</f>
        <v>Grid electricity</v>
      </c>
      <c r="AB1716" t="str">
        <f t="shared" ref="AB1716:AB1720" si="5425">J1716</f>
        <v>Regulatory coverage</v>
      </c>
      <c r="AC1716">
        <f t="shared" ref="AC1716:AC1720" ca="1" si="5426">Y1716</f>
        <v>90</v>
      </c>
      <c r="AD1716">
        <v>1657</v>
      </c>
      <c r="AE1716" t="str">
        <f>IF(AND(ISNUMBER(SEARCH(O1716,4)),ISNUMBER(SEARCH('(4) FCH pathway assessment'!$B$16,AB1716)),ISNUMBER(SEARCH('(4) FCH pathway assessment'!$B$10,AA1716))),AD1716,"")</f>
        <v/>
      </c>
      <c r="AF1716" t="str">
        <f t="shared" si="5202"/>
        <v/>
      </c>
      <c r="AG1716" t="str">
        <f>VLOOKUP(C1716,Assumptions!$B$116:$C$162,2,FALSE)</f>
        <v>BIO_GSF_CCS_MED_C</v>
      </c>
      <c r="AH1716" t="str">
        <f>VLOOKUP(D1716,Assumptions!$B$116:$C$162,2,FALSE)</f>
        <v>C_GAS_STRG</v>
      </c>
      <c r="AI1716" t="str">
        <f>VLOOKUP(E1716,Assumptions!$B$116:$C$162,2,FALSE)</f>
        <v>H2_BLND_NG_P</v>
      </c>
      <c r="AJ1716" t="str">
        <f>VLOOKUP(F1716,Assumptions!$B$116:$C$162,2,FALSE)</f>
        <v>H2_FC_DCHP_PWR</v>
      </c>
    </row>
    <row r="1717" spans="2:36" x14ac:dyDescent="0.25">
      <c r="B1717" t="s">
        <v>117</v>
      </c>
      <c r="C1717" t="s">
        <v>54</v>
      </c>
      <c r="D1717" t="s">
        <v>155</v>
      </c>
      <c r="E1717" t="s">
        <v>122</v>
      </c>
      <c r="F1717" t="s">
        <v>549</v>
      </c>
      <c r="G1717" t="s">
        <v>114</v>
      </c>
      <c r="H1717" t="s">
        <v>433</v>
      </c>
      <c r="I1717" t="s">
        <v>32</v>
      </c>
      <c r="J1717" t="s">
        <v>534</v>
      </c>
      <c r="K1717">
        <f t="shared" si="5413"/>
        <v>0</v>
      </c>
      <c r="L1717">
        <f t="shared" si="5414"/>
        <v>1</v>
      </c>
      <c r="M1717">
        <f t="shared" si="5415"/>
        <v>1</v>
      </c>
      <c r="N1717">
        <f t="shared" si="5416"/>
        <v>0</v>
      </c>
      <c r="O1717">
        <f t="shared" si="5417"/>
        <v>2</v>
      </c>
      <c r="P1717" t="str">
        <f t="shared" si="5418"/>
        <v>Medium centralized biomass gasification w/ CCS-Regulatory coverage</v>
      </c>
      <c r="Q1717" t="str">
        <f t="shared" si="5419"/>
        <v>Central gas storage-Regulatory coverage</v>
      </c>
      <c r="R1717" t="str">
        <f t="shared" si="5420"/>
        <v>Hydrogen transmission &amp; distribution pipeline-Regulatory coverage</v>
      </c>
      <c r="S1717" t="str">
        <f t="shared" si="5421"/>
        <v>District-CHP with H2 fuel cell (power)-Regulatory coverage</v>
      </c>
      <c r="T1717">
        <f ca="1">VLOOKUP($P1717,'TA database'!$I$8:$J$79,2,FALSE)</f>
        <v>80</v>
      </c>
      <c r="U1717">
        <f ca="1">VLOOKUP($Q1717,'TA database'!$I$86:$J$105,2,FALSE)</f>
        <v>80</v>
      </c>
      <c r="V1717">
        <f ca="1">VLOOKUP($R1717,'TA database'!$I$112:$J$139,2,FALSE)</f>
        <v>40</v>
      </c>
      <c r="W1717">
        <f>IFERROR(VLOOKUP($S1717,'TA database'!$I$146:$J$193,2,FALSE),0)</f>
        <v>0</v>
      </c>
      <c r="X1717">
        <f ca="1">IFERROR(VLOOKUP($S1717,'TA database'!$I$200:$J$271,2,FALSE),0)</f>
        <v>100</v>
      </c>
      <c r="Y1717">
        <f t="shared" ca="1" si="5422"/>
        <v>75</v>
      </c>
      <c r="Z1717" t="str">
        <f t="shared" si="5423"/>
        <v>BIO_GSF_CCS_MED_C   →   C_GAS_STRG   →   H2_T&amp;D_P   →   H2_FC_DCHP_PWR</v>
      </c>
      <c r="AA1717" t="str">
        <f t="shared" si="5424"/>
        <v>Grid electricity</v>
      </c>
      <c r="AB1717" t="str">
        <f t="shared" si="5425"/>
        <v>Regulatory coverage</v>
      </c>
      <c r="AC1717">
        <f t="shared" ca="1" si="5426"/>
        <v>75</v>
      </c>
      <c r="AD1717">
        <v>1658</v>
      </c>
      <c r="AE1717" t="str">
        <f>IF(AND(ISNUMBER(SEARCH(O1717,4)),ISNUMBER(SEARCH('(4) FCH pathway assessment'!$B$16,AB1717)),ISNUMBER(SEARCH('(4) FCH pathway assessment'!$B$10,AA1717))),AD1717,"")</f>
        <v/>
      </c>
      <c r="AF1717" t="str">
        <f t="shared" si="5202"/>
        <v/>
      </c>
      <c r="AG1717" t="str">
        <f>VLOOKUP(C1717,Assumptions!$B$116:$C$162,2,FALSE)</f>
        <v>BIO_GSF_CCS_MED_C</v>
      </c>
      <c r="AH1717" t="str">
        <f>VLOOKUP(D1717,Assumptions!$B$116:$C$162,2,FALSE)</f>
        <v>C_GAS_STRG</v>
      </c>
      <c r="AI1717" t="str">
        <f>VLOOKUP(E1717,Assumptions!$B$116:$C$162,2,FALSE)</f>
        <v>H2_T&amp;D_P</v>
      </c>
      <c r="AJ1717" t="str">
        <f>VLOOKUP(F1717,Assumptions!$B$116:$C$162,2,FALSE)</f>
        <v>H2_FC_DCHP_PWR</v>
      </c>
    </row>
    <row r="1718" spans="2:36" x14ac:dyDescent="0.25">
      <c r="B1718" t="s">
        <v>117</v>
      </c>
      <c r="C1718" t="s">
        <v>54</v>
      </c>
      <c r="D1718" t="s">
        <v>155</v>
      </c>
      <c r="E1718" t="s">
        <v>116</v>
      </c>
      <c r="F1718" t="s">
        <v>549</v>
      </c>
      <c r="G1718" t="s">
        <v>114</v>
      </c>
      <c r="H1718" t="s">
        <v>433</v>
      </c>
      <c r="I1718" t="s">
        <v>32</v>
      </c>
      <c r="J1718" t="s">
        <v>534</v>
      </c>
      <c r="K1718">
        <f t="shared" si="5413"/>
        <v>0</v>
      </c>
      <c r="L1718">
        <f t="shared" si="5414"/>
        <v>1</v>
      </c>
      <c r="M1718">
        <f t="shared" si="5415"/>
        <v>1</v>
      </c>
      <c r="N1718">
        <f t="shared" si="5416"/>
        <v>0</v>
      </c>
      <c r="O1718">
        <f t="shared" si="5417"/>
        <v>2</v>
      </c>
      <c r="P1718" t="str">
        <f t="shared" si="5418"/>
        <v>Medium centralized biomass gasification w/ CCS-Regulatory coverage</v>
      </c>
      <c r="Q1718" t="str">
        <f t="shared" si="5419"/>
        <v>Central gas storage-Regulatory coverage</v>
      </c>
      <c r="R1718" t="str">
        <f t="shared" si="5420"/>
        <v>Liquid hydrogen truck-Regulatory coverage</v>
      </c>
      <c r="S1718" t="str">
        <f t="shared" si="5421"/>
        <v>District-CHP with H2 fuel cell (power)-Regulatory coverage</v>
      </c>
      <c r="T1718">
        <f ca="1">VLOOKUP($P1718,'TA database'!$I$8:$J$79,2,FALSE)</f>
        <v>80</v>
      </c>
      <c r="U1718">
        <f ca="1">VLOOKUP($Q1718,'TA database'!$I$86:$J$105,2,FALSE)</f>
        <v>80</v>
      </c>
      <c r="V1718">
        <f ca="1">VLOOKUP($R1718,'TA database'!$I$112:$J$139,2,FALSE)</f>
        <v>40</v>
      </c>
      <c r="W1718">
        <f>IFERROR(VLOOKUP($S1718,'TA database'!$I$146:$J$193,2,FALSE),0)</f>
        <v>0</v>
      </c>
      <c r="X1718">
        <f ca="1">IFERROR(VLOOKUP($S1718,'TA database'!$I$200:$J$271,2,FALSE),0)</f>
        <v>100</v>
      </c>
      <c r="Y1718">
        <f t="shared" ca="1" si="5422"/>
        <v>75</v>
      </c>
      <c r="Z1718" t="str">
        <f t="shared" si="5423"/>
        <v>BIO_GSF_CCS_MED_C   →   C_GAS_STRG   →   LQ_TRUCK   →   H2_FC_DCHP_PWR</v>
      </c>
      <c r="AA1718" t="str">
        <f t="shared" si="5424"/>
        <v>Grid electricity</v>
      </c>
      <c r="AB1718" t="str">
        <f t="shared" si="5425"/>
        <v>Regulatory coverage</v>
      </c>
      <c r="AC1718">
        <f t="shared" ca="1" si="5426"/>
        <v>75</v>
      </c>
      <c r="AD1718">
        <v>1659</v>
      </c>
      <c r="AE1718" t="str">
        <f>IF(AND(ISNUMBER(SEARCH(O1718,4)),ISNUMBER(SEARCH('(4) FCH pathway assessment'!$B$16,AB1718)),ISNUMBER(SEARCH('(4) FCH pathway assessment'!$B$10,AA1718))),AD1718,"")</f>
        <v/>
      </c>
      <c r="AF1718" t="str">
        <f t="shared" si="5202"/>
        <v/>
      </c>
      <c r="AG1718" t="str">
        <f>VLOOKUP(C1718,Assumptions!$B$116:$C$162,2,FALSE)</f>
        <v>BIO_GSF_CCS_MED_C</v>
      </c>
      <c r="AH1718" t="str">
        <f>VLOOKUP(D1718,Assumptions!$B$116:$C$162,2,FALSE)</f>
        <v>C_GAS_STRG</v>
      </c>
      <c r="AI1718" t="str">
        <f>VLOOKUP(E1718,Assumptions!$B$116:$C$162,2,FALSE)</f>
        <v>LQ_TRUCK</v>
      </c>
      <c r="AJ1718" t="str">
        <f>VLOOKUP(F1718,Assumptions!$B$116:$C$162,2,FALSE)</f>
        <v>H2_FC_DCHP_PWR</v>
      </c>
    </row>
    <row r="1719" spans="2:36" x14ac:dyDescent="0.25">
      <c r="B1719" t="s">
        <v>117</v>
      </c>
      <c r="C1719" t="s">
        <v>54</v>
      </c>
      <c r="D1719" t="s">
        <v>155</v>
      </c>
      <c r="E1719" t="s">
        <v>66</v>
      </c>
      <c r="F1719" t="s">
        <v>549</v>
      </c>
      <c r="G1719" t="s">
        <v>114</v>
      </c>
      <c r="H1719" t="s">
        <v>433</v>
      </c>
      <c r="I1719" t="s">
        <v>32</v>
      </c>
      <c r="J1719" t="s">
        <v>534</v>
      </c>
      <c r="K1719">
        <f t="shared" si="5413"/>
        <v>0</v>
      </c>
      <c r="L1719">
        <f t="shared" si="5414"/>
        <v>1</v>
      </c>
      <c r="M1719">
        <f t="shared" si="5415"/>
        <v>1</v>
      </c>
      <c r="N1719">
        <f t="shared" si="5416"/>
        <v>0</v>
      </c>
      <c r="O1719">
        <f t="shared" si="5417"/>
        <v>2</v>
      </c>
      <c r="P1719" t="str">
        <f t="shared" si="5418"/>
        <v>Medium centralized biomass gasification w/ CCS-Regulatory coverage</v>
      </c>
      <c r="Q1719" t="str">
        <f t="shared" si="5419"/>
        <v>Central gas storage-Regulatory coverage</v>
      </c>
      <c r="R1719" t="str">
        <f t="shared" si="5420"/>
        <v>Onsite-Regulatory coverage</v>
      </c>
      <c r="S1719" t="str">
        <f t="shared" si="5421"/>
        <v>District-CHP with H2 fuel cell (power)-Regulatory coverage</v>
      </c>
      <c r="T1719">
        <f ca="1">VLOOKUP($P1719,'TA database'!$I$8:$J$79,2,FALSE)</f>
        <v>80</v>
      </c>
      <c r="U1719">
        <f ca="1">VLOOKUP($Q1719,'TA database'!$I$86:$J$105,2,FALSE)</f>
        <v>80</v>
      </c>
      <c r="V1719">
        <f ca="1">VLOOKUP($R1719,'TA database'!$I$112:$J$139,2,FALSE)</f>
        <v>100</v>
      </c>
      <c r="W1719">
        <f>IFERROR(VLOOKUP($S1719,'TA database'!$I$146:$J$193,2,FALSE),0)</f>
        <v>0</v>
      </c>
      <c r="X1719">
        <f ca="1">IFERROR(VLOOKUP($S1719,'TA database'!$I$200:$J$271,2,FALSE),0)</f>
        <v>100</v>
      </c>
      <c r="Y1719">
        <f t="shared" ca="1" si="5422"/>
        <v>90</v>
      </c>
      <c r="Z1719" t="str">
        <f t="shared" si="5423"/>
        <v>BIO_GSF_CCS_MED_C   →   C_GAS_STRG   →   ONSITE_USE   →   H2_FC_DCHP_PWR</v>
      </c>
      <c r="AA1719" t="str">
        <f t="shared" si="5424"/>
        <v>Grid electricity</v>
      </c>
      <c r="AB1719" t="str">
        <f t="shared" si="5425"/>
        <v>Regulatory coverage</v>
      </c>
      <c r="AC1719">
        <f t="shared" ca="1" si="5426"/>
        <v>90</v>
      </c>
      <c r="AD1719">
        <v>1660</v>
      </c>
      <c r="AE1719" t="str">
        <f>IF(AND(ISNUMBER(SEARCH(O1719,4)),ISNUMBER(SEARCH('(4) FCH pathway assessment'!$B$16,AB1719)),ISNUMBER(SEARCH('(4) FCH pathway assessment'!$B$10,AA1719))),AD1719,"")</f>
        <v/>
      </c>
      <c r="AF1719" t="str">
        <f t="shared" si="5202"/>
        <v/>
      </c>
      <c r="AG1719" t="str">
        <f>VLOOKUP(C1719,Assumptions!$B$116:$C$162,2,FALSE)</f>
        <v>BIO_GSF_CCS_MED_C</v>
      </c>
      <c r="AH1719" t="str">
        <f>VLOOKUP(D1719,Assumptions!$B$116:$C$162,2,FALSE)</f>
        <v>C_GAS_STRG</v>
      </c>
      <c r="AI1719" t="str">
        <f>VLOOKUP(E1719,Assumptions!$B$116:$C$162,2,FALSE)</f>
        <v>ONSITE_USE</v>
      </c>
      <c r="AJ1719" t="str">
        <f>VLOOKUP(F1719,Assumptions!$B$116:$C$162,2,FALSE)</f>
        <v>H2_FC_DCHP_PWR</v>
      </c>
    </row>
    <row r="1720" spans="2:36" x14ac:dyDescent="0.25">
      <c r="B1720" t="s">
        <v>117</v>
      </c>
      <c r="C1720" t="s">
        <v>55</v>
      </c>
      <c r="D1720" s="60" t="s">
        <v>130</v>
      </c>
      <c r="E1720" t="s">
        <v>66</v>
      </c>
      <c r="F1720" t="s">
        <v>549</v>
      </c>
      <c r="G1720" t="s">
        <v>114</v>
      </c>
      <c r="H1720" t="s">
        <v>433</v>
      </c>
      <c r="I1720" t="s">
        <v>32</v>
      </c>
      <c r="J1720" t="s">
        <v>534</v>
      </c>
      <c r="K1720">
        <f t="shared" si="5413"/>
        <v>0</v>
      </c>
      <c r="L1720">
        <f t="shared" si="5414"/>
        <v>1</v>
      </c>
      <c r="M1720">
        <f t="shared" si="5415"/>
        <v>1</v>
      </c>
      <c r="N1720">
        <f t="shared" si="5416"/>
        <v>0</v>
      </c>
      <c r="O1720">
        <f t="shared" si="5417"/>
        <v>2</v>
      </c>
      <c r="P1720" t="str">
        <f t="shared" si="5418"/>
        <v>Small decentralized biomass gasification-Regulatory coverage</v>
      </c>
      <c r="Q1720" t="str">
        <f t="shared" si="5419"/>
        <v>Distributed gas storage-Regulatory coverage</v>
      </c>
      <c r="R1720" t="str">
        <f t="shared" si="5420"/>
        <v>Onsite-Regulatory coverage</v>
      </c>
      <c r="S1720" t="str">
        <f t="shared" si="5421"/>
        <v>District-CHP with H2 fuel cell (power)-Regulatory coverage</v>
      </c>
      <c r="T1720">
        <f ca="1">VLOOKUP($P1720,'TA database'!$I$8:$J$79,2,FALSE)</f>
        <v>100</v>
      </c>
      <c r="U1720">
        <f ca="1">VLOOKUP($Q1720,'TA database'!$I$86:$J$105,2,FALSE)</f>
        <v>100</v>
      </c>
      <c r="V1720">
        <f ca="1">VLOOKUP($R1720,'TA database'!$I$112:$J$139,2,FALSE)</f>
        <v>100</v>
      </c>
      <c r="W1720">
        <f>IFERROR(VLOOKUP($S1720,'TA database'!$I$146:$J$193,2,FALSE),0)</f>
        <v>0</v>
      </c>
      <c r="X1720">
        <f ca="1">IFERROR(VLOOKUP($S1720,'TA database'!$I$200:$J$271,2,FALSE),0)</f>
        <v>100</v>
      </c>
      <c r="Y1720">
        <f t="shared" ca="1" si="5422"/>
        <v>100</v>
      </c>
      <c r="Z1720" t="str">
        <f t="shared" si="5423"/>
        <v>BIO_GSF_SML_D   →   D_GAS_STRG   →   ONSITE_USE   →   H2_FC_DCHP_PWR</v>
      </c>
      <c r="AA1720" t="str">
        <f t="shared" si="5424"/>
        <v>Grid electricity</v>
      </c>
      <c r="AB1720" t="str">
        <f t="shared" si="5425"/>
        <v>Regulatory coverage</v>
      </c>
      <c r="AC1720">
        <f t="shared" ca="1" si="5426"/>
        <v>100</v>
      </c>
      <c r="AD1720">
        <v>1661</v>
      </c>
      <c r="AE1720" t="str">
        <f>IF(AND(ISNUMBER(SEARCH(O1720,4)),ISNUMBER(SEARCH('(4) FCH pathway assessment'!$B$16,AB1720)),ISNUMBER(SEARCH('(4) FCH pathway assessment'!$B$10,AA1720))),AD1720,"")</f>
        <v/>
      </c>
      <c r="AF1720" t="str">
        <f t="shared" si="5202"/>
        <v/>
      </c>
      <c r="AG1720" t="str">
        <f>VLOOKUP(C1720,Assumptions!$B$116:$C$162,2,FALSE)</f>
        <v>BIO_GSF_SML_D</v>
      </c>
      <c r="AH1720" t="str">
        <f>VLOOKUP(D1720,Assumptions!$B$116:$C$162,2,FALSE)</f>
        <v>D_GAS_STRG</v>
      </c>
      <c r="AI1720" t="str">
        <f>VLOOKUP(E1720,Assumptions!$B$116:$C$162,2,FALSE)</f>
        <v>ONSITE_USE</v>
      </c>
      <c r="AJ1720" t="str">
        <f>VLOOKUP(F1720,Assumptions!$B$116:$C$162,2,FALSE)</f>
        <v>H2_FC_DCHP_PWR</v>
      </c>
    </row>
    <row r="1721" spans="2:36" x14ac:dyDescent="0.25">
      <c r="B1721" t="s">
        <v>117</v>
      </c>
      <c r="C1721" t="s">
        <v>56</v>
      </c>
      <c r="D1721" t="s">
        <v>62</v>
      </c>
      <c r="E1721" t="s">
        <v>157</v>
      </c>
      <c r="F1721" t="s">
        <v>549</v>
      </c>
      <c r="G1721" t="s">
        <v>114</v>
      </c>
      <c r="H1721" t="s">
        <v>433</v>
      </c>
      <c r="I1721" t="s">
        <v>32</v>
      </c>
      <c r="J1721" t="s">
        <v>534</v>
      </c>
      <c r="K1721">
        <f t="shared" ref="K1721:K1733" si="5427">SUMPRODUCT(($C$7:$C$18=$C1721)*($D$6:$H$6=$D1721)*($D$7:$H$18))</f>
        <v>0</v>
      </c>
      <c r="L1721">
        <f t="shared" ref="L1721:L1733" si="5428">SUMPRODUCT(($C$19:$C$23=$D1721)*($I$6:$O$6=$E1721)*($I$19:$O$23))</f>
        <v>0</v>
      </c>
      <c r="M1721">
        <f t="shared" ref="M1721:M1733" si="5429">SUMPRODUCT(($C$24:$C$30=$E1721)*($P$6:$AI$6=$F1721)*($P$24:$AI$30))</f>
        <v>0</v>
      </c>
      <c r="N1721">
        <f t="shared" ref="N1721:N1733" si="5430">SUMPRODUCT(($C$31:$C$50=$F1721)*($AJ$6:$AM$6=$G1721)*($AJ$31:$AM$50))</f>
        <v>0</v>
      </c>
      <c r="O1721">
        <f t="shared" ref="O1721:O1733" si="5431">K1721+L1721+M1721+N1721</f>
        <v>0</v>
      </c>
      <c r="P1721" t="str">
        <f t="shared" ref="P1721:P1733" si="5432">CONCATENATE(C1721,"-",J1721)</f>
        <v>Large centralized biomass steam reforming -Regulatory coverage</v>
      </c>
      <c r="Q1721" t="str">
        <f t="shared" ref="Q1721:Q1733" si="5433">CONCATENATE(D1721,"-",J1721)</f>
        <v>Underground storage-Regulatory coverage</v>
      </c>
      <c r="R1721" t="str">
        <f t="shared" ref="R1721:R1733" si="5434">CONCATENATE(E1721,"-",J1721)</f>
        <v>Blending in natural gas pipeline-Regulatory coverage</v>
      </c>
      <c r="S1721" t="str">
        <f t="shared" ref="S1721:S1733" si="5435">CONCATENATE(F1721,"-",J1721)</f>
        <v>District-CHP with H2 fuel cell (power)-Regulatory coverage</v>
      </c>
      <c r="T1721">
        <f ca="1">VLOOKUP($P1721,'TA database'!$I$8:$J$79,2,FALSE)</f>
        <v>100</v>
      </c>
      <c r="U1721">
        <f ca="1">VLOOKUP($Q1721,'TA database'!$I$86:$J$105,2,FALSE)</f>
        <v>0</v>
      </c>
      <c r="V1721">
        <f ca="1">VLOOKUP($R1721,'TA database'!$I$112:$J$139,2,FALSE)</f>
        <v>100</v>
      </c>
      <c r="W1721">
        <f>IFERROR(VLOOKUP($S1721,'TA database'!$I$146:$J$193,2,FALSE),0)</f>
        <v>0</v>
      </c>
      <c r="X1721">
        <f ca="1">IFERROR(VLOOKUP($S1721,'TA database'!$I$200:$J$271,2,FALSE),0)</f>
        <v>100</v>
      </c>
      <c r="Y1721">
        <f t="shared" ref="Y1721:Y1733" ca="1" si="5436">IF($W1721=0,SUM($T1721:$V1721,$X1721)/4,SUM($T1721:$W1721)/4)</f>
        <v>75</v>
      </c>
      <c r="Z1721" t="str">
        <f t="shared" ref="Z1721:Z1733" si="5437">CONCATENATE(AG1721,"   →   ",AH1721,"   →   ",AI1721,"   →   ",AJ1721)</f>
        <v>BIO_SR_LRG_C   →   C_UNDRGRND_STRG   →   H2_BLND_NG_P   →   H2_FC_DCHP_PWR</v>
      </c>
      <c r="AA1721" t="str">
        <f t="shared" ref="AA1721:AA1733" si="5438">G1721</f>
        <v>Grid electricity</v>
      </c>
      <c r="AB1721" t="str">
        <f t="shared" ref="AB1721:AB1733" si="5439">J1721</f>
        <v>Regulatory coverage</v>
      </c>
      <c r="AC1721">
        <f t="shared" ref="AC1721:AC1733" ca="1" si="5440">Y1721</f>
        <v>75</v>
      </c>
      <c r="AD1721">
        <v>1662</v>
      </c>
      <c r="AE1721" t="str">
        <f>IF(AND(ISNUMBER(SEARCH(O1721,4)),ISNUMBER(SEARCH('(4) FCH pathway assessment'!$B$16,AB1721)),ISNUMBER(SEARCH('(4) FCH pathway assessment'!$B$10,AA1721))),AD1721,"")</f>
        <v/>
      </c>
      <c r="AF1721" t="str">
        <f t="shared" si="5202"/>
        <v/>
      </c>
      <c r="AG1721" t="str">
        <f>VLOOKUP(C1721,Assumptions!$B$116:$C$162,2,FALSE)</f>
        <v>BIO_SR_LRG_C</v>
      </c>
      <c r="AH1721" t="str">
        <f>VLOOKUP(D1721,Assumptions!$B$116:$C$162,2,FALSE)</f>
        <v>C_UNDRGRND_STRG</v>
      </c>
      <c r="AI1721" t="str">
        <f>VLOOKUP(E1721,Assumptions!$B$116:$C$162,2,FALSE)</f>
        <v>H2_BLND_NG_P</v>
      </c>
      <c r="AJ1721" t="str">
        <f>VLOOKUP(F1721,Assumptions!$B$116:$C$162,2,FALSE)</f>
        <v>H2_FC_DCHP_PWR</v>
      </c>
    </row>
    <row r="1722" spans="2:36" x14ac:dyDescent="0.25">
      <c r="B1722" t="s">
        <v>117</v>
      </c>
      <c r="C1722" t="s">
        <v>56</v>
      </c>
      <c r="D1722" t="s">
        <v>62</v>
      </c>
      <c r="E1722" t="s">
        <v>122</v>
      </c>
      <c r="F1722" t="s">
        <v>549</v>
      </c>
      <c r="G1722" t="s">
        <v>114</v>
      </c>
      <c r="H1722" t="s">
        <v>433</v>
      </c>
      <c r="I1722" t="s">
        <v>32</v>
      </c>
      <c r="J1722" t="s">
        <v>534</v>
      </c>
      <c r="K1722">
        <f t="shared" si="5427"/>
        <v>0</v>
      </c>
      <c r="L1722">
        <f t="shared" si="5428"/>
        <v>0</v>
      </c>
      <c r="M1722">
        <f t="shared" si="5429"/>
        <v>1</v>
      </c>
      <c r="N1722">
        <f t="shared" si="5430"/>
        <v>0</v>
      </c>
      <c r="O1722">
        <f t="shared" si="5431"/>
        <v>1</v>
      </c>
      <c r="P1722" t="str">
        <f t="shared" si="5432"/>
        <v>Large centralized biomass steam reforming -Regulatory coverage</v>
      </c>
      <c r="Q1722" t="str">
        <f t="shared" si="5433"/>
        <v>Underground storage-Regulatory coverage</v>
      </c>
      <c r="R1722" t="str">
        <f t="shared" si="5434"/>
        <v>Hydrogen transmission &amp; distribution pipeline-Regulatory coverage</v>
      </c>
      <c r="S1722" t="str">
        <f t="shared" si="5435"/>
        <v>District-CHP with H2 fuel cell (power)-Regulatory coverage</v>
      </c>
      <c r="T1722">
        <f ca="1">VLOOKUP($P1722,'TA database'!$I$8:$J$79,2,FALSE)</f>
        <v>100</v>
      </c>
      <c r="U1722">
        <f ca="1">VLOOKUP($Q1722,'TA database'!$I$86:$J$105,2,FALSE)</f>
        <v>0</v>
      </c>
      <c r="V1722">
        <f ca="1">VLOOKUP($R1722,'TA database'!$I$112:$J$139,2,FALSE)</f>
        <v>40</v>
      </c>
      <c r="W1722">
        <f>IFERROR(VLOOKUP($S1722,'TA database'!$I$146:$J$193,2,FALSE),0)</f>
        <v>0</v>
      </c>
      <c r="X1722">
        <f ca="1">IFERROR(VLOOKUP($S1722,'TA database'!$I$200:$J$271,2,FALSE),0)</f>
        <v>100</v>
      </c>
      <c r="Y1722">
        <f t="shared" ca="1" si="5436"/>
        <v>60</v>
      </c>
      <c r="Z1722" t="str">
        <f t="shared" si="5437"/>
        <v>BIO_SR_LRG_C   →   C_UNDRGRND_STRG   →   H2_T&amp;D_P   →   H2_FC_DCHP_PWR</v>
      </c>
      <c r="AA1722" t="str">
        <f t="shared" si="5438"/>
        <v>Grid electricity</v>
      </c>
      <c r="AB1722" t="str">
        <f t="shared" si="5439"/>
        <v>Regulatory coverage</v>
      </c>
      <c r="AC1722">
        <f t="shared" ca="1" si="5440"/>
        <v>60</v>
      </c>
      <c r="AD1722">
        <v>1663</v>
      </c>
      <c r="AE1722" t="str">
        <f>IF(AND(ISNUMBER(SEARCH(O1722,4)),ISNUMBER(SEARCH('(4) FCH pathway assessment'!$B$16,AB1722)),ISNUMBER(SEARCH('(4) FCH pathway assessment'!$B$10,AA1722))),AD1722,"")</f>
        <v/>
      </c>
      <c r="AF1722" t="str">
        <f t="shared" si="5202"/>
        <v/>
      </c>
      <c r="AG1722" t="str">
        <f>VLOOKUP(C1722,Assumptions!$B$116:$C$162,2,FALSE)</f>
        <v>BIO_SR_LRG_C</v>
      </c>
      <c r="AH1722" t="str">
        <f>VLOOKUP(D1722,Assumptions!$B$116:$C$162,2,FALSE)</f>
        <v>C_UNDRGRND_STRG</v>
      </c>
      <c r="AI1722" t="str">
        <f>VLOOKUP(E1722,Assumptions!$B$116:$C$162,2,FALSE)</f>
        <v>H2_T&amp;D_P</v>
      </c>
      <c r="AJ1722" t="str">
        <f>VLOOKUP(F1722,Assumptions!$B$116:$C$162,2,FALSE)</f>
        <v>H2_FC_DCHP_PWR</v>
      </c>
    </row>
    <row r="1723" spans="2:36" x14ac:dyDescent="0.25">
      <c r="B1723" t="s">
        <v>117</v>
      </c>
      <c r="C1723" t="s">
        <v>56</v>
      </c>
      <c r="D1723" t="s">
        <v>62</v>
      </c>
      <c r="E1723" t="s">
        <v>116</v>
      </c>
      <c r="F1723" t="s">
        <v>549</v>
      </c>
      <c r="G1723" t="s">
        <v>114</v>
      </c>
      <c r="H1723" t="s">
        <v>433</v>
      </c>
      <c r="I1723" t="s">
        <v>32</v>
      </c>
      <c r="J1723" t="s">
        <v>534</v>
      </c>
      <c r="K1723">
        <f t="shared" si="5427"/>
        <v>0</v>
      </c>
      <c r="L1723">
        <f t="shared" si="5428"/>
        <v>0</v>
      </c>
      <c r="M1723">
        <f t="shared" si="5429"/>
        <v>1</v>
      </c>
      <c r="N1723">
        <f t="shared" si="5430"/>
        <v>0</v>
      </c>
      <c r="O1723">
        <f t="shared" si="5431"/>
        <v>1</v>
      </c>
      <c r="P1723" t="str">
        <f t="shared" si="5432"/>
        <v>Large centralized biomass steam reforming -Regulatory coverage</v>
      </c>
      <c r="Q1723" t="str">
        <f t="shared" si="5433"/>
        <v>Underground storage-Regulatory coverage</v>
      </c>
      <c r="R1723" t="str">
        <f t="shared" si="5434"/>
        <v>Liquid hydrogen truck-Regulatory coverage</v>
      </c>
      <c r="S1723" t="str">
        <f t="shared" si="5435"/>
        <v>District-CHP with H2 fuel cell (power)-Regulatory coverage</v>
      </c>
      <c r="T1723">
        <f ca="1">VLOOKUP($P1723,'TA database'!$I$8:$J$79,2,FALSE)</f>
        <v>100</v>
      </c>
      <c r="U1723">
        <f ca="1">VLOOKUP($Q1723,'TA database'!$I$86:$J$105,2,FALSE)</f>
        <v>0</v>
      </c>
      <c r="V1723">
        <f ca="1">VLOOKUP($R1723,'TA database'!$I$112:$J$139,2,FALSE)</f>
        <v>40</v>
      </c>
      <c r="W1723">
        <f>IFERROR(VLOOKUP($S1723,'TA database'!$I$146:$J$193,2,FALSE),0)</f>
        <v>0</v>
      </c>
      <c r="X1723">
        <f ca="1">IFERROR(VLOOKUP($S1723,'TA database'!$I$200:$J$271,2,FALSE),0)</f>
        <v>100</v>
      </c>
      <c r="Y1723">
        <f t="shared" ca="1" si="5436"/>
        <v>60</v>
      </c>
      <c r="Z1723" t="str">
        <f t="shared" si="5437"/>
        <v>BIO_SR_LRG_C   →   C_UNDRGRND_STRG   →   LQ_TRUCK   →   H2_FC_DCHP_PWR</v>
      </c>
      <c r="AA1723" t="str">
        <f t="shared" si="5438"/>
        <v>Grid electricity</v>
      </c>
      <c r="AB1723" t="str">
        <f t="shared" si="5439"/>
        <v>Regulatory coverage</v>
      </c>
      <c r="AC1723">
        <f t="shared" ca="1" si="5440"/>
        <v>60</v>
      </c>
      <c r="AD1723">
        <v>1664</v>
      </c>
      <c r="AE1723" t="str">
        <f>IF(AND(ISNUMBER(SEARCH(O1723,4)),ISNUMBER(SEARCH('(4) FCH pathway assessment'!$B$16,AB1723)),ISNUMBER(SEARCH('(4) FCH pathway assessment'!$B$10,AA1723))),AD1723,"")</f>
        <v/>
      </c>
      <c r="AF1723" t="str">
        <f t="shared" si="5202"/>
        <v/>
      </c>
      <c r="AG1723" t="str">
        <f>VLOOKUP(C1723,Assumptions!$B$116:$C$162,2,FALSE)</f>
        <v>BIO_SR_LRG_C</v>
      </c>
      <c r="AH1723" t="str">
        <f>VLOOKUP(D1723,Assumptions!$B$116:$C$162,2,FALSE)</f>
        <v>C_UNDRGRND_STRG</v>
      </c>
      <c r="AI1723" t="str">
        <f>VLOOKUP(E1723,Assumptions!$B$116:$C$162,2,FALSE)</f>
        <v>LQ_TRUCK</v>
      </c>
      <c r="AJ1723" t="str">
        <f>VLOOKUP(F1723,Assumptions!$B$116:$C$162,2,FALSE)</f>
        <v>H2_FC_DCHP_PWR</v>
      </c>
    </row>
    <row r="1724" spans="2:36" x14ac:dyDescent="0.25">
      <c r="B1724" t="s">
        <v>117</v>
      </c>
      <c r="C1724" t="s">
        <v>56</v>
      </c>
      <c r="D1724" t="s">
        <v>62</v>
      </c>
      <c r="E1724" t="s">
        <v>66</v>
      </c>
      <c r="F1724" t="s">
        <v>549</v>
      </c>
      <c r="G1724" t="s">
        <v>114</v>
      </c>
      <c r="H1724" t="s">
        <v>433</v>
      </c>
      <c r="I1724" t="s">
        <v>32</v>
      </c>
      <c r="J1724" t="s">
        <v>534</v>
      </c>
      <c r="K1724">
        <f t="shared" si="5427"/>
        <v>0</v>
      </c>
      <c r="L1724">
        <f t="shared" si="5428"/>
        <v>0</v>
      </c>
      <c r="M1724">
        <f t="shared" si="5429"/>
        <v>1</v>
      </c>
      <c r="N1724">
        <f t="shared" si="5430"/>
        <v>0</v>
      </c>
      <c r="O1724">
        <f t="shared" si="5431"/>
        <v>1</v>
      </c>
      <c r="P1724" t="str">
        <f t="shared" si="5432"/>
        <v>Large centralized biomass steam reforming -Regulatory coverage</v>
      </c>
      <c r="Q1724" t="str">
        <f t="shared" si="5433"/>
        <v>Underground storage-Regulatory coverage</v>
      </c>
      <c r="R1724" t="str">
        <f t="shared" si="5434"/>
        <v>Onsite-Regulatory coverage</v>
      </c>
      <c r="S1724" t="str">
        <f t="shared" si="5435"/>
        <v>District-CHP with H2 fuel cell (power)-Regulatory coverage</v>
      </c>
      <c r="T1724">
        <f ca="1">VLOOKUP($P1724,'TA database'!$I$8:$J$79,2,FALSE)</f>
        <v>100</v>
      </c>
      <c r="U1724">
        <f ca="1">VLOOKUP($Q1724,'TA database'!$I$86:$J$105,2,FALSE)</f>
        <v>0</v>
      </c>
      <c r="V1724">
        <f ca="1">VLOOKUP($R1724,'TA database'!$I$112:$J$139,2,FALSE)</f>
        <v>100</v>
      </c>
      <c r="W1724">
        <f>IFERROR(VLOOKUP($S1724,'TA database'!$I$146:$J$193,2,FALSE),0)</f>
        <v>0</v>
      </c>
      <c r="X1724">
        <f ca="1">IFERROR(VLOOKUP($S1724,'TA database'!$I$200:$J$271,2,FALSE),0)</f>
        <v>100</v>
      </c>
      <c r="Y1724">
        <f t="shared" ca="1" si="5436"/>
        <v>75</v>
      </c>
      <c r="Z1724" t="str">
        <f t="shared" si="5437"/>
        <v>BIO_SR_LRG_C   →   C_UNDRGRND_STRG   →   ONSITE_USE   →   H2_FC_DCHP_PWR</v>
      </c>
      <c r="AA1724" t="str">
        <f t="shared" si="5438"/>
        <v>Grid electricity</v>
      </c>
      <c r="AB1724" t="str">
        <f t="shared" si="5439"/>
        <v>Regulatory coverage</v>
      </c>
      <c r="AC1724">
        <f t="shared" ca="1" si="5440"/>
        <v>75</v>
      </c>
      <c r="AD1724">
        <v>1665</v>
      </c>
      <c r="AE1724" t="str">
        <f>IF(AND(ISNUMBER(SEARCH(O1724,4)),ISNUMBER(SEARCH('(4) FCH pathway assessment'!$B$16,AB1724)),ISNUMBER(SEARCH('(4) FCH pathway assessment'!$B$10,AA1724))),AD1724,"")</f>
        <v/>
      </c>
      <c r="AF1724" t="str">
        <f t="shared" ref="AF1724:AF1787" si="5441">IFERROR(SMALL($AE$60:$AE$1991,AD1724),"")</f>
        <v/>
      </c>
      <c r="AG1724" t="str">
        <f>VLOOKUP(C1724,Assumptions!$B$116:$C$162,2,FALSE)</f>
        <v>BIO_SR_LRG_C</v>
      </c>
      <c r="AH1724" t="str">
        <f>VLOOKUP(D1724,Assumptions!$B$116:$C$162,2,FALSE)</f>
        <v>C_UNDRGRND_STRG</v>
      </c>
      <c r="AI1724" t="str">
        <f>VLOOKUP(E1724,Assumptions!$B$116:$C$162,2,FALSE)</f>
        <v>ONSITE_USE</v>
      </c>
      <c r="AJ1724" t="str">
        <f>VLOOKUP(F1724,Assumptions!$B$116:$C$162,2,FALSE)</f>
        <v>H2_FC_DCHP_PWR</v>
      </c>
    </row>
    <row r="1725" spans="2:36" x14ac:dyDescent="0.25">
      <c r="B1725" t="s">
        <v>117</v>
      </c>
      <c r="C1725" t="s">
        <v>56</v>
      </c>
      <c r="D1725" s="61" t="s">
        <v>63</v>
      </c>
      <c r="E1725" t="s">
        <v>122</v>
      </c>
      <c r="F1725" t="s">
        <v>549</v>
      </c>
      <c r="G1725" t="s">
        <v>114</v>
      </c>
      <c r="H1725" t="s">
        <v>433</v>
      </c>
      <c r="I1725" t="s">
        <v>32</v>
      </c>
      <c r="J1725" t="s">
        <v>534</v>
      </c>
      <c r="K1725">
        <f t="shared" si="5427"/>
        <v>0</v>
      </c>
      <c r="L1725">
        <f t="shared" si="5428"/>
        <v>1</v>
      </c>
      <c r="M1725">
        <f t="shared" si="5429"/>
        <v>1</v>
      </c>
      <c r="N1725">
        <f t="shared" si="5430"/>
        <v>0</v>
      </c>
      <c r="O1725">
        <f t="shared" si="5431"/>
        <v>2</v>
      </c>
      <c r="P1725" t="str">
        <f t="shared" si="5432"/>
        <v>Large centralized biomass steam reforming -Regulatory coverage</v>
      </c>
      <c r="Q1725" t="str">
        <f t="shared" si="5433"/>
        <v>No storage-Regulatory coverage</v>
      </c>
      <c r="R1725" t="str">
        <f t="shared" si="5434"/>
        <v>Hydrogen transmission &amp; distribution pipeline-Regulatory coverage</v>
      </c>
      <c r="S1725" t="str">
        <f t="shared" si="5435"/>
        <v>District-CHP with H2 fuel cell (power)-Regulatory coverage</v>
      </c>
      <c r="T1725">
        <f ca="1">VLOOKUP($P1725,'TA database'!$I$8:$J$79,2,FALSE)</f>
        <v>100</v>
      </c>
      <c r="U1725">
        <f ca="1">VLOOKUP($Q1725,'TA database'!$I$86:$J$105,2,FALSE)</f>
        <v>100</v>
      </c>
      <c r="V1725">
        <f ca="1">VLOOKUP($R1725,'TA database'!$I$112:$J$139,2,FALSE)</f>
        <v>40</v>
      </c>
      <c r="W1725">
        <f>IFERROR(VLOOKUP($S1725,'TA database'!$I$146:$J$193,2,FALSE),0)</f>
        <v>0</v>
      </c>
      <c r="X1725">
        <f ca="1">IFERROR(VLOOKUP($S1725,'TA database'!$I$200:$J$271,2,FALSE),0)</f>
        <v>100</v>
      </c>
      <c r="Y1725">
        <f t="shared" ca="1" si="5436"/>
        <v>85</v>
      </c>
      <c r="Z1725" t="str">
        <f t="shared" si="5437"/>
        <v>BIO_SR_LRG_C   →   NO_STRG   →   H2_T&amp;D_P   →   H2_FC_DCHP_PWR</v>
      </c>
      <c r="AA1725" t="str">
        <f t="shared" si="5438"/>
        <v>Grid electricity</v>
      </c>
      <c r="AB1725" t="str">
        <f t="shared" si="5439"/>
        <v>Regulatory coverage</v>
      </c>
      <c r="AC1725">
        <f t="shared" ca="1" si="5440"/>
        <v>85</v>
      </c>
      <c r="AD1725">
        <v>1666</v>
      </c>
      <c r="AE1725" t="str">
        <f>IF(AND(ISNUMBER(SEARCH(O1725,4)),ISNUMBER(SEARCH('(4) FCH pathway assessment'!$B$16,AB1725)),ISNUMBER(SEARCH('(4) FCH pathway assessment'!$B$10,AA1725))),AD1725,"")</f>
        <v/>
      </c>
      <c r="AF1725" t="str">
        <f t="shared" si="5441"/>
        <v/>
      </c>
      <c r="AG1725" t="str">
        <f>VLOOKUP(C1725,Assumptions!$B$116:$C$162,2,FALSE)</f>
        <v>BIO_SR_LRG_C</v>
      </c>
      <c r="AH1725" t="str">
        <f>VLOOKUP(D1725,Assumptions!$B$116:$C$162,2,FALSE)</f>
        <v>NO_STRG</v>
      </c>
      <c r="AI1725" t="str">
        <f>VLOOKUP(E1725,Assumptions!$B$116:$C$162,2,FALSE)</f>
        <v>H2_T&amp;D_P</v>
      </c>
      <c r="AJ1725" t="str">
        <f>VLOOKUP(F1725,Assumptions!$B$116:$C$162,2,FALSE)</f>
        <v>H2_FC_DCHP_PWR</v>
      </c>
    </row>
    <row r="1726" spans="2:36" x14ac:dyDescent="0.25">
      <c r="B1726" t="s">
        <v>112</v>
      </c>
      <c r="C1726" t="s">
        <v>49</v>
      </c>
      <c r="D1726" t="s">
        <v>62</v>
      </c>
      <c r="E1726" t="s">
        <v>157</v>
      </c>
      <c r="F1726" t="s">
        <v>549</v>
      </c>
      <c r="G1726" t="s">
        <v>114</v>
      </c>
      <c r="H1726" t="s">
        <v>433</v>
      </c>
      <c r="I1726" t="s">
        <v>32</v>
      </c>
      <c r="J1726" t="s">
        <v>534</v>
      </c>
      <c r="K1726">
        <f t="shared" si="5427"/>
        <v>1</v>
      </c>
      <c r="L1726">
        <f t="shared" si="5428"/>
        <v>0</v>
      </c>
      <c r="M1726">
        <f t="shared" si="5429"/>
        <v>0</v>
      </c>
      <c r="N1726">
        <f t="shared" si="5430"/>
        <v>0</v>
      </c>
      <c r="O1726">
        <f t="shared" si="5431"/>
        <v>1</v>
      </c>
      <c r="P1726" t="str">
        <f t="shared" si="5432"/>
        <v>Large centralized electrolysis-Regulatory coverage</v>
      </c>
      <c r="Q1726" t="str">
        <f t="shared" si="5433"/>
        <v>Underground storage-Regulatory coverage</v>
      </c>
      <c r="R1726" t="str">
        <f t="shared" si="5434"/>
        <v>Blending in natural gas pipeline-Regulatory coverage</v>
      </c>
      <c r="S1726" t="str">
        <f t="shared" si="5435"/>
        <v>District-CHP with H2 fuel cell (power)-Regulatory coverage</v>
      </c>
      <c r="T1726">
        <f ca="1">VLOOKUP($P1726,'TA database'!$I$8:$J$79,2,FALSE)</f>
        <v>100</v>
      </c>
      <c r="U1726">
        <f ca="1">VLOOKUP($Q1726,'TA database'!$I$86:$J$105,2,FALSE)</f>
        <v>0</v>
      </c>
      <c r="V1726">
        <f ca="1">VLOOKUP($R1726,'TA database'!$I$112:$J$139,2,FALSE)</f>
        <v>100</v>
      </c>
      <c r="W1726">
        <f>IFERROR(VLOOKUP($S1726,'TA database'!$I$146:$J$193,2,FALSE),0)</f>
        <v>0</v>
      </c>
      <c r="X1726">
        <f ca="1">IFERROR(VLOOKUP($S1726,'TA database'!$I$200:$J$271,2,FALSE),0)</f>
        <v>100</v>
      </c>
      <c r="Y1726">
        <f t="shared" ca="1" si="5436"/>
        <v>75</v>
      </c>
      <c r="Z1726" t="str">
        <f t="shared" si="5437"/>
        <v>ELCTRLYZ_LRG_C   →   C_UNDRGRND_STRG   →   H2_BLND_NG_P   →   H2_FC_DCHP_PWR</v>
      </c>
      <c r="AA1726" t="str">
        <f t="shared" si="5438"/>
        <v>Grid electricity</v>
      </c>
      <c r="AB1726" t="str">
        <f t="shared" si="5439"/>
        <v>Regulatory coverage</v>
      </c>
      <c r="AC1726">
        <f t="shared" ca="1" si="5440"/>
        <v>75</v>
      </c>
      <c r="AD1726">
        <v>1667</v>
      </c>
      <c r="AE1726" t="str">
        <f>IF(AND(ISNUMBER(SEARCH(O1726,4)),ISNUMBER(SEARCH('(4) FCH pathway assessment'!$B$16,AB1726)),ISNUMBER(SEARCH('(4) FCH pathway assessment'!$B$10,AA1726))),AD1726,"")</f>
        <v/>
      </c>
      <c r="AF1726" t="str">
        <f t="shared" si="5441"/>
        <v/>
      </c>
      <c r="AG1726" t="str">
        <f>VLOOKUP(C1726,Assumptions!$B$116:$C$162,2,FALSE)</f>
        <v>ELCTRLYZ_LRG_C</v>
      </c>
      <c r="AH1726" t="str">
        <f>VLOOKUP(D1726,Assumptions!$B$116:$C$162,2,FALSE)</f>
        <v>C_UNDRGRND_STRG</v>
      </c>
      <c r="AI1726" t="str">
        <f>VLOOKUP(E1726,Assumptions!$B$116:$C$162,2,FALSE)</f>
        <v>H2_BLND_NG_P</v>
      </c>
      <c r="AJ1726" t="str">
        <f>VLOOKUP(F1726,Assumptions!$B$116:$C$162,2,FALSE)</f>
        <v>H2_FC_DCHP_PWR</v>
      </c>
    </row>
    <row r="1727" spans="2:36" x14ac:dyDescent="0.25">
      <c r="B1727" t="s">
        <v>112</v>
      </c>
      <c r="C1727" t="s">
        <v>49</v>
      </c>
      <c r="D1727" t="s">
        <v>62</v>
      </c>
      <c r="E1727" t="s">
        <v>122</v>
      </c>
      <c r="F1727" t="s">
        <v>549</v>
      </c>
      <c r="G1727" t="s">
        <v>114</v>
      </c>
      <c r="H1727" t="s">
        <v>433</v>
      </c>
      <c r="I1727" t="s">
        <v>32</v>
      </c>
      <c r="J1727" t="s">
        <v>534</v>
      </c>
      <c r="K1727">
        <f t="shared" si="5427"/>
        <v>1</v>
      </c>
      <c r="L1727">
        <f t="shared" si="5428"/>
        <v>0</v>
      </c>
      <c r="M1727">
        <f t="shared" si="5429"/>
        <v>1</v>
      </c>
      <c r="N1727">
        <f t="shared" si="5430"/>
        <v>0</v>
      </c>
      <c r="O1727">
        <f t="shared" si="5431"/>
        <v>2</v>
      </c>
      <c r="P1727" t="str">
        <f t="shared" si="5432"/>
        <v>Large centralized electrolysis-Regulatory coverage</v>
      </c>
      <c r="Q1727" t="str">
        <f t="shared" si="5433"/>
        <v>Underground storage-Regulatory coverage</v>
      </c>
      <c r="R1727" t="str">
        <f t="shared" si="5434"/>
        <v>Hydrogen transmission &amp; distribution pipeline-Regulatory coverage</v>
      </c>
      <c r="S1727" t="str">
        <f t="shared" si="5435"/>
        <v>District-CHP with H2 fuel cell (power)-Regulatory coverage</v>
      </c>
      <c r="T1727">
        <f ca="1">VLOOKUP($P1727,'TA database'!$I$8:$J$79,2,FALSE)</f>
        <v>100</v>
      </c>
      <c r="U1727">
        <f ca="1">VLOOKUP($Q1727,'TA database'!$I$86:$J$105,2,FALSE)</f>
        <v>0</v>
      </c>
      <c r="V1727">
        <f ca="1">VLOOKUP($R1727,'TA database'!$I$112:$J$139,2,FALSE)</f>
        <v>40</v>
      </c>
      <c r="W1727">
        <f>IFERROR(VLOOKUP($S1727,'TA database'!$I$146:$J$193,2,FALSE),0)</f>
        <v>0</v>
      </c>
      <c r="X1727">
        <f ca="1">IFERROR(VLOOKUP($S1727,'TA database'!$I$200:$J$271,2,FALSE),0)</f>
        <v>100</v>
      </c>
      <c r="Y1727">
        <f t="shared" ca="1" si="5436"/>
        <v>60</v>
      </c>
      <c r="Z1727" t="str">
        <f t="shared" si="5437"/>
        <v>ELCTRLYZ_LRG_C   →   C_UNDRGRND_STRG   →   H2_T&amp;D_P   →   H2_FC_DCHP_PWR</v>
      </c>
      <c r="AA1727" t="str">
        <f t="shared" si="5438"/>
        <v>Grid electricity</v>
      </c>
      <c r="AB1727" t="str">
        <f t="shared" si="5439"/>
        <v>Regulatory coverage</v>
      </c>
      <c r="AC1727">
        <f t="shared" ca="1" si="5440"/>
        <v>60</v>
      </c>
      <c r="AD1727">
        <v>1668</v>
      </c>
      <c r="AE1727" t="str">
        <f>IF(AND(ISNUMBER(SEARCH(O1727,4)),ISNUMBER(SEARCH('(4) FCH pathway assessment'!$B$16,AB1727)),ISNUMBER(SEARCH('(4) FCH pathway assessment'!$B$10,AA1727))),AD1727,"")</f>
        <v/>
      </c>
      <c r="AF1727" t="str">
        <f t="shared" si="5441"/>
        <v/>
      </c>
      <c r="AG1727" t="str">
        <f>VLOOKUP(C1727,Assumptions!$B$116:$C$162,2,FALSE)</f>
        <v>ELCTRLYZ_LRG_C</v>
      </c>
      <c r="AH1727" t="str">
        <f>VLOOKUP(D1727,Assumptions!$B$116:$C$162,2,FALSE)</f>
        <v>C_UNDRGRND_STRG</v>
      </c>
      <c r="AI1727" t="str">
        <f>VLOOKUP(E1727,Assumptions!$B$116:$C$162,2,FALSE)</f>
        <v>H2_T&amp;D_P</v>
      </c>
      <c r="AJ1727" t="str">
        <f>VLOOKUP(F1727,Assumptions!$B$116:$C$162,2,FALSE)</f>
        <v>H2_FC_DCHP_PWR</v>
      </c>
    </row>
    <row r="1728" spans="2:36" x14ac:dyDescent="0.25">
      <c r="B1728" t="s">
        <v>112</v>
      </c>
      <c r="C1728" t="s">
        <v>49</v>
      </c>
      <c r="D1728" t="s">
        <v>62</v>
      </c>
      <c r="E1728" t="s">
        <v>116</v>
      </c>
      <c r="F1728" t="s">
        <v>549</v>
      </c>
      <c r="G1728" t="s">
        <v>114</v>
      </c>
      <c r="H1728" t="s">
        <v>433</v>
      </c>
      <c r="I1728" t="s">
        <v>32</v>
      </c>
      <c r="J1728" t="s">
        <v>534</v>
      </c>
      <c r="K1728">
        <f t="shared" si="5427"/>
        <v>1</v>
      </c>
      <c r="L1728">
        <f t="shared" si="5428"/>
        <v>0</v>
      </c>
      <c r="M1728">
        <f t="shared" si="5429"/>
        <v>1</v>
      </c>
      <c r="N1728">
        <f t="shared" si="5430"/>
        <v>0</v>
      </c>
      <c r="O1728">
        <f t="shared" si="5431"/>
        <v>2</v>
      </c>
      <c r="P1728" t="str">
        <f t="shared" si="5432"/>
        <v>Large centralized electrolysis-Regulatory coverage</v>
      </c>
      <c r="Q1728" t="str">
        <f t="shared" si="5433"/>
        <v>Underground storage-Regulatory coverage</v>
      </c>
      <c r="R1728" t="str">
        <f t="shared" si="5434"/>
        <v>Liquid hydrogen truck-Regulatory coverage</v>
      </c>
      <c r="S1728" t="str">
        <f t="shared" si="5435"/>
        <v>District-CHP with H2 fuel cell (power)-Regulatory coverage</v>
      </c>
      <c r="T1728">
        <f ca="1">VLOOKUP($P1728,'TA database'!$I$8:$J$79,2,FALSE)</f>
        <v>100</v>
      </c>
      <c r="U1728">
        <f ca="1">VLOOKUP($Q1728,'TA database'!$I$86:$J$105,2,FALSE)</f>
        <v>0</v>
      </c>
      <c r="V1728">
        <f ca="1">VLOOKUP($R1728,'TA database'!$I$112:$J$139,2,FALSE)</f>
        <v>40</v>
      </c>
      <c r="W1728">
        <f>IFERROR(VLOOKUP($S1728,'TA database'!$I$146:$J$193,2,FALSE),0)</f>
        <v>0</v>
      </c>
      <c r="X1728">
        <f ca="1">IFERROR(VLOOKUP($S1728,'TA database'!$I$200:$J$271,2,FALSE),0)</f>
        <v>100</v>
      </c>
      <c r="Y1728">
        <f t="shared" ca="1" si="5436"/>
        <v>60</v>
      </c>
      <c r="Z1728" t="str">
        <f t="shared" si="5437"/>
        <v>ELCTRLYZ_LRG_C   →   C_UNDRGRND_STRG   →   LQ_TRUCK   →   H2_FC_DCHP_PWR</v>
      </c>
      <c r="AA1728" t="str">
        <f t="shared" si="5438"/>
        <v>Grid electricity</v>
      </c>
      <c r="AB1728" t="str">
        <f t="shared" si="5439"/>
        <v>Regulatory coverage</v>
      </c>
      <c r="AC1728">
        <f t="shared" ca="1" si="5440"/>
        <v>60</v>
      </c>
      <c r="AD1728">
        <v>1669</v>
      </c>
      <c r="AE1728" t="str">
        <f>IF(AND(ISNUMBER(SEARCH(O1728,4)),ISNUMBER(SEARCH('(4) FCH pathway assessment'!$B$16,AB1728)),ISNUMBER(SEARCH('(4) FCH pathway assessment'!$B$10,AA1728))),AD1728,"")</f>
        <v/>
      </c>
      <c r="AF1728" t="str">
        <f t="shared" si="5441"/>
        <v/>
      </c>
      <c r="AG1728" t="str">
        <f>VLOOKUP(C1728,Assumptions!$B$116:$C$162,2,FALSE)</f>
        <v>ELCTRLYZ_LRG_C</v>
      </c>
      <c r="AH1728" t="str">
        <f>VLOOKUP(D1728,Assumptions!$B$116:$C$162,2,FALSE)</f>
        <v>C_UNDRGRND_STRG</v>
      </c>
      <c r="AI1728" t="str">
        <f>VLOOKUP(E1728,Assumptions!$B$116:$C$162,2,FALSE)</f>
        <v>LQ_TRUCK</v>
      </c>
      <c r="AJ1728" t="str">
        <f>VLOOKUP(F1728,Assumptions!$B$116:$C$162,2,FALSE)</f>
        <v>H2_FC_DCHP_PWR</v>
      </c>
    </row>
    <row r="1729" spans="2:36" x14ac:dyDescent="0.25">
      <c r="B1729" t="s">
        <v>112</v>
      </c>
      <c r="C1729" t="s">
        <v>49</v>
      </c>
      <c r="D1729" t="s">
        <v>62</v>
      </c>
      <c r="E1729" t="s">
        <v>66</v>
      </c>
      <c r="F1729" t="s">
        <v>549</v>
      </c>
      <c r="G1729" t="s">
        <v>114</v>
      </c>
      <c r="H1729" t="s">
        <v>433</v>
      </c>
      <c r="I1729" t="s">
        <v>32</v>
      </c>
      <c r="J1729" t="s">
        <v>534</v>
      </c>
      <c r="K1729">
        <f t="shared" si="5427"/>
        <v>1</v>
      </c>
      <c r="L1729">
        <f t="shared" si="5428"/>
        <v>0</v>
      </c>
      <c r="M1729">
        <f t="shared" si="5429"/>
        <v>1</v>
      </c>
      <c r="N1729">
        <f t="shared" si="5430"/>
        <v>0</v>
      </c>
      <c r="O1729">
        <f t="shared" si="5431"/>
        <v>2</v>
      </c>
      <c r="P1729" t="str">
        <f t="shared" si="5432"/>
        <v>Large centralized electrolysis-Regulatory coverage</v>
      </c>
      <c r="Q1729" t="str">
        <f t="shared" si="5433"/>
        <v>Underground storage-Regulatory coverage</v>
      </c>
      <c r="R1729" t="str">
        <f t="shared" si="5434"/>
        <v>Onsite-Regulatory coverage</v>
      </c>
      <c r="S1729" t="str">
        <f t="shared" si="5435"/>
        <v>District-CHP with H2 fuel cell (power)-Regulatory coverage</v>
      </c>
      <c r="T1729">
        <f ca="1">VLOOKUP($P1729,'TA database'!$I$8:$J$79,2,FALSE)</f>
        <v>100</v>
      </c>
      <c r="U1729">
        <f ca="1">VLOOKUP($Q1729,'TA database'!$I$86:$J$105,2,FALSE)</f>
        <v>0</v>
      </c>
      <c r="V1729">
        <f ca="1">VLOOKUP($R1729,'TA database'!$I$112:$J$139,2,FALSE)</f>
        <v>100</v>
      </c>
      <c r="W1729">
        <f>IFERROR(VLOOKUP($S1729,'TA database'!$I$146:$J$193,2,FALSE),0)</f>
        <v>0</v>
      </c>
      <c r="X1729">
        <f ca="1">IFERROR(VLOOKUP($S1729,'TA database'!$I$200:$J$271,2,FALSE),0)</f>
        <v>100</v>
      </c>
      <c r="Y1729">
        <f t="shared" ca="1" si="5436"/>
        <v>75</v>
      </c>
      <c r="Z1729" t="str">
        <f t="shared" si="5437"/>
        <v>ELCTRLYZ_LRG_C   →   C_UNDRGRND_STRG   →   ONSITE_USE   →   H2_FC_DCHP_PWR</v>
      </c>
      <c r="AA1729" t="str">
        <f t="shared" si="5438"/>
        <v>Grid electricity</v>
      </c>
      <c r="AB1729" t="str">
        <f t="shared" si="5439"/>
        <v>Regulatory coverage</v>
      </c>
      <c r="AC1729">
        <f t="shared" ca="1" si="5440"/>
        <v>75</v>
      </c>
      <c r="AD1729">
        <v>1670</v>
      </c>
      <c r="AE1729" t="str">
        <f>IF(AND(ISNUMBER(SEARCH(O1729,4)),ISNUMBER(SEARCH('(4) FCH pathway assessment'!$B$16,AB1729)),ISNUMBER(SEARCH('(4) FCH pathway assessment'!$B$10,AA1729))),AD1729,"")</f>
        <v/>
      </c>
      <c r="AF1729" t="str">
        <f t="shared" si="5441"/>
        <v/>
      </c>
      <c r="AG1729" t="str">
        <f>VLOOKUP(C1729,Assumptions!$B$116:$C$162,2,FALSE)</f>
        <v>ELCTRLYZ_LRG_C</v>
      </c>
      <c r="AH1729" t="str">
        <f>VLOOKUP(D1729,Assumptions!$B$116:$C$162,2,FALSE)</f>
        <v>C_UNDRGRND_STRG</v>
      </c>
      <c r="AI1729" t="str">
        <f>VLOOKUP(E1729,Assumptions!$B$116:$C$162,2,FALSE)</f>
        <v>ONSITE_USE</v>
      </c>
      <c r="AJ1729" t="str">
        <f>VLOOKUP(F1729,Assumptions!$B$116:$C$162,2,FALSE)</f>
        <v>H2_FC_DCHP_PWR</v>
      </c>
    </row>
    <row r="1730" spans="2:36" x14ac:dyDescent="0.25">
      <c r="B1730" t="s">
        <v>112</v>
      </c>
      <c r="C1730" t="s">
        <v>49</v>
      </c>
      <c r="D1730" t="s">
        <v>155</v>
      </c>
      <c r="E1730" t="s">
        <v>157</v>
      </c>
      <c r="F1730" t="s">
        <v>549</v>
      </c>
      <c r="G1730" t="s">
        <v>114</v>
      </c>
      <c r="H1730" t="s">
        <v>433</v>
      </c>
      <c r="I1730" t="s">
        <v>32</v>
      </c>
      <c r="J1730" t="s">
        <v>534</v>
      </c>
      <c r="K1730">
        <f t="shared" si="5427"/>
        <v>1</v>
      </c>
      <c r="L1730">
        <f t="shared" si="5428"/>
        <v>1</v>
      </c>
      <c r="M1730">
        <f t="shared" si="5429"/>
        <v>0</v>
      </c>
      <c r="N1730">
        <f t="shared" si="5430"/>
        <v>0</v>
      </c>
      <c r="O1730">
        <f t="shared" si="5431"/>
        <v>2</v>
      </c>
      <c r="P1730" t="str">
        <f t="shared" si="5432"/>
        <v>Large centralized electrolysis-Regulatory coverage</v>
      </c>
      <c r="Q1730" t="str">
        <f t="shared" si="5433"/>
        <v>Central gas storage-Regulatory coverage</v>
      </c>
      <c r="R1730" t="str">
        <f t="shared" si="5434"/>
        <v>Blending in natural gas pipeline-Regulatory coverage</v>
      </c>
      <c r="S1730" t="str">
        <f t="shared" si="5435"/>
        <v>District-CHP with H2 fuel cell (power)-Regulatory coverage</v>
      </c>
      <c r="T1730">
        <f ca="1">VLOOKUP($P1730,'TA database'!$I$8:$J$79,2,FALSE)</f>
        <v>100</v>
      </c>
      <c r="U1730">
        <f ca="1">VLOOKUP($Q1730,'TA database'!$I$86:$J$105,2,FALSE)</f>
        <v>80</v>
      </c>
      <c r="V1730">
        <f ca="1">VLOOKUP($R1730,'TA database'!$I$112:$J$139,2,FALSE)</f>
        <v>100</v>
      </c>
      <c r="W1730">
        <f>IFERROR(VLOOKUP($S1730,'TA database'!$I$146:$J$193,2,FALSE),0)</f>
        <v>0</v>
      </c>
      <c r="X1730">
        <f ca="1">IFERROR(VLOOKUP($S1730,'TA database'!$I$200:$J$271,2,FALSE),0)</f>
        <v>100</v>
      </c>
      <c r="Y1730">
        <f t="shared" ca="1" si="5436"/>
        <v>95</v>
      </c>
      <c r="Z1730" t="str">
        <f t="shared" si="5437"/>
        <v>ELCTRLYZ_LRG_C   →   C_GAS_STRG   →   H2_BLND_NG_P   →   H2_FC_DCHP_PWR</v>
      </c>
      <c r="AA1730" t="str">
        <f t="shared" si="5438"/>
        <v>Grid electricity</v>
      </c>
      <c r="AB1730" t="str">
        <f t="shared" si="5439"/>
        <v>Regulatory coverage</v>
      </c>
      <c r="AC1730">
        <f t="shared" ca="1" si="5440"/>
        <v>95</v>
      </c>
      <c r="AD1730">
        <v>1671</v>
      </c>
      <c r="AE1730" t="str">
        <f>IF(AND(ISNUMBER(SEARCH(O1730,4)),ISNUMBER(SEARCH('(4) FCH pathway assessment'!$B$16,AB1730)),ISNUMBER(SEARCH('(4) FCH pathway assessment'!$B$10,AA1730))),AD1730,"")</f>
        <v/>
      </c>
      <c r="AF1730" t="str">
        <f t="shared" si="5441"/>
        <v/>
      </c>
      <c r="AG1730" t="str">
        <f>VLOOKUP(C1730,Assumptions!$B$116:$C$162,2,FALSE)</f>
        <v>ELCTRLYZ_LRG_C</v>
      </c>
      <c r="AH1730" t="str">
        <f>VLOOKUP(D1730,Assumptions!$B$116:$C$162,2,FALSE)</f>
        <v>C_GAS_STRG</v>
      </c>
      <c r="AI1730" t="str">
        <f>VLOOKUP(E1730,Assumptions!$B$116:$C$162,2,FALSE)</f>
        <v>H2_BLND_NG_P</v>
      </c>
      <c r="AJ1730" t="str">
        <f>VLOOKUP(F1730,Assumptions!$B$116:$C$162,2,FALSE)</f>
        <v>H2_FC_DCHP_PWR</v>
      </c>
    </row>
    <row r="1731" spans="2:36" x14ac:dyDescent="0.25">
      <c r="B1731" t="s">
        <v>112</v>
      </c>
      <c r="C1731" t="s">
        <v>49</v>
      </c>
      <c r="D1731" t="s">
        <v>155</v>
      </c>
      <c r="E1731" t="s">
        <v>122</v>
      </c>
      <c r="F1731" t="s">
        <v>549</v>
      </c>
      <c r="G1731" t="s">
        <v>114</v>
      </c>
      <c r="H1731" t="s">
        <v>433</v>
      </c>
      <c r="I1731" t="s">
        <v>32</v>
      </c>
      <c r="J1731" t="s">
        <v>534</v>
      </c>
      <c r="K1731">
        <f t="shared" si="5427"/>
        <v>1</v>
      </c>
      <c r="L1731">
        <f t="shared" si="5428"/>
        <v>1</v>
      </c>
      <c r="M1731">
        <f t="shared" si="5429"/>
        <v>1</v>
      </c>
      <c r="N1731">
        <f t="shared" si="5430"/>
        <v>0</v>
      </c>
      <c r="O1731">
        <f t="shared" si="5431"/>
        <v>3</v>
      </c>
      <c r="P1731" t="str">
        <f t="shared" si="5432"/>
        <v>Large centralized electrolysis-Regulatory coverage</v>
      </c>
      <c r="Q1731" t="str">
        <f t="shared" si="5433"/>
        <v>Central gas storage-Regulatory coverage</v>
      </c>
      <c r="R1731" t="str">
        <f t="shared" si="5434"/>
        <v>Hydrogen transmission &amp; distribution pipeline-Regulatory coverage</v>
      </c>
      <c r="S1731" t="str">
        <f t="shared" si="5435"/>
        <v>District-CHP with H2 fuel cell (power)-Regulatory coverage</v>
      </c>
      <c r="T1731">
        <f ca="1">VLOOKUP($P1731,'TA database'!$I$8:$J$79,2,FALSE)</f>
        <v>100</v>
      </c>
      <c r="U1731">
        <f ca="1">VLOOKUP($Q1731,'TA database'!$I$86:$J$105,2,FALSE)</f>
        <v>80</v>
      </c>
      <c r="V1731">
        <f ca="1">VLOOKUP($R1731,'TA database'!$I$112:$J$139,2,FALSE)</f>
        <v>40</v>
      </c>
      <c r="W1731">
        <f>IFERROR(VLOOKUP($S1731,'TA database'!$I$146:$J$193,2,FALSE),0)</f>
        <v>0</v>
      </c>
      <c r="X1731">
        <f ca="1">IFERROR(VLOOKUP($S1731,'TA database'!$I$200:$J$271,2,FALSE),0)</f>
        <v>100</v>
      </c>
      <c r="Y1731">
        <f t="shared" ca="1" si="5436"/>
        <v>80</v>
      </c>
      <c r="Z1731" t="str">
        <f t="shared" si="5437"/>
        <v>ELCTRLYZ_LRG_C   →   C_GAS_STRG   →   H2_T&amp;D_P   →   H2_FC_DCHP_PWR</v>
      </c>
      <c r="AA1731" t="str">
        <f t="shared" si="5438"/>
        <v>Grid electricity</v>
      </c>
      <c r="AB1731" t="str">
        <f t="shared" si="5439"/>
        <v>Regulatory coverage</v>
      </c>
      <c r="AC1731">
        <f t="shared" ca="1" si="5440"/>
        <v>80</v>
      </c>
      <c r="AD1731">
        <v>1672</v>
      </c>
      <c r="AE1731" t="str">
        <f>IF(AND(ISNUMBER(SEARCH(O1731,4)),ISNUMBER(SEARCH('(4) FCH pathway assessment'!$B$16,AB1731)),ISNUMBER(SEARCH('(4) FCH pathway assessment'!$B$10,AA1731))),AD1731,"")</f>
        <v/>
      </c>
      <c r="AF1731" t="str">
        <f t="shared" si="5441"/>
        <v/>
      </c>
      <c r="AG1731" t="str">
        <f>VLOOKUP(C1731,Assumptions!$B$116:$C$162,2,FALSE)</f>
        <v>ELCTRLYZ_LRG_C</v>
      </c>
      <c r="AH1731" t="str">
        <f>VLOOKUP(D1731,Assumptions!$B$116:$C$162,2,FALSE)</f>
        <v>C_GAS_STRG</v>
      </c>
      <c r="AI1731" t="str">
        <f>VLOOKUP(E1731,Assumptions!$B$116:$C$162,2,FALSE)</f>
        <v>H2_T&amp;D_P</v>
      </c>
      <c r="AJ1731" t="str">
        <f>VLOOKUP(F1731,Assumptions!$B$116:$C$162,2,FALSE)</f>
        <v>H2_FC_DCHP_PWR</v>
      </c>
    </row>
    <row r="1732" spans="2:36" x14ac:dyDescent="0.25">
      <c r="B1732" t="s">
        <v>112</v>
      </c>
      <c r="C1732" t="s">
        <v>49</v>
      </c>
      <c r="D1732" t="s">
        <v>155</v>
      </c>
      <c r="E1732" t="s">
        <v>116</v>
      </c>
      <c r="F1732" t="s">
        <v>549</v>
      </c>
      <c r="G1732" t="s">
        <v>114</v>
      </c>
      <c r="H1732" t="s">
        <v>433</v>
      </c>
      <c r="I1732" t="s">
        <v>32</v>
      </c>
      <c r="J1732" t="s">
        <v>534</v>
      </c>
      <c r="K1732">
        <f t="shared" si="5427"/>
        <v>1</v>
      </c>
      <c r="L1732">
        <f t="shared" si="5428"/>
        <v>1</v>
      </c>
      <c r="M1732">
        <f t="shared" si="5429"/>
        <v>1</v>
      </c>
      <c r="N1732">
        <f t="shared" si="5430"/>
        <v>0</v>
      </c>
      <c r="O1732">
        <f t="shared" si="5431"/>
        <v>3</v>
      </c>
      <c r="P1732" t="str">
        <f t="shared" si="5432"/>
        <v>Large centralized electrolysis-Regulatory coverage</v>
      </c>
      <c r="Q1732" t="str">
        <f t="shared" si="5433"/>
        <v>Central gas storage-Regulatory coverage</v>
      </c>
      <c r="R1732" t="str">
        <f t="shared" si="5434"/>
        <v>Liquid hydrogen truck-Regulatory coverage</v>
      </c>
      <c r="S1732" t="str">
        <f t="shared" si="5435"/>
        <v>District-CHP with H2 fuel cell (power)-Regulatory coverage</v>
      </c>
      <c r="T1732">
        <f ca="1">VLOOKUP($P1732,'TA database'!$I$8:$J$79,2,FALSE)</f>
        <v>100</v>
      </c>
      <c r="U1732">
        <f ca="1">VLOOKUP($Q1732,'TA database'!$I$86:$J$105,2,FALSE)</f>
        <v>80</v>
      </c>
      <c r="V1732">
        <f ca="1">VLOOKUP($R1732,'TA database'!$I$112:$J$139,2,FALSE)</f>
        <v>40</v>
      </c>
      <c r="W1732">
        <f>IFERROR(VLOOKUP($S1732,'TA database'!$I$146:$J$193,2,FALSE),0)</f>
        <v>0</v>
      </c>
      <c r="X1732">
        <f ca="1">IFERROR(VLOOKUP($S1732,'TA database'!$I$200:$J$271,2,FALSE),0)</f>
        <v>100</v>
      </c>
      <c r="Y1732">
        <f t="shared" ca="1" si="5436"/>
        <v>80</v>
      </c>
      <c r="Z1732" t="str">
        <f t="shared" si="5437"/>
        <v>ELCTRLYZ_LRG_C   →   C_GAS_STRG   →   LQ_TRUCK   →   H2_FC_DCHP_PWR</v>
      </c>
      <c r="AA1732" t="str">
        <f t="shared" si="5438"/>
        <v>Grid electricity</v>
      </c>
      <c r="AB1732" t="str">
        <f t="shared" si="5439"/>
        <v>Regulatory coverage</v>
      </c>
      <c r="AC1732">
        <f t="shared" ca="1" si="5440"/>
        <v>80</v>
      </c>
      <c r="AD1732">
        <v>1673</v>
      </c>
      <c r="AE1732" t="str">
        <f>IF(AND(ISNUMBER(SEARCH(O1732,4)),ISNUMBER(SEARCH('(4) FCH pathway assessment'!$B$16,AB1732)),ISNUMBER(SEARCH('(4) FCH pathway assessment'!$B$10,AA1732))),AD1732,"")</f>
        <v/>
      </c>
      <c r="AF1732" t="str">
        <f t="shared" si="5441"/>
        <v/>
      </c>
      <c r="AG1732" t="str">
        <f>VLOOKUP(C1732,Assumptions!$B$116:$C$162,2,FALSE)</f>
        <v>ELCTRLYZ_LRG_C</v>
      </c>
      <c r="AH1732" t="str">
        <f>VLOOKUP(D1732,Assumptions!$B$116:$C$162,2,FALSE)</f>
        <v>C_GAS_STRG</v>
      </c>
      <c r="AI1732" t="str">
        <f>VLOOKUP(E1732,Assumptions!$B$116:$C$162,2,FALSE)</f>
        <v>LQ_TRUCK</v>
      </c>
      <c r="AJ1732" t="str">
        <f>VLOOKUP(F1732,Assumptions!$B$116:$C$162,2,FALSE)</f>
        <v>H2_FC_DCHP_PWR</v>
      </c>
    </row>
    <row r="1733" spans="2:36" x14ac:dyDescent="0.25">
      <c r="B1733" t="s">
        <v>112</v>
      </c>
      <c r="C1733" t="s">
        <v>49</v>
      </c>
      <c r="D1733" t="s">
        <v>155</v>
      </c>
      <c r="E1733" t="s">
        <v>66</v>
      </c>
      <c r="F1733" t="s">
        <v>549</v>
      </c>
      <c r="G1733" t="s">
        <v>114</v>
      </c>
      <c r="H1733" t="s">
        <v>433</v>
      </c>
      <c r="I1733" t="s">
        <v>32</v>
      </c>
      <c r="J1733" t="s">
        <v>534</v>
      </c>
      <c r="K1733">
        <f t="shared" si="5427"/>
        <v>1</v>
      </c>
      <c r="L1733">
        <f t="shared" si="5428"/>
        <v>1</v>
      </c>
      <c r="M1733">
        <f t="shared" si="5429"/>
        <v>1</v>
      </c>
      <c r="N1733">
        <f t="shared" si="5430"/>
        <v>0</v>
      </c>
      <c r="O1733">
        <f t="shared" si="5431"/>
        <v>3</v>
      </c>
      <c r="P1733" t="str">
        <f t="shared" si="5432"/>
        <v>Large centralized electrolysis-Regulatory coverage</v>
      </c>
      <c r="Q1733" t="str">
        <f t="shared" si="5433"/>
        <v>Central gas storage-Regulatory coverage</v>
      </c>
      <c r="R1733" t="str">
        <f t="shared" si="5434"/>
        <v>Onsite-Regulatory coverage</v>
      </c>
      <c r="S1733" t="str">
        <f t="shared" si="5435"/>
        <v>District-CHP with H2 fuel cell (power)-Regulatory coverage</v>
      </c>
      <c r="T1733">
        <f ca="1">VLOOKUP($P1733,'TA database'!$I$8:$J$79,2,FALSE)</f>
        <v>100</v>
      </c>
      <c r="U1733">
        <f ca="1">VLOOKUP($Q1733,'TA database'!$I$86:$J$105,2,FALSE)</f>
        <v>80</v>
      </c>
      <c r="V1733">
        <f ca="1">VLOOKUP($R1733,'TA database'!$I$112:$J$139,2,FALSE)</f>
        <v>100</v>
      </c>
      <c r="W1733">
        <f>IFERROR(VLOOKUP($S1733,'TA database'!$I$146:$J$193,2,FALSE),0)</f>
        <v>0</v>
      </c>
      <c r="X1733">
        <f ca="1">IFERROR(VLOOKUP($S1733,'TA database'!$I$200:$J$271,2,FALSE),0)</f>
        <v>100</v>
      </c>
      <c r="Y1733">
        <f t="shared" ca="1" si="5436"/>
        <v>95</v>
      </c>
      <c r="Z1733" t="str">
        <f t="shared" si="5437"/>
        <v>ELCTRLYZ_LRG_C   →   C_GAS_STRG   →   ONSITE_USE   →   H2_FC_DCHP_PWR</v>
      </c>
      <c r="AA1733" t="str">
        <f t="shared" si="5438"/>
        <v>Grid electricity</v>
      </c>
      <c r="AB1733" t="str">
        <f t="shared" si="5439"/>
        <v>Regulatory coverage</v>
      </c>
      <c r="AC1733">
        <f t="shared" ca="1" si="5440"/>
        <v>95</v>
      </c>
      <c r="AD1733">
        <v>1674</v>
      </c>
      <c r="AE1733" t="str">
        <f>IF(AND(ISNUMBER(SEARCH(O1733,4)),ISNUMBER(SEARCH('(4) FCH pathway assessment'!$B$16,AB1733)),ISNUMBER(SEARCH('(4) FCH pathway assessment'!$B$10,AA1733))),AD1733,"")</f>
        <v/>
      </c>
      <c r="AF1733" t="str">
        <f t="shared" si="5441"/>
        <v/>
      </c>
      <c r="AG1733" t="str">
        <f>VLOOKUP(C1733,Assumptions!$B$116:$C$162,2,FALSE)</f>
        <v>ELCTRLYZ_LRG_C</v>
      </c>
      <c r="AH1733" t="str">
        <f>VLOOKUP(D1733,Assumptions!$B$116:$C$162,2,FALSE)</f>
        <v>C_GAS_STRG</v>
      </c>
      <c r="AI1733" t="str">
        <f>VLOOKUP(E1733,Assumptions!$B$116:$C$162,2,FALSE)</f>
        <v>ONSITE_USE</v>
      </c>
      <c r="AJ1733" t="str">
        <f>VLOOKUP(F1733,Assumptions!$B$116:$C$162,2,FALSE)</f>
        <v>H2_FC_DCHP_PWR</v>
      </c>
    </row>
    <row r="1734" spans="2:36" x14ac:dyDescent="0.25">
      <c r="B1734" t="s">
        <v>112</v>
      </c>
      <c r="C1734" t="s">
        <v>51</v>
      </c>
      <c r="D1734" t="s">
        <v>155</v>
      </c>
      <c r="E1734" t="s">
        <v>157</v>
      </c>
      <c r="F1734" t="s">
        <v>549</v>
      </c>
      <c r="G1734" t="s">
        <v>114</v>
      </c>
      <c r="H1734" t="s">
        <v>433</v>
      </c>
      <c r="I1734" t="s">
        <v>32</v>
      </c>
      <c r="J1734" t="s">
        <v>534</v>
      </c>
      <c r="K1734">
        <f t="shared" ref="K1734:K1737" si="5442">SUMPRODUCT(($C$7:$C$18=$C1734)*($D$6:$H$6=$D1734)*($D$7:$H$18))</f>
        <v>1</v>
      </c>
      <c r="L1734">
        <f t="shared" ref="L1734:L1737" si="5443">SUMPRODUCT(($C$19:$C$23=$D1734)*($I$6:$O$6=$E1734)*($I$19:$O$23))</f>
        <v>1</v>
      </c>
      <c r="M1734">
        <f t="shared" ref="M1734:M1737" si="5444">SUMPRODUCT(($C$24:$C$30=$E1734)*($P$6:$AI$6=$F1734)*($P$24:$AI$30))</f>
        <v>0</v>
      </c>
      <c r="N1734">
        <f t="shared" ref="N1734:N1737" si="5445">SUMPRODUCT(($C$31:$C$50=$F1734)*($AJ$6:$AM$6=$G1734)*($AJ$31:$AM$50))</f>
        <v>0</v>
      </c>
      <c r="O1734">
        <f t="shared" ref="O1734:O1737" si="5446">K1734+L1734+M1734+N1734</f>
        <v>2</v>
      </c>
      <c r="P1734" t="str">
        <f t="shared" ref="P1734:P1737" si="5447">CONCATENATE(C1734,"-",J1734)</f>
        <v>Medium centralized electrolysis-Regulatory coverage</v>
      </c>
      <c r="Q1734" t="str">
        <f t="shared" ref="Q1734:Q1737" si="5448">CONCATENATE(D1734,"-",J1734)</f>
        <v>Central gas storage-Regulatory coverage</v>
      </c>
      <c r="R1734" t="str">
        <f t="shared" ref="R1734:R1737" si="5449">CONCATENATE(E1734,"-",J1734)</f>
        <v>Blending in natural gas pipeline-Regulatory coverage</v>
      </c>
      <c r="S1734" t="str">
        <f t="shared" ref="S1734:S1737" si="5450">CONCATENATE(F1734,"-",J1734)</f>
        <v>District-CHP with H2 fuel cell (power)-Regulatory coverage</v>
      </c>
      <c r="T1734">
        <f ca="1">VLOOKUP($P1734,'TA database'!$I$8:$J$79,2,FALSE)</f>
        <v>100</v>
      </c>
      <c r="U1734">
        <f ca="1">VLOOKUP($Q1734,'TA database'!$I$86:$J$105,2,FALSE)</f>
        <v>80</v>
      </c>
      <c r="V1734">
        <f ca="1">VLOOKUP($R1734,'TA database'!$I$112:$J$139,2,FALSE)</f>
        <v>100</v>
      </c>
      <c r="W1734">
        <f>IFERROR(VLOOKUP($S1734,'TA database'!$I$146:$J$193,2,FALSE),0)</f>
        <v>0</v>
      </c>
      <c r="X1734">
        <f ca="1">IFERROR(VLOOKUP($S1734,'TA database'!$I$200:$J$271,2,FALSE),0)</f>
        <v>100</v>
      </c>
      <c r="Y1734">
        <f t="shared" ref="Y1734:Y1737" ca="1" si="5451">IF($W1734=0,SUM($T1734:$V1734,$X1734)/4,SUM($T1734:$W1734)/4)</f>
        <v>95</v>
      </c>
      <c r="Z1734" t="str">
        <f t="shared" ref="Z1734:Z1737" si="5452">CONCATENATE(AG1734,"   →   ",AH1734,"   →   ",AI1734,"   →   ",AJ1734)</f>
        <v>ELCTRLYZ_MED_C   →   C_GAS_STRG   →   H2_BLND_NG_P   →   H2_FC_DCHP_PWR</v>
      </c>
      <c r="AA1734" t="str">
        <f t="shared" ref="AA1734:AA1737" si="5453">G1734</f>
        <v>Grid electricity</v>
      </c>
      <c r="AB1734" t="str">
        <f t="shared" ref="AB1734:AB1737" si="5454">J1734</f>
        <v>Regulatory coverage</v>
      </c>
      <c r="AC1734">
        <f t="shared" ref="AC1734:AC1737" ca="1" si="5455">Y1734</f>
        <v>95</v>
      </c>
      <c r="AD1734">
        <v>1675</v>
      </c>
      <c r="AE1734" t="str">
        <f>IF(AND(ISNUMBER(SEARCH(O1734,4)),ISNUMBER(SEARCH('(4) FCH pathway assessment'!$B$16,AB1734)),ISNUMBER(SEARCH('(4) FCH pathway assessment'!$B$10,AA1734))),AD1734,"")</f>
        <v/>
      </c>
      <c r="AF1734" t="str">
        <f t="shared" si="5441"/>
        <v/>
      </c>
      <c r="AG1734" t="str">
        <f>VLOOKUP(C1734,Assumptions!$B$116:$C$162,2,FALSE)</f>
        <v>ELCTRLYZ_MED_C</v>
      </c>
      <c r="AH1734" t="str">
        <f>VLOOKUP(D1734,Assumptions!$B$116:$C$162,2,FALSE)</f>
        <v>C_GAS_STRG</v>
      </c>
      <c r="AI1734" t="str">
        <f>VLOOKUP(E1734,Assumptions!$B$116:$C$162,2,FALSE)</f>
        <v>H2_BLND_NG_P</v>
      </c>
      <c r="AJ1734" t="str">
        <f>VLOOKUP(F1734,Assumptions!$B$116:$C$162,2,FALSE)</f>
        <v>H2_FC_DCHP_PWR</v>
      </c>
    </row>
    <row r="1735" spans="2:36" x14ac:dyDescent="0.25">
      <c r="B1735" t="s">
        <v>112</v>
      </c>
      <c r="C1735" t="s">
        <v>51</v>
      </c>
      <c r="D1735" t="s">
        <v>155</v>
      </c>
      <c r="E1735" t="s">
        <v>122</v>
      </c>
      <c r="F1735" t="s">
        <v>549</v>
      </c>
      <c r="G1735" t="s">
        <v>114</v>
      </c>
      <c r="H1735" t="s">
        <v>433</v>
      </c>
      <c r="I1735" t="s">
        <v>32</v>
      </c>
      <c r="J1735" t="s">
        <v>534</v>
      </c>
      <c r="K1735">
        <f t="shared" si="5442"/>
        <v>1</v>
      </c>
      <c r="L1735">
        <f t="shared" si="5443"/>
        <v>1</v>
      </c>
      <c r="M1735">
        <f t="shared" si="5444"/>
        <v>1</v>
      </c>
      <c r="N1735">
        <f t="shared" si="5445"/>
        <v>0</v>
      </c>
      <c r="O1735">
        <f t="shared" si="5446"/>
        <v>3</v>
      </c>
      <c r="P1735" t="str">
        <f t="shared" si="5447"/>
        <v>Medium centralized electrolysis-Regulatory coverage</v>
      </c>
      <c r="Q1735" t="str">
        <f t="shared" si="5448"/>
        <v>Central gas storage-Regulatory coverage</v>
      </c>
      <c r="R1735" t="str">
        <f t="shared" si="5449"/>
        <v>Hydrogen transmission &amp; distribution pipeline-Regulatory coverage</v>
      </c>
      <c r="S1735" t="str">
        <f t="shared" si="5450"/>
        <v>District-CHP with H2 fuel cell (power)-Regulatory coverage</v>
      </c>
      <c r="T1735">
        <f ca="1">VLOOKUP($P1735,'TA database'!$I$8:$J$79,2,FALSE)</f>
        <v>100</v>
      </c>
      <c r="U1735">
        <f ca="1">VLOOKUP($Q1735,'TA database'!$I$86:$J$105,2,FALSE)</f>
        <v>80</v>
      </c>
      <c r="V1735">
        <f ca="1">VLOOKUP($R1735,'TA database'!$I$112:$J$139,2,FALSE)</f>
        <v>40</v>
      </c>
      <c r="W1735">
        <f>IFERROR(VLOOKUP($S1735,'TA database'!$I$146:$J$193,2,FALSE),0)</f>
        <v>0</v>
      </c>
      <c r="X1735">
        <f ca="1">IFERROR(VLOOKUP($S1735,'TA database'!$I$200:$J$271,2,FALSE),0)</f>
        <v>100</v>
      </c>
      <c r="Y1735">
        <f t="shared" ca="1" si="5451"/>
        <v>80</v>
      </c>
      <c r="Z1735" t="str">
        <f t="shared" si="5452"/>
        <v>ELCTRLYZ_MED_C   →   C_GAS_STRG   →   H2_T&amp;D_P   →   H2_FC_DCHP_PWR</v>
      </c>
      <c r="AA1735" t="str">
        <f t="shared" si="5453"/>
        <v>Grid electricity</v>
      </c>
      <c r="AB1735" t="str">
        <f t="shared" si="5454"/>
        <v>Regulatory coverage</v>
      </c>
      <c r="AC1735">
        <f t="shared" ca="1" si="5455"/>
        <v>80</v>
      </c>
      <c r="AD1735">
        <v>1676</v>
      </c>
      <c r="AE1735" t="str">
        <f>IF(AND(ISNUMBER(SEARCH(O1735,4)),ISNUMBER(SEARCH('(4) FCH pathway assessment'!$B$16,AB1735)),ISNUMBER(SEARCH('(4) FCH pathway assessment'!$B$10,AA1735))),AD1735,"")</f>
        <v/>
      </c>
      <c r="AF1735" t="str">
        <f t="shared" si="5441"/>
        <v/>
      </c>
      <c r="AG1735" t="str">
        <f>VLOOKUP(C1735,Assumptions!$B$116:$C$162,2,FALSE)</f>
        <v>ELCTRLYZ_MED_C</v>
      </c>
      <c r="AH1735" t="str">
        <f>VLOOKUP(D1735,Assumptions!$B$116:$C$162,2,FALSE)</f>
        <v>C_GAS_STRG</v>
      </c>
      <c r="AI1735" t="str">
        <f>VLOOKUP(E1735,Assumptions!$B$116:$C$162,2,FALSE)</f>
        <v>H2_T&amp;D_P</v>
      </c>
      <c r="AJ1735" t="str">
        <f>VLOOKUP(F1735,Assumptions!$B$116:$C$162,2,FALSE)</f>
        <v>H2_FC_DCHP_PWR</v>
      </c>
    </row>
    <row r="1736" spans="2:36" x14ac:dyDescent="0.25">
      <c r="B1736" t="s">
        <v>112</v>
      </c>
      <c r="C1736" t="s">
        <v>51</v>
      </c>
      <c r="D1736" t="s">
        <v>155</v>
      </c>
      <c r="E1736" t="s">
        <v>116</v>
      </c>
      <c r="F1736" t="s">
        <v>549</v>
      </c>
      <c r="G1736" t="s">
        <v>114</v>
      </c>
      <c r="H1736" t="s">
        <v>433</v>
      </c>
      <c r="I1736" t="s">
        <v>32</v>
      </c>
      <c r="J1736" t="s">
        <v>534</v>
      </c>
      <c r="K1736">
        <f t="shared" si="5442"/>
        <v>1</v>
      </c>
      <c r="L1736">
        <f t="shared" si="5443"/>
        <v>1</v>
      </c>
      <c r="M1736">
        <f t="shared" si="5444"/>
        <v>1</v>
      </c>
      <c r="N1736">
        <f t="shared" si="5445"/>
        <v>0</v>
      </c>
      <c r="O1736">
        <f t="shared" si="5446"/>
        <v>3</v>
      </c>
      <c r="P1736" t="str">
        <f t="shared" si="5447"/>
        <v>Medium centralized electrolysis-Regulatory coverage</v>
      </c>
      <c r="Q1736" t="str">
        <f t="shared" si="5448"/>
        <v>Central gas storage-Regulatory coverage</v>
      </c>
      <c r="R1736" t="str">
        <f t="shared" si="5449"/>
        <v>Liquid hydrogen truck-Regulatory coverage</v>
      </c>
      <c r="S1736" t="str">
        <f t="shared" si="5450"/>
        <v>District-CHP with H2 fuel cell (power)-Regulatory coverage</v>
      </c>
      <c r="T1736">
        <f ca="1">VLOOKUP($P1736,'TA database'!$I$8:$J$79,2,FALSE)</f>
        <v>100</v>
      </c>
      <c r="U1736">
        <f ca="1">VLOOKUP($Q1736,'TA database'!$I$86:$J$105,2,FALSE)</f>
        <v>80</v>
      </c>
      <c r="V1736">
        <f ca="1">VLOOKUP($R1736,'TA database'!$I$112:$J$139,2,FALSE)</f>
        <v>40</v>
      </c>
      <c r="W1736">
        <f>IFERROR(VLOOKUP($S1736,'TA database'!$I$146:$J$193,2,FALSE),0)</f>
        <v>0</v>
      </c>
      <c r="X1736">
        <f ca="1">IFERROR(VLOOKUP($S1736,'TA database'!$I$200:$J$271,2,FALSE),0)</f>
        <v>100</v>
      </c>
      <c r="Y1736">
        <f t="shared" ca="1" si="5451"/>
        <v>80</v>
      </c>
      <c r="Z1736" t="str">
        <f t="shared" si="5452"/>
        <v>ELCTRLYZ_MED_C   →   C_GAS_STRG   →   LQ_TRUCK   →   H2_FC_DCHP_PWR</v>
      </c>
      <c r="AA1736" t="str">
        <f t="shared" si="5453"/>
        <v>Grid electricity</v>
      </c>
      <c r="AB1736" t="str">
        <f t="shared" si="5454"/>
        <v>Regulatory coverage</v>
      </c>
      <c r="AC1736">
        <f t="shared" ca="1" si="5455"/>
        <v>80</v>
      </c>
      <c r="AD1736">
        <v>1677</v>
      </c>
      <c r="AE1736" t="str">
        <f>IF(AND(ISNUMBER(SEARCH(O1736,4)),ISNUMBER(SEARCH('(4) FCH pathway assessment'!$B$16,AB1736)),ISNUMBER(SEARCH('(4) FCH pathway assessment'!$B$10,AA1736))),AD1736,"")</f>
        <v/>
      </c>
      <c r="AF1736" t="str">
        <f t="shared" si="5441"/>
        <v/>
      </c>
      <c r="AG1736" t="str">
        <f>VLOOKUP(C1736,Assumptions!$B$116:$C$162,2,FALSE)</f>
        <v>ELCTRLYZ_MED_C</v>
      </c>
      <c r="AH1736" t="str">
        <f>VLOOKUP(D1736,Assumptions!$B$116:$C$162,2,FALSE)</f>
        <v>C_GAS_STRG</v>
      </c>
      <c r="AI1736" t="str">
        <f>VLOOKUP(E1736,Assumptions!$B$116:$C$162,2,FALSE)</f>
        <v>LQ_TRUCK</v>
      </c>
      <c r="AJ1736" t="str">
        <f>VLOOKUP(F1736,Assumptions!$B$116:$C$162,2,FALSE)</f>
        <v>H2_FC_DCHP_PWR</v>
      </c>
    </row>
    <row r="1737" spans="2:36" x14ac:dyDescent="0.25">
      <c r="B1737" t="s">
        <v>112</v>
      </c>
      <c r="C1737" t="s">
        <v>51</v>
      </c>
      <c r="D1737" t="s">
        <v>155</v>
      </c>
      <c r="E1737" t="s">
        <v>66</v>
      </c>
      <c r="F1737" t="s">
        <v>549</v>
      </c>
      <c r="G1737" t="s">
        <v>114</v>
      </c>
      <c r="H1737" t="s">
        <v>433</v>
      </c>
      <c r="I1737" t="s">
        <v>32</v>
      </c>
      <c r="J1737" t="s">
        <v>534</v>
      </c>
      <c r="K1737">
        <f t="shared" si="5442"/>
        <v>1</v>
      </c>
      <c r="L1737">
        <f t="shared" si="5443"/>
        <v>1</v>
      </c>
      <c r="M1737">
        <f t="shared" si="5444"/>
        <v>1</v>
      </c>
      <c r="N1737">
        <f t="shared" si="5445"/>
        <v>0</v>
      </c>
      <c r="O1737">
        <f t="shared" si="5446"/>
        <v>3</v>
      </c>
      <c r="P1737" t="str">
        <f t="shared" si="5447"/>
        <v>Medium centralized electrolysis-Regulatory coverage</v>
      </c>
      <c r="Q1737" t="str">
        <f t="shared" si="5448"/>
        <v>Central gas storage-Regulatory coverage</v>
      </c>
      <c r="R1737" t="str">
        <f t="shared" si="5449"/>
        <v>Onsite-Regulatory coverage</v>
      </c>
      <c r="S1737" t="str">
        <f t="shared" si="5450"/>
        <v>District-CHP with H2 fuel cell (power)-Regulatory coverage</v>
      </c>
      <c r="T1737">
        <f ca="1">VLOOKUP($P1737,'TA database'!$I$8:$J$79,2,FALSE)</f>
        <v>100</v>
      </c>
      <c r="U1737">
        <f ca="1">VLOOKUP($Q1737,'TA database'!$I$86:$J$105,2,FALSE)</f>
        <v>80</v>
      </c>
      <c r="V1737">
        <f ca="1">VLOOKUP($R1737,'TA database'!$I$112:$J$139,2,FALSE)</f>
        <v>100</v>
      </c>
      <c r="W1737">
        <f>IFERROR(VLOOKUP($S1737,'TA database'!$I$146:$J$193,2,FALSE),0)</f>
        <v>0</v>
      </c>
      <c r="X1737">
        <f ca="1">IFERROR(VLOOKUP($S1737,'TA database'!$I$200:$J$271,2,FALSE),0)</f>
        <v>100</v>
      </c>
      <c r="Y1737">
        <f t="shared" ca="1" si="5451"/>
        <v>95</v>
      </c>
      <c r="Z1737" t="str">
        <f t="shared" si="5452"/>
        <v>ELCTRLYZ_MED_C   →   C_GAS_STRG   →   ONSITE_USE   →   H2_FC_DCHP_PWR</v>
      </c>
      <c r="AA1737" t="str">
        <f t="shared" si="5453"/>
        <v>Grid electricity</v>
      </c>
      <c r="AB1737" t="str">
        <f t="shared" si="5454"/>
        <v>Regulatory coverage</v>
      </c>
      <c r="AC1737">
        <f t="shared" ca="1" si="5455"/>
        <v>95</v>
      </c>
      <c r="AD1737">
        <v>1678</v>
      </c>
      <c r="AE1737" t="str">
        <f>IF(AND(ISNUMBER(SEARCH(O1737,4)),ISNUMBER(SEARCH('(4) FCH pathway assessment'!$B$16,AB1737)),ISNUMBER(SEARCH('(4) FCH pathway assessment'!$B$10,AA1737))),AD1737,"")</f>
        <v/>
      </c>
      <c r="AF1737" t="str">
        <f t="shared" si="5441"/>
        <v/>
      </c>
      <c r="AG1737" t="str">
        <f>VLOOKUP(C1737,Assumptions!$B$116:$C$162,2,FALSE)</f>
        <v>ELCTRLYZ_MED_C</v>
      </c>
      <c r="AH1737" t="str">
        <f>VLOOKUP(D1737,Assumptions!$B$116:$C$162,2,FALSE)</f>
        <v>C_GAS_STRG</v>
      </c>
      <c r="AI1737" t="str">
        <f>VLOOKUP(E1737,Assumptions!$B$116:$C$162,2,FALSE)</f>
        <v>ONSITE_USE</v>
      </c>
      <c r="AJ1737" t="str">
        <f>VLOOKUP(F1737,Assumptions!$B$116:$C$162,2,FALSE)</f>
        <v>H2_FC_DCHP_PWR</v>
      </c>
    </row>
    <row r="1738" spans="2:36" x14ac:dyDescent="0.25">
      <c r="B1738" t="s">
        <v>112</v>
      </c>
      <c r="C1738" t="s">
        <v>52</v>
      </c>
      <c r="D1738" s="60" t="s">
        <v>130</v>
      </c>
      <c r="E1738" t="s">
        <v>66</v>
      </c>
      <c r="F1738" t="s">
        <v>549</v>
      </c>
      <c r="G1738" t="s">
        <v>114</v>
      </c>
      <c r="H1738" t="s">
        <v>433</v>
      </c>
      <c r="I1738" t="s">
        <v>32</v>
      </c>
      <c r="J1738" t="s">
        <v>534</v>
      </c>
      <c r="K1738">
        <f t="shared" ref="K1738:K1747" si="5456">SUMPRODUCT(($C$7:$C$18=$C1738)*($D$6:$H$6=$D1738)*($D$7:$H$18))</f>
        <v>1</v>
      </c>
      <c r="L1738">
        <f t="shared" ref="L1738:L1747" si="5457">SUMPRODUCT(($C$19:$C$23=$D1738)*($I$6:$O$6=$E1738)*($I$19:$O$23))</f>
        <v>1</v>
      </c>
      <c r="M1738">
        <f t="shared" ref="M1738:M1747" si="5458">SUMPRODUCT(($C$24:$C$30=$E1738)*($P$6:$AI$6=$F1738)*($P$24:$AI$30))</f>
        <v>1</v>
      </c>
      <c r="N1738">
        <f t="shared" ref="N1738:N1747" si="5459">SUMPRODUCT(($C$31:$C$50=$F1738)*($AJ$6:$AM$6=$G1738)*($AJ$31:$AM$50))</f>
        <v>0</v>
      </c>
      <c r="O1738">
        <f t="shared" ref="O1738:O1746" si="5460">K1738+L1738+M1738+N1738</f>
        <v>3</v>
      </c>
      <c r="P1738" t="str">
        <f t="shared" ref="P1738:P1747" si="5461">CONCATENATE(C1738,"-",J1738)</f>
        <v>Small decentralized electrolysis-Regulatory coverage</v>
      </c>
      <c r="Q1738" t="str">
        <f t="shared" ref="Q1738:Q1747" si="5462">CONCATENATE(D1738,"-",J1738)</f>
        <v>Distributed gas storage-Regulatory coverage</v>
      </c>
      <c r="R1738" t="str">
        <f t="shared" ref="R1738:R1747" si="5463">CONCATENATE(E1738,"-",J1738)</f>
        <v>Onsite-Regulatory coverage</v>
      </c>
      <c r="S1738" t="str">
        <f t="shared" ref="S1738:S1747" si="5464">CONCATENATE(F1738,"-",J1738)</f>
        <v>District-CHP with H2 fuel cell (power)-Regulatory coverage</v>
      </c>
      <c r="T1738">
        <f ca="1">VLOOKUP($P1738,'TA database'!$I$8:$J$79,2,FALSE)</f>
        <v>100</v>
      </c>
      <c r="U1738">
        <f ca="1">VLOOKUP($Q1738,'TA database'!$I$86:$J$105,2,FALSE)</f>
        <v>100</v>
      </c>
      <c r="V1738">
        <f ca="1">VLOOKUP($R1738,'TA database'!$I$112:$J$139,2,FALSE)</f>
        <v>100</v>
      </c>
      <c r="W1738">
        <f>IFERROR(VLOOKUP($S1738,'TA database'!$I$146:$J$193,2,FALSE),0)</f>
        <v>0</v>
      </c>
      <c r="X1738">
        <f ca="1">IFERROR(VLOOKUP($S1738,'TA database'!$I$200:$J$271,2,FALSE),0)</f>
        <v>100</v>
      </c>
      <c r="Y1738">
        <f t="shared" ref="Y1738:Y1743" ca="1" si="5465">IF($W1738=0,SUM($T1738:$V1738,$X1738)/4,SUM($T1738:$W1738)/4)</f>
        <v>100</v>
      </c>
      <c r="Z1738" t="str">
        <f t="shared" ref="Z1738:Z1746" si="5466">CONCATENATE(AG1738,"   →   ",AH1738,"   →   ",AI1738,"   →   ",AJ1738)</f>
        <v>ELCTRLYZ_SML_D   →   D_GAS_STRG   →   ONSITE_USE   →   H2_FC_DCHP_PWR</v>
      </c>
      <c r="AA1738" t="str">
        <f t="shared" ref="AA1738:AA1746" si="5467">G1738</f>
        <v>Grid electricity</v>
      </c>
      <c r="AB1738" t="str">
        <f t="shared" ref="AB1738:AB1746" si="5468">J1738</f>
        <v>Regulatory coverage</v>
      </c>
      <c r="AC1738">
        <f t="shared" ref="AC1738:AC1746" ca="1" si="5469">Y1738</f>
        <v>100</v>
      </c>
      <c r="AD1738">
        <v>1679</v>
      </c>
      <c r="AE1738" t="str">
        <f>IF(AND(ISNUMBER(SEARCH(O1738,4)),ISNUMBER(SEARCH('(4) FCH pathway assessment'!$B$16,AB1738)),ISNUMBER(SEARCH('(4) FCH pathway assessment'!$B$10,AA1738))),AD1738,"")</f>
        <v/>
      </c>
      <c r="AF1738" t="str">
        <f t="shared" si="5441"/>
        <v/>
      </c>
      <c r="AG1738" t="str">
        <f>VLOOKUP(C1738,Assumptions!$B$116:$C$162,2,FALSE)</f>
        <v>ELCTRLYZ_SML_D</v>
      </c>
      <c r="AH1738" t="str">
        <f>VLOOKUP(D1738,Assumptions!$B$116:$C$162,2,FALSE)</f>
        <v>D_GAS_STRG</v>
      </c>
      <c r="AI1738" t="str">
        <f>VLOOKUP(E1738,Assumptions!$B$116:$C$162,2,FALSE)</f>
        <v>ONSITE_USE</v>
      </c>
      <c r="AJ1738" t="str">
        <f>VLOOKUP(F1738,Assumptions!$B$116:$C$162,2,FALSE)</f>
        <v>H2_FC_DCHP_PWR</v>
      </c>
    </row>
    <row r="1739" spans="2:36" x14ac:dyDescent="0.25">
      <c r="B1739" t="s">
        <v>127</v>
      </c>
      <c r="C1739" t="s">
        <v>57</v>
      </c>
      <c r="D1739" t="s">
        <v>62</v>
      </c>
      <c r="E1739" t="s">
        <v>157</v>
      </c>
      <c r="F1739" t="s">
        <v>549</v>
      </c>
      <c r="G1739" t="s">
        <v>114</v>
      </c>
      <c r="H1739" t="s">
        <v>433</v>
      </c>
      <c r="I1739" t="s">
        <v>32</v>
      </c>
      <c r="J1739" t="s">
        <v>534</v>
      </c>
      <c r="K1739">
        <f t="shared" si="5456"/>
        <v>1</v>
      </c>
      <c r="L1739">
        <f t="shared" si="5457"/>
        <v>0</v>
      </c>
      <c r="M1739">
        <f t="shared" si="5458"/>
        <v>0</v>
      </c>
      <c r="N1739">
        <f t="shared" si="5459"/>
        <v>0</v>
      </c>
      <c r="O1739">
        <f t="shared" si="5460"/>
        <v>1</v>
      </c>
      <c r="P1739" t="str">
        <f t="shared" si="5461"/>
        <v>Large centralized natural gas steam reforming-Regulatory coverage</v>
      </c>
      <c r="Q1739" t="str">
        <f t="shared" si="5462"/>
        <v>Underground storage-Regulatory coverage</v>
      </c>
      <c r="R1739" t="str">
        <f t="shared" si="5463"/>
        <v>Blending in natural gas pipeline-Regulatory coverage</v>
      </c>
      <c r="S1739" t="str">
        <f t="shared" si="5464"/>
        <v>District-CHP with H2 fuel cell (power)-Regulatory coverage</v>
      </c>
      <c r="T1739">
        <f ca="1">VLOOKUP($P1739,'TA database'!$I$8:$J$79,2,FALSE)</f>
        <v>100</v>
      </c>
      <c r="U1739">
        <f ca="1">VLOOKUP($Q1739,'TA database'!$I$86:$J$105,2,FALSE)</f>
        <v>0</v>
      </c>
      <c r="V1739">
        <f ca="1">VLOOKUP($R1739,'TA database'!$I$112:$J$139,2,FALSE)</f>
        <v>100</v>
      </c>
      <c r="W1739">
        <f>IFERROR(VLOOKUP($S1739,'TA database'!$I$146:$J$193,2,FALSE),0)</f>
        <v>0</v>
      </c>
      <c r="X1739">
        <f ca="1">IFERROR(VLOOKUP($S1739,'TA database'!$I$200:$J$271,2,FALSE),0)</f>
        <v>100</v>
      </c>
      <c r="Y1739">
        <f t="shared" ca="1" si="5465"/>
        <v>75</v>
      </c>
      <c r="Z1739" t="str">
        <f t="shared" si="5466"/>
        <v>NG_SR_LRG_C   →   C_UNDRGRND_STRG   →   H2_BLND_NG_P   →   H2_FC_DCHP_PWR</v>
      </c>
      <c r="AA1739" t="str">
        <f t="shared" si="5467"/>
        <v>Grid electricity</v>
      </c>
      <c r="AB1739" t="str">
        <f t="shared" si="5468"/>
        <v>Regulatory coverage</v>
      </c>
      <c r="AC1739">
        <f t="shared" ca="1" si="5469"/>
        <v>75</v>
      </c>
      <c r="AD1739">
        <v>1680</v>
      </c>
      <c r="AE1739" t="str">
        <f>IF(AND(ISNUMBER(SEARCH(O1739,4)),ISNUMBER(SEARCH('(4) FCH pathway assessment'!$B$16,AB1739)),ISNUMBER(SEARCH('(4) FCH pathway assessment'!$B$10,AA1739))),AD1739,"")</f>
        <v/>
      </c>
      <c r="AF1739" t="str">
        <f t="shared" si="5441"/>
        <v/>
      </c>
      <c r="AG1739" t="str">
        <f>VLOOKUP(C1739,Assumptions!$B$116:$C$162,2,FALSE)</f>
        <v>NG_SR_LRG_C</v>
      </c>
      <c r="AH1739" t="str">
        <f>VLOOKUP(D1739,Assumptions!$B$116:$C$162,2,FALSE)</f>
        <v>C_UNDRGRND_STRG</v>
      </c>
      <c r="AI1739" t="str">
        <f>VLOOKUP(E1739,Assumptions!$B$116:$C$162,2,FALSE)</f>
        <v>H2_BLND_NG_P</v>
      </c>
      <c r="AJ1739" t="str">
        <f>VLOOKUP(F1739,Assumptions!$B$116:$C$162,2,FALSE)</f>
        <v>H2_FC_DCHP_PWR</v>
      </c>
    </row>
    <row r="1740" spans="2:36" x14ac:dyDescent="0.25">
      <c r="B1740" t="s">
        <v>127</v>
      </c>
      <c r="C1740" t="s">
        <v>57</v>
      </c>
      <c r="D1740" t="s">
        <v>62</v>
      </c>
      <c r="E1740" t="s">
        <v>122</v>
      </c>
      <c r="F1740" t="s">
        <v>549</v>
      </c>
      <c r="G1740" t="s">
        <v>114</v>
      </c>
      <c r="H1740" t="s">
        <v>433</v>
      </c>
      <c r="I1740" t="s">
        <v>32</v>
      </c>
      <c r="J1740" t="s">
        <v>534</v>
      </c>
      <c r="K1740">
        <f t="shared" si="5456"/>
        <v>1</v>
      </c>
      <c r="L1740">
        <f t="shared" si="5457"/>
        <v>0</v>
      </c>
      <c r="M1740">
        <f t="shared" si="5458"/>
        <v>1</v>
      </c>
      <c r="N1740">
        <f t="shared" si="5459"/>
        <v>0</v>
      </c>
      <c r="O1740">
        <f t="shared" si="5460"/>
        <v>2</v>
      </c>
      <c r="P1740" t="str">
        <f t="shared" si="5461"/>
        <v>Large centralized natural gas steam reforming-Regulatory coverage</v>
      </c>
      <c r="Q1740" t="str">
        <f t="shared" si="5462"/>
        <v>Underground storage-Regulatory coverage</v>
      </c>
      <c r="R1740" t="str">
        <f t="shared" si="5463"/>
        <v>Hydrogen transmission &amp; distribution pipeline-Regulatory coverage</v>
      </c>
      <c r="S1740" t="str">
        <f t="shared" si="5464"/>
        <v>District-CHP with H2 fuel cell (power)-Regulatory coverage</v>
      </c>
      <c r="T1740">
        <f ca="1">VLOOKUP($P1740,'TA database'!$I$8:$J$79,2,FALSE)</f>
        <v>100</v>
      </c>
      <c r="U1740">
        <f ca="1">VLOOKUP($Q1740,'TA database'!$I$86:$J$105,2,FALSE)</f>
        <v>0</v>
      </c>
      <c r="V1740">
        <f ca="1">VLOOKUP($R1740,'TA database'!$I$112:$J$139,2,FALSE)</f>
        <v>40</v>
      </c>
      <c r="W1740">
        <f>IFERROR(VLOOKUP($S1740,'TA database'!$I$146:$J$193,2,FALSE),0)</f>
        <v>0</v>
      </c>
      <c r="X1740">
        <f ca="1">IFERROR(VLOOKUP($S1740,'TA database'!$I$200:$J$271,2,FALSE),0)</f>
        <v>100</v>
      </c>
      <c r="Y1740">
        <f t="shared" ca="1" si="5465"/>
        <v>60</v>
      </c>
      <c r="Z1740" t="str">
        <f t="shared" si="5466"/>
        <v>NG_SR_LRG_C   →   C_UNDRGRND_STRG   →   H2_T&amp;D_P   →   H2_FC_DCHP_PWR</v>
      </c>
      <c r="AA1740" t="str">
        <f t="shared" si="5467"/>
        <v>Grid electricity</v>
      </c>
      <c r="AB1740" t="str">
        <f t="shared" si="5468"/>
        <v>Regulatory coverage</v>
      </c>
      <c r="AC1740">
        <f t="shared" ca="1" si="5469"/>
        <v>60</v>
      </c>
      <c r="AD1740">
        <v>1681</v>
      </c>
      <c r="AE1740" t="str">
        <f>IF(AND(ISNUMBER(SEARCH(O1740,4)),ISNUMBER(SEARCH('(4) FCH pathway assessment'!$B$16,AB1740)),ISNUMBER(SEARCH('(4) FCH pathway assessment'!$B$10,AA1740))),AD1740,"")</f>
        <v/>
      </c>
      <c r="AF1740" t="str">
        <f t="shared" si="5441"/>
        <v/>
      </c>
      <c r="AG1740" t="str">
        <f>VLOOKUP(C1740,Assumptions!$B$116:$C$162,2,FALSE)</f>
        <v>NG_SR_LRG_C</v>
      </c>
      <c r="AH1740" t="str">
        <f>VLOOKUP(D1740,Assumptions!$B$116:$C$162,2,FALSE)</f>
        <v>C_UNDRGRND_STRG</v>
      </c>
      <c r="AI1740" t="str">
        <f>VLOOKUP(E1740,Assumptions!$B$116:$C$162,2,FALSE)</f>
        <v>H2_T&amp;D_P</v>
      </c>
      <c r="AJ1740" t="str">
        <f>VLOOKUP(F1740,Assumptions!$B$116:$C$162,2,FALSE)</f>
        <v>H2_FC_DCHP_PWR</v>
      </c>
    </row>
    <row r="1741" spans="2:36" x14ac:dyDescent="0.25">
      <c r="B1741" t="s">
        <v>127</v>
      </c>
      <c r="C1741" t="s">
        <v>57</v>
      </c>
      <c r="D1741" t="s">
        <v>62</v>
      </c>
      <c r="E1741" t="s">
        <v>116</v>
      </c>
      <c r="F1741" t="s">
        <v>549</v>
      </c>
      <c r="G1741" t="s">
        <v>114</v>
      </c>
      <c r="H1741" t="s">
        <v>433</v>
      </c>
      <c r="I1741" t="s">
        <v>32</v>
      </c>
      <c r="J1741" t="s">
        <v>534</v>
      </c>
      <c r="K1741">
        <f t="shared" si="5456"/>
        <v>1</v>
      </c>
      <c r="L1741">
        <f t="shared" si="5457"/>
        <v>0</v>
      </c>
      <c r="M1741">
        <f t="shared" si="5458"/>
        <v>1</v>
      </c>
      <c r="N1741">
        <f t="shared" si="5459"/>
        <v>0</v>
      </c>
      <c r="O1741">
        <f t="shared" si="5460"/>
        <v>2</v>
      </c>
      <c r="P1741" t="str">
        <f t="shared" si="5461"/>
        <v>Large centralized natural gas steam reforming-Regulatory coverage</v>
      </c>
      <c r="Q1741" t="str">
        <f t="shared" si="5462"/>
        <v>Underground storage-Regulatory coverage</v>
      </c>
      <c r="R1741" t="str">
        <f t="shared" si="5463"/>
        <v>Liquid hydrogen truck-Regulatory coverage</v>
      </c>
      <c r="S1741" t="str">
        <f t="shared" si="5464"/>
        <v>District-CHP with H2 fuel cell (power)-Regulatory coverage</v>
      </c>
      <c r="T1741">
        <f ca="1">VLOOKUP($P1741,'TA database'!$I$8:$J$79,2,FALSE)</f>
        <v>100</v>
      </c>
      <c r="U1741">
        <f ca="1">VLOOKUP($Q1741,'TA database'!$I$86:$J$105,2,FALSE)</f>
        <v>0</v>
      </c>
      <c r="V1741">
        <f ca="1">VLOOKUP($R1741,'TA database'!$I$112:$J$139,2,FALSE)</f>
        <v>40</v>
      </c>
      <c r="W1741">
        <f>IFERROR(VLOOKUP($S1741,'TA database'!$I$146:$J$193,2,FALSE),0)</f>
        <v>0</v>
      </c>
      <c r="X1741">
        <f ca="1">IFERROR(VLOOKUP($S1741,'TA database'!$I$200:$J$271,2,FALSE),0)</f>
        <v>100</v>
      </c>
      <c r="Y1741">
        <f t="shared" ca="1" si="5465"/>
        <v>60</v>
      </c>
      <c r="Z1741" t="str">
        <f t="shared" si="5466"/>
        <v>NG_SR_LRG_C   →   C_UNDRGRND_STRG   →   LQ_TRUCK   →   H2_FC_DCHP_PWR</v>
      </c>
      <c r="AA1741" t="str">
        <f t="shared" si="5467"/>
        <v>Grid electricity</v>
      </c>
      <c r="AB1741" t="str">
        <f t="shared" si="5468"/>
        <v>Regulatory coverage</v>
      </c>
      <c r="AC1741">
        <f t="shared" ca="1" si="5469"/>
        <v>60</v>
      </c>
      <c r="AD1741">
        <v>1682</v>
      </c>
      <c r="AE1741" t="str">
        <f>IF(AND(ISNUMBER(SEARCH(O1741,4)),ISNUMBER(SEARCH('(4) FCH pathway assessment'!$B$16,AB1741)),ISNUMBER(SEARCH('(4) FCH pathway assessment'!$B$10,AA1741))),AD1741,"")</f>
        <v/>
      </c>
      <c r="AF1741" t="str">
        <f t="shared" si="5441"/>
        <v/>
      </c>
      <c r="AG1741" t="str">
        <f>VLOOKUP(C1741,Assumptions!$B$116:$C$162,2,FALSE)</f>
        <v>NG_SR_LRG_C</v>
      </c>
      <c r="AH1741" t="str">
        <f>VLOOKUP(D1741,Assumptions!$B$116:$C$162,2,FALSE)</f>
        <v>C_UNDRGRND_STRG</v>
      </c>
      <c r="AI1741" t="str">
        <f>VLOOKUP(E1741,Assumptions!$B$116:$C$162,2,FALSE)</f>
        <v>LQ_TRUCK</v>
      </c>
      <c r="AJ1741" t="str">
        <f>VLOOKUP(F1741,Assumptions!$B$116:$C$162,2,FALSE)</f>
        <v>H2_FC_DCHP_PWR</v>
      </c>
    </row>
    <row r="1742" spans="2:36" x14ac:dyDescent="0.25">
      <c r="B1742" t="s">
        <v>127</v>
      </c>
      <c r="C1742" t="s">
        <v>57</v>
      </c>
      <c r="D1742" t="s">
        <v>62</v>
      </c>
      <c r="E1742" t="s">
        <v>66</v>
      </c>
      <c r="F1742" t="s">
        <v>549</v>
      </c>
      <c r="G1742" t="s">
        <v>114</v>
      </c>
      <c r="H1742" t="s">
        <v>433</v>
      </c>
      <c r="I1742" t="s">
        <v>32</v>
      </c>
      <c r="J1742" t="s">
        <v>534</v>
      </c>
      <c r="K1742">
        <f t="shared" si="5456"/>
        <v>1</v>
      </c>
      <c r="L1742">
        <f t="shared" si="5457"/>
        <v>0</v>
      </c>
      <c r="M1742">
        <f t="shared" si="5458"/>
        <v>1</v>
      </c>
      <c r="N1742">
        <f t="shared" si="5459"/>
        <v>0</v>
      </c>
      <c r="O1742">
        <f t="shared" si="5460"/>
        <v>2</v>
      </c>
      <c r="P1742" t="str">
        <f t="shared" si="5461"/>
        <v>Large centralized natural gas steam reforming-Regulatory coverage</v>
      </c>
      <c r="Q1742" t="str">
        <f t="shared" si="5462"/>
        <v>Underground storage-Regulatory coverage</v>
      </c>
      <c r="R1742" t="str">
        <f t="shared" si="5463"/>
        <v>Onsite-Regulatory coverage</v>
      </c>
      <c r="S1742" t="str">
        <f t="shared" si="5464"/>
        <v>District-CHP with H2 fuel cell (power)-Regulatory coverage</v>
      </c>
      <c r="T1742">
        <f ca="1">VLOOKUP($P1742,'TA database'!$I$8:$J$79,2,FALSE)</f>
        <v>100</v>
      </c>
      <c r="U1742">
        <f ca="1">VLOOKUP($Q1742,'TA database'!$I$86:$J$105,2,FALSE)</f>
        <v>0</v>
      </c>
      <c r="V1742">
        <f ca="1">VLOOKUP($R1742,'TA database'!$I$112:$J$139,2,FALSE)</f>
        <v>100</v>
      </c>
      <c r="W1742">
        <f>IFERROR(VLOOKUP($S1742,'TA database'!$I$146:$J$193,2,FALSE),0)</f>
        <v>0</v>
      </c>
      <c r="X1742">
        <f ca="1">IFERROR(VLOOKUP($S1742,'TA database'!$I$200:$J$271,2,FALSE),0)</f>
        <v>100</v>
      </c>
      <c r="Y1742">
        <f t="shared" ca="1" si="5465"/>
        <v>75</v>
      </c>
      <c r="Z1742" t="str">
        <f t="shared" si="5466"/>
        <v>NG_SR_LRG_C   →   C_UNDRGRND_STRG   →   ONSITE_USE   →   H2_FC_DCHP_PWR</v>
      </c>
      <c r="AA1742" t="str">
        <f t="shared" si="5467"/>
        <v>Grid electricity</v>
      </c>
      <c r="AB1742" t="str">
        <f t="shared" si="5468"/>
        <v>Regulatory coverage</v>
      </c>
      <c r="AC1742">
        <f t="shared" ca="1" si="5469"/>
        <v>75</v>
      </c>
      <c r="AD1742">
        <v>1683</v>
      </c>
      <c r="AE1742" t="str">
        <f>IF(AND(ISNUMBER(SEARCH(O1742,4)),ISNUMBER(SEARCH('(4) FCH pathway assessment'!$B$16,AB1742)),ISNUMBER(SEARCH('(4) FCH pathway assessment'!$B$10,AA1742))),AD1742,"")</f>
        <v/>
      </c>
      <c r="AF1742" t="str">
        <f t="shared" si="5441"/>
        <v/>
      </c>
      <c r="AG1742" t="str">
        <f>VLOOKUP(C1742,Assumptions!$B$116:$C$162,2,FALSE)</f>
        <v>NG_SR_LRG_C</v>
      </c>
      <c r="AH1742" t="str">
        <f>VLOOKUP(D1742,Assumptions!$B$116:$C$162,2,FALSE)</f>
        <v>C_UNDRGRND_STRG</v>
      </c>
      <c r="AI1742" t="str">
        <f>VLOOKUP(E1742,Assumptions!$B$116:$C$162,2,FALSE)</f>
        <v>ONSITE_USE</v>
      </c>
      <c r="AJ1742" t="str">
        <f>VLOOKUP(F1742,Assumptions!$B$116:$C$162,2,FALSE)</f>
        <v>H2_FC_DCHP_PWR</v>
      </c>
    </row>
    <row r="1743" spans="2:36" x14ac:dyDescent="0.25">
      <c r="B1743" t="s">
        <v>127</v>
      </c>
      <c r="C1743" t="s">
        <v>57</v>
      </c>
      <c r="D1743" s="61" t="s">
        <v>63</v>
      </c>
      <c r="E1743" t="s">
        <v>122</v>
      </c>
      <c r="F1743" t="s">
        <v>549</v>
      </c>
      <c r="G1743" t="s">
        <v>114</v>
      </c>
      <c r="H1743" t="s">
        <v>433</v>
      </c>
      <c r="I1743" t="s">
        <v>32</v>
      </c>
      <c r="J1743" t="s">
        <v>534</v>
      </c>
      <c r="K1743">
        <f t="shared" si="5456"/>
        <v>1</v>
      </c>
      <c r="L1743">
        <f t="shared" si="5457"/>
        <v>1</v>
      </c>
      <c r="M1743">
        <f t="shared" si="5458"/>
        <v>1</v>
      </c>
      <c r="N1743">
        <f t="shared" si="5459"/>
        <v>0</v>
      </c>
      <c r="O1743">
        <f t="shared" si="5460"/>
        <v>3</v>
      </c>
      <c r="P1743" t="str">
        <f t="shared" si="5461"/>
        <v>Large centralized natural gas steam reforming-Regulatory coverage</v>
      </c>
      <c r="Q1743" t="str">
        <f t="shared" si="5462"/>
        <v>No storage-Regulatory coverage</v>
      </c>
      <c r="R1743" t="str">
        <f t="shared" si="5463"/>
        <v>Hydrogen transmission &amp; distribution pipeline-Regulatory coverage</v>
      </c>
      <c r="S1743" t="str">
        <f t="shared" si="5464"/>
        <v>District-CHP with H2 fuel cell (power)-Regulatory coverage</v>
      </c>
      <c r="T1743">
        <f ca="1">VLOOKUP($P1743,'TA database'!$I$8:$J$79,2,FALSE)</f>
        <v>100</v>
      </c>
      <c r="U1743">
        <f ca="1">VLOOKUP($Q1743,'TA database'!$I$86:$J$105,2,FALSE)</f>
        <v>100</v>
      </c>
      <c r="V1743">
        <f ca="1">VLOOKUP($R1743,'TA database'!$I$112:$J$139,2,FALSE)</f>
        <v>40</v>
      </c>
      <c r="W1743">
        <f>IFERROR(VLOOKUP($S1743,'TA database'!$I$146:$J$193,2,FALSE),0)</f>
        <v>0</v>
      </c>
      <c r="X1743">
        <f ca="1">IFERROR(VLOOKUP($S1743,'TA database'!$I$200:$J$271,2,FALSE),0)</f>
        <v>100</v>
      </c>
      <c r="Y1743">
        <f t="shared" ca="1" si="5465"/>
        <v>85</v>
      </c>
      <c r="Z1743" t="str">
        <f t="shared" si="5466"/>
        <v>NG_SR_LRG_C   →   NO_STRG   →   H2_T&amp;D_P   →   H2_FC_DCHP_PWR</v>
      </c>
      <c r="AA1743" t="str">
        <f t="shared" si="5467"/>
        <v>Grid electricity</v>
      </c>
      <c r="AB1743" t="str">
        <f t="shared" si="5468"/>
        <v>Regulatory coverage</v>
      </c>
      <c r="AC1743">
        <f t="shared" ca="1" si="5469"/>
        <v>85</v>
      </c>
      <c r="AD1743">
        <v>1684</v>
      </c>
      <c r="AE1743" t="str">
        <f>IF(AND(ISNUMBER(SEARCH(O1743,4)),ISNUMBER(SEARCH('(4) FCH pathway assessment'!$B$16,AB1743)),ISNUMBER(SEARCH('(4) FCH pathway assessment'!$B$10,AA1743))),AD1743,"")</f>
        <v/>
      </c>
      <c r="AF1743" t="str">
        <f t="shared" si="5441"/>
        <v/>
      </c>
      <c r="AG1743" t="str">
        <f>VLOOKUP(C1743,Assumptions!$B$116:$C$162,2,FALSE)</f>
        <v>NG_SR_LRG_C</v>
      </c>
      <c r="AH1743" t="str">
        <f>VLOOKUP(D1743,Assumptions!$B$116:$C$162,2,FALSE)</f>
        <v>NO_STRG</v>
      </c>
      <c r="AI1743" t="str">
        <f>VLOOKUP(E1743,Assumptions!$B$116:$C$162,2,FALSE)</f>
        <v>H2_T&amp;D_P</v>
      </c>
      <c r="AJ1743" t="str">
        <f>VLOOKUP(F1743,Assumptions!$B$116:$C$162,2,FALSE)</f>
        <v>H2_FC_DCHP_PWR</v>
      </c>
    </row>
    <row r="1744" spans="2:36" x14ac:dyDescent="0.25">
      <c r="B1744" t="s">
        <v>127</v>
      </c>
      <c r="C1744" t="s">
        <v>58</v>
      </c>
      <c r="D1744" t="s">
        <v>155</v>
      </c>
      <c r="E1744" t="s">
        <v>157</v>
      </c>
      <c r="F1744" t="s">
        <v>549</v>
      </c>
      <c r="G1744" t="s">
        <v>114</v>
      </c>
      <c r="H1744" t="s">
        <v>433</v>
      </c>
      <c r="I1744" t="s">
        <v>32</v>
      </c>
      <c r="J1744" t="s">
        <v>534</v>
      </c>
      <c r="K1744">
        <f t="shared" si="5456"/>
        <v>1</v>
      </c>
      <c r="L1744">
        <f t="shared" si="5457"/>
        <v>1</v>
      </c>
      <c r="M1744">
        <f t="shared" si="5458"/>
        <v>0</v>
      </c>
      <c r="N1744">
        <f t="shared" si="5459"/>
        <v>0</v>
      </c>
      <c r="O1744">
        <f t="shared" si="5460"/>
        <v>2</v>
      </c>
      <c r="P1744" t="str">
        <f t="shared" si="5461"/>
        <v>Small centralized natural gas steam reforming-Regulatory coverage</v>
      </c>
      <c r="Q1744" t="str">
        <f t="shared" si="5462"/>
        <v>Central gas storage-Regulatory coverage</v>
      </c>
      <c r="R1744" t="str">
        <f t="shared" si="5463"/>
        <v>Blending in natural gas pipeline-Regulatory coverage</v>
      </c>
      <c r="S1744" t="str">
        <f t="shared" si="5464"/>
        <v>District-CHP with H2 fuel cell (power)-Regulatory coverage</v>
      </c>
      <c r="T1744">
        <f ca="1">VLOOKUP($P1744,'TA database'!$I$8:$J$79,2,FALSE)</f>
        <v>100</v>
      </c>
      <c r="U1744">
        <f ca="1">VLOOKUP($Q1744,'TA database'!$I$86:$J$105,2,FALSE)</f>
        <v>80</v>
      </c>
      <c r="V1744">
        <f ca="1">VLOOKUP($R1744,'TA database'!$I$112:$J$139,2,FALSE)</f>
        <v>100</v>
      </c>
      <c r="W1744">
        <f>IFERROR(VLOOKUP($S1744,'TA database'!$I$146:$J$193,2,FALSE),0)</f>
        <v>0</v>
      </c>
      <c r="X1744">
        <f ca="1">IFERROR(VLOOKUP($S1744,'TA database'!$I$200:$J$271,2,FALSE),0)</f>
        <v>100</v>
      </c>
      <c r="Y1744">
        <f t="shared" ref="Y1744:Y1748" ca="1" si="5470">IF($W1744=0,SUM($T1744:$V1744,$X1744)/4,SUM($T1744:$W1744)/4)</f>
        <v>95</v>
      </c>
      <c r="Z1744" t="str">
        <f t="shared" si="5466"/>
        <v>NG_SR_SML_C   →   C_GAS_STRG   →   H2_BLND_NG_P   →   H2_FC_DCHP_PWR</v>
      </c>
      <c r="AA1744" t="str">
        <f t="shared" si="5467"/>
        <v>Grid electricity</v>
      </c>
      <c r="AB1744" t="str">
        <f t="shared" si="5468"/>
        <v>Regulatory coverage</v>
      </c>
      <c r="AC1744">
        <f t="shared" ca="1" si="5469"/>
        <v>95</v>
      </c>
      <c r="AD1744">
        <v>1685</v>
      </c>
      <c r="AE1744" t="str">
        <f>IF(AND(ISNUMBER(SEARCH(O1744,4)),ISNUMBER(SEARCH('(4) FCH pathway assessment'!$B$16,AB1744)),ISNUMBER(SEARCH('(4) FCH pathway assessment'!$B$10,AA1744))),AD1744,"")</f>
        <v/>
      </c>
      <c r="AF1744" t="str">
        <f t="shared" si="5441"/>
        <v/>
      </c>
      <c r="AG1744" t="str">
        <f>VLOOKUP(C1744,Assumptions!$B$116:$C$162,2,FALSE)</f>
        <v>NG_SR_SML_C</v>
      </c>
      <c r="AH1744" t="str">
        <f>VLOOKUP(D1744,Assumptions!$B$116:$C$162,2,FALSE)</f>
        <v>C_GAS_STRG</v>
      </c>
      <c r="AI1744" t="str">
        <f>VLOOKUP(E1744,Assumptions!$B$116:$C$162,2,FALSE)</f>
        <v>H2_BLND_NG_P</v>
      </c>
      <c r="AJ1744" t="str">
        <f>VLOOKUP(F1744,Assumptions!$B$116:$C$162,2,FALSE)</f>
        <v>H2_FC_DCHP_PWR</v>
      </c>
    </row>
    <row r="1745" spans="2:36" x14ac:dyDescent="0.25">
      <c r="B1745" t="s">
        <v>127</v>
      </c>
      <c r="C1745" t="s">
        <v>58</v>
      </c>
      <c r="D1745" t="s">
        <v>155</v>
      </c>
      <c r="E1745" t="s">
        <v>122</v>
      </c>
      <c r="F1745" t="s">
        <v>549</v>
      </c>
      <c r="G1745" t="s">
        <v>114</v>
      </c>
      <c r="H1745" t="s">
        <v>433</v>
      </c>
      <c r="I1745" t="s">
        <v>32</v>
      </c>
      <c r="J1745" t="s">
        <v>534</v>
      </c>
      <c r="K1745">
        <f t="shared" si="5456"/>
        <v>1</v>
      </c>
      <c r="L1745">
        <f t="shared" si="5457"/>
        <v>1</v>
      </c>
      <c r="M1745">
        <f t="shared" si="5458"/>
        <v>1</v>
      </c>
      <c r="N1745">
        <f t="shared" si="5459"/>
        <v>0</v>
      </c>
      <c r="O1745">
        <f t="shared" si="5460"/>
        <v>3</v>
      </c>
      <c r="P1745" t="str">
        <f t="shared" si="5461"/>
        <v>Small centralized natural gas steam reforming-Regulatory coverage</v>
      </c>
      <c r="Q1745" t="str">
        <f t="shared" si="5462"/>
        <v>Central gas storage-Regulatory coverage</v>
      </c>
      <c r="R1745" t="str">
        <f t="shared" si="5463"/>
        <v>Hydrogen transmission &amp; distribution pipeline-Regulatory coverage</v>
      </c>
      <c r="S1745" t="str">
        <f t="shared" si="5464"/>
        <v>District-CHP with H2 fuel cell (power)-Regulatory coverage</v>
      </c>
      <c r="T1745">
        <f ca="1">VLOOKUP($P1745,'TA database'!$I$8:$J$79,2,FALSE)</f>
        <v>100</v>
      </c>
      <c r="U1745">
        <f ca="1">VLOOKUP($Q1745,'TA database'!$I$86:$J$105,2,FALSE)</f>
        <v>80</v>
      </c>
      <c r="V1745">
        <f ca="1">VLOOKUP($R1745,'TA database'!$I$112:$J$139,2,FALSE)</f>
        <v>40</v>
      </c>
      <c r="W1745">
        <f>IFERROR(VLOOKUP($S1745,'TA database'!$I$146:$J$193,2,FALSE),0)</f>
        <v>0</v>
      </c>
      <c r="X1745">
        <f ca="1">IFERROR(VLOOKUP($S1745,'TA database'!$I$200:$J$271,2,FALSE),0)</f>
        <v>100</v>
      </c>
      <c r="Y1745">
        <f t="shared" ca="1" si="5470"/>
        <v>80</v>
      </c>
      <c r="Z1745" t="str">
        <f t="shared" si="5466"/>
        <v>NG_SR_SML_C   →   C_GAS_STRG   →   H2_T&amp;D_P   →   H2_FC_DCHP_PWR</v>
      </c>
      <c r="AA1745" t="str">
        <f t="shared" si="5467"/>
        <v>Grid electricity</v>
      </c>
      <c r="AB1745" t="str">
        <f t="shared" si="5468"/>
        <v>Regulatory coverage</v>
      </c>
      <c r="AC1745">
        <f t="shared" ca="1" si="5469"/>
        <v>80</v>
      </c>
      <c r="AD1745">
        <v>1686</v>
      </c>
      <c r="AE1745" t="str">
        <f>IF(AND(ISNUMBER(SEARCH(O1745,4)),ISNUMBER(SEARCH('(4) FCH pathway assessment'!$B$16,AB1745)),ISNUMBER(SEARCH('(4) FCH pathway assessment'!$B$10,AA1745))),AD1745,"")</f>
        <v/>
      </c>
      <c r="AF1745" t="str">
        <f t="shared" si="5441"/>
        <v/>
      </c>
      <c r="AG1745" t="str">
        <f>VLOOKUP(C1745,Assumptions!$B$116:$C$162,2,FALSE)</f>
        <v>NG_SR_SML_C</v>
      </c>
      <c r="AH1745" t="str">
        <f>VLOOKUP(D1745,Assumptions!$B$116:$C$162,2,FALSE)</f>
        <v>C_GAS_STRG</v>
      </c>
      <c r="AI1745" t="str">
        <f>VLOOKUP(E1745,Assumptions!$B$116:$C$162,2,FALSE)</f>
        <v>H2_T&amp;D_P</v>
      </c>
      <c r="AJ1745" t="str">
        <f>VLOOKUP(F1745,Assumptions!$B$116:$C$162,2,FALSE)</f>
        <v>H2_FC_DCHP_PWR</v>
      </c>
    </row>
    <row r="1746" spans="2:36" x14ac:dyDescent="0.25">
      <c r="B1746" t="s">
        <v>127</v>
      </c>
      <c r="C1746" t="s">
        <v>58</v>
      </c>
      <c r="D1746" t="s">
        <v>155</v>
      </c>
      <c r="E1746" t="s">
        <v>116</v>
      </c>
      <c r="F1746" t="s">
        <v>549</v>
      </c>
      <c r="G1746" t="s">
        <v>114</v>
      </c>
      <c r="H1746" t="s">
        <v>433</v>
      </c>
      <c r="I1746" t="s">
        <v>32</v>
      </c>
      <c r="J1746" t="s">
        <v>534</v>
      </c>
      <c r="K1746">
        <f t="shared" si="5456"/>
        <v>1</v>
      </c>
      <c r="L1746">
        <f t="shared" si="5457"/>
        <v>1</v>
      </c>
      <c r="M1746">
        <f t="shared" si="5458"/>
        <v>1</v>
      </c>
      <c r="N1746">
        <f t="shared" si="5459"/>
        <v>0</v>
      </c>
      <c r="O1746">
        <f t="shared" si="5460"/>
        <v>3</v>
      </c>
      <c r="P1746" t="str">
        <f t="shared" si="5461"/>
        <v>Small centralized natural gas steam reforming-Regulatory coverage</v>
      </c>
      <c r="Q1746" t="str">
        <f t="shared" si="5462"/>
        <v>Central gas storage-Regulatory coverage</v>
      </c>
      <c r="R1746" t="str">
        <f t="shared" si="5463"/>
        <v>Liquid hydrogen truck-Regulatory coverage</v>
      </c>
      <c r="S1746" t="str">
        <f t="shared" si="5464"/>
        <v>District-CHP with H2 fuel cell (power)-Regulatory coverage</v>
      </c>
      <c r="T1746">
        <f ca="1">VLOOKUP($P1746,'TA database'!$I$8:$J$79,2,FALSE)</f>
        <v>100</v>
      </c>
      <c r="U1746">
        <f ca="1">VLOOKUP($Q1746,'TA database'!$I$86:$J$105,2,FALSE)</f>
        <v>80</v>
      </c>
      <c r="V1746">
        <f ca="1">VLOOKUP($R1746,'TA database'!$I$112:$J$139,2,FALSE)</f>
        <v>40</v>
      </c>
      <c r="W1746">
        <f>IFERROR(VLOOKUP($S1746,'TA database'!$I$146:$J$193,2,FALSE),0)</f>
        <v>0</v>
      </c>
      <c r="X1746">
        <f ca="1">IFERROR(VLOOKUP($S1746,'TA database'!$I$200:$J$271,2,FALSE),0)</f>
        <v>100</v>
      </c>
      <c r="Y1746">
        <f t="shared" ca="1" si="5470"/>
        <v>80</v>
      </c>
      <c r="Z1746" t="str">
        <f t="shared" si="5466"/>
        <v>NG_SR_SML_C   →   C_GAS_STRG   →   LQ_TRUCK   →   H2_FC_DCHP_PWR</v>
      </c>
      <c r="AA1746" t="str">
        <f t="shared" si="5467"/>
        <v>Grid electricity</v>
      </c>
      <c r="AB1746" t="str">
        <f t="shared" si="5468"/>
        <v>Regulatory coverage</v>
      </c>
      <c r="AC1746">
        <f t="shared" ca="1" si="5469"/>
        <v>80</v>
      </c>
      <c r="AD1746">
        <v>1687</v>
      </c>
      <c r="AE1746" t="str">
        <f>IF(AND(ISNUMBER(SEARCH(O1746,4)),ISNUMBER(SEARCH('(4) FCH pathway assessment'!$B$16,AB1746)),ISNUMBER(SEARCH('(4) FCH pathway assessment'!$B$10,AA1746))),AD1746,"")</f>
        <v/>
      </c>
      <c r="AF1746" t="str">
        <f t="shared" si="5441"/>
        <v/>
      </c>
      <c r="AG1746" t="str">
        <f>VLOOKUP(C1746,Assumptions!$B$116:$C$162,2,FALSE)</f>
        <v>NG_SR_SML_C</v>
      </c>
      <c r="AH1746" t="str">
        <f>VLOOKUP(D1746,Assumptions!$B$116:$C$162,2,FALSE)</f>
        <v>C_GAS_STRG</v>
      </c>
      <c r="AI1746" t="str">
        <f>VLOOKUP(E1746,Assumptions!$B$116:$C$162,2,FALSE)</f>
        <v>LQ_TRUCK</v>
      </c>
      <c r="AJ1746" t="str">
        <f>VLOOKUP(F1746,Assumptions!$B$116:$C$162,2,FALSE)</f>
        <v>H2_FC_DCHP_PWR</v>
      </c>
    </row>
    <row r="1747" spans="2:36" x14ac:dyDescent="0.25">
      <c r="B1747" t="s">
        <v>127</v>
      </c>
      <c r="C1747" t="s">
        <v>58</v>
      </c>
      <c r="D1747" t="s">
        <v>155</v>
      </c>
      <c r="E1747" t="s">
        <v>66</v>
      </c>
      <c r="F1747" t="s">
        <v>549</v>
      </c>
      <c r="G1747" t="s">
        <v>114</v>
      </c>
      <c r="H1747" t="s">
        <v>433</v>
      </c>
      <c r="I1747" t="s">
        <v>32</v>
      </c>
      <c r="J1747" t="s">
        <v>534</v>
      </c>
      <c r="K1747">
        <f t="shared" si="5456"/>
        <v>1</v>
      </c>
      <c r="L1747">
        <f t="shared" si="5457"/>
        <v>1</v>
      </c>
      <c r="M1747">
        <f t="shared" si="5458"/>
        <v>1</v>
      </c>
      <c r="N1747">
        <f t="shared" si="5459"/>
        <v>0</v>
      </c>
      <c r="O1747">
        <f t="shared" ref="O1747:O1748" si="5471">K1747+L1747+M1747+N1747</f>
        <v>3</v>
      </c>
      <c r="P1747" t="str">
        <f t="shared" si="5461"/>
        <v>Small centralized natural gas steam reforming-Regulatory coverage</v>
      </c>
      <c r="Q1747" t="str">
        <f t="shared" si="5462"/>
        <v>Central gas storage-Regulatory coverage</v>
      </c>
      <c r="R1747" t="str">
        <f t="shared" si="5463"/>
        <v>Onsite-Regulatory coverage</v>
      </c>
      <c r="S1747" t="str">
        <f t="shared" si="5464"/>
        <v>District-CHP with H2 fuel cell (power)-Regulatory coverage</v>
      </c>
      <c r="T1747">
        <f ca="1">VLOOKUP($P1747,'TA database'!$I$8:$J$79,2,FALSE)</f>
        <v>100</v>
      </c>
      <c r="U1747">
        <f ca="1">VLOOKUP($Q1747,'TA database'!$I$86:$J$105,2,FALSE)</f>
        <v>80</v>
      </c>
      <c r="V1747">
        <f ca="1">VLOOKUP($R1747,'TA database'!$I$112:$J$139,2,FALSE)</f>
        <v>100</v>
      </c>
      <c r="W1747">
        <f>IFERROR(VLOOKUP($S1747,'TA database'!$I$146:$J$193,2,FALSE),0)</f>
        <v>0</v>
      </c>
      <c r="X1747">
        <f ca="1">IFERROR(VLOOKUP($S1747,'TA database'!$I$200:$J$271,2,FALSE),0)</f>
        <v>100</v>
      </c>
      <c r="Y1747">
        <f t="shared" ca="1" si="5470"/>
        <v>95</v>
      </c>
      <c r="Z1747" t="str">
        <f t="shared" ref="Z1747:Z1748" si="5472">CONCATENATE(AG1747,"   →   ",AH1747,"   →   ",AI1747,"   →   ",AJ1747)</f>
        <v>NG_SR_SML_C   →   C_GAS_STRG   →   ONSITE_USE   →   H2_FC_DCHP_PWR</v>
      </c>
      <c r="AA1747" t="str">
        <f t="shared" ref="AA1747:AA1748" si="5473">G1747</f>
        <v>Grid electricity</v>
      </c>
      <c r="AB1747" t="str">
        <f t="shared" ref="AB1747:AB1748" si="5474">J1747</f>
        <v>Regulatory coverage</v>
      </c>
      <c r="AC1747">
        <f t="shared" ref="AC1747:AC1748" ca="1" si="5475">Y1747</f>
        <v>95</v>
      </c>
      <c r="AD1747">
        <v>1688</v>
      </c>
      <c r="AE1747" t="str">
        <f>IF(AND(ISNUMBER(SEARCH(O1747,4)),ISNUMBER(SEARCH('(4) FCH pathway assessment'!$B$16,AB1747)),ISNUMBER(SEARCH('(4) FCH pathway assessment'!$B$10,AA1747))),AD1747,"")</f>
        <v/>
      </c>
      <c r="AF1747" t="str">
        <f t="shared" si="5441"/>
        <v/>
      </c>
      <c r="AG1747" t="str">
        <f>VLOOKUP(C1747,Assumptions!$B$116:$C$162,2,FALSE)</f>
        <v>NG_SR_SML_C</v>
      </c>
      <c r="AH1747" t="str">
        <f>VLOOKUP(D1747,Assumptions!$B$116:$C$162,2,FALSE)</f>
        <v>C_GAS_STRG</v>
      </c>
      <c r="AI1747" t="str">
        <f>VLOOKUP(E1747,Assumptions!$B$116:$C$162,2,FALSE)</f>
        <v>ONSITE_USE</v>
      </c>
      <c r="AJ1747" t="str">
        <f>VLOOKUP(F1747,Assumptions!$B$116:$C$162,2,FALSE)</f>
        <v>H2_FC_DCHP_PWR</v>
      </c>
    </row>
    <row r="1748" spans="2:36" x14ac:dyDescent="0.25">
      <c r="B1748" t="s">
        <v>127</v>
      </c>
      <c r="C1748" t="s">
        <v>59</v>
      </c>
      <c r="D1748" s="60" t="s">
        <v>130</v>
      </c>
      <c r="E1748" t="s">
        <v>66</v>
      </c>
      <c r="F1748" t="s">
        <v>549</v>
      </c>
      <c r="G1748" t="s">
        <v>114</v>
      </c>
      <c r="H1748" t="s">
        <v>433</v>
      </c>
      <c r="I1748" t="s">
        <v>32</v>
      </c>
      <c r="J1748" t="s">
        <v>534</v>
      </c>
      <c r="K1748">
        <f t="shared" ref="K1748" si="5476">SUMPRODUCT(($C$7:$C$18=$C1748)*($D$6:$H$6=$D1748)*($D$7:$H$18))</f>
        <v>1</v>
      </c>
      <c r="L1748">
        <f t="shared" ref="L1748" si="5477">SUMPRODUCT(($C$19:$C$23=$D1748)*($I$6:$O$6=$E1748)*($I$19:$O$23))</f>
        <v>1</v>
      </c>
      <c r="M1748">
        <f t="shared" ref="M1748" si="5478">SUMPRODUCT(($C$24:$C$30=$E1748)*($P$6:$AI$6=$F1748)*($P$24:$AI$30))</f>
        <v>1</v>
      </c>
      <c r="N1748">
        <f t="shared" ref="N1748" si="5479">SUMPRODUCT(($C$31:$C$50=$F1748)*($AJ$6:$AM$6=$G1748)*($AJ$31:$AM$50))</f>
        <v>0</v>
      </c>
      <c r="O1748">
        <f t="shared" si="5471"/>
        <v>3</v>
      </c>
      <c r="P1748" t="str">
        <f t="shared" ref="P1748" si="5480">CONCATENATE(C1748,"-",J1748)</f>
        <v>Medium decentralized natural gas steam reforming-Regulatory coverage</v>
      </c>
      <c r="Q1748" t="str">
        <f t="shared" ref="Q1748" si="5481">CONCATENATE(D1748,"-",J1748)</f>
        <v>Distributed gas storage-Regulatory coverage</v>
      </c>
      <c r="R1748" t="str">
        <f t="shared" ref="R1748" si="5482">CONCATENATE(E1748,"-",J1748)</f>
        <v>Onsite-Regulatory coverage</v>
      </c>
      <c r="S1748" t="str">
        <f t="shared" ref="S1748" si="5483">CONCATENATE(F1748,"-",J1748)</f>
        <v>District-CHP with H2 fuel cell (power)-Regulatory coverage</v>
      </c>
      <c r="T1748">
        <f ca="1">VLOOKUP($P1748,'TA database'!$I$8:$J$79,2,FALSE)</f>
        <v>100</v>
      </c>
      <c r="U1748">
        <f ca="1">VLOOKUP($Q1748,'TA database'!$I$86:$J$105,2,FALSE)</f>
        <v>100</v>
      </c>
      <c r="V1748">
        <f ca="1">VLOOKUP($R1748,'TA database'!$I$112:$J$139,2,FALSE)</f>
        <v>100</v>
      </c>
      <c r="W1748">
        <f>IFERROR(VLOOKUP($S1748,'TA database'!$I$146:$J$193,2,FALSE),0)</f>
        <v>0</v>
      </c>
      <c r="X1748">
        <f ca="1">IFERROR(VLOOKUP($S1748,'TA database'!$I$200:$J$271,2,FALSE),0)</f>
        <v>100</v>
      </c>
      <c r="Y1748">
        <f t="shared" ca="1" si="5470"/>
        <v>100</v>
      </c>
      <c r="Z1748" t="str">
        <f t="shared" si="5472"/>
        <v>NG_SR_MED_D   →   D_GAS_STRG   →   ONSITE_USE   →   H2_FC_DCHP_PWR</v>
      </c>
      <c r="AA1748" t="str">
        <f t="shared" si="5473"/>
        <v>Grid electricity</v>
      </c>
      <c r="AB1748" t="str">
        <f t="shared" si="5474"/>
        <v>Regulatory coverage</v>
      </c>
      <c r="AC1748">
        <f t="shared" ca="1" si="5475"/>
        <v>100</v>
      </c>
      <c r="AD1748">
        <v>1689</v>
      </c>
      <c r="AE1748" t="str">
        <f>IF(AND(ISNUMBER(SEARCH(O1748,4)),ISNUMBER(SEARCH('(4) FCH pathway assessment'!$B$16,AB1748)),ISNUMBER(SEARCH('(4) FCH pathway assessment'!$B$10,AA1748))),AD1748,"")</f>
        <v/>
      </c>
      <c r="AF1748" t="str">
        <f t="shared" si="5441"/>
        <v/>
      </c>
      <c r="AG1748" t="str">
        <f>VLOOKUP(C1748,Assumptions!$B$116:$C$162,2,FALSE)</f>
        <v>NG_SR_MED_D</v>
      </c>
      <c r="AH1748" t="str">
        <f>VLOOKUP(D1748,Assumptions!$B$116:$C$162,2,FALSE)</f>
        <v>D_GAS_STRG</v>
      </c>
      <c r="AI1748" t="str">
        <f>VLOOKUP(E1748,Assumptions!$B$116:$C$162,2,FALSE)</f>
        <v>ONSITE_USE</v>
      </c>
      <c r="AJ1748" t="str">
        <f>VLOOKUP(F1748,Assumptions!$B$116:$C$162,2,FALSE)</f>
        <v>H2_FC_DCHP_PWR</v>
      </c>
    </row>
    <row r="1749" spans="2:36" x14ac:dyDescent="0.25">
      <c r="B1749" t="s">
        <v>127</v>
      </c>
      <c r="C1749" t="s">
        <v>60</v>
      </c>
      <c r="D1749" s="60" t="s">
        <v>130</v>
      </c>
      <c r="E1749" t="s">
        <v>66</v>
      </c>
      <c r="F1749" t="s">
        <v>549</v>
      </c>
      <c r="G1749" t="s">
        <v>114</v>
      </c>
      <c r="H1749" t="s">
        <v>433</v>
      </c>
      <c r="I1749" t="s">
        <v>32</v>
      </c>
      <c r="J1749" t="s">
        <v>534</v>
      </c>
      <c r="K1749">
        <f t="shared" ref="K1749" si="5484">SUMPRODUCT(($C$7:$C$18=$C1749)*($D$6:$H$6=$D1749)*($D$7:$H$18))</f>
        <v>1</v>
      </c>
      <c r="L1749">
        <f t="shared" ref="L1749" si="5485">SUMPRODUCT(($C$19:$C$23=$D1749)*($I$6:$O$6=$E1749)*($I$19:$O$23))</f>
        <v>1</v>
      </c>
      <c r="M1749">
        <f t="shared" ref="M1749" si="5486">SUMPRODUCT(($C$24:$C$30=$E1749)*($P$6:$AI$6=$F1749)*($P$24:$AI$30))</f>
        <v>1</v>
      </c>
      <c r="N1749">
        <f t="shared" ref="N1749" si="5487">SUMPRODUCT(($C$31:$C$50=$F1749)*($AJ$6:$AM$6=$G1749)*($AJ$31:$AM$50))</f>
        <v>0</v>
      </c>
      <c r="O1749">
        <f t="shared" ref="O1749" si="5488">K1749+L1749+M1749+N1749</f>
        <v>3</v>
      </c>
      <c r="P1749" t="str">
        <f t="shared" ref="P1749" si="5489">CONCATENATE(C1749,"-",J1749)</f>
        <v>Small decentralized natural gas steam reforming-Regulatory coverage</v>
      </c>
      <c r="Q1749" t="str">
        <f t="shared" ref="Q1749" si="5490">CONCATENATE(D1749,"-",J1749)</f>
        <v>Distributed gas storage-Regulatory coverage</v>
      </c>
      <c r="R1749" t="str">
        <f t="shared" ref="R1749" si="5491">CONCATENATE(E1749,"-",J1749)</f>
        <v>Onsite-Regulatory coverage</v>
      </c>
      <c r="S1749" t="str">
        <f t="shared" ref="S1749" si="5492">CONCATENATE(F1749,"-",J1749)</f>
        <v>District-CHP with H2 fuel cell (power)-Regulatory coverage</v>
      </c>
      <c r="T1749">
        <f ca="1">VLOOKUP($P1749,'TA database'!$I$8:$J$79,2,FALSE)</f>
        <v>100</v>
      </c>
      <c r="U1749">
        <f ca="1">VLOOKUP($Q1749,'TA database'!$I$86:$J$105,2,FALSE)</f>
        <v>100</v>
      </c>
      <c r="V1749">
        <f ca="1">VLOOKUP($R1749,'TA database'!$I$112:$J$139,2,FALSE)</f>
        <v>100</v>
      </c>
      <c r="W1749">
        <f>IFERROR(VLOOKUP($S1749,'TA database'!$I$146:$J$193,2,FALSE),0)</f>
        <v>0</v>
      </c>
      <c r="X1749">
        <f ca="1">IFERROR(VLOOKUP($S1749,'TA database'!$I$200:$J$271,2,FALSE),0)</f>
        <v>100</v>
      </c>
      <c r="Y1749">
        <f t="shared" ref="Y1749" ca="1" si="5493">IF($W1749=0,SUM($T1749:$V1749,$X1749)/4,SUM($T1749:$W1749)/4)</f>
        <v>100</v>
      </c>
      <c r="Z1749" t="str">
        <f t="shared" ref="Z1749" si="5494">CONCATENATE(AG1749,"   →   ",AH1749,"   →   ",AI1749,"   →   ",AJ1749)</f>
        <v>NG_SR_SML_D   →   D_GAS_STRG   →   ONSITE_USE   →   H2_FC_DCHP_PWR</v>
      </c>
      <c r="AA1749" t="str">
        <f t="shared" ref="AA1749" si="5495">G1749</f>
        <v>Grid electricity</v>
      </c>
      <c r="AB1749" t="str">
        <f t="shared" ref="AB1749" si="5496">J1749</f>
        <v>Regulatory coverage</v>
      </c>
      <c r="AC1749">
        <f t="shared" ref="AC1749" ca="1" si="5497">Y1749</f>
        <v>100</v>
      </c>
      <c r="AD1749">
        <v>1690</v>
      </c>
      <c r="AE1749" t="str">
        <f>IF(AND(ISNUMBER(SEARCH(O1749,4)),ISNUMBER(SEARCH('(4) FCH pathway assessment'!$B$16,AB1749)),ISNUMBER(SEARCH('(4) FCH pathway assessment'!$B$10,AA1749))),AD1749,"")</f>
        <v/>
      </c>
      <c r="AF1749" t="str">
        <f t="shared" si="5441"/>
        <v/>
      </c>
      <c r="AG1749" t="str">
        <f>VLOOKUP(C1749,Assumptions!$B$116:$C$162,2,FALSE)</f>
        <v>NG_SR_SML_D</v>
      </c>
      <c r="AH1749" t="str">
        <f>VLOOKUP(D1749,Assumptions!$B$116:$C$162,2,FALSE)</f>
        <v>D_GAS_STRG</v>
      </c>
      <c r="AI1749" t="str">
        <f>VLOOKUP(E1749,Assumptions!$B$116:$C$162,2,FALSE)</f>
        <v>ONSITE_USE</v>
      </c>
      <c r="AJ1749" t="str">
        <f>VLOOKUP(F1749,Assumptions!$B$116:$C$162,2,FALSE)</f>
        <v>H2_FC_DCHP_PWR</v>
      </c>
    </row>
    <row r="1750" spans="2:36" x14ac:dyDescent="0.25">
      <c r="B1750" t="s">
        <v>117</v>
      </c>
      <c r="C1750" t="s">
        <v>53</v>
      </c>
      <c r="D1750" t="s">
        <v>155</v>
      </c>
      <c r="E1750" t="s">
        <v>65</v>
      </c>
      <c r="F1750" t="s">
        <v>550</v>
      </c>
      <c r="G1750" t="s">
        <v>114</v>
      </c>
      <c r="H1750" t="s">
        <v>433</v>
      </c>
      <c r="I1750" t="s">
        <v>32</v>
      </c>
      <c r="J1750" t="s">
        <v>534</v>
      </c>
      <c r="K1750">
        <f t="shared" ref="K1750:K1751" si="5498">SUMPRODUCT(($C$7:$C$18=$C1750)*($D$6:$H$6=$D1750)*($D$7:$H$18))</f>
        <v>0</v>
      </c>
      <c r="L1750">
        <f t="shared" ref="L1750:L1751" si="5499">SUMPRODUCT(($C$19:$C$23=$D1750)*($I$6:$O$6=$E1750)*($I$19:$O$23))</f>
        <v>1</v>
      </c>
      <c r="M1750">
        <f t="shared" ref="M1750:M1751" si="5500">SUMPRODUCT(($C$24:$C$30=$E1750)*($P$6:$AI$6=$F1750)*($P$24:$AI$30))</f>
        <v>0</v>
      </c>
      <c r="N1750">
        <f t="shared" ref="N1750:N1751" si="5501">SUMPRODUCT(($C$31:$C$50=$F1750)*($AJ$6:$AM$6=$G1750)*($AJ$31:$AM$50))</f>
        <v>1</v>
      </c>
      <c r="O1750">
        <f t="shared" ref="O1750:O1751" si="5502">K1750+L1750+M1750+N1750</f>
        <v>2</v>
      </c>
      <c r="P1750" t="str">
        <f t="shared" ref="P1750:P1751" si="5503">CONCATENATE(C1750,"-",J1750)</f>
        <v>Medium centralized biomass gasification-Regulatory coverage</v>
      </c>
      <c r="Q1750" t="str">
        <f t="shared" ref="Q1750:Q1751" si="5504">CONCATENATE(D1750,"-",J1750)</f>
        <v>Central gas storage-Regulatory coverage</v>
      </c>
      <c r="R1750" t="str">
        <f t="shared" ref="R1750:R1751" si="5505">CONCATENATE(E1750,"-",J1750)</f>
        <v>Methanation-Regulatory coverage</v>
      </c>
      <c r="S1750" t="str">
        <f t="shared" ref="S1750:S1751" si="5506">CONCATENATE(F1750,"-",J1750)</f>
        <v>District-CHP with natural gas fuel cell (power)-Regulatory coverage</v>
      </c>
      <c r="T1750">
        <f ca="1">VLOOKUP($P1750,'TA database'!$I$8:$J$79,2,FALSE)</f>
        <v>100</v>
      </c>
      <c r="U1750">
        <f ca="1">VLOOKUP($Q1750,'TA database'!$I$86:$J$105,2,FALSE)</f>
        <v>80</v>
      </c>
      <c r="V1750">
        <f ca="1">VLOOKUP($R1750,'TA database'!$I$112:$J$139,2,FALSE)</f>
        <v>80</v>
      </c>
      <c r="W1750">
        <f>IFERROR(VLOOKUP($S1750,'TA database'!$I$146:$J$193,2,FALSE),0)</f>
        <v>0</v>
      </c>
      <c r="X1750">
        <f ca="1">IFERROR(VLOOKUP($S1750,'TA database'!$I$200:$J$271,2,FALSE),0)</f>
        <v>100</v>
      </c>
      <c r="Y1750">
        <f t="shared" ref="Y1750:Y1751" ca="1" si="5507">IF($W1750=0,SUM($T1750:$V1750,$X1750)/4,SUM($T1750:$W1750)/4)</f>
        <v>90</v>
      </c>
      <c r="Z1750" t="str">
        <f t="shared" ref="Z1750:Z1751" si="5508">CONCATENATE(AG1750,"   →   ",AH1750,"   →   ",AI1750,"   →   ",AJ1750)</f>
        <v>BIO_GSF_MED_C   →   C_GAS_STRG   →   METHANATION   →   NG_FC_DCHP_PWR</v>
      </c>
      <c r="AA1750" t="str">
        <f t="shared" ref="AA1750:AA1751" si="5509">G1750</f>
        <v>Grid electricity</v>
      </c>
      <c r="AB1750" t="str">
        <f t="shared" ref="AB1750:AB1751" si="5510">J1750</f>
        <v>Regulatory coverage</v>
      </c>
      <c r="AC1750">
        <f t="shared" ref="AC1750:AC1751" ca="1" si="5511">Y1750</f>
        <v>90</v>
      </c>
      <c r="AD1750">
        <v>1691</v>
      </c>
      <c r="AE1750" t="str">
        <f>IF(AND(ISNUMBER(SEARCH(O1750,4)),ISNUMBER(SEARCH('(4) FCH pathway assessment'!$B$16,AB1750)),ISNUMBER(SEARCH('(4) FCH pathway assessment'!$B$10,AA1750))),AD1750,"")</f>
        <v/>
      </c>
      <c r="AF1750" t="str">
        <f t="shared" si="5441"/>
        <v/>
      </c>
      <c r="AG1750" t="str">
        <f>VLOOKUP(C1750,Assumptions!$B$116:$C$162,2,FALSE)</f>
        <v>BIO_GSF_MED_C</v>
      </c>
      <c r="AH1750" t="str">
        <f>VLOOKUP(D1750,Assumptions!$B$116:$C$162,2,FALSE)</f>
        <v>C_GAS_STRG</v>
      </c>
      <c r="AI1750" t="str">
        <f>VLOOKUP(E1750,Assumptions!$B$116:$C$162,2,FALSE)</f>
        <v>METHANATION</v>
      </c>
      <c r="AJ1750" t="str">
        <f>VLOOKUP(F1750,Assumptions!$B$116:$C$162,2,FALSE)</f>
        <v>NG_FC_DCHP_PWR</v>
      </c>
    </row>
    <row r="1751" spans="2:36" x14ac:dyDescent="0.25">
      <c r="B1751" t="s">
        <v>117</v>
      </c>
      <c r="C1751" t="s">
        <v>54</v>
      </c>
      <c r="D1751" t="s">
        <v>155</v>
      </c>
      <c r="E1751" t="s">
        <v>65</v>
      </c>
      <c r="F1751" t="s">
        <v>550</v>
      </c>
      <c r="G1751" t="s">
        <v>114</v>
      </c>
      <c r="H1751" t="s">
        <v>433</v>
      </c>
      <c r="I1751" t="s">
        <v>32</v>
      </c>
      <c r="J1751" t="s">
        <v>534</v>
      </c>
      <c r="K1751">
        <f t="shared" si="5498"/>
        <v>0</v>
      </c>
      <c r="L1751">
        <f t="shared" si="5499"/>
        <v>1</v>
      </c>
      <c r="M1751">
        <f t="shared" si="5500"/>
        <v>0</v>
      </c>
      <c r="N1751">
        <f t="shared" si="5501"/>
        <v>1</v>
      </c>
      <c r="O1751">
        <f t="shared" si="5502"/>
        <v>2</v>
      </c>
      <c r="P1751" t="str">
        <f t="shared" si="5503"/>
        <v>Medium centralized biomass gasification w/ CCS-Regulatory coverage</v>
      </c>
      <c r="Q1751" t="str">
        <f t="shared" si="5504"/>
        <v>Central gas storage-Regulatory coverage</v>
      </c>
      <c r="R1751" t="str">
        <f t="shared" si="5505"/>
        <v>Methanation-Regulatory coverage</v>
      </c>
      <c r="S1751" t="str">
        <f t="shared" si="5506"/>
        <v>District-CHP with natural gas fuel cell (power)-Regulatory coverage</v>
      </c>
      <c r="T1751">
        <f ca="1">VLOOKUP($P1751,'TA database'!$I$8:$J$79,2,FALSE)</f>
        <v>80</v>
      </c>
      <c r="U1751">
        <f ca="1">VLOOKUP($Q1751,'TA database'!$I$86:$J$105,2,FALSE)</f>
        <v>80</v>
      </c>
      <c r="V1751">
        <f ca="1">VLOOKUP($R1751,'TA database'!$I$112:$J$139,2,FALSE)</f>
        <v>80</v>
      </c>
      <c r="W1751">
        <f>IFERROR(VLOOKUP($S1751,'TA database'!$I$146:$J$193,2,FALSE),0)</f>
        <v>0</v>
      </c>
      <c r="X1751">
        <f ca="1">IFERROR(VLOOKUP($S1751,'TA database'!$I$200:$J$271,2,FALSE),0)</f>
        <v>100</v>
      </c>
      <c r="Y1751">
        <f t="shared" ca="1" si="5507"/>
        <v>85</v>
      </c>
      <c r="Z1751" t="str">
        <f t="shared" si="5508"/>
        <v>BIO_GSF_CCS_MED_C   →   C_GAS_STRG   →   METHANATION   →   NG_FC_DCHP_PWR</v>
      </c>
      <c r="AA1751" t="str">
        <f t="shared" si="5509"/>
        <v>Grid electricity</v>
      </c>
      <c r="AB1751" t="str">
        <f t="shared" si="5510"/>
        <v>Regulatory coverage</v>
      </c>
      <c r="AC1751">
        <f t="shared" ca="1" si="5511"/>
        <v>85</v>
      </c>
      <c r="AD1751">
        <v>1692</v>
      </c>
      <c r="AE1751" t="str">
        <f>IF(AND(ISNUMBER(SEARCH(O1751,4)),ISNUMBER(SEARCH('(4) FCH pathway assessment'!$B$16,AB1751)),ISNUMBER(SEARCH('(4) FCH pathway assessment'!$B$10,AA1751))),AD1751,"")</f>
        <v/>
      </c>
      <c r="AF1751" t="str">
        <f t="shared" si="5441"/>
        <v/>
      </c>
      <c r="AG1751" t="str">
        <f>VLOOKUP(C1751,Assumptions!$B$116:$C$162,2,FALSE)</f>
        <v>BIO_GSF_CCS_MED_C</v>
      </c>
      <c r="AH1751" t="str">
        <f>VLOOKUP(D1751,Assumptions!$B$116:$C$162,2,FALSE)</f>
        <v>C_GAS_STRG</v>
      </c>
      <c r="AI1751" t="str">
        <f>VLOOKUP(E1751,Assumptions!$B$116:$C$162,2,FALSE)</f>
        <v>METHANATION</v>
      </c>
      <c r="AJ1751" t="str">
        <f>VLOOKUP(F1751,Assumptions!$B$116:$C$162,2,FALSE)</f>
        <v>NG_FC_DCHP_PWR</v>
      </c>
    </row>
    <row r="1752" spans="2:36" x14ac:dyDescent="0.25">
      <c r="B1752" t="s">
        <v>117</v>
      </c>
      <c r="C1752" t="s">
        <v>56</v>
      </c>
      <c r="D1752" t="s">
        <v>62</v>
      </c>
      <c r="E1752" t="s">
        <v>65</v>
      </c>
      <c r="F1752" t="s">
        <v>550</v>
      </c>
      <c r="G1752" t="s">
        <v>114</v>
      </c>
      <c r="H1752" t="s">
        <v>433</v>
      </c>
      <c r="I1752" t="s">
        <v>32</v>
      </c>
      <c r="J1752" t="s">
        <v>534</v>
      </c>
      <c r="K1752">
        <f t="shared" ref="K1752" si="5512">SUMPRODUCT(($C$7:$C$18=$C1752)*($D$6:$H$6=$D1752)*($D$7:$H$18))</f>
        <v>0</v>
      </c>
      <c r="L1752">
        <f t="shared" ref="L1752" si="5513">SUMPRODUCT(($C$19:$C$23=$D1752)*($I$6:$O$6=$E1752)*($I$19:$O$23))</f>
        <v>0</v>
      </c>
      <c r="M1752">
        <f t="shared" ref="M1752" si="5514">SUMPRODUCT(($C$24:$C$30=$E1752)*($P$6:$AI$6=$F1752)*($P$24:$AI$30))</f>
        <v>0</v>
      </c>
      <c r="N1752">
        <f t="shared" ref="N1752" si="5515">SUMPRODUCT(($C$31:$C$50=$F1752)*($AJ$6:$AM$6=$G1752)*($AJ$31:$AM$50))</f>
        <v>1</v>
      </c>
      <c r="O1752">
        <f t="shared" ref="O1752" si="5516">K1752+L1752+M1752+N1752</f>
        <v>1</v>
      </c>
      <c r="P1752" t="str">
        <f t="shared" ref="P1752" si="5517">CONCATENATE(C1752,"-",J1752)</f>
        <v>Large centralized biomass steam reforming -Regulatory coverage</v>
      </c>
      <c r="Q1752" t="str">
        <f t="shared" ref="Q1752" si="5518">CONCATENATE(D1752,"-",J1752)</f>
        <v>Underground storage-Regulatory coverage</v>
      </c>
      <c r="R1752" t="str">
        <f t="shared" ref="R1752" si="5519">CONCATENATE(E1752,"-",J1752)</f>
        <v>Methanation-Regulatory coverage</v>
      </c>
      <c r="S1752" t="str">
        <f t="shared" ref="S1752" si="5520">CONCATENATE(F1752,"-",J1752)</f>
        <v>District-CHP with natural gas fuel cell (power)-Regulatory coverage</v>
      </c>
      <c r="T1752">
        <f ca="1">VLOOKUP($P1752,'TA database'!$I$8:$J$79,2,FALSE)</f>
        <v>100</v>
      </c>
      <c r="U1752">
        <f ca="1">VLOOKUP($Q1752,'TA database'!$I$86:$J$105,2,FALSE)</f>
        <v>0</v>
      </c>
      <c r="V1752">
        <f ca="1">VLOOKUP($R1752,'TA database'!$I$112:$J$139,2,FALSE)</f>
        <v>80</v>
      </c>
      <c r="W1752">
        <f>IFERROR(VLOOKUP($S1752,'TA database'!$I$146:$J$193,2,FALSE),0)</f>
        <v>0</v>
      </c>
      <c r="X1752">
        <f ca="1">IFERROR(VLOOKUP($S1752,'TA database'!$I$200:$J$271,2,FALSE),0)</f>
        <v>100</v>
      </c>
      <c r="Y1752">
        <f t="shared" ref="Y1752" ca="1" si="5521">IF($W1752=0,SUM($T1752:$V1752,$X1752)/4,SUM($T1752:$W1752)/4)</f>
        <v>70</v>
      </c>
      <c r="Z1752" t="str">
        <f t="shared" ref="Z1752" si="5522">CONCATENATE(AG1752,"   →   ",AH1752,"   →   ",AI1752,"   →   ",AJ1752)</f>
        <v>BIO_SR_LRG_C   →   C_UNDRGRND_STRG   →   METHANATION   →   NG_FC_DCHP_PWR</v>
      </c>
      <c r="AA1752" t="str">
        <f t="shared" ref="AA1752" si="5523">G1752</f>
        <v>Grid electricity</v>
      </c>
      <c r="AB1752" t="str">
        <f t="shared" ref="AB1752" si="5524">J1752</f>
        <v>Regulatory coverage</v>
      </c>
      <c r="AC1752">
        <f t="shared" ref="AC1752" ca="1" si="5525">Y1752</f>
        <v>70</v>
      </c>
      <c r="AD1752">
        <v>1693</v>
      </c>
      <c r="AE1752" t="str">
        <f>IF(AND(ISNUMBER(SEARCH(O1752,4)),ISNUMBER(SEARCH('(4) FCH pathway assessment'!$B$16,AB1752)),ISNUMBER(SEARCH('(4) FCH pathway assessment'!$B$10,AA1752))),AD1752,"")</f>
        <v/>
      </c>
      <c r="AF1752" t="str">
        <f t="shared" si="5441"/>
        <v/>
      </c>
      <c r="AG1752" t="str">
        <f>VLOOKUP(C1752,Assumptions!$B$116:$C$162,2,FALSE)</f>
        <v>BIO_SR_LRG_C</v>
      </c>
      <c r="AH1752" t="str">
        <f>VLOOKUP(D1752,Assumptions!$B$116:$C$162,2,FALSE)</f>
        <v>C_UNDRGRND_STRG</v>
      </c>
      <c r="AI1752" t="str">
        <f>VLOOKUP(E1752,Assumptions!$B$116:$C$162,2,FALSE)</f>
        <v>METHANATION</v>
      </c>
      <c r="AJ1752" t="str">
        <f>VLOOKUP(F1752,Assumptions!$B$116:$C$162,2,FALSE)</f>
        <v>NG_FC_DCHP_PWR</v>
      </c>
    </row>
    <row r="1753" spans="2:36" x14ac:dyDescent="0.25">
      <c r="B1753" t="s">
        <v>112</v>
      </c>
      <c r="C1753" t="s">
        <v>49</v>
      </c>
      <c r="D1753" t="s">
        <v>62</v>
      </c>
      <c r="E1753" t="s">
        <v>65</v>
      </c>
      <c r="F1753" t="s">
        <v>550</v>
      </c>
      <c r="G1753" t="s">
        <v>114</v>
      </c>
      <c r="H1753" t="s">
        <v>433</v>
      </c>
      <c r="I1753" t="s">
        <v>32</v>
      </c>
      <c r="J1753" t="s">
        <v>534</v>
      </c>
      <c r="K1753">
        <f t="shared" ref="K1753:K1755" si="5526">SUMPRODUCT(($C$7:$C$18=$C1753)*($D$6:$H$6=$D1753)*($D$7:$H$18))</f>
        <v>1</v>
      </c>
      <c r="L1753">
        <f t="shared" ref="L1753:L1755" si="5527">SUMPRODUCT(($C$19:$C$23=$D1753)*($I$6:$O$6=$E1753)*($I$19:$O$23))</f>
        <v>0</v>
      </c>
      <c r="M1753">
        <f t="shared" ref="M1753:M1755" si="5528">SUMPRODUCT(($C$24:$C$30=$E1753)*($P$6:$AI$6=$F1753)*($P$24:$AI$30))</f>
        <v>0</v>
      </c>
      <c r="N1753">
        <f t="shared" ref="N1753:N1755" si="5529">SUMPRODUCT(($C$31:$C$50=$F1753)*($AJ$6:$AM$6=$G1753)*($AJ$31:$AM$50))</f>
        <v>1</v>
      </c>
      <c r="O1753">
        <f t="shared" ref="O1753:O1755" si="5530">K1753+L1753+M1753+N1753</f>
        <v>2</v>
      </c>
      <c r="P1753" t="str">
        <f t="shared" ref="P1753:P1755" si="5531">CONCATENATE(C1753,"-",J1753)</f>
        <v>Large centralized electrolysis-Regulatory coverage</v>
      </c>
      <c r="Q1753" t="str">
        <f t="shared" ref="Q1753:Q1755" si="5532">CONCATENATE(D1753,"-",J1753)</f>
        <v>Underground storage-Regulatory coverage</v>
      </c>
      <c r="R1753" t="str">
        <f t="shared" ref="R1753:R1755" si="5533">CONCATENATE(E1753,"-",J1753)</f>
        <v>Methanation-Regulatory coverage</v>
      </c>
      <c r="S1753" t="str">
        <f t="shared" ref="S1753:S1755" si="5534">CONCATENATE(F1753,"-",J1753)</f>
        <v>District-CHP with natural gas fuel cell (power)-Regulatory coverage</v>
      </c>
      <c r="T1753">
        <f ca="1">VLOOKUP($P1753,'TA database'!$I$8:$J$79,2,FALSE)</f>
        <v>100</v>
      </c>
      <c r="U1753">
        <f ca="1">VLOOKUP($Q1753,'TA database'!$I$86:$J$105,2,FALSE)</f>
        <v>0</v>
      </c>
      <c r="V1753">
        <f ca="1">VLOOKUP($R1753,'TA database'!$I$112:$J$139,2,FALSE)</f>
        <v>80</v>
      </c>
      <c r="W1753">
        <f>IFERROR(VLOOKUP($S1753,'TA database'!$I$146:$J$193,2,FALSE),0)</f>
        <v>0</v>
      </c>
      <c r="X1753">
        <f ca="1">IFERROR(VLOOKUP($S1753,'TA database'!$I$200:$J$271,2,FALSE),0)</f>
        <v>100</v>
      </c>
      <c r="Y1753">
        <f t="shared" ref="Y1753:Y1754" ca="1" si="5535">IF($W1753=0,SUM($T1753:$V1753,$X1753)/4,SUM($T1753:$W1753)/4)</f>
        <v>70</v>
      </c>
      <c r="Z1753" t="str">
        <f t="shared" ref="Z1753:Z1755" si="5536">CONCATENATE(AG1753,"   →   ",AH1753,"   →   ",AI1753,"   →   ",AJ1753)</f>
        <v>ELCTRLYZ_LRG_C   →   C_UNDRGRND_STRG   →   METHANATION   →   NG_FC_DCHP_PWR</v>
      </c>
      <c r="AA1753" t="str">
        <f t="shared" ref="AA1753:AA1755" si="5537">G1753</f>
        <v>Grid electricity</v>
      </c>
      <c r="AB1753" t="str">
        <f t="shared" ref="AB1753:AB1755" si="5538">J1753</f>
        <v>Regulatory coverage</v>
      </c>
      <c r="AC1753">
        <f t="shared" ref="AC1753:AC1755" ca="1" si="5539">Y1753</f>
        <v>70</v>
      </c>
      <c r="AD1753">
        <v>1694</v>
      </c>
      <c r="AE1753" t="str">
        <f>IF(AND(ISNUMBER(SEARCH(O1753,4)),ISNUMBER(SEARCH('(4) FCH pathway assessment'!$B$16,AB1753)),ISNUMBER(SEARCH('(4) FCH pathway assessment'!$B$10,AA1753))),AD1753,"")</f>
        <v/>
      </c>
      <c r="AF1753" t="str">
        <f t="shared" si="5441"/>
        <v/>
      </c>
      <c r="AG1753" t="str">
        <f>VLOOKUP(C1753,Assumptions!$B$116:$C$162,2,FALSE)</f>
        <v>ELCTRLYZ_LRG_C</v>
      </c>
      <c r="AH1753" t="str">
        <f>VLOOKUP(D1753,Assumptions!$B$116:$C$162,2,FALSE)</f>
        <v>C_UNDRGRND_STRG</v>
      </c>
      <c r="AI1753" t="str">
        <f>VLOOKUP(E1753,Assumptions!$B$116:$C$162,2,FALSE)</f>
        <v>METHANATION</v>
      </c>
      <c r="AJ1753" t="str">
        <f>VLOOKUP(F1753,Assumptions!$B$116:$C$162,2,FALSE)</f>
        <v>NG_FC_DCHP_PWR</v>
      </c>
    </row>
    <row r="1754" spans="2:36" x14ac:dyDescent="0.25">
      <c r="B1754" t="s">
        <v>112</v>
      </c>
      <c r="C1754" t="s">
        <v>49</v>
      </c>
      <c r="D1754" t="s">
        <v>155</v>
      </c>
      <c r="E1754" t="s">
        <v>65</v>
      </c>
      <c r="F1754" t="s">
        <v>550</v>
      </c>
      <c r="G1754" t="s">
        <v>114</v>
      </c>
      <c r="H1754" t="s">
        <v>433</v>
      </c>
      <c r="I1754" t="s">
        <v>32</v>
      </c>
      <c r="J1754" t="s">
        <v>534</v>
      </c>
      <c r="K1754">
        <f t="shared" si="5526"/>
        <v>1</v>
      </c>
      <c r="L1754">
        <f t="shared" si="5527"/>
        <v>1</v>
      </c>
      <c r="M1754">
        <f t="shared" si="5528"/>
        <v>0</v>
      </c>
      <c r="N1754">
        <f t="shared" si="5529"/>
        <v>1</v>
      </c>
      <c r="O1754">
        <f t="shared" si="5530"/>
        <v>3</v>
      </c>
      <c r="P1754" t="str">
        <f t="shared" si="5531"/>
        <v>Large centralized electrolysis-Regulatory coverage</v>
      </c>
      <c r="Q1754" t="str">
        <f t="shared" si="5532"/>
        <v>Central gas storage-Regulatory coverage</v>
      </c>
      <c r="R1754" t="str">
        <f t="shared" si="5533"/>
        <v>Methanation-Regulatory coverage</v>
      </c>
      <c r="S1754" t="str">
        <f t="shared" si="5534"/>
        <v>District-CHP with natural gas fuel cell (power)-Regulatory coverage</v>
      </c>
      <c r="T1754">
        <f ca="1">VLOOKUP($P1754,'TA database'!$I$8:$J$79,2,FALSE)</f>
        <v>100</v>
      </c>
      <c r="U1754">
        <f ca="1">VLOOKUP($Q1754,'TA database'!$I$86:$J$105,2,FALSE)</f>
        <v>80</v>
      </c>
      <c r="V1754">
        <f ca="1">VLOOKUP($R1754,'TA database'!$I$112:$J$139,2,FALSE)</f>
        <v>80</v>
      </c>
      <c r="W1754">
        <f>IFERROR(VLOOKUP($S1754,'TA database'!$I$146:$J$193,2,FALSE),0)</f>
        <v>0</v>
      </c>
      <c r="X1754">
        <f ca="1">IFERROR(VLOOKUP($S1754,'TA database'!$I$200:$J$271,2,FALSE),0)</f>
        <v>100</v>
      </c>
      <c r="Y1754">
        <f t="shared" ca="1" si="5535"/>
        <v>90</v>
      </c>
      <c r="Z1754" t="str">
        <f t="shared" si="5536"/>
        <v>ELCTRLYZ_LRG_C   →   C_GAS_STRG   →   METHANATION   →   NG_FC_DCHP_PWR</v>
      </c>
      <c r="AA1754" t="str">
        <f t="shared" si="5537"/>
        <v>Grid electricity</v>
      </c>
      <c r="AB1754" t="str">
        <f t="shared" si="5538"/>
        <v>Regulatory coverage</v>
      </c>
      <c r="AC1754">
        <f t="shared" ca="1" si="5539"/>
        <v>90</v>
      </c>
      <c r="AD1754">
        <v>1695</v>
      </c>
      <c r="AE1754" t="str">
        <f>IF(AND(ISNUMBER(SEARCH(O1754,4)),ISNUMBER(SEARCH('(4) FCH pathway assessment'!$B$16,AB1754)),ISNUMBER(SEARCH('(4) FCH pathway assessment'!$B$10,AA1754))),AD1754,"")</f>
        <v/>
      </c>
      <c r="AF1754" t="str">
        <f t="shared" si="5441"/>
        <v/>
      </c>
      <c r="AG1754" t="str">
        <f>VLOOKUP(C1754,Assumptions!$B$116:$C$162,2,FALSE)</f>
        <v>ELCTRLYZ_LRG_C</v>
      </c>
      <c r="AH1754" t="str">
        <f>VLOOKUP(D1754,Assumptions!$B$116:$C$162,2,FALSE)</f>
        <v>C_GAS_STRG</v>
      </c>
      <c r="AI1754" t="str">
        <f>VLOOKUP(E1754,Assumptions!$B$116:$C$162,2,FALSE)</f>
        <v>METHANATION</v>
      </c>
      <c r="AJ1754" t="str">
        <f>VLOOKUP(F1754,Assumptions!$B$116:$C$162,2,FALSE)</f>
        <v>NG_FC_DCHP_PWR</v>
      </c>
    </row>
    <row r="1755" spans="2:36" x14ac:dyDescent="0.25">
      <c r="B1755" t="s">
        <v>112</v>
      </c>
      <c r="C1755" t="s">
        <v>51</v>
      </c>
      <c r="D1755" t="s">
        <v>155</v>
      </c>
      <c r="E1755" t="s">
        <v>65</v>
      </c>
      <c r="F1755" t="s">
        <v>550</v>
      </c>
      <c r="G1755" t="s">
        <v>114</v>
      </c>
      <c r="H1755" t="s">
        <v>433</v>
      </c>
      <c r="I1755" t="s">
        <v>32</v>
      </c>
      <c r="J1755" t="s">
        <v>534</v>
      </c>
      <c r="K1755">
        <f t="shared" si="5526"/>
        <v>1</v>
      </c>
      <c r="L1755">
        <f t="shared" si="5527"/>
        <v>1</v>
      </c>
      <c r="M1755">
        <f t="shared" si="5528"/>
        <v>0</v>
      </c>
      <c r="N1755">
        <f t="shared" si="5529"/>
        <v>1</v>
      </c>
      <c r="O1755">
        <f t="shared" si="5530"/>
        <v>3</v>
      </c>
      <c r="P1755" t="str">
        <f t="shared" si="5531"/>
        <v>Medium centralized electrolysis-Regulatory coverage</v>
      </c>
      <c r="Q1755" t="str">
        <f t="shared" si="5532"/>
        <v>Central gas storage-Regulatory coverage</v>
      </c>
      <c r="R1755" t="str">
        <f t="shared" si="5533"/>
        <v>Methanation-Regulatory coverage</v>
      </c>
      <c r="S1755" t="str">
        <f t="shared" si="5534"/>
        <v>District-CHP with natural gas fuel cell (power)-Regulatory coverage</v>
      </c>
      <c r="T1755">
        <f ca="1">VLOOKUP($P1755,'TA database'!$I$8:$J$79,2,FALSE)</f>
        <v>100</v>
      </c>
      <c r="U1755">
        <f ca="1">VLOOKUP($Q1755,'TA database'!$I$86:$J$105,2,FALSE)</f>
        <v>80</v>
      </c>
      <c r="V1755">
        <f ca="1">VLOOKUP($R1755,'TA database'!$I$112:$J$139,2,FALSE)</f>
        <v>80</v>
      </c>
      <c r="W1755">
        <f>IFERROR(VLOOKUP($S1755,'TA database'!$I$146:$J$193,2,FALSE),0)</f>
        <v>0</v>
      </c>
      <c r="X1755">
        <f ca="1">IFERROR(VLOOKUP($S1755,'TA database'!$I$200:$J$271,2,FALSE),0)</f>
        <v>100</v>
      </c>
      <c r="Y1755">
        <f t="shared" ref="Y1755" ca="1" si="5540">IF($W1755=0,SUM($T1755:$V1755,$X1755)/4,SUM($T1755:$W1755)/4)</f>
        <v>90</v>
      </c>
      <c r="Z1755" t="str">
        <f t="shared" si="5536"/>
        <v>ELCTRLYZ_MED_C   →   C_GAS_STRG   →   METHANATION   →   NG_FC_DCHP_PWR</v>
      </c>
      <c r="AA1755" t="str">
        <f t="shared" si="5537"/>
        <v>Grid electricity</v>
      </c>
      <c r="AB1755" t="str">
        <f t="shared" si="5538"/>
        <v>Regulatory coverage</v>
      </c>
      <c r="AC1755">
        <f t="shared" ca="1" si="5539"/>
        <v>90</v>
      </c>
      <c r="AD1755">
        <v>1696</v>
      </c>
      <c r="AE1755" t="str">
        <f>IF(AND(ISNUMBER(SEARCH(O1755,4)),ISNUMBER(SEARCH('(4) FCH pathway assessment'!$B$16,AB1755)),ISNUMBER(SEARCH('(4) FCH pathway assessment'!$B$10,AA1755))),AD1755,"")</f>
        <v/>
      </c>
      <c r="AF1755" t="str">
        <f t="shared" si="5441"/>
        <v/>
      </c>
      <c r="AG1755" t="str">
        <f>VLOOKUP(C1755,Assumptions!$B$116:$C$162,2,FALSE)</f>
        <v>ELCTRLYZ_MED_C</v>
      </c>
      <c r="AH1755" t="str">
        <f>VLOOKUP(D1755,Assumptions!$B$116:$C$162,2,FALSE)</f>
        <v>C_GAS_STRG</v>
      </c>
      <c r="AI1755" t="str">
        <f>VLOOKUP(E1755,Assumptions!$B$116:$C$162,2,FALSE)</f>
        <v>METHANATION</v>
      </c>
      <c r="AJ1755" t="str">
        <f>VLOOKUP(F1755,Assumptions!$B$116:$C$162,2,FALSE)</f>
        <v>NG_FC_DCHP_PWR</v>
      </c>
    </row>
    <row r="1756" spans="2:36" x14ac:dyDescent="0.25">
      <c r="B1756" t="s">
        <v>127</v>
      </c>
      <c r="C1756" t="s">
        <v>57</v>
      </c>
      <c r="D1756" t="s">
        <v>62</v>
      </c>
      <c r="E1756" t="s">
        <v>65</v>
      </c>
      <c r="F1756" t="s">
        <v>550</v>
      </c>
      <c r="G1756" t="s">
        <v>114</v>
      </c>
      <c r="H1756" t="s">
        <v>433</v>
      </c>
      <c r="I1756" t="s">
        <v>32</v>
      </c>
      <c r="J1756" t="s">
        <v>534</v>
      </c>
      <c r="K1756">
        <f t="shared" ref="K1756" si="5541">SUMPRODUCT(($C$7:$C$18=$C1756)*($D$6:$H$6=$D1756)*($D$7:$H$18))</f>
        <v>1</v>
      </c>
      <c r="L1756">
        <f t="shared" ref="L1756" si="5542">SUMPRODUCT(($C$19:$C$23=$D1756)*($I$6:$O$6=$E1756)*($I$19:$O$23))</f>
        <v>0</v>
      </c>
      <c r="M1756">
        <f t="shared" ref="M1756" si="5543">SUMPRODUCT(($C$24:$C$30=$E1756)*($P$6:$AI$6=$F1756)*($P$24:$AI$30))</f>
        <v>0</v>
      </c>
      <c r="N1756">
        <f t="shared" ref="N1756" si="5544">SUMPRODUCT(($C$31:$C$50=$F1756)*($AJ$6:$AM$6=$G1756)*($AJ$31:$AM$50))</f>
        <v>1</v>
      </c>
      <c r="O1756">
        <f t="shared" ref="O1756" si="5545">K1756+L1756+M1756+N1756</f>
        <v>2</v>
      </c>
      <c r="P1756" t="str">
        <f t="shared" ref="P1756" si="5546">CONCATENATE(C1756,"-",J1756)</f>
        <v>Large centralized natural gas steam reforming-Regulatory coverage</v>
      </c>
      <c r="Q1756" t="str">
        <f t="shared" ref="Q1756" si="5547">CONCATENATE(D1756,"-",J1756)</f>
        <v>Underground storage-Regulatory coverage</v>
      </c>
      <c r="R1756" t="str">
        <f t="shared" ref="R1756" si="5548">CONCATENATE(E1756,"-",J1756)</f>
        <v>Methanation-Regulatory coverage</v>
      </c>
      <c r="S1756" t="str">
        <f t="shared" ref="S1756" si="5549">CONCATENATE(F1756,"-",J1756)</f>
        <v>District-CHP with natural gas fuel cell (power)-Regulatory coverage</v>
      </c>
      <c r="T1756">
        <f ca="1">VLOOKUP($P1756,'TA database'!$I$8:$J$79,2,FALSE)</f>
        <v>100</v>
      </c>
      <c r="U1756">
        <f ca="1">VLOOKUP($Q1756,'TA database'!$I$86:$J$105,2,FALSE)</f>
        <v>0</v>
      </c>
      <c r="V1756">
        <f ca="1">VLOOKUP($R1756,'TA database'!$I$112:$J$139,2,FALSE)</f>
        <v>80</v>
      </c>
      <c r="W1756">
        <f>IFERROR(VLOOKUP($S1756,'TA database'!$I$146:$J$193,2,FALSE),0)</f>
        <v>0</v>
      </c>
      <c r="X1756">
        <f ca="1">IFERROR(VLOOKUP($S1756,'TA database'!$I$200:$J$271,2,FALSE),0)</f>
        <v>100</v>
      </c>
      <c r="Y1756">
        <f t="shared" ref="Y1756:Y1757" ca="1" si="5550">IF($W1756=0,SUM($T1756:$V1756,$X1756)/4,SUM($T1756:$W1756)/4)</f>
        <v>70</v>
      </c>
      <c r="Z1756" t="str">
        <f t="shared" ref="Z1756" si="5551">CONCATENATE(AG1756,"   →   ",AH1756,"   →   ",AI1756,"   →   ",AJ1756)</f>
        <v>NG_SR_LRG_C   →   C_UNDRGRND_STRG   →   METHANATION   →   NG_FC_DCHP_PWR</v>
      </c>
      <c r="AA1756" t="str">
        <f t="shared" ref="AA1756" si="5552">G1756</f>
        <v>Grid electricity</v>
      </c>
      <c r="AB1756" t="str">
        <f t="shared" ref="AB1756" si="5553">J1756</f>
        <v>Regulatory coverage</v>
      </c>
      <c r="AC1756">
        <f t="shared" ref="AC1756" ca="1" si="5554">Y1756</f>
        <v>70</v>
      </c>
      <c r="AD1756">
        <v>1697</v>
      </c>
      <c r="AE1756" t="str">
        <f>IF(AND(ISNUMBER(SEARCH(O1756,4)),ISNUMBER(SEARCH('(4) FCH pathway assessment'!$B$16,AB1756)),ISNUMBER(SEARCH('(4) FCH pathway assessment'!$B$10,AA1756))),AD1756,"")</f>
        <v/>
      </c>
      <c r="AF1756" t="str">
        <f t="shared" si="5441"/>
        <v/>
      </c>
      <c r="AG1756" t="str">
        <f>VLOOKUP(C1756,Assumptions!$B$116:$C$162,2,FALSE)</f>
        <v>NG_SR_LRG_C</v>
      </c>
      <c r="AH1756" t="str">
        <f>VLOOKUP(D1756,Assumptions!$B$116:$C$162,2,FALSE)</f>
        <v>C_UNDRGRND_STRG</v>
      </c>
      <c r="AI1756" t="str">
        <f>VLOOKUP(E1756,Assumptions!$B$116:$C$162,2,FALSE)</f>
        <v>METHANATION</v>
      </c>
      <c r="AJ1756" t="str">
        <f>VLOOKUP(F1756,Assumptions!$B$116:$C$162,2,FALSE)</f>
        <v>NG_FC_DCHP_PWR</v>
      </c>
    </row>
    <row r="1757" spans="2:36" x14ac:dyDescent="0.25">
      <c r="B1757" t="s">
        <v>127</v>
      </c>
      <c r="C1757" t="s">
        <v>58</v>
      </c>
      <c r="D1757" t="s">
        <v>155</v>
      </c>
      <c r="E1757" t="s">
        <v>65</v>
      </c>
      <c r="F1757" t="s">
        <v>550</v>
      </c>
      <c r="G1757" t="s">
        <v>114</v>
      </c>
      <c r="H1757" t="s">
        <v>433</v>
      </c>
      <c r="I1757" t="s">
        <v>32</v>
      </c>
      <c r="J1757" t="s">
        <v>534</v>
      </c>
      <c r="K1757">
        <f t="shared" ref="K1757" si="5555">SUMPRODUCT(($C$7:$C$18=$C1757)*($D$6:$H$6=$D1757)*($D$7:$H$18))</f>
        <v>1</v>
      </c>
      <c r="L1757">
        <f t="shared" ref="L1757" si="5556">SUMPRODUCT(($C$19:$C$23=$D1757)*($I$6:$O$6=$E1757)*($I$19:$O$23))</f>
        <v>1</v>
      </c>
      <c r="M1757">
        <f t="shared" ref="M1757" si="5557">SUMPRODUCT(($C$24:$C$30=$E1757)*($P$6:$AI$6=$F1757)*($P$24:$AI$30))</f>
        <v>0</v>
      </c>
      <c r="N1757">
        <f t="shared" ref="N1757" si="5558">SUMPRODUCT(($C$31:$C$50=$F1757)*($AJ$6:$AM$6=$G1757)*($AJ$31:$AM$50))</f>
        <v>1</v>
      </c>
      <c r="O1757">
        <f t="shared" ref="O1757" si="5559">K1757+L1757+M1757+N1757</f>
        <v>3</v>
      </c>
      <c r="P1757" t="str">
        <f t="shared" ref="P1757" si="5560">CONCATENATE(C1757,"-",J1757)</f>
        <v>Small centralized natural gas steam reforming-Regulatory coverage</v>
      </c>
      <c r="Q1757" t="str">
        <f t="shared" ref="Q1757" si="5561">CONCATENATE(D1757,"-",J1757)</f>
        <v>Central gas storage-Regulatory coverage</v>
      </c>
      <c r="R1757" t="str">
        <f t="shared" ref="R1757" si="5562">CONCATENATE(E1757,"-",J1757)</f>
        <v>Methanation-Regulatory coverage</v>
      </c>
      <c r="S1757" t="str">
        <f t="shared" ref="S1757" si="5563">CONCATENATE(F1757,"-",J1757)</f>
        <v>District-CHP with natural gas fuel cell (power)-Regulatory coverage</v>
      </c>
      <c r="T1757">
        <f ca="1">VLOOKUP($P1757,'TA database'!$I$8:$J$79,2,FALSE)</f>
        <v>100</v>
      </c>
      <c r="U1757">
        <f ca="1">VLOOKUP($Q1757,'TA database'!$I$86:$J$105,2,FALSE)</f>
        <v>80</v>
      </c>
      <c r="V1757">
        <f ca="1">VLOOKUP($R1757,'TA database'!$I$112:$J$139,2,FALSE)</f>
        <v>80</v>
      </c>
      <c r="W1757">
        <f>IFERROR(VLOOKUP($S1757,'TA database'!$I$146:$J$193,2,FALSE),0)</f>
        <v>0</v>
      </c>
      <c r="X1757">
        <f ca="1">IFERROR(VLOOKUP($S1757,'TA database'!$I$200:$J$271,2,FALSE),0)</f>
        <v>100</v>
      </c>
      <c r="Y1757">
        <f t="shared" ca="1" si="5550"/>
        <v>90</v>
      </c>
      <c r="Z1757" t="str">
        <f t="shared" ref="Z1757" si="5564">CONCATENATE(AG1757,"   →   ",AH1757,"   →   ",AI1757,"   →   ",AJ1757)</f>
        <v>NG_SR_SML_C   →   C_GAS_STRG   →   METHANATION   →   NG_FC_DCHP_PWR</v>
      </c>
      <c r="AA1757" t="str">
        <f t="shared" ref="AA1757" si="5565">G1757</f>
        <v>Grid electricity</v>
      </c>
      <c r="AB1757" t="str">
        <f t="shared" ref="AB1757" si="5566">J1757</f>
        <v>Regulatory coverage</v>
      </c>
      <c r="AC1757">
        <f t="shared" ref="AC1757" ca="1" si="5567">Y1757</f>
        <v>90</v>
      </c>
      <c r="AD1757">
        <v>1698</v>
      </c>
      <c r="AE1757" t="str">
        <f>IF(AND(ISNUMBER(SEARCH(O1757,4)),ISNUMBER(SEARCH('(4) FCH pathway assessment'!$B$16,AB1757)),ISNUMBER(SEARCH('(4) FCH pathway assessment'!$B$10,AA1757))),AD1757,"")</f>
        <v/>
      </c>
      <c r="AF1757" t="str">
        <f t="shared" si="5441"/>
        <v/>
      </c>
      <c r="AG1757" t="str">
        <f>VLOOKUP(C1757,Assumptions!$B$116:$C$162,2,FALSE)</f>
        <v>NG_SR_SML_C</v>
      </c>
      <c r="AH1757" t="str">
        <f>VLOOKUP(D1757,Assumptions!$B$116:$C$162,2,FALSE)</f>
        <v>C_GAS_STRG</v>
      </c>
      <c r="AI1757" t="str">
        <f>VLOOKUP(E1757,Assumptions!$B$116:$C$162,2,FALSE)</f>
        <v>METHANATION</v>
      </c>
      <c r="AJ1757" t="str">
        <f>VLOOKUP(F1757,Assumptions!$B$116:$C$162,2,FALSE)</f>
        <v>NG_FC_DCHP_PWR</v>
      </c>
    </row>
    <row r="1758" spans="2:36" x14ac:dyDescent="0.25">
      <c r="B1758" t="s">
        <v>127</v>
      </c>
      <c r="C1758" t="s">
        <v>174</v>
      </c>
      <c r="D1758" s="61" t="s">
        <v>177</v>
      </c>
      <c r="E1758" t="s">
        <v>180</v>
      </c>
      <c r="F1758" t="s">
        <v>550</v>
      </c>
      <c r="G1758" t="s">
        <v>114</v>
      </c>
      <c r="H1758" t="s">
        <v>433</v>
      </c>
      <c r="I1758" t="s">
        <v>32</v>
      </c>
      <c r="J1758" t="s">
        <v>534</v>
      </c>
      <c r="K1758">
        <f t="shared" ref="K1758:K1762" si="5568">SUMPRODUCT(($C$7:$C$18=$C1758)*($D$6:$H$6=$D1758)*($D$7:$H$18))</f>
        <v>1</v>
      </c>
      <c r="L1758">
        <f t="shared" ref="L1758:L1762" si="5569">SUMPRODUCT(($C$19:$C$23=$D1758)*($I$6:$O$6=$E1758)*($I$19:$O$23))</f>
        <v>1</v>
      </c>
      <c r="M1758">
        <f t="shared" ref="M1758:M1762" si="5570">SUMPRODUCT(($C$24:$C$30=$E1758)*($P$6:$AI$6=$F1758)*($P$24:$AI$30))</f>
        <v>1</v>
      </c>
      <c r="N1758">
        <f t="shared" ref="N1758:N1762" si="5571">SUMPRODUCT(($C$31:$C$50=$F1758)*($AJ$6:$AM$6=$G1758)*($AJ$31:$AM$50))</f>
        <v>1</v>
      </c>
      <c r="O1758">
        <f t="shared" ref="O1758:O1762" si="5572">K1758+L1758+M1758+N1758</f>
        <v>4</v>
      </c>
      <c r="P1758" t="str">
        <f t="shared" ref="P1758:P1762" si="5573">CONCATENATE(C1758,"-",J1758)</f>
        <v>Natural gas production-Regulatory coverage</v>
      </c>
      <c r="Q1758" t="str">
        <f t="shared" ref="Q1758:Q1762" si="5574">CONCATENATE(D1758,"-",J1758)</f>
        <v>Natural gas storage-Regulatory coverage</v>
      </c>
      <c r="R1758" t="str">
        <f t="shared" ref="R1758:R1762" si="5575">CONCATENATE(E1758,"-",J1758)</f>
        <v>Natural gas transport-Regulatory coverage</v>
      </c>
      <c r="S1758" t="str">
        <f t="shared" ref="S1758:S1762" si="5576">CONCATENATE(F1758,"-",J1758)</f>
        <v>District-CHP with natural gas fuel cell (power)-Regulatory coverage</v>
      </c>
      <c r="T1758">
        <f ca="1">VLOOKUP($P1758,'TA database'!$I$8:$J$79,2,FALSE)</f>
        <v>100</v>
      </c>
      <c r="U1758">
        <f ca="1">VLOOKUP($Q1758,'TA database'!$I$86:$J$105,2,FALSE)</f>
        <v>100</v>
      </c>
      <c r="V1758">
        <f ca="1">VLOOKUP($R1758,'TA database'!$I$112:$J$139,2,FALSE)</f>
        <v>100</v>
      </c>
      <c r="W1758">
        <f>IFERROR(VLOOKUP($S1758,'TA database'!$I$146:$J$193,2,FALSE),0)</f>
        <v>0</v>
      </c>
      <c r="X1758">
        <f ca="1">IFERROR(VLOOKUP($S1758,'TA database'!$I$200:$J$271,2,FALSE),0)</f>
        <v>100</v>
      </c>
      <c r="Y1758">
        <f t="shared" ref="Y1758:Y1762" ca="1" si="5577">IF($W1758=0,SUM($T1758:$V1758,$X1758)/4,SUM($T1758:$W1758)/4)</f>
        <v>100</v>
      </c>
      <c r="Z1758" t="str">
        <f t="shared" ref="Z1758:Z1762" si="5578">CONCATENATE(AG1758,"   →   ",AH1758,"   →   ",AI1758,"   →   ",AJ1758)</f>
        <v>[NG_PROD]   →   [NG_STRG]   →   [NG_TRNSP]   →   NG_FC_DCHP_PWR</v>
      </c>
      <c r="AA1758" t="str">
        <f t="shared" ref="AA1758:AA1762" si="5579">G1758</f>
        <v>Grid electricity</v>
      </c>
      <c r="AB1758" t="str">
        <f t="shared" ref="AB1758:AB1762" si="5580">J1758</f>
        <v>Regulatory coverage</v>
      </c>
      <c r="AC1758">
        <f t="shared" ref="AC1758:AC1762" ca="1" si="5581">Y1758</f>
        <v>100</v>
      </c>
      <c r="AD1758">
        <v>1699</v>
      </c>
      <c r="AE1758" t="str">
        <f>IF(AND(ISNUMBER(SEARCH(O1758,4)),ISNUMBER(SEARCH('(4) FCH pathway assessment'!$B$16,AB1758)),ISNUMBER(SEARCH('(4) FCH pathway assessment'!$B$10,AA1758))),AD1758,"")</f>
        <v/>
      </c>
      <c r="AF1758" t="str">
        <f t="shared" si="5441"/>
        <v/>
      </c>
      <c r="AG1758" t="str">
        <f>VLOOKUP(C1758,Assumptions!$B$116:$C$162,2,FALSE)</f>
        <v>[NG_PROD]</v>
      </c>
      <c r="AH1758" t="str">
        <f>VLOOKUP(D1758,Assumptions!$B$116:$C$162,2,FALSE)</f>
        <v>[NG_STRG]</v>
      </c>
      <c r="AI1758" t="str">
        <f>VLOOKUP(E1758,Assumptions!$B$116:$C$162,2,FALSE)</f>
        <v>[NG_TRNSP]</v>
      </c>
      <c r="AJ1758" t="str">
        <f>VLOOKUP(F1758,Assumptions!$B$116:$C$162,2,FALSE)</f>
        <v>NG_FC_DCHP_PWR</v>
      </c>
    </row>
    <row r="1759" spans="2:36" x14ac:dyDescent="0.25">
      <c r="B1759" t="s">
        <v>117</v>
      </c>
      <c r="C1759" t="s">
        <v>53</v>
      </c>
      <c r="D1759" t="s">
        <v>155</v>
      </c>
      <c r="E1759" t="s">
        <v>157</v>
      </c>
      <c r="F1759" t="s">
        <v>163</v>
      </c>
      <c r="G1759" t="s">
        <v>114</v>
      </c>
      <c r="H1759" t="s">
        <v>433</v>
      </c>
      <c r="I1759" t="s">
        <v>32</v>
      </c>
      <c r="J1759" t="s">
        <v>534</v>
      </c>
      <c r="K1759">
        <f t="shared" si="5568"/>
        <v>0</v>
      </c>
      <c r="L1759">
        <f t="shared" si="5569"/>
        <v>1</v>
      </c>
      <c r="M1759">
        <f t="shared" si="5570"/>
        <v>0</v>
      </c>
      <c r="N1759">
        <f t="shared" si="5571"/>
        <v>0</v>
      </c>
      <c r="O1759">
        <f t="shared" si="5572"/>
        <v>1</v>
      </c>
      <c r="P1759" t="str">
        <f t="shared" si="5573"/>
        <v>Medium centralized biomass gasification-Regulatory coverage</v>
      </c>
      <c r="Q1759" t="str">
        <f t="shared" si="5574"/>
        <v>Central gas storage-Regulatory coverage</v>
      </c>
      <c r="R1759" t="str">
        <f t="shared" si="5575"/>
        <v>Blending in natural gas pipeline-Regulatory coverage</v>
      </c>
      <c r="S1759" t="str">
        <f t="shared" si="5576"/>
        <v>Hydrogen turbine (CC)-Regulatory coverage</v>
      </c>
      <c r="T1759">
        <f ca="1">VLOOKUP($P1759,'TA database'!$I$8:$J$79,2,FALSE)</f>
        <v>100</v>
      </c>
      <c r="U1759">
        <f ca="1">VLOOKUP($Q1759,'TA database'!$I$86:$J$105,2,FALSE)</f>
        <v>80</v>
      </c>
      <c r="V1759">
        <f ca="1">VLOOKUP($R1759,'TA database'!$I$112:$J$139,2,FALSE)</f>
        <v>100</v>
      </c>
      <c r="W1759">
        <f>IFERROR(VLOOKUP($S1759,'TA database'!$I$146:$J$193,2,FALSE),0)</f>
        <v>0</v>
      </c>
      <c r="X1759">
        <f ca="1">IFERROR(VLOOKUP($S1759,'TA database'!$I$200:$J$271,2,FALSE),0)</f>
        <v>50</v>
      </c>
      <c r="Y1759">
        <f t="shared" ca="1" si="5577"/>
        <v>82.5</v>
      </c>
      <c r="Z1759" t="str">
        <f t="shared" si="5578"/>
        <v>BIO_GSF_MED_C   →   C_GAS_STRG   →   H2_BLND_NG_P   →   H2_CCGT_PWR</v>
      </c>
      <c r="AA1759" t="str">
        <f t="shared" si="5579"/>
        <v>Grid electricity</v>
      </c>
      <c r="AB1759" t="str">
        <f t="shared" si="5580"/>
        <v>Regulatory coverage</v>
      </c>
      <c r="AC1759">
        <f t="shared" ca="1" si="5581"/>
        <v>82.5</v>
      </c>
      <c r="AD1759">
        <v>1700</v>
      </c>
      <c r="AE1759" t="str">
        <f>IF(AND(ISNUMBER(SEARCH(O1759,4)),ISNUMBER(SEARCH('(4) FCH pathway assessment'!$B$16,AB1759)),ISNUMBER(SEARCH('(4) FCH pathway assessment'!$B$10,AA1759))),AD1759,"")</f>
        <v/>
      </c>
      <c r="AF1759" t="str">
        <f t="shared" si="5441"/>
        <v/>
      </c>
      <c r="AG1759" t="str">
        <f>VLOOKUP(C1759,Assumptions!$B$116:$C$162,2,FALSE)</f>
        <v>BIO_GSF_MED_C</v>
      </c>
      <c r="AH1759" t="str">
        <f>VLOOKUP(D1759,Assumptions!$B$116:$C$162,2,FALSE)</f>
        <v>C_GAS_STRG</v>
      </c>
      <c r="AI1759" t="str">
        <f>VLOOKUP(E1759,Assumptions!$B$116:$C$162,2,FALSE)</f>
        <v>H2_BLND_NG_P</v>
      </c>
      <c r="AJ1759" t="str">
        <f>VLOOKUP(F1759,Assumptions!$B$116:$C$162,2,FALSE)</f>
        <v>H2_CCGT_PWR</v>
      </c>
    </row>
    <row r="1760" spans="2:36" x14ac:dyDescent="0.25">
      <c r="B1760" t="s">
        <v>117</v>
      </c>
      <c r="C1760" t="s">
        <v>53</v>
      </c>
      <c r="D1760" t="s">
        <v>155</v>
      </c>
      <c r="E1760" t="s">
        <v>122</v>
      </c>
      <c r="F1760" t="s">
        <v>163</v>
      </c>
      <c r="G1760" t="s">
        <v>114</v>
      </c>
      <c r="H1760" t="s">
        <v>433</v>
      </c>
      <c r="I1760" t="s">
        <v>32</v>
      </c>
      <c r="J1760" t="s">
        <v>534</v>
      </c>
      <c r="K1760">
        <f t="shared" si="5568"/>
        <v>0</v>
      </c>
      <c r="L1760">
        <f t="shared" si="5569"/>
        <v>1</v>
      </c>
      <c r="M1760">
        <f t="shared" si="5570"/>
        <v>1</v>
      </c>
      <c r="N1760">
        <f t="shared" si="5571"/>
        <v>0</v>
      </c>
      <c r="O1760">
        <f t="shared" si="5572"/>
        <v>2</v>
      </c>
      <c r="P1760" t="str">
        <f t="shared" si="5573"/>
        <v>Medium centralized biomass gasification-Regulatory coverage</v>
      </c>
      <c r="Q1760" t="str">
        <f t="shared" si="5574"/>
        <v>Central gas storage-Regulatory coverage</v>
      </c>
      <c r="R1760" t="str">
        <f t="shared" si="5575"/>
        <v>Hydrogen transmission &amp; distribution pipeline-Regulatory coverage</v>
      </c>
      <c r="S1760" t="str">
        <f t="shared" si="5576"/>
        <v>Hydrogen turbine (CC)-Regulatory coverage</v>
      </c>
      <c r="T1760">
        <f ca="1">VLOOKUP($P1760,'TA database'!$I$8:$J$79,2,FALSE)</f>
        <v>100</v>
      </c>
      <c r="U1760">
        <f ca="1">VLOOKUP($Q1760,'TA database'!$I$86:$J$105,2,FALSE)</f>
        <v>80</v>
      </c>
      <c r="V1760">
        <f ca="1">VLOOKUP($R1760,'TA database'!$I$112:$J$139,2,FALSE)</f>
        <v>40</v>
      </c>
      <c r="W1760">
        <f>IFERROR(VLOOKUP($S1760,'TA database'!$I$146:$J$193,2,FALSE),0)</f>
        <v>0</v>
      </c>
      <c r="X1760">
        <f ca="1">IFERROR(VLOOKUP($S1760,'TA database'!$I$200:$J$271,2,FALSE),0)</f>
        <v>50</v>
      </c>
      <c r="Y1760">
        <f t="shared" ca="1" si="5577"/>
        <v>67.5</v>
      </c>
      <c r="Z1760" t="str">
        <f t="shared" si="5578"/>
        <v>BIO_GSF_MED_C   →   C_GAS_STRG   →   H2_T&amp;D_P   →   H2_CCGT_PWR</v>
      </c>
      <c r="AA1760" t="str">
        <f t="shared" si="5579"/>
        <v>Grid electricity</v>
      </c>
      <c r="AB1760" t="str">
        <f t="shared" si="5580"/>
        <v>Regulatory coverage</v>
      </c>
      <c r="AC1760">
        <f t="shared" ca="1" si="5581"/>
        <v>67.5</v>
      </c>
      <c r="AD1760">
        <v>1701</v>
      </c>
      <c r="AE1760" t="str">
        <f>IF(AND(ISNUMBER(SEARCH(O1760,4)),ISNUMBER(SEARCH('(4) FCH pathway assessment'!$B$16,AB1760)),ISNUMBER(SEARCH('(4) FCH pathway assessment'!$B$10,AA1760))),AD1760,"")</f>
        <v/>
      </c>
      <c r="AF1760" t="str">
        <f t="shared" si="5441"/>
        <v/>
      </c>
      <c r="AG1760" t="str">
        <f>VLOOKUP(C1760,Assumptions!$B$116:$C$162,2,FALSE)</f>
        <v>BIO_GSF_MED_C</v>
      </c>
      <c r="AH1760" t="str">
        <f>VLOOKUP(D1760,Assumptions!$B$116:$C$162,2,FALSE)</f>
        <v>C_GAS_STRG</v>
      </c>
      <c r="AI1760" t="str">
        <f>VLOOKUP(E1760,Assumptions!$B$116:$C$162,2,FALSE)</f>
        <v>H2_T&amp;D_P</v>
      </c>
      <c r="AJ1760" t="str">
        <f>VLOOKUP(F1760,Assumptions!$B$116:$C$162,2,FALSE)</f>
        <v>H2_CCGT_PWR</v>
      </c>
    </row>
    <row r="1761" spans="2:36" x14ac:dyDescent="0.25">
      <c r="B1761" t="s">
        <v>117</v>
      </c>
      <c r="C1761" t="s">
        <v>53</v>
      </c>
      <c r="D1761" t="s">
        <v>155</v>
      </c>
      <c r="E1761" t="s">
        <v>116</v>
      </c>
      <c r="F1761" t="s">
        <v>163</v>
      </c>
      <c r="G1761" t="s">
        <v>114</v>
      </c>
      <c r="H1761" t="s">
        <v>433</v>
      </c>
      <c r="I1761" t="s">
        <v>32</v>
      </c>
      <c r="J1761" t="s">
        <v>534</v>
      </c>
      <c r="K1761">
        <f t="shared" si="5568"/>
        <v>0</v>
      </c>
      <c r="L1761">
        <f t="shared" si="5569"/>
        <v>1</v>
      </c>
      <c r="M1761">
        <f t="shared" si="5570"/>
        <v>1</v>
      </c>
      <c r="N1761">
        <f t="shared" si="5571"/>
        <v>0</v>
      </c>
      <c r="O1761">
        <f t="shared" si="5572"/>
        <v>2</v>
      </c>
      <c r="P1761" t="str">
        <f t="shared" si="5573"/>
        <v>Medium centralized biomass gasification-Regulatory coverage</v>
      </c>
      <c r="Q1761" t="str">
        <f t="shared" si="5574"/>
        <v>Central gas storage-Regulatory coverage</v>
      </c>
      <c r="R1761" t="str">
        <f t="shared" si="5575"/>
        <v>Liquid hydrogen truck-Regulatory coverage</v>
      </c>
      <c r="S1761" t="str">
        <f t="shared" si="5576"/>
        <v>Hydrogen turbine (CC)-Regulatory coverage</v>
      </c>
      <c r="T1761">
        <f ca="1">VLOOKUP($P1761,'TA database'!$I$8:$J$79,2,FALSE)</f>
        <v>100</v>
      </c>
      <c r="U1761">
        <f ca="1">VLOOKUP($Q1761,'TA database'!$I$86:$J$105,2,FALSE)</f>
        <v>80</v>
      </c>
      <c r="V1761">
        <f ca="1">VLOOKUP($R1761,'TA database'!$I$112:$J$139,2,FALSE)</f>
        <v>40</v>
      </c>
      <c r="W1761">
        <f>IFERROR(VLOOKUP($S1761,'TA database'!$I$146:$J$193,2,FALSE),0)</f>
        <v>0</v>
      </c>
      <c r="X1761">
        <f ca="1">IFERROR(VLOOKUP($S1761,'TA database'!$I$200:$J$271,2,FALSE),0)</f>
        <v>50</v>
      </c>
      <c r="Y1761">
        <f t="shared" ca="1" si="5577"/>
        <v>67.5</v>
      </c>
      <c r="Z1761" t="str">
        <f t="shared" si="5578"/>
        <v>BIO_GSF_MED_C   →   C_GAS_STRG   →   LQ_TRUCK   →   H2_CCGT_PWR</v>
      </c>
      <c r="AA1761" t="str">
        <f t="shared" si="5579"/>
        <v>Grid electricity</v>
      </c>
      <c r="AB1761" t="str">
        <f t="shared" si="5580"/>
        <v>Regulatory coverage</v>
      </c>
      <c r="AC1761">
        <f t="shared" ca="1" si="5581"/>
        <v>67.5</v>
      </c>
      <c r="AD1761">
        <v>1702</v>
      </c>
      <c r="AE1761" t="str">
        <f>IF(AND(ISNUMBER(SEARCH(O1761,4)),ISNUMBER(SEARCH('(4) FCH pathway assessment'!$B$16,AB1761)),ISNUMBER(SEARCH('(4) FCH pathway assessment'!$B$10,AA1761))),AD1761,"")</f>
        <v/>
      </c>
      <c r="AF1761" t="str">
        <f t="shared" si="5441"/>
        <v/>
      </c>
      <c r="AG1761" t="str">
        <f>VLOOKUP(C1761,Assumptions!$B$116:$C$162,2,FALSE)</f>
        <v>BIO_GSF_MED_C</v>
      </c>
      <c r="AH1761" t="str">
        <f>VLOOKUP(D1761,Assumptions!$B$116:$C$162,2,FALSE)</f>
        <v>C_GAS_STRG</v>
      </c>
      <c r="AI1761" t="str">
        <f>VLOOKUP(E1761,Assumptions!$B$116:$C$162,2,FALSE)</f>
        <v>LQ_TRUCK</v>
      </c>
      <c r="AJ1761" t="str">
        <f>VLOOKUP(F1761,Assumptions!$B$116:$C$162,2,FALSE)</f>
        <v>H2_CCGT_PWR</v>
      </c>
    </row>
    <row r="1762" spans="2:36" x14ac:dyDescent="0.25">
      <c r="B1762" t="s">
        <v>117</v>
      </c>
      <c r="C1762" t="s">
        <v>53</v>
      </c>
      <c r="D1762" t="s">
        <v>155</v>
      </c>
      <c r="E1762" t="s">
        <v>66</v>
      </c>
      <c r="F1762" t="s">
        <v>163</v>
      </c>
      <c r="G1762" t="s">
        <v>114</v>
      </c>
      <c r="H1762" t="s">
        <v>433</v>
      </c>
      <c r="I1762" t="s">
        <v>32</v>
      </c>
      <c r="J1762" t="s">
        <v>534</v>
      </c>
      <c r="K1762">
        <f t="shared" si="5568"/>
        <v>0</v>
      </c>
      <c r="L1762">
        <f t="shared" si="5569"/>
        <v>1</v>
      </c>
      <c r="M1762">
        <f t="shared" si="5570"/>
        <v>1</v>
      </c>
      <c r="N1762">
        <f t="shared" si="5571"/>
        <v>0</v>
      </c>
      <c r="O1762">
        <f t="shared" si="5572"/>
        <v>2</v>
      </c>
      <c r="P1762" t="str">
        <f t="shared" si="5573"/>
        <v>Medium centralized biomass gasification-Regulatory coverage</v>
      </c>
      <c r="Q1762" t="str">
        <f t="shared" si="5574"/>
        <v>Central gas storage-Regulatory coverage</v>
      </c>
      <c r="R1762" t="str">
        <f t="shared" si="5575"/>
        <v>Onsite-Regulatory coverage</v>
      </c>
      <c r="S1762" t="str">
        <f t="shared" si="5576"/>
        <v>Hydrogen turbine (CC)-Regulatory coverage</v>
      </c>
      <c r="T1762">
        <f ca="1">VLOOKUP($P1762,'TA database'!$I$8:$J$79,2,FALSE)</f>
        <v>100</v>
      </c>
      <c r="U1762">
        <f ca="1">VLOOKUP($Q1762,'TA database'!$I$86:$J$105,2,FALSE)</f>
        <v>80</v>
      </c>
      <c r="V1762">
        <f ca="1">VLOOKUP($R1762,'TA database'!$I$112:$J$139,2,FALSE)</f>
        <v>100</v>
      </c>
      <c r="W1762">
        <f>IFERROR(VLOOKUP($S1762,'TA database'!$I$146:$J$193,2,FALSE),0)</f>
        <v>0</v>
      </c>
      <c r="X1762">
        <f ca="1">IFERROR(VLOOKUP($S1762,'TA database'!$I$200:$J$271,2,FALSE),0)</f>
        <v>50</v>
      </c>
      <c r="Y1762">
        <f t="shared" ca="1" si="5577"/>
        <v>82.5</v>
      </c>
      <c r="Z1762" t="str">
        <f t="shared" si="5578"/>
        <v>BIO_GSF_MED_C   →   C_GAS_STRG   →   ONSITE_USE   →   H2_CCGT_PWR</v>
      </c>
      <c r="AA1762" t="str">
        <f t="shared" si="5579"/>
        <v>Grid electricity</v>
      </c>
      <c r="AB1762" t="str">
        <f t="shared" si="5580"/>
        <v>Regulatory coverage</v>
      </c>
      <c r="AC1762">
        <f t="shared" ca="1" si="5581"/>
        <v>82.5</v>
      </c>
      <c r="AD1762">
        <v>1703</v>
      </c>
      <c r="AE1762" t="str">
        <f>IF(AND(ISNUMBER(SEARCH(O1762,4)),ISNUMBER(SEARCH('(4) FCH pathway assessment'!$B$16,AB1762)),ISNUMBER(SEARCH('(4) FCH pathway assessment'!$B$10,AA1762))),AD1762,"")</f>
        <v/>
      </c>
      <c r="AF1762" t="str">
        <f t="shared" si="5441"/>
        <v/>
      </c>
      <c r="AG1762" t="str">
        <f>VLOOKUP(C1762,Assumptions!$B$116:$C$162,2,FALSE)</f>
        <v>BIO_GSF_MED_C</v>
      </c>
      <c r="AH1762" t="str">
        <f>VLOOKUP(D1762,Assumptions!$B$116:$C$162,2,FALSE)</f>
        <v>C_GAS_STRG</v>
      </c>
      <c r="AI1762" t="str">
        <f>VLOOKUP(E1762,Assumptions!$B$116:$C$162,2,FALSE)</f>
        <v>ONSITE_USE</v>
      </c>
      <c r="AJ1762" t="str">
        <f>VLOOKUP(F1762,Assumptions!$B$116:$C$162,2,FALSE)</f>
        <v>H2_CCGT_PWR</v>
      </c>
    </row>
    <row r="1763" spans="2:36" x14ac:dyDescent="0.25">
      <c r="B1763" t="s">
        <v>117</v>
      </c>
      <c r="C1763" t="s">
        <v>54</v>
      </c>
      <c r="D1763" t="s">
        <v>155</v>
      </c>
      <c r="E1763" t="s">
        <v>157</v>
      </c>
      <c r="F1763" t="s">
        <v>163</v>
      </c>
      <c r="G1763" t="s">
        <v>114</v>
      </c>
      <c r="H1763" t="s">
        <v>433</v>
      </c>
      <c r="I1763" t="s">
        <v>32</v>
      </c>
      <c r="J1763" t="s">
        <v>534</v>
      </c>
      <c r="K1763">
        <f t="shared" ref="K1763:K1767" si="5582">SUMPRODUCT(($C$7:$C$18=$C1763)*($D$6:$H$6=$D1763)*($D$7:$H$18))</f>
        <v>0</v>
      </c>
      <c r="L1763">
        <f t="shared" ref="L1763:L1767" si="5583">SUMPRODUCT(($C$19:$C$23=$D1763)*($I$6:$O$6=$E1763)*($I$19:$O$23))</f>
        <v>1</v>
      </c>
      <c r="M1763">
        <f t="shared" ref="M1763:M1767" si="5584">SUMPRODUCT(($C$24:$C$30=$E1763)*($P$6:$AI$6=$F1763)*($P$24:$AI$30))</f>
        <v>0</v>
      </c>
      <c r="N1763">
        <f t="shared" ref="N1763:N1767" si="5585">SUMPRODUCT(($C$31:$C$50=$F1763)*($AJ$6:$AM$6=$G1763)*($AJ$31:$AM$50))</f>
        <v>0</v>
      </c>
      <c r="O1763">
        <f t="shared" ref="O1763:O1767" si="5586">K1763+L1763+M1763+N1763</f>
        <v>1</v>
      </c>
      <c r="P1763" t="str">
        <f t="shared" ref="P1763:P1767" si="5587">CONCATENATE(C1763,"-",J1763)</f>
        <v>Medium centralized biomass gasification w/ CCS-Regulatory coverage</v>
      </c>
      <c r="Q1763" t="str">
        <f t="shared" ref="Q1763:Q1767" si="5588">CONCATENATE(D1763,"-",J1763)</f>
        <v>Central gas storage-Regulatory coverage</v>
      </c>
      <c r="R1763" t="str">
        <f t="shared" ref="R1763:R1767" si="5589">CONCATENATE(E1763,"-",J1763)</f>
        <v>Blending in natural gas pipeline-Regulatory coverage</v>
      </c>
      <c r="S1763" t="str">
        <f t="shared" ref="S1763:S1767" si="5590">CONCATENATE(F1763,"-",J1763)</f>
        <v>Hydrogen turbine (CC)-Regulatory coverage</v>
      </c>
      <c r="T1763">
        <f ca="1">VLOOKUP($P1763,'TA database'!$I$8:$J$79,2,FALSE)</f>
        <v>80</v>
      </c>
      <c r="U1763">
        <f ca="1">VLOOKUP($Q1763,'TA database'!$I$86:$J$105,2,FALSE)</f>
        <v>80</v>
      </c>
      <c r="V1763">
        <f ca="1">VLOOKUP($R1763,'TA database'!$I$112:$J$139,2,FALSE)</f>
        <v>100</v>
      </c>
      <c r="W1763">
        <f>IFERROR(VLOOKUP($S1763,'TA database'!$I$146:$J$193,2,FALSE),0)</f>
        <v>0</v>
      </c>
      <c r="X1763">
        <f ca="1">IFERROR(VLOOKUP($S1763,'TA database'!$I$200:$J$271,2,FALSE),0)</f>
        <v>50</v>
      </c>
      <c r="Y1763">
        <f t="shared" ref="Y1763:Y1766" ca="1" si="5591">IF($W1763=0,SUM($T1763:$V1763,$X1763)/4,SUM($T1763:$W1763)/4)</f>
        <v>77.5</v>
      </c>
      <c r="Z1763" t="str">
        <f t="shared" ref="Z1763:Z1767" si="5592">CONCATENATE(AG1763,"   →   ",AH1763,"   →   ",AI1763,"   →   ",AJ1763)</f>
        <v>BIO_GSF_CCS_MED_C   →   C_GAS_STRG   →   H2_BLND_NG_P   →   H2_CCGT_PWR</v>
      </c>
      <c r="AA1763" t="str">
        <f t="shared" ref="AA1763:AA1767" si="5593">G1763</f>
        <v>Grid electricity</v>
      </c>
      <c r="AB1763" t="str">
        <f t="shared" ref="AB1763:AB1767" si="5594">J1763</f>
        <v>Regulatory coverage</v>
      </c>
      <c r="AC1763">
        <f t="shared" ref="AC1763:AC1767" ca="1" si="5595">Y1763</f>
        <v>77.5</v>
      </c>
      <c r="AD1763">
        <v>1704</v>
      </c>
      <c r="AE1763" t="str">
        <f>IF(AND(ISNUMBER(SEARCH(O1763,4)),ISNUMBER(SEARCH('(4) FCH pathway assessment'!$B$16,AB1763)),ISNUMBER(SEARCH('(4) FCH pathway assessment'!$B$10,AA1763))),AD1763,"")</f>
        <v/>
      </c>
      <c r="AF1763" t="str">
        <f t="shared" si="5441"/>
        <v/>
      </c>
      <c r="AG1763" t="str">
        <f>VLOOKUP(C1763,Assumptions!$B$116:$C$162,2,FALSE)</f>
        <v>BIO_GSF_CCS_MED_C</v>
      </c>
      <c r="AH1763" t="str">
        <f>VLOOKUP(D1763,Assumptions!$B$116:$C$162,2,FALSE)</f>
        <v>C_GAS_STRG</v>
      </c>
      <c r="AI1763" t="str">
        <f>VLOOKUP(E1763,Assumptions!$B$116:$C$162,2,FALSE)</f>
        <v>H2_BLND_NG_P</v>
      </c>
      <c r="AJ1763" t="str">
        <f>VLOOKUP(F1763,Assumptions!$B$116:$C$162,2,FALSE)</f>
        <v>H2_CCGT_PWR</v>
      </c>
    </row>
    <row r="1764" spans="2:36" x14ac:dyDescent="0.25">
      <c r="B1764" t="s">
        <v>117</v>
      </c>
      <c r="C1764" t="s">
        <v>54</v>
      </c>
      <c r="D1764" t="s">
        <v>155</v>
      </c>
      <c r="E1764" t="s">
        <v>122</v>
      </c>
      <c r="F1764" t="s">
        <v>163</v>
      </c>
      <c r="G1764" t="s">
        <v>114</v>
      </c>
      <c r="H1764" t="s">
        <v>433</v>
      </c>
      <c r="I1764" t="s">
        <v>32</v>
      </c>
      <c r="J1764" t="s">
        <v>534</v>
      </c>
      <c r="K1764">
        <f t="shared" si="5582"/>
        <v>0</v>
      </c>
      <c r="L1764">
        <f t="shared" si="5583"/>
        <v>1</v>
      </c>
      <c r="M1764">
        <f t="shared" si="5584"/>
        <v>1</v>
      </c>
      <c r="N1764">
        <f t="shared" si="5585"/>
        <v>0</v>
      </c>
      <c r="O1764">
        <f t="shared" si="5586"/>
        <v>2</v>
      </c>
      <c r="P1764" t="str">
        <f t="shared" si="5587"/>
        <v>Medium centralized biomass gasification w/ CCS-Regulatory coverage</v>
      </c>
      <c r="Q1764" t="str">
        <f t="shared" si="5588"/>
        <v>Central gas storage-Regulatory coverage</v>
      </c>
      <c r="R1764" t="str">
        <f t="shared" si="5589"/>
        <v>Hydrogen transmission &amp; distribution pipeline-Regulatory coverage</v>
      </c>
      <c r="S1764" t="str">
        <f t="shared" si="5590"/>
        <v>Hydrogen turbine (CC)-Regulatory coverage</v>
      </c>
      <c r="T1764">
        <f ca="1">VLOOKUP($P1764,'TA database'!$I$8:$J$79,2,FALSE)</f>
        <v>80</v>
      </c>
      <c r="U1764">
        <f ca="1">VLOOKUP($Q1764,'TA database'!$I$86:$J$105,2,FALSE)</f>
        <v>80</v>
      </c>
      <c r="V1764">
        <f ca="1">VLOOKUP($R1764,'TA database'!$I$112:$J$139,2,FALSE)</f>
        <v>40</v>
      </c>
      <c r="W1764">
        <f>IFERROR(VLOOKUP($S1764,'TA database'!$I$146:$J$193,2,FALSE),0)</f>
        <v>0</v>
      </c>
      <c r="X1764">
        <f ca="1">IFERROR(VLOOKUP($S1764,'TA database'!$I$200:$J$271,2,FALSE),0)</f>
        <v>50</v>
      </c>
      <c r="Y1764">
        <f t="shared" ca="1" si="5591"/>
        <v>62.5</v>
      </c>
      <c r="Z1764" t="str">
        <f t="shared" si="5592"/>
        <v>BIO_GSF_CCS_MED_C   →   C_GAS_STRG   →   H2_T&amp;D_P   →   H2_CCGT_PWR</v>
      </c>
      <c r="AA1764" t="str">
        <f t="shared" si="5593"/>
        <v>Grid electricity</v>
      </c>
      <c r="AB1764" t="str">
        <f t="shared" si="5594"/>
        <v>Regulatory coverage</v>
      </c>
      <c r="AC1764">
        <f t="shared" ca="1" si="5595"/>
        <v>62.5</v>
      </c>
      <c r="AD1764">
        <v>1705</v>
      </c>
      <c r="AE1764" t="str">
        <f>IF(AND(ISNUMBER(SEARCH(O1764,4)),ISNUMBER(SEARCH('(4) FCH pathway assessment'!$B$16,AB1764)),ISNUMBER(SEARCH('(4) FCH pathway assessment'!$B$10,AA1764))),AD1764,"")</f>
        <v/>
      </c>
      <c r="AF1764" t="str">
        <f t="shared" si="5441"/>
        <v/>
      </c>
      <c r="AG1764" t="str">
        <f>VLOOKUP(C1764,Assumptions!$B$116:$C$162,2,FALSE)</f>
        <v>BIO_GSF_CCS_MED_C</v>
      </c>
      <c r="AH1764" t="str">
        <f>VLOOKUP(D1764,Assumptions!$B$116:$C$162,2,FALSE)</f>
        <v>C_GAS_STRG</v>
      </c>
      <c r="AI1764" t="str">
        <f>VLOOKUP(E1764,Assumptions!$B$116:$C$162,2,FALSE)</f>
        <v>H2_T&amp;D_P</v>
      </c>
      <c r="AJ1764" t="str">
        <f>VLOOKUP(F1764,Assumptions!$B$116:$C$162,2,FALSE)</f>
        <v>H2_CCGT_PWR</v>
      </c>
    </row>
    <row r="1765" spans="2:36" x14ac:dyDescent="0.25">
      <c r="B1765" t="s">
        <v>117</v>
      </c>
      <c r="C1765" t="s">
        <v>54</v>
      </c>
      <c r="D1765" t="s">
        <v>155</v>
      </c>
      <c r="E1765" t="s">
        <v>116</v>
      </c>
      <c r="F1765" t="s">
        <v>163</v>
      </c>
      <c r="G1765" t="s">
        <v>114</v>
      </c>
      <c r="H1765" t="s">
        <v>433</v>
      </c>
      <c r="I1765" t="s">
        <v>32</v>
      </c>
      <c r="J1765" t="s">
        <v>534</v>
      </c>
      <c r="K1765">
        <f t="shared" si="5582"/>
        <v>0</v>
      </c>
      <c r="L1765">
        <f t="shared" si="5583"/>
        <v>1</v>
      </c>
      <c r="M1765">
        <f t="shared" si="5584"/>
        <v>1</v>
      </c>
      <c r="N1765">
        <f t="shared" si="5585"/>
        <v>0</v>
      </c>
      <c r="O1765">
        <f t="shared" si="5586"/>
        <v>2</v>
      </c>
      <c r="P1765" t="str">
        <f t="shared" si="5587"/>
        <v>Medium centralized biomass gasification w/ CCS-Regulatory coverage</v>
      </c>
      <c r="Q1765" t="str">
        <f t="shared" si="5588"/>
        <v>Central gas storage-Regulatory coverage</v>
      </c>
      <c r="R1765" t="str">
        <f t="shared" si="5589"/>
        <v>Liquid hydrogen truck-Regulatory coverage</v>
      </c>
      <c r="S1765" t="str">
        <f t="shared" si="5590"/>
        <v>Hydrogen turbine (CC)-Regulatory coverage</v>
      </c>
      <c r="T1765">
        <f ca="1">VLOOKUP($P1765,'TA database'!$I$8:$J$79,2,FALSE)</f>
        <v>80</v>
      </c>
      <c r="U1765">
        <f ca="1">VLOOKUP($Q1765,'TA database'!$I$86:$J$105,2,FALSE)</f>
        <v>80</v>
      </c>
      <c r="V1765">
        <f ca="1">VLOOKUP($R1765,'TA database'!$I$112:$J$139,2,FALSE)</f>
        <v>40</v>
      </c>
      <c r="W1765">
        <f>IFERROR(VLOOKUP($S1765,'TA database'!$I$146:$J$193,2,FALSE),0)</f>
        <v>0</v>
      </c>
      <c r="X1765">
        <f ca="1">IFERROR(VLOOKUP($S1765,'TA database'!$I$200:$J$271,2,FALSE),0)</f>
        <v>50</v>
      </c>
      <c r="Y1765">
        <f t="shared" ca="1" si="5591"/>
        <v>62.5</v>
      </c>
      <c r="Z1765" t="str">
        <f t="shared" si="5592"/>
        <v>BIO_GSF_CCS_MED_C   →   C_GAS_STRG   →   LQ_TRUCK   →   H2_CCGT_PWR</v>
      </c>
      <c r="AA1765" t="str">
        <f t="shared" si="5593"/>
        <v>Grid electricity</v>
      </c>
      <c r="AB1765" t="str">
        <f t="shared" si="5594"/>
        <v>Regulatory coverage</v>
      </c>
      <c r="AC1765">
        <f t="shared" ca="1" si="5595"/>
        <v>62.5</v>
      </c>
      <c r="AD1765">
        <v>1706</v>
      </c>
      <c r="AE1765" t="str">
        <f>IF(AND(ISNUMBER(SEARCH(O1765,4)),ISNUMBER(SEARCH('(4) FCH pathway assessment'!$B$16,AB1765)),ISNUMBER(SEARCH('(4) FCH pathway assessment'!$B$10,AA1765))),AD1765,"")</f>
        <v/>
      </c>
      <c r="AF1765" t="str">
        <f t="shared" si="5441"/>
        <v/>
      </c>
      <c r="AG1765" t="str">
        <f>VLOOKUP(C1765,Assumptions!$B$116:$C$162,2,FALSE)</f>
        <v>BIO_GSF_CCS_MED_C</v>
      </c>
      <c r="AH1765" t="str">
        <f>VLOOKUP(D1765,Assumptions!$B$116:$C$162,2,FALSE)</f>
        <v>C_GAS_STRG</v>
      </c>
      <c r="AI1765" t="str">
        <f>VLOOKUP(E1765,Assumptions!$B$116:$C$162,2,FALSE)</f>
        <v>LQ_TRUCK</v>
      </c>
      <c r="AJ1765" t="str">
        <f>VLOOKUP(F1765,Assumptions!$B$116:$C$162,2,FALSE)</f>
        <v>H2_CCGT_PWR</v>
      </c>
    </row>
    <row r="1766" spans="2:36" x14ac:dyDescent="0.25">
      <c r="B1766" t="s">
        <v>117</v>
      </c>
      <c r="C1766" t="s">
        <v>54</v>
      </c>
      <c r="D1766" t="s">
        <v>155</v>
      </c>
      <c r="E1766" t="s">
        <v>66</v>
      </c>
      <c r="F1766" t="s">
        <v>163</v>
      </c>
      <c r="G1766" t="s">
        <v>114</v>
      </c>
      <c r="H1766" t="s">
        <v>433</v>
      </c>
      <c r="I1766" t="s">
        <v>32</v>
      </c>
      <c r="J1766" t="s">
        <v>534</v>
      </c>
      <c r="K1766">
        <f t="shared" si="5582"/>
        <v>0</v>
      </c>
      <c r="L1766">
        <f t="shared" si="5583"/>
        <v>1</v>
      </c>
      <c r="M1766">
        <f t="shared" si="5584"/>
        <v>1</v>
      </c>
      <c r="N1766">
        <f t="shared" si="5585"/>
        <v>0</v>
      </c>
      <c r="O1766">
        <f t="shared" si="5586"/>
        <v>2</v>
      </c>
      <c r="P1766" t="str">
        <f t="shared" si="5587"/>
        <v>Medium centralized biomass gasification w/ CCS-Regulatory coverage</v>
      </c>
      <c r="Q1766" t="str">
        <f t="shared" si="5588"/>
        <v>Central gas storage-Regulatory coverage</v>
      </c>
      <c r="R1766" t="str">
        <f t="shared" si="5589"/>
        <v>Onsite-Regulatory coverage</v>
      </c>
      <c r="S1766" t="str">
        <f t="shared" si="5590"/>
        <v>Hydrogen turbine (CC)-Regulatory coverage</v>
      </c>
      <c r="T1766">
        <f ca="1">VLOOKUP($P1766,'TA database'!$I$8:$J$79,2,FALSE)</f>
        <v>80</v>
      </c>
      <c r="U1766">
        <f ca="1">VLOOKUP($Q1766,'TA database'!$I$86:$J$105,2,FALSE)</f>
        <v>80</v>
      </c>
      <c r="V1766">
        <f ca="1">VLOOKUP($R1766,'TA database'!$I$112:$J$139,2,FALSE)</f>
        <v>100</v>
      </c>
      <c r="W1766">
        <f>IFERROR(VLOOKUP($S1766,'TA database'!$I$146:$J$193,2,FALSE),0)</f>
        <v>0</v>
      </c>
      <c r="X1766">
        <f ca="1">IFERROR(VLOOKUP($S1766,'TA database'!$I$200:$J$271,2,FALSE),0)</f>
        <v>50</v>
      </c>
      <c r="Y1766">
        <f t="shared" ca="1" si="5591"/>
        <v>77.5</v>
      </c>
      <c r="Z1766" t="str">
        <f t="shared" si="5592"/>
        <v>BIO_GSF_CCS_MED_C   →   C_GAS_STRG   →   ONSITE_USE   →   H2_CCGT_PWR</v>
      </c>
      <c r="AA1766" t="str">
        <f t="shared" si="5593"/>
        <v>Grid electricity</v>
      </c>
      <c r="AB1766" t="str">
        <f t="shared" si="5594"/>
        <v>Regulatory coverage</v>
      </c>
      <c r="AC1766">
        <f t="shared" ca="1" si="5595"/>
        <v>77.5</v>
      </c>
      <c r="AD1766">
        <v>1707</v>
      </c>
      <c r="AE1766" t="str">
        <f>IF(AND(ISNUMBER(SEARCH(O1766,4)),ISNUMBER(SEARCH('(4) FCH pathway assessment'!$B$16,AB1766)),ISNUMBER(SEARCH('(4) FCH pathway assessment'!$B$10,AA1766))),AD1766,"")</f>
        <v/>
      </c>
      <c r="AF1766" t="str">
        <f t="shared" si="5441"/>
        <v/>
      </c>
      <c r="AG1766" t="str">
        <f>VLOOKUP(C1766,Assumptions!$B$116:$C$162,2,FALSE)</f>
        <v>BIO_GSF_CCS_MED_C</v>
      </c>
      <c r="AH1766" t="str">
        <f>VLOOKUP(D1766,Assumptions!$B$116:$C$162,2,FALSE)</f>
        <v>C_GAS_STRG</v>
      </c>
      <c r="AI1766" t="str">
        <f>VLOOKUP(E1766,Assumptions!$B$116:$C$162,2,FALSE)</f>
        <v>ONSITE_USE</v>
      </c>
      <c r="AJ1766" t="str">
        <f>VLOOKUP(F1766,Assumptions!$B$116:$C$162,2,FALSE)</f>
        <v>H2_CCGT_PWR</v>
      </c>
    </row>
    <row r="1767" spans="2:36" x14ac:dyDescent="0.25">
      <c r="B1767" t="s">
        <v>117</v>
      </c>
      <c r="C1767" t="s">
        <v>55</v>
      </c>
      <c r="D1767" s="60" t="s">
        <v>130</v>
      </c>
      <c r="E1767" t="s">
        <v>66</v>
      </c>
      <c r="F1767" t="s">
        <v>163</v>
      </c>
      <c r="G1767" t="s">
        <v>114</v>
      </c>
      <c r="H1767" t="s">
        <v>433</v>
      </c>
      <c r="I1767" t="s">
        <v>32</v>
      </c>
      <c r="J1767" t="s">
        <v>534</v>
      </c>
      <c r="K1767">
        <f t="shared" si="5582"/>
        <v>0</v>
      </c>
      <c r="L1767">
        <f t="shared" si="5583"/>
        <v>1</v>
      </c>
      <c r="M1767">
        <f t="shared" si="5584"/>
        <v>1</v>
      </c>
      <c r="N1767">
        <f t="shared" si="5585"/>
        <v>0</v>
      </c>
      <c r="O1767">
        <f t="shared" si="5586"/>
        <v>2</v>
      </c>
      <c r="P1767" t="str">
        <f t="shared" si="5587"/>
        <v>Small decentralized biomass gasification-Regulatory coverage</v>
      </c>
      <c r="Q1767" t="str">
        <f t="shared" si="5588"/>
        <v>Distributed gas storage-Regulatory coverage</v>
      </c>
      <c r="R1767" t="str">
        <f t="shared" si="5589"/>
        <v>Onsite-Regulatory coverage</v>
      </c>
      <c r="S1767" t="str">
        <f t="shared" si="5590"/>
        <v>Hydrogen turbine (CC)-Regulatory coverage</v>
      </c>
      <c r="T1767">
        <f ca="1">VLOOKUP($P1767,'TA database'!$I$8:$J$79,2,FALSE)</f>
        <v>100</v>
      </c>
      <c r="U1767">
        <f ca="1">VLOOKUP($Q1767,'TA database'!$I$86:$J$105,2,FALSE)</f>
        <v>100</v>
      </c>
      <c r="V1767">
        <f ca="1">VLOOKUP($R1767,'TA database'!$I$112:$J$139,2,FALSE)</f>
        <v>100</v>
      </c>
      <c r="W1767">
        <f>IFERROR(VLOOKUP($S1767,'TA database'!$I$146:$J$193,2,FALSE),0)</f>
        <v>0</v>
      </c>
      <c r="X1767">
        <f ca="1">IFERROR(VLOOKUP($S1767,'TA database'!$I$200:$J$271,2,FALSE),0)</f>
        <v>50</v>
      </c>
      <c r="Y1767">
        <f t="shared" ref="Y1767:Y1777" ca="1" si="5596">IF($W1767=0,SUM($T1767:$V1767,$X1767)/4,SUM($T1767:$W1767)/4)</f>
        <v>87.5</v>
      </c>
      <c r="Z1767" t="str">
        <f t="shared" si="5592"/>
        <v>BIO_GSF_SML_D   →   D_GAS_STRG   →   ONSITE_USE   →   H2_CCGT_PWR</v>
      </c>
      <c r="AA1767" t="str">
        <f t="shared" si="5593"/>
        <v>Grid electricity</v>
      </c>
      <c r="AB1767" t="str">
        <f t="shared" si="5594"/>
        <v>Regulatory coverage</v>
      </c>
      <c r="AC1767">
        <f t="shared" ca="1" si="5595"/>
        <v>87.5</v>
      </c>
      <c r="AD1767">
        <v>1708</v>
      </c>
      <c r="AE1767" t="str">
        <f>IF(AND(ISNUMBER(SEARCH(O1767,4)),ISNUMBER(SEARCH('(4) FCH pathway assessment'!$B$16,AB1767)),ISNUMBER(SEARCH('(4) FCH pathway assessment'!$B$10,AA1767))),AD1767,"")</f>
        <v/>
      </c>
      <c r="AF1767" t="str">
        <f t="shared" si="5441"/>
        <v/>
      </c>
      <c r="AG1767" t="str">
        <f>VLOOKUP(C1767,Assumptions!$B$116:$C$162,2,FALSE)</f>
        <v>BIO_GSF_SML_D</v>
      </c>
      <c r="AH1767" t="str">
        <f>VLOOKUP(D1767,Assumptions!$B$116:$C$162,2,FALSE)</f>
        <v>D_GAS_STRG</v>
      </c>
      <c r="AI1767" t="str">
        <f>VLOOKUP(E1767,Assumptions!$B$116:$C$162,2,FALSE)</f>
        <v>ONSITE_USE</v>
      </c>
      <c r="AJ1767" t="str">
        <f>VLOOKUP(F1767,Assumptions!$B$116:$C$162,2,FALSE)</f>
        <v>H2_CCGT_PWR</v>
      </c>
    </row>
    <row r="1768" spans="2:36" x14ac:dyDescent="0.25">
      <c r="B1768" t="s">
        <v>117</v>
      </c>
      <c r="C1768" t="s">
        <v>56</v>
      </c>
      <c r="D1768" t="s">
        <v>62</v>
      </c>
      <c r="E1768" t="s">
        <v>157</v>
      </c>
      <c r="F1768" t="s">
        <v>163</v>
      </c>
      <c r="G1768" t="s">
        <v>114</v>
      </c>
      <c r="H1768" t="s">
        <v>433</v>
      </c>
      <c r="I1768" t="s">
        <v>32</v>
      </c>
      <c r="J1768" t="s">
        <v>534</v>
      </c>
      <c r="K1768">
        <f t="shared" ref="K1768:K1780" si="5597">SUMPRODUCT(($C$7:$C$18=$C1768)*($D$6:$H$6=$D1768)*($D$7:$H$18))</f>
        <v>0</v>
      </c>
      <c r="L1768">
        <f t="shared" ref="L1768:L1780" si="5598">SUMPRODUCT(($C$19:$C$23=$D1768)*($I$6:$O$6=$E1768)*($I$19:$O$23))</f>
        <v>0</v>
      </c>
      <c r="M1768">
        <f t="shared" ref="M1768:M1780" si="5599">SUMPRODUCT(($C$24:$C$30=$E1768)*($P$6:$AI$6=$F1768)*($P$24:$AI$30))</f>
        <v>0</v>
      </c>
      <c r="N1768">
        <f t="shared" ref="N1768:N1780" si="5600">SUMPRODUCT(($C$31:$C$50=$F1768)*($AJ$6:$AM$6=$G1768)*($AJ$31:$AM$50))</f>
        <v>0</v>
      </c>
      <c r="O1768">
        <f t="shared" ref="O1768:O1780" si="5601">K1768+L1768+M1768+N1768</f>
        <v>0</v>
      </c>
      <c r="P1768" t="str">
        <f t="shared" ref="P1768:P1780" si="5602">CONCATENATE(C1768,"-",J1768)</f>
        <v>Large centralized biomass steam reforming -Regulatory coverage</v>
      </c>
      <c r="Q1768" t="str">
        <f t="shared" ref="Q1768:Q1780" si="5603">CONCATENATE(D1768,"-",J1768)</f>
        <v>Underground storage-Regulatory coverage</v>
      </c>
      <c r="R1768" t="str">
        <f t="shared" ref="R1768:R1780" si="5604">CONCATENATE(E1768,"-",J1768)</f>
        <v>Blending in natural gas pipeline-Regulatory coverage</v>
      </c>
      <c r="S1768" t="str">
        <f t="shared" ref="S1768:S1780" si="5605">CONCATENATE(F1768,"-",J1768)</f>
        <v>Hydrogen turbine (CC)-Regulatory coverage</v>
      </c>
      <c r="T1768">
        <f ca="1">VLOOKUP($P1768,'TA database'!$I$8:$J$79,2,FALSE)</f>
        <v>100</v>
      </c>
      <c r="U1768">
        <f ca="1">VLOOKUP($Q1768,'TA database'!$I$86:$J$105,2,FALSE)</f>
        <v>0</v>
      </c>
      <c r="V1768">
        <f ca="1">VLOOKUP($R1768,'TA database'!$I$112:$J$139,2,FALSE)</f>
        <v>100</v>
      </c>
      <c r="W1768">
        <f>IFERROR(VLOOKUP($S1768,'TA database'!$I$146:$J$193,2,FALSE),0)</f>
        <v>0</v>
      </c>
      <c r="X1768">
        <f ca="1">IFERROR(VLOOKUP($S1768,'TA database'!$I$200:$J$271,2,FALSE),0)</f>
        <v>50</v>
      </c>
      <c r="Y1768">
        <f t="shared" ca="1" si="5596"/>
        <v>62.5</v>
      </c>
      <c r="Z1768" t="str">
        <f t="shared" ref="Z1768:Z1780" si="5606">CONCATENATE(AG1768,"   →   ",AH1768,"   →   ",AI1768,"   →   ",AJ1768)</f>
        <v>BIO_SR_LRG_C   →   C_UNDRGRND_STRG   →   H2_BLND_NG_P   →   H2_CCGT_PWR</v>
      </c>
      <c r="AA1768" t="str">
        <f t="shared" ref="AA1768:AA1780" si="5607">G1768</f>
        <v>Grid electricity</v>
      </c>
      <c r="AB1768" t="str">
        <f t="shared" ref="AB1768:AB1780" si="5608">J1768</f>
        <v>Regulatory coverage</v>
      </c>
      <c r="AC1768">
        <f t="shared" ref="AC1768:AC1780" ca="1" si="5609">Y1768</f>
        <v>62.5</v>
      </c>
      <c r="AD1768">
        <v>1709</v>
      </c>
      <c r="AE1768" t="str">
        <f>IF(AND(ISNUMBER(SEARCH(O1768,4)),ISNUMBER(SEARCH('(4) FCH pathway assessment'!$B$16,AB1768)),ISNUMBER(SEARCH('(4) FCH pathway assessment'!$B$10,AA1768))),AD1768,"")</f>
        <v/>
      </c>
      <c r="AF1768" t="str">
        <f t="shared" si="5441"/>
        <v/>
      </c>
      <c r="AG1768" t="str">
        <f>VLOOKUP(C1768,Assumptions!$B$116:$C$162,2,FALSE)</f>
        <v>BIO_SR_LRG_C</v>
      </c>
      <c r="AH1768" t="str">
        <f>VLOOKUP(D1768,Assumptions!$B$116:$C$162,2,FALSE)</f>
        <v>C_UNDRGRND_STRG</v>
      </c>
      <c r="AI1768" t="str">
        <f>VLOOKUP(E1768,Assumptions!$B$116:$C$162,2,FALSE)</f>
        <v>H2_BLND_NG_P</v>
      </c>
      <c r="AJ1768" t="str">
        <f>VLOOKUP(F1768,Assumptions!$B$116:$C$162,2,FALSE)</f>
        <v>H2_CCGT_PWR</v>
      </c>
    </row>
    <row r="1769" spans="2:36" x14ac:dyDescent="0.25">
      <c r="B1769" t="s">
        <v>117</v>
      </c>
      <c r="C1769" t="s">
        <v>56</v>
      </c>
      <c r="D1769" t="s">
        <v>62</v>
      </c>
      <c r="E1769" t="s">
        <v>122</v>
      </c>
      <c r="F1769" t="s">
        <v>163</v>
      </c>
      <c r="G1769" t="s">
        <v>114</v>
      </c>
      <c r="H1769" t="s">
        <v>433</v>
      </c>
      <c r="I1769" t="s">
        <v>32</v>
      </c>
      <c r="J1769" t="s">
        <v>534</v>
      </c>
      <c r="K1769">
        <f t="shared" si="5597"/>
        <v>0</v>
      </c>
      <c r="L1769">
        <f t="shared" si="5598"/>
        <v>0</v>
      </c>
      <c r="M1769">
        <f t="shared" si="5599"/>
        <v>1</v>
      </c>
      <c r="N1769">
        <f t="shared" si="5600"/>
        <v>0</v>
      </c>
      <c r="O1769">
        <f t="shared" si="5601"/>
        <v>1</v>
      </c>
      <c r="P1769" t="str">
        <f t="shared" si="5602"/>
        <v>Large centralized biomass steam reforming -Regulatory coverage</v>
      </c>
      <c r="Q1769" t="str">
        <f t="shared" si="5603"/>
        <v>Underground storage-Regulatory coverage</v>
      </c>
      <c r="R1769" t="str">
        <f t="shared" si="5604"/>
        <v>Hydrogen transmission &amp; distribution pipeline-Regulatory coverage</v>
      </c>
      <c r="S1769" t="str">
        <f t="shared" si="5605"/>
        <v>Hydrogen turbine (CC)-Regulatory coverage</v>
      </c>
      <c r="T1769">
        <f ca="1">VLOOKUP($P1769,'TA database'!$I$8:$J$79,2,FALSE)</f>
        <v>100</v>
      </c>
      <c r="U1769">
        <f ca="1">VLOOKUP($Q1769,'TA database'!$I$86:$J$105,2,FALSE)</f>
        <v>0</v>
      </c>
      <c r="V1769">
        <f ca="1">VLOOKUP($R1769,'TA database'!$I$112:$J$139,2,FALSE)</f>
        <v>40</v>
      </c>
      <c r="W1769">
        <f>IFERROR(VLOOKUP($S1769,'TA database'!$I$146:$J$193,2,FALSE),0)</f>
        <v>0</v>
      </c>
      <c r="X1769">
        <f ca="1">IFERROR(VLOOKUP($S1769,'TA database'!$I$200:$J$271,2,FALSE),0)</f>
        <v>50</v>
      </c>
      <c r="Y1769">
        <f t="shared" ca="1" si="5596"/>
        <v>47.5</v>
      </c>
      <c r="Z1769" t="str">
        <f t="shared" si="5606"/>
        <v>BIO_SR_LRG_C   →   C_UNDRGRND_STRG   →   H2_T&amp;D_P   →   H2_CCGT_PWR</v>
      </c>
      <c r="AA1769" t="str">
        <f t="shared" si="5607"/>
        <v>Grid electricity</v>
      </c>
      <c r="AB1769" t="str">
        <f t="shared" si="5608"/>
        <v>Regulatory coverage</v>
      </c>
      <c r="AC1769">
        <f t="shared" ca="1" si="5609"/>
        <v>47.5</v>
      </c>
      <c r="AD1769">
        <v>1710</v>
      </c>
      <c r="AE1769" t="str">
        <f>IF(AND(ISNUMBER(SEARCH(O1769,4)),ISNUMBER(SEARCH('(4) FCH pathway assessment'!$B$16,AB1769)),ISNUMBER(SEARCH('(4) FCH pathway assessment'!$B$10,AA1769))),AD1769,"")</f>
        <v/>
      </c>
      <c r="AF1769" t="str">
        <f t="shared" si="5441"/>
        <v/>
      </c>
      <c r="AG1769" t="str">
        <f>VLOOKUP(C1769,Assumptions!$B$116:$C$162,2,FALSE)</f>
        <v>BIO_SR_LRG_C</v>
      </c>
      <c r="AH1769" t="str">
        <f>VLOOKUP(D1769,Assumptions!$B$116:$C$162,2,FALSE)</f>
        <v>C_UNDRGRND_STRG</v>
      </c>
      <c r="AI1769" t="str">
        <f>VLOOKUP(E1769,Assumptions!$B$116:$C$162,2,FALSE)</f>
        <v>H2_T&amp;D_P</v>
      </c>
      <c r="AJ1769" t="str">
        <f>VLOOKUP(F1769,Assumptions!$B$116:$C$162,2,FALSE)</f>
        <v>H2_CCGT_PWR</v>
      </c>
    </row>
    <row r="1770" spans="2:36" x14ac:dyDescent="0.25">
      <c r="B1770" t="s">
        <v>117</v>
      </c>
      <c r="C1770" t="s">
        <v>56</v>
      </c>
      <c r="D1770" t="s">
        <v>62</v>
      </c>
      <c r="E1770" t="s">
        <v>116</v>
      </c>
      <c r="F1770" t="s">
        <v>163</v>
      </c>
      <c r="G1770" t="s">
        <v>114</v>
      </c>
      <c r="H1770" t="s">
        <v>433</v>
      </c>
      <c r="I1770" t="s">
        <v>32</v>
      </c>
      <c r="J1770" t="s">
        <v>534</v>
      </c>
      <c r="K1770">
        <f t="shared" si="5597"/>
        <v>0</v>
      </c>
      <c r="L1770">
        <f t="shared" si="5598"/>
        <v>0</v>
      </c>
      <c r="M1770">
        <f t="shared" si="5599"/>
        <v>1</v>
      </c>
      <c r="N1770">
        <f t="shared" si="5600"/>
        <v>0</v>
      </c>
      <c r="O1770">
        <f t="shared" si="5601"/>
        <v>1</v>
      </c>
      <c r="P1770" t="str">
        <f t="shared" si="5602"/>
        <v>Large centralized biomass steam reforming -Regulatory coverage</v>
      </c>
      <c r="Q1770" t="str">
        <f t="shared" si="5603"/>
        <v>Underground storage-Regulatory coverage</v>
      </c>
      <c r="R1770" t="str">
        <f t="shared" si="5604"/>
        <v>Liquid hydrogen truck-Regulatory coverage</v>
      </c>
      <c r="S1770" t="str">
        <f t="shared" si="5605"/>
        <v>Hydrogen turbine (CC)-Regulatory coverage</v>
      </c>
      <c r="T1770">
        <f ca="1">VLOOKUP($P1770,'TA database'!$I$8:$J$79,2,FALSE)</f>
        <v>100</v>
      </c>
      <c r="U1770">
        <f ca="1">VLOOKUP($Q1770,'TA database'!$I$86:$J$105,2,FALSE)</f>
        <v>0</v>
      </c>
      <c r="V1770">
        <f ca="1">VLOOKUP($R1770,'TA database'!$I$112:$J$139,2,FALSE)</f>
        <v>40</v>
      </c>
      <c r="W1770">
        <f>IFERROR(VLOOKUP($S1770,'TA database'!$I$146:$J$193,2,FALSE),0)</f>
        <v>0</v>
      </c>
      <c r="X1770">
        <f ca="1">IFERROR(VLOOKUP($S1770,'TA database'!$I$200:$J$271,2,FALSE),0)</f>
        <v>50</v>
      </c>
      <c r="Y1770">
        <f t="shared" ca="1" si="5596"/>
        <v>47.5</v>
      </c>
      <c r="Z1770" t="str">
        <f t="shared" si="5606"/>
        <v>BIO_SR_LRG_C   →   C_UNDRGRND_STRG   →   LQ_TRUCK   →   H2_CCGT_PWR</v>
      </c>
      <c r="AA1770" t="str">
        <f t="shared" si="5607"/>
        <v>Grid electricity</v>
      </c>
      <c r="AB1770" t="str">
        <f t="shared" si="5608"/>
        <v>Regulatory coverage</v>
      </c>
      <c r="AC1770">
        <f t="shared" ca="1" si="5609"/>
        <v>47.5</v>
      </c>
      <c r="AD1770">
        <v>1711</v>
      </c>
      <c r="AE1770" t="str">
        <f>IF(AND(ISNUMBER(SEARCH(O1770,4)),ISNUMBER(SEARCH('(4) FCH pathway assessment'!$B$16,AB1770)),ISNUMBER(SEARCH('(4) FCH pathway assessment'!$B$10,AA1770))),AD1770,"")</f>
        <v/>
      </c>
      <c r="AF1770" t="str">
        <f t="shared" si="5441"/>
        <v/>
      </c>
      <c r="AG1770" t="str">
        <f>VLOOKUP(C1770,Assumptions!$B$116:$C$162,2,FALSE)</f>
        <v>BIO_SR_LRG_C</v>
      </c>
      <c r="AH1770" t="str">
        <f>VLOOKUP(D1770,Assumptions!$B$116:$C$162,2,FALSE)</f>
        <v>C_UNDRGRND_STRG</v>
      </c>
      <c r="AI1770" t="str">
        <f>VLOOKUP(E1770,Assumptions!$B$116:$C$162,2,FALSE)</f>
        <v>LQ_TRUCK</v>
      </c>
      <c r="AJ1770" t="str">
        <f>VLOOKUP(F1770,Assumptions!$B$116:$C$162,2,FALSE)</f>
        <v>H2_CCGT_PWR</v>
      </c>
    </row>
    <row r="1771" spans="2:36" x14ac:dyDescent="0.25">
      <c r="B1771" t="s">
        <v>117</v>
      </c>
      <c r="C1771" t="s">
        <v>56</v>
      </c>
      <c r="D1771" t="s">
        <v>62</v>
      </c>
      <c r="E1771" t="s">
        <v>66</v>
      </c>
      <c r="F1771" t="s">
        <v>163</v>
      </c>
      <c r="G1771" t="s">
        <v>114</v>
      </c>
      <c r="H1771" t="s">
        <v>433</v>
      </c>
      <c r="I1771" t="s">
        <v>32</v>
      </c>
      <c r="J1771" t="s">
        <v>534</v>
      </c>
      <c r="K1771">
        <f t="shared" si="5597"/>
        <v>0</v>
      </c>
      <c r="L1771">
        <f t="shared" si="5598"/>
        <v>0</v>
      </c>
      <c r="M1771">
        <f t="shared" si="5599"/>
        <v>1</v>
      </c>
      <c r="N1771">
        <f t="shared" si="5600"/>
        <v>0</v>
      </c>
      <c r="O1771">
        <f t="shared" si="5601"/>
        <v>1</v>
      </c>
      <c r="P1771" t="str">
        <f t="shared" si="5602"/>
        <v>Large centralized biomass steam reforming -Regulatory coverage</v>
      </c>
      <c r="Q1771" t="str">
        <f t="shared" si="5603"/>
        <v>Underground storage-Regulatory coverage</v>
      </c>
      <c r="R1771" t="str">
        <f t="shared" si="5604"/>
        <v>Onsite-Regulatory coverage</v>
      </c>
      <c r="S1771" t="str">
        <f t="shared" si="5605"/>
        <v>Hydrogen turbine (CC)-Regulatory coverage</v>
      </c>
      <c r="T1771">
        <f ca="1">VLOOKUP($P1771,'TA database'!$I$8:$J$79,2,FALSE)</f>
        <v>100</v>
      </c>
      <c r="U1771">
        <f ca="1">VLOOKUP($Q1771,'TA database'!$I$86:$J$105,2,FALSE)</f>
        <v>0</v>
      </c>
      <c r="V1771">
        <f ca="1">VLOOKUP($R1771,'TA database'!$I$112:$J$139,2,FALSE)</f>
        <v>100</v>
      </c>
      <c r="W1771">
        <f>IFERROR(VLOOKUP($S1771,'TA database'!$I$146:$J$193,2,FALSE),0)</f>
        <v>0</v>
      </c>
      <c r="X1771">
        <f ca="1">IFERROR(VLOOKUP($S1771,'TA database'!$I$200:$J$271,2,FALSE),0)</f>
        <v>50</v>
      </c>
      <c r="Y1771">
        <f t="shared" ca="1" si="5596"/>
        <v>62.5</v>
      </c>
      <c r="Z1771" t="str">
        <f t="shared" si="5606"/>
        <v>BIO_SR_LRG_C   →   C_UNDRGRND_STRG   →   ONSITE_USE   →   H2_CCGT_PWR</v>
      </c>
      <c r="AA1771" t="str">
        <f t="shared" si="5607"/>
        <v>Grid electricity</v>
      </c>
      <c r="AB1771" t="str">
        <f t="shared" si="5608"/>
        <v>Regulatory coverage</v>
      </c>
      <c r="AC1771">
        <f t="shared" ca="1" si="5609"/>
        <v>62.5</v>
      </c>
      <c r="AD1771">
        <v>1712</v>
      </c>
      <c r="AE1771" t="str">
        <f>IF(AND(ISNUMBER(SEARCH(O1771,4)),ISNUMBER(SEARCH('(4) FCH pathway assessment'!$B$16,AB1771)),ISNUMBER(SEARCH('(4) FCH pathway assessment'!$B$10,AA1771))),AD1771,"")</f>
        <v/>
      </c>
      <c r="AF1771" t="str">
        <f t="shared" si="5441"/>
        <v/>
      </c>
      <c r="AG1771" t="str">
        <f>VLOOKUP(C1771,Assumptions!$B$116:$C$162,2,FALSE)</f>
        <v>BIO_SR_LRG_C</v>
      </c>
      <c r="AH1771" t="str">
        <f>VLOOKUP(D1771,Assumptions!$B$116:$C$162,2,FALSE)</f>
        <v>C_UNDRGRND_STRG</v>
      </c>
      <c r="AI1771" t="str">
        <f>VLOOKUP(E1771,Assumptions!$B$116:$C$162,2,FALSE)</f>
        <v>ONSITE_USE</v>
      </c>
      <c r="AJ1771" t="str">
        <f>VLOOKUP(F1771,Assumptions!$B$116:$C$162,2,FALSE)</f>
        <v>H2_CCGT_PWR</v>
      </c>
    </row>
    <row r="1772" spans="2:36" x14ac:dyDescent="0.25">
      <c r="B1772" t="s">
        <v>117</v>
      </c>
      <c r="C1772" t="s">
        <v>56</v>
      </c>
      <c r="D1772" s="61" t="s">
        <v>63</v>
      </c>
      <c r="E1772" t="s">
        <v>122</v>
      </c>
      <c r="F1772" t="s">
        <v>163</v>
      </c>
      <c r="G1772" t="s">
        <v>114</v>
      </c>
      <c r="H1772" t="s">
        <v>433</v>
      </c>
      <c r="I1772" t="s">
        <v>32</v>
      </c>
      <c r="J1772" t="s">
        <v>534</v>
      </c>
      <c r="K1772">
        <f t="shared" si="5597"/>
        <v>0</v>
      </c>
      <c r="L1772">
        <f t="shared" si="5598"/>
        <v>1</v>
      </c>
      <c r="M1772">
        <f t="shared" si="5599"/>
        <v>1</v>
      </c>
      <c r="N1772">
        <f t="shared" si="5600"/>
        <v>0</v>
      </c>
      <c r="O1772">
        <f t="shared" si="5601"/>
        <v>2</v>
      </c>
      <c r="P1772" t="str">
        <f t="shared" si="5602"/>
        <v>Large centralized biomass steam reforming -Regulatory coverage</v>
      </c>
      <c r="Q1772" t="str">
        <f t="shared" si="5603"/>
        <v>No storage-Regulatory coverage</v>
      </c>
      <c r="R1772" t="str">
        <f t="shared" si="5604"/>
        <v>Hydrogen transmission &amp; distribution pipeline-Regulatory coverage</v>
      </c>
      <c r="S1772" t="str">
        <f t="shared" si="5605"/>
        <v>Hydrogen turbine (CC)-Regulatory coverage</v>
      </c>
      <c r="T1772">
        <f ca="1">VLOOKUP($P1772,'TA database'!$I$8:$J$79,2,FALSE)</f>
        <v>100</v>
      </c>
      <c r="U1772">
        <f ca="1">VLOOKUP($Q1772,'TA database'!$I$86:$J$105,2,FALSE)</f>
        <v>100</v>
      </c>
      <c r="V1772">
        <f ca="1">VLOOKUP($R1772,'TA database'!$I$112:$J$139,2,FALSE)</f>
        <v>40</v>
      </c>
      <c r="W1772">
        <f>IFERROR(VLOOKUP($S1772,'TA database'!$I$146:$J$193,2,FALSE),0)</f>
        <v>0</v>
      </c>
      <c r="X1772">
        <f ca="1">IFERROR(VLOOKUP($S1772,'TA database'!$I$200:$J$271,2,FALSE),0)</f>
        <v>50</v>
      </c>
      <c r="Y1772">
        <f t="shared" ca="1" si="5596"/>
        <v>72.5</v>
      </c>
      <c r="Z1772" t="str">
        <f t="shared" si="5606"/>
        <v>BIO_SR_LRG_C   →   NO_STRG   →   H2_T&amp;D_P   →   H2_CCGT_PWR</v>
      </c>
      <c r="AA1772" t="str">
        <f t="shared" si="5607"/>
        <v>Grid electricity</v>
      </c>
      <c r="AB1772" t="str">
        <f t="shared" si="5608"/>
        <v>Regulatory coverage</v>
      </c>
      <c r="AC1772">
        <f t="shared" ca="1" si="5609"/>
        <v>72.5</v>
      </c>
      <c r="AD1772">
        <v>1713</v>
      </c>
      <c r="AE1772" t="str">
        <f>IF(AND(ISNUMBER(SEARCH(O1772,4)),ISNUMBER(SEARCH('(4) FCH pathway assessment'!$B$16,AB1772)),ISNUMBER(SEARCH('(4) FCH pathway assessment'!$B$10,AA1772))),AD1772,"")</f>
        <v/>
      </c>
      <c r="AF1772" t="str">
        <f t="shared" si="5441"/>
        <v/>
      </c>
      <c r="AG1772" t="str">
        <f>VLOOKUP(C1772,Assumptions!$B$116:$C$162,2,FALSE)</f>
        <v>BIO_SR_LRG_C</v>
      </c>
      <c r="AH1772" t="str">
        <f>VLOOKUP(D1772,Assumptions!$B$116:$C$162,2,FALSE)</f>
        <v>NO_STRG</v>
      </c>
      <c r="AI1772" t="str">
        <f>VLOOKUP(E1772,Assumptions!$B$116:$C$162,2,FALSE)</f>
        <v>H2_T&amp;D_P</v>
      </c>
      <c r="AJ1772" t="str">
        <f>VLOOKUP(F1772,Assumptions!$B$116:$C$162,2,FALSE)</f>
        <v>H2_CCGT_PWR</v>
      </c>
    </row>
    <row r="1773" spans="2:36" x14ac:dyDescent="0.25">
      <c r="B1773" t="s">
        <v>112</v>
      </c>
      <c r="C1773" t="s">
        <v>49</v>
      </c>
      <c r="D1773" t="s">
        <v>62</v>
      </c>
      <c r="E1773" t="s">
        <v>157</v>
      </c>
      <c r="F1773" t="s">
        <v>163</v>
      </c>
      <c r="G1773" t="s">
        <v>114</v>
      </c>
      <c r="H1773" t="s">
        <v>433</v>
      </c>
      <c r="I1773" t="s">
        <v>32</v>
      </c>
      <c r="J1773" t="s">
        <v>534</v>
      </c>
      <c r="K1773">
        <f t="shared" si="5597"/>
        <v>1</v>
      </c>
      <c r="L1773">
        <f t="shared" si="5598"/>
        <v>0</v>
      </c>
      <c r="M1773">
        <f t="shared" si="5599"/>
        <v>0</v>
      </c>
      <c r="N1773">
        <f t="shared" si="5600"/>
        <v>0</v>
      </c>
      <c r="O1773">
        <f t="shared" si="5601"/>
        <v>1</v>
      </c>
      <c r="P1773" t="str">
        <f t="shared" si="5602"/>
        <v>Large centralized electrolysis-Regulatory coverage</v>
      </c>
      <c r="Q1773" t="str">
        <f t="shared" si="5603"/>
        <v>Underground storage-Regulatory coverage</v>
      </c>
      <c r="R1773" t="str">
        <f t="shared" si="5604"/>
        <v>Blending in natural gas pipeline-Regulatory coverage</v>
      </c>
      <c r="S1773" t="str">
        <f t="shared" si="5605"/>
        <v>Hydrogen turbine (CC)-Regulatory coverage</v>
      </c>
      <c r="T1773">
        <f ca="1">VLOOKUP($P1773,'TA database'!$I$8:$J$79,2,FALSE)</f>
        <v>100</v>
      </c>
      <c r="U1773">
        <f ca="1">VLOOKUP($Q1773,'TA database'!$I$86:$J$105,2,FALSE)</f>
        <v>0</v>
      </c>
      <c r="V1773">
        <f ca="1">VLOOKUP($R1773,'TA database'!$I$112:$J$139,2,FALSE)</f>
        <v>100</v>
      </c>
      <c r="W1773">
        <f>IFERROR(VLOOKUP($S1773,'TA database'!$I$146:$J$193,2,FALSE),0)</f>
        <v>0</v>
      </c>
      <c r="X1773">
        <f ca="1">IFERROR(VLOOKUP($S1773,'TA database'!$I$200:$J$271,2,FALSE),0)</f>
        <v>50</v>
      </c>
      <c r="Y1773">
        <f t="shared" ca="1" si="5596"/>
        <v>62.5</v>
      </c>
      <c r="Z1773" t="str">
        <f t="shared" si="5606"/>
        <v>ELCTRLYZ_LRG_C   →   C_UNDRGRND_STRG   →   H2_BLND_NG_P   →   H2_CCGT_PWR</v>
      </c>
      <c r="AA1773" t="str">
        <f t="shared" si="5607"/>
        <v>Grid electricity</v>
      </c>
      <c r="AB1773" t="str">
        <f t="shared" si="5608"/>
        <v>Regulatory coverage</v>
      </c>
      <c r="AC1773">
        <f t="shared" ca="1" si="5609"/>
        <v>62.5</v>
      </c>
      <c r="AD1773">
        <v>1714</v>
      </c>
      <c r="AE1773" t="str">
        <f>IF(AND(ISNUMBER(SEARCH(O1773,4)),ISNUMBER(SEARCH('(4) FCH pathway assessment'!$B$16,AB1773)),ISNUMBER(SEARCH('(4) FCH pathway assessment'!$B$10,AA1773))),AD1773,"")</f>
        <v/>
      </c>
      <c r="AF1773" t="str">
        <f t="shared" si="5441"/>
        <v/>
      </c>
      <c r="AG1773" t="str">
        <f>VLOOKUP(C1773,Assumptions!$B$116:$C$162,2,FALSE)</f>
        <v>ELCTRLYZ_LRG_C</v>
      </c>
      <c r="AH1773" t="str">
        <f>VLOOKUP(D1773,Assumptions!$B$116:$C$162,2,FALSE)</f>
        <v>C_UNDRGRND_STRG</v>
      </c>
      <c r="AI1773" t="str">
        <f>VLOOKUP(E1773,Assumptions!$B$116:$C$162,2,FALSE)</f>
        <v>H2_BLND_NG_P</v>
      </c>
      <c r="AJ1773" t="str">
        <f>VLOOKUP(F1773,Assumptions!$B$116:$C$162,2,FALSE)</f>
        <v>H2_CCGT_PWR</v>
      </c>
    </row>
    <row r="1774" spans="2:36" x14ac:dyDescent="0.25">
      <c r="B1774" t="s">
        <v>112</v>
      </c>
      <c r="C1774" t="s">
        <v>49</v>
      </c>
      <c r="D1774" t="s">
        <v>62</v>
      </c>
      <c r="E1774" t="s">
        <v>122</v>
      </c>
      <c r="F1774" t="s">
        <v>163</v>
      </c>
      <c r="G1774" t="s">
        <v>114</v>
      </c>
      <c r="H1774" t="s">
        <v>433</v>
      </c>
      <c r="I1774" t="s">
        <v>32</v>
      </c>
      <c r="J1774" t="s">
        <v>534</v>
      </c>
      <c r="K1774">
        <f t="shared" si="5597"/>
        <v>1</v>
      </c>
      <c r="L1774">
        <f t="shared" si="5598"/>
        <v>0</v>
      </c>
      <c r="M1774">
        <f t="shared" si="5599"/>
        <v>1</v>
      </c>
      <c r="N1774">
        <f t="shared" si="5600"/>
        <v>0</v>
      </c>
      <c r="O1774">
        <f t="shared" si="5601"/>
        <v>2</v>
      </c>
      <c r="P1774" t="str">
        <f t="shared" si="5602"/>
        <v>Large centralized electrolysis-Regulatory coverage</v>
      </c>
      <c r="Q1774" t="str">
        <f t="shared" si="5603"/>
        <v>Underground storage-Regulatory coverage</v>
      </c>
      <c r="R1774" t="str">
        <f t="shared" si="5604"/>
        <v>Hydrogen transmission &amp; distribution pipeline-Regulatory coverage</v>
      </c>
      <c r="S1774" t="str">
        <f t="shared" si="5605"/>
        <v>Hydrogen turbine (CC)-Regulatory coverage</v>
      </c>
      <c r="T1774">
        <f ca="1">VLOOKUP($P1774,'TA database'!$I$8:$J$79,2,FALSE)</f>
        <v>100</v>
      </c>
      <c r="U1774">
        <f ca="1">VLOOKUP($Q1774,'TA database'!$I$86:$J$105,2,FALSE)</f>
        <v>0</v>
      </c>
      <c r="V1774">
        <f ca="1">VLOOKUP($R1774,'TA database'!$I$112:$J$139,2,FALSE)</f>
        <v>40</v>
      </c>
      <c r="W1774">
        <f>IFERROR(VLOOKUP($S1774,'TA database'!$I$146:$J$193,2,FALSE),0)</f>
        <v>0</v>
      </c>
      <c r="X1774">
        <f ca="1">IFERROR(VLOOKUP($S1774,'TA database'!$I$200:$J$271,2,FALSE),0)</f>
        <v>50</v>
      </c>
      <c r="Y1774">
        <f t="shared" ca="1" si="5596"/>
        <v>47.5</v>
      </c>
      <c r="Z1774" t="str">
        <f t="shared" si="5606"/>
        <v>ELCTRLYZ_LRG_C   →   C_UNDRGRND_STRG   →   H2_T&amp;D_P   →   H2_CCGT_PWR</v>
      </c>
      <c r="AA1774" t="str">
        <f t="shared" si="5607"/>
        <v>Grid electricity</v>
      </c>
      <c r="AB1774" t="str">
        <f t="shared" si="5608"/>
        <v>Regulatory coverage</v>
      </c>
      <c r="AC1774">
        <f t="shared" ca="1" si="5609"/>
        <v>47.5</v>
      </c>
      <c r="AD1774">
        <v>1715</v>
      </c>
      <c r="AE1774" t="str">
        <f>IF(AND(ISNUMBER(SEARCH(O1774,4)),ISNUMBER(SEARCH('(4) FCH pathway assessment'!$B$16,AB1774)),ISNUMBER(SEARCH('(4) FCH pathway assessment'!$B$10,AA1774))),AD1774,"")</f>
        <v/>
      </c>
      <c r="AF1774" t="str">
        <f t="shared" si="5441"/>
        <v/>
      </c>
      <c r="AG1774" t="str">
        <f>VLOOKUP(C1774,Assumptions!$B$116:$C$162,2,FALSE)</f>
        <v>ELCTRLYZ_LRG_C</v>
      </c>
      <c r="AH1774" t="str">
        <f>VLOOKUP(D1774,Assumptions!$B$116:$C$162,2,FALSE)</f>
        <v>C_UNDRGRND_STRG</v>
      </c>
      <c r="AI1774" t="str">
        <f>VLOOKUP(E1774,Assumptions!$B$116:$C$162,2,FALSE)</f>
        <v>H2_T&amp;D_P</v>
      </c>
      <c r="AJ1774" t="str">
        <f>VLOOKUP(F1774,Assumptions!$B$116:$C$162,2,FALSE)</f>
        <v>H2_CCGT_PWR</v>
      </c>
    </row>
    <row r="1775" spans="2:36" x14ac:dyDescent="0.25">
      <c r="B1775" t="s">
        <v>112</v>
      </c>
      <c r="C1775" t="s">
        <v>49</v>
      </c>
      <c r="D1775" t="s">
        <v>62</v>
      </c>
      <c r="E1775" t="s">
        <v>116</v>
      </c>
      <c r="F1775" t="s">
        <v>163</v>
      </c>
      <c r="G1775" t="s">
        <v>114</v>
      </c>
      <c r="H1775" t="s">
        <v>433</v>
      </c>
      <c r="I1775" t="s">
        <v>32</v>
      </c>
      <c r="J1775" t="s">
        <v>534</v>
      </c>
      <c r="K1775">
        <f t="shared" si="5597"/>
        <v>1</v>
      </c>
      <c r="L1775">
        <f t="shared" si="5598"/>
        <v>0</v>
      </c>
      <c r="M1775">
        <f t="shared" si="5599"/>
        <v>1</v>
      </c>
      <c r="N1775">
        <f t="shared" si="5600"/>
        <v>0</v>
      </c>
      <c r="O1775">
        <f t="shared" si="5601"/>
        <v>2</v>
      </c>
      <c r="P1775" t="str">
        <f t="shared" si="5602"/>
        <v>Large centralized electrolysis-Regulatory coverage</v>
      </c>
      <c r="Q1775" t="str">
        <f t="shared" si="5603"/>
        <v>Underground storage-Regulatory coverage</v>
      </c>
      <c r="R1775" t="str">
        <f t="shared" si="5604"/>
        <v>Liquid hydrogen truck-Regulatory coverage</v>
      </c>
      <c r="S1775" t="str">
        <f t="shared" si="5605"/>
        <v>Hydrogen turbine (CC)-Regulatory coverage</v>
      </c>
      <c r="T1775">
        <f ca="1">VLOOKUP($P1775,'TA database'!$I$8:$J$79,2,FALSE)</f>
        <v>100</v>
      </c>
      <c r="U1775">
        <f ca="1">VLOOKUP($Q1775,'TA database'!$I$86:$J$105,2,FALSE)</f>
        <v>0</v>
      </c>
      <c r="V1775">
        <f ca="1">VLOOKUP($R1775,'TA database'!$I$112:$J$139,2,FALSE)</f>
        <v>40</v>
      </c>
      <c r="W1775">
        <f>IFERROR(VLOOKUP($S1775,'TA database'!$I$146:$J$193,2,FALSE),0)</f>
        <v>0</v>
      </c>
      <c r="X1775">
        <f ca="1">IFERROR(VLOOKUP($S1775,'TA database'!$I$200:$J$271,2,FALSE),0)</f>
        <v>50</v>
      </c>
      <c r="Y1775">
        <f t="shared" ca="1" si="5596"/>
        <v>47.5</v>
      </c>
      <c r="Z1775" t="str">
        <f t="shared" si="5606"/>
        <v>ELCTRLYZ_LRG_C   →   C_UNDRGRND_STRG   →   LQ_TRUCK   →   H2_CCGT_PWR</v>
      </c>
      <c r="AA1775" t="str">
        <f t="shared" si="5607"/>
        <v>Grid electricity</v>
      </c>
      <c r="AB1775" t="str">
        <f t="shared" si="5608"/>
        <v>Regulatory coverage</v>
      </c>
      <c r="AC1775">
        <f t="shared" ca="1" si="5609"/>
        <v>47.5</v>
      </c>
      <c r="AD1775">
        <v>1716</v>
      </c>
      <c r="AE1775" t="str">
        <f>IF(AND(ISNUMBER(SEARCH(O1775,4)),ISNUMBER(SEARCH('(4) FCH pathway assessment'!$B$16,AB1775)),ISNUMBER(SEARCH('(4) FCH pathway assessment'!$B$10,AA1775))),AD1775,"")</f>
        <v/>
      </c>
      <c r="AF1775" t="str">
        <f t="shared" si="5441"/>
        <v/>
      </c>
      <c r="AG1775" t="str">
        <f>VLOOKUP(C1775,Assumptions!$B$116:$C$162,2,FALSE)</f>
        <v>ELCTRLYZ_LRG_C</v>
      </c>
      <c r="AH1775" t="str">
        <f>VLOOKUP(D1775,Assumptions!$B$116:$C$162,2,FALSE)</f>
        <v>C_UNDRGRND_STRG</v>
      </c>
      <c r="AI1775" t="str">
        <f>VLOOKUP(E1775,Assumptions!$B$116:$C$162,2,FALSE)</f>
        <v>LQ_TRUCK</v>
      </c>
      <c r="AJ1775" t="str">
        <f>VLOOKUP(F1775,Assumptions!$B$116:$C$162,2,FALSE)</f>
        <v>H2_CCGT_PWR</v>
      </c>
    </row>
    <row r="1776" spans="2:36" x14ac:dyDescent="0.25">
      <c r="B1776" t="s">
        <v>112</v>
      </c>
      <c r="C1776" t="s">
        <v>49</v>
      </c>
      <c r="D1776" t="s">
        <v>62</v>
      </c>
      <c r="E1776" t="s">
        <v>66</v>
      </c>
      <c r="F1776" t="s">
        <v>163</v>
      </c>
      <c r="G1776" t="s">
        <v>114</v>
      </c>
      <c r="H1776" t="s">
        <v>433</v>
      </c>
      <c r="I1776" t="s">
        <v>32</v>
      </c>
      <c r="J1776" t="s">
        <v>534</v>
      </c>
      <c r="K1776">
        <f t="shared" si="5597"/>
        <v>1</v>
      </c>
      <c r="L1776">
        <f t="shared" si="5598"/>
        <v>0</v>
      </c>
      <c r="M1776">
        <f t="shared" si="5599"/>
        <v>1</v>
      </c>
      <c r="N1776">
        <f t="shared" si="5600"/>
        <v>0</v>
      </c>
      <c r="O1776">
        <f t="shared" si="5601"/>
        <v>2</v>
      </c>
      <c r="P1776" t="str">
        <f t="shared" si="5602"/>
        <v>Large centralized electrolysis-Regulatory coverage</v>
      </c>
      <c r="Q1776" t="str">
        <f t="shared" si="5603"/>
        <v>Underground storage-Regulatory coverage</v>
      </c>
      <c r="R1776" t="str">
        <f t="shared" si="5604"/>
        <v>Onsite-Regulatory coverage</v>
      </c>
      <c r="S1776" t="str">
        <f t="shared" si="5605"/>
        <v>Hydrogen turbine (CC)-Regulatory coverage</v>
      </c>
      <c r="T1776">
        <f ca="1">VLOOKUP($P1776,'TA database'!$I$8:$J$79,2,FALSE)</f>
        <v>100</v>
      </c>
      <c r="U1776">
        <f ca="1">VLOOKUP($Q1776,'TA database'!$I$86:$J$105,2,FALSE)</f>
        <v>0</v>
      </c>
      <c r="V1776">
        <f ca="1">VLOOKUP($R1776,'TA database'!$I$112:$J$139,2,FALSE)</f>
        <v>100</v>
      </c>
      <c r="W1776">
        <f>IFERROR(VLOOKUP($S1776,'TA database'!$I$146:$J$193,2,FALSE),0)</f>
        <v>0</v>
      </c>
      <c r="X1776">
        <f ca="1">IFERROR(VLOOKUP($S1776,'TA database'!$I$200:$J$271,2,FALSE),0)</f>
        <v>50</v>
      </c>
      <c r="Y1776">
        <f t="shared" ca="1" si="5596"/>
        <v>62.5</v>
      </c>
      <c r="Z1776" t="str">
        <f t="shared" si="5606"/>
        <v>ELCTRLYZ_LRG_C   →   C_UNDRGRND_STRG   →   ONSITE_USE   →   H2_CCGT_PWR</v>
      </c>
      <c r="AA1776" t="str">
        <f t="shared" si="5607"/>
        <v>Grid electricity</v>
      </c>
      <c r="AB1776" t="str">
        <f t="shared" si="5608"/>
        <v>Regulatory coverage</v>
      </c>
      <c r="AC1776">
        <f t="shared" ca="1" si="5609"/>
        <v>62.5</v>
      </c>
      <c r="AD1776">
        <v>1717</v>
      </c>
      <c r="AE1776" t="str">
        <f>IF(AND(ISNUMBER(SEARCH(O1776,4)),ISNUMBER(SEARCH('(4) FCH pathway assessment'!$B$16,AB1776)),ISNUMBER(SEARCH('(4) FCH pathway assessment'!$B$10,AA1776))),AD1776,"")</f>
        <v/>
      </c>
      <c r="AF1776" t="str">
        <f t="shared" si="5441"/>
        <v/>
      </c>
      <c r="AG1776" t="str">
        <f>VLOOKUP(C1776,Assumptions!$B$116:$C$162,2,FALSE)</f>
        <v>ELCTRLYZ_LRG_C</v>
      </c>
      <c r="AH1776" t="str">
        <f>VLOOKUP(D1776,Assumptions!$B$116:$C$162,2,FALSE)</f>
        <v>C_UNDRGRND_STRG</v>
      </c>
      <c r="AI1776" t="str">
        <f>VLOOKUP(E1776,Assumptions!$B$116:$C$162,2,FALSE)</f>
        <v>ONSITE_USE</v>
      </c>
      <c r="AJ1776" t="str">
        <f>VLOOKUP(F1776,Assumptions!$B$116:$C$162,2,FALSE)</f>
        <v>H2_CCGT_PWR</v>
      </c>
    </row>
    <row r="1777" spans="2:36" x14ac:dyDescent="0.25">
      <c r="B1777" t="s">
        <v>112</v>
      </c>
      <c r="C1777" t="s">
        <v>49</v>
      </c>
      <c r="D1777" t="s">
        <v>155</v>
      </c>
      <c r="E1777" t="s">
        <v>157</v>
      </c>
      <c r="F1777" t="s">
        <v>163</v>
      </c>
      <c r="G1777" t="s">
        <v>114</v>
      </c>
      <c r="H1777" t="s">
        <v>433</v>
      </c>
      <c r="I1777" t="s">
        <v>32</v>
      </c>
      <c r="J1777" t="s">
        <v>534</v>
      </c>
      <c r="K1777">
        <f t="shared" si="5597"/>
        <v>1</v>
      </c>
      <c r="L1777">
        <f t="shared" si="5598"/>
        <v>1</v>
      </c>
      <c r="M1777">
        <f t="shared" si="5599"/>
        <v>0</v>
      </c>
      <c r="N1777">
        <f t="shared" si="5600"/>
        <v>0</v>
      </c>
      <c r="O1777">
        <f t="shared" si="5601"/>
        <v>2</v>
      </c>
      <c r="P1777" t="str">
        <f t="shared" si="5602"/>
        <v>Large centralized electrolysis-Regulatory coverage</v>
      </c>
      <c r="Q1777" t="str">
        <f t="shared" si="5603"/>
        <v>Central gas storage-Regulatory coverage</v>
      </c>
      <c r="R1777" t="str">
        <f t="shared" si="5604"/>
        <v>Blending in natural gas pipeline-Regulatory coverage</v>
      </c>
      <c r="S1777" t="str">
        <f t="shared" si="5605"/>
        <v>Hydrogen turbine (CC)-Regulatory coverage</v>
      </c>
      <c r="T1777">
        <f ca="1">VLOOKUP($P1777,'TA database'!$I$8:$J$79,2,FALSE)</f>
        <v>100</v>
      </c>
      <c r="U1777">
        <f ca="1">VLOOKUP($Q1777,'TA database'!$I$86:$J$105,2,FALSE)</f>
        <v>80</v>
      </c>
      <c r="V1777">
        <f ca="1">VLOOKUP($R1777,'TA database'!$I$112:$J$139,2,FALSE)</f>
        <v>100</v>
      </c>
      <c r="W1777">
        <f>IFERROR(VLOOKUP($S1777,'TA database'!$I$146:$J$193,2,FALSE),0)</f>
        <v>0</v>
      </c>
      <c r="X1777">
        <f ca="1">IFERROR(VLOOKUP($S1777,'TA database'!$I$200:$J$271,2,FALSE),0)</f>
        <v>50</v>
      </c>
      <c r="Y1777">
        <f t="shared" ca="1" si="5596"/>
        <v>82.5</v>
      </c>
      <c r="Z1777" t="str">
        <f t="shared" si="5606"/>
        <v>ELCTRLYZ_LRG_C   →   C_GAS_STRG   →   H2_BLND_NG_P   →   H2_CCGT_PWR</v>
      </c>
      <c r="AA1777" t="str">
        <f t="shared" si="5607"/>
        <v>Grid electricity</v>
      </c>
      <c r="AB1777" t="str">
        <f t="shared" si="5608"/>
        <v>Regulatory coverage</v>
      </c>
      <c r="AC1777">
        <f t="shared" ca="1" si="5609"/>
        <v>82.5</v>
      </c>
      <c r="AD1777">
        <v>1718</v>
      </c>
      <c r="AE1777" t="str">
        <f>IF(AND(ISNUMBER(SEARCH(O1777,4)),ISNUMBER(SEARCH('(4) FCH pathway assessment'!$B$16,AB1777)),ISNUMBER(SEARCH('(4) FCH pathway assessment'!$B$10,AA1777))),AD1777,"")</f>
        <v/>
      </c>
      <c r="AF1777" t="str">
        <f t="shared" si="5441"/>
        <v/>
      </c>
      <c r="AG1777" t="str">
        <f>VLOOKUP(C1777,Assumptions!$B$116:$C$162,2,FALSE)</f>
        <v>ELCTRLYZ_LRG_C</v>
      </c>
      <c r="AH1777" t="str">
        <f>VLOOKUP(D1777,Assumptions!$B$116:$C$162,2,FALSE)</f>
        <v>C_GAS_STRG</v>
      </c>
      <c r="AI1777" t="str">
        <f>VLOOKUP(E1777,Assumptions!$B$116:$C$162,2,FALSE)</f>
        <v>H2_BLND_NG_P</v>
      </c>
      <c r="AJ1777" t="str">
        <f>VLOOKUP(F1777,Assumptions!$B$116:$C$162,2,FALSE)</f>
        <v>H2_CCGT_PWR</v>
      </c>
    </row>
    <row r="1778" spans="2:36" x14ac:dyDescent="0.25">
      <c r="B1778" t="s">
        <v>112</v>
      </c>
      <c r="C1778" t="s">
        <v>49</v>
      </c>
      <c r="D1778" t="s">
        <v>155</v>
      </c>
      <c r="E1778" t="s">
        <v>122</v>
      </c>
      <c r="F1778" t="s">
        <v>163</v>
      </c>
      <c r="G1778" t="s">
        <v>114</v>
      </c>
      <c r="H1778" t="s">
        <v>433</v>
      </c>
      <c r="I1778" t="s">
        <v>32</v>
      </c>
      <c r="J1778" t="s">
        <v>534</v>
      </c>
      <c r="K1778">
        <f t="shared" si="5597"/>
        <v>1</v>
      </c>
      <c r="L1778">
        <f t="shared" si="5598"/>
        <v>1</v>
      </c>
      <c r="M1778">
        <f t="shared" si="5599"/>
        <v>1</v>
      </c>
      <c r="N1778">
        <f t="shared" si="5600"/>
        <v>0</v>
      </c>
      <c r="O1778">
        <f t="shared" si="5601"/>
        <v>3</v>
      </c>
      <c r="P1778" t="str">
        <f t="shared" si="5602"/>
        <v>Large centralized electrolysis-Regulatory coverage</v>
      </c>
      <c r="Q1778" t="str">
        <f t="shared" si="5603"/>
        <v>Central gas storage-Regulatory coverage</v>
      </c>
      <c r="R1778" t="str">
        <f t="shared" si="5604"/>
        <v>Hydrogen transmission &amp; distribution pipeline-Regulatory coverage</v>
      </c>
      <c r="S1778" t="str">
        <f t="shared" si="5605"/>
        <v>Hydrogen turbine (CC)-Regulatory coverage</v>
      </c>
      <c r="T1778">
        <f ca="1">VLOOKUP($P1778,'TA database'!$I$8:$J$79,2,FALSE)</f>
        <v>100</v>
      </c>
      <c r="U1778">
        <f ca="1">VLOOKUP($Q1778,'TA database'!$I$86:$J$105,2,FALSE)</f>
        <v>80</v>
      </c>
      <c r="V1778">
        <f ca="1">VLOOKUP($R1778,'TA database'!$I$112:$J$139,2,FALSE)</f>
        <v>40</v>
      </c>
      <c r="W1778">
        <f>IFERROR(VLOOKUP($S1778,'TA database'!$I$146:$J$193,2,FALSE),0)</f>
        <v>0</v>
      </c>
      <c r="X1778">
        <f ca="1">IFERROR(VLOOKUP($S1778,'TA database'!$I$200:$J$271,2,FALSE),0)</f>
        <v>50</v>
      </c>
      <c r="Y1778">
        <f t="shared" ref="Y1778:Y1784" ca="1" si="5610">IF($W1778=0,SUM($T1778:$V1778,$X1778)/4,SUM($T1778:$W1778)/4)</f>
        <v>67.5</v>
      </c>
      <c r="Z1778" t="str">
        <f t="shared" si="5606"/>
        <v>ELCTRLYZ_LRG_C   →   C_GAS_STRG   →   H2_T&amp;D_P   →   H2_CCGT_PWR</v>
      </c>
      <c r="AA1778" t="str">
        <f t="shared" si="5607"/>
        <v>Grid electricity</v>
      </c>
      <c r="AB1778" t="str">
        <f t="shared" si="5608"/>
        <v>Regulatory coverage</v>
      </c>
      <c r="AC1778">
        <f t="shared" ca="1" si="5609"/>
        <v>67.5</v>
      </c>
      <c r="AD1778">
        <v>1719</v>
      </c>
      <c r="AE1778" t="str">
        <f>IF(AND(ISNUMBER(SEARCH(O1778,4)),ISNUMBER(SEARCH('(4) FCH pathway assessment'!$B$16,AB1778)),ISNUMBER(SEARCH('(4) FCH pathway assessment'!$B$10,AA1778))),AD1778,"")</f>
        <v/>
      </c>
      <c r="AF1778" t="str">
        <f t="shared" si="5441"/>
        <v/>
      </c>
      <c r="AG1778" t="str">
        <f>VLOOKUP(C1778,Assumptions!$B$116:$C$162,2,FALSE)</f>
        <v>ELCTRLYZ_LRG_C</v>
      </c>
      <c r="AH1778" t="str">
        <f>VLOOKUP(D1778,Assumptions!$B$116:$C$162,2,FALSE)</f>
        <v>C_GAS_STRG</v>
      </c>
      <c r="AI1778" t="str">
        <f>VLOOKUP(E1778,Assumptions!$B$116:$C$162,2,FALSE)</f>
        <v>H2_T&amp;D_P</v>
      </c>
      <c r="AJ1778" t="str">
        <f>VLOOKUP(F1778,Assumptions!$B$116:$C$162,2,FALSE)</f>
        <v>H2_CCGT_PWR</v>
      </c>
    </row>
    <row r="1779" spans="2:36" x14ac:dyDescent="0.25">
      <c r="B1779" t="s">
        <v>112</v>
      </c>
      <c r="C1779" t="s">
        <v>49</v>
      </c>
      <c r="D1779" t="s">
        <v>155</v>
      </c>
      <c r="E1779" t="s">
        <v>116</v>
      </c>
      <c r="F1779" t="s">
        <v>163</v>
      </c>
      <c r="G1779" t="s">
        <v>114</v>
      </c>
      <c r="H1779" t="s">
        <v>433</v>
      </c>
      <c r="I1779" t="s">
        <v>32</v>
      </c>
      <c r="J1779" t="s">
        <v>534</v>
      </c>
      <c r="K1779">
        <f t="shared" si="5597"/>
        <v>1</v>
      </c>
      <c r="L1779">
        <f t="shared" si="5598"/>
        <v>1</v>
      </c>
      <c r="M1779">
        <f t="shared" si="5599"/>
        <v>1</v>
      </c>
      <c r="N1779">
        <f t="shared" si="5600"/>
        <v>0</v>
      </c>
      <c r="O1779">
        <f t="shared" si="5601"/>
        <v>3</v>
      </c>
      <c r="P1779" t="str">
        <f t="shared" si="5602"/>
        <v>Large centralized electrolysis-Regulatory coverage</v>
      </c>
      <c r="Q1779" t="str">
        <f t="shared" si="5603"/>
        <v>Central gas storage-Regulatory coverage</v>
      </c>
      <c r="R1779" t="str">
        <f t="shared" si="5604"/>
        <v>Liquid hydrogen truck-Regulatory coverage</v>
      </c>
      <c r="S1779" t="str">
        <f t="shared" si="5605"/>
        <v>Hydrogen turbine (CC)-Regulatory coverage</v>
      </c>
      <c r="T1779">
        <f ca="1">VLOOKUP($P1779,'TA database'!$I$8:$J$79,2,FALSE)</f>
        <v>100</v>
      </c>
      <c r="U1779">
        <f ca="1">VLOOKUP($Q1779,'TA database'!$I$86:$J$105,2,FALSE)</f>
        <v>80</v>
      </c>
      <c r="V1779">
        <f ca="1">VLOOKUP($R1779,'TA database'!$I$112:$J$139,2,FALSE)</f>
        <v>40</v>
      </c>
      <c r="W1779">
        <f>IFERROR(VLOOKUP($S1779,'TA database'!$I$146:$J$193,2,FALSE),0)</f>
        <v>0</v>
      </c>
      <c r="X1779">
        <f ca="1">IFERROR(VLOOKUP($S1779,'TA database'!$I$200:$J$271,2,FALSE),0)</f>
        <v>50</v>
      </c>
      <c r="Y1779">
        <f t="shared" ca="1" si="5610"/>
        <v>67.5</v>
      </c>
      <c r="Z1779" t="str">
        <f t="shared" si="5606"/>
        <v>ELCTRLYZ_LRG_C   →   C_GAS_STRG   →   LQ_TRUCK   →   H2_CCGT_PWR</v>
      </c>
      <c r="AA1779" t="str">
        <f t="shared" si="5607"/>
        <v>Grid electricity</v>
      </c>
      <c r="AB1779" t="str">
        <f t="shared" si="5608"/>
        <v>Regulatory coverage</v>
      </c>
      <c r="AC1779">
        <f t="shared" ca="1" si="5609"/>
        <v>67.5</v>
      </c>
      <c r="AD1779">
        <v>1720</v>
      </c>
      <c r="AE1779" t="str">
        <f>IF(AND(ISNUMBER(SEARCH(O1779,4)),ISNUMBER(SEARCH('(4) FCH pathway assessment'!$B$16,AB1779)),ISNUMBER(SEARCH('(4) FCH pathway assessment'!$B$10,AA1779))),AD1779,"")</f>
        <v/>
      </c>
      <c r="AF1779" t="str">
        <f t="shared" si="5441"/>
        <v/>
      </c>
      <c r="AG1779" t="str">
        <f>VLOOKUP(C1779,Assumptions!$B$116:$C$162,2,FALSE)</f>
        <v>ELCTRLYZ_LRG_C</v>
      </c>
      <c r="AH1779" t="str">
        <f>VLOOKUP(D1779,Assumptions!$B$116:$C$162,2,FALSE)</f>
        <v>C_GAS_STRG</v>
      </c>
      <c r="AI1779" t="str">
        <f>VLOOKUP(E1779,Assumptions!$B$116:$C$162,2,FALSE)</f>
        <v>LQ_TRUCK</v>
      </c>
      <c r="AJ1779" t="str">
        <f>VLOOKUP(F1779,Assumptions!$B$116:$C$162,2,FALSE)</f>
        <v>H2_CCGT_PWR</v>
      </c>
    </row>
    <row r="1780" spans="2:36" x14ac:dyDescent="0.25">
      <c r="B1780" t="s">
        <v>112</v>
      </c>
      <c r="C1780" t="s">
        <v>49</v>
      </c>
      <c r="D1780" t="s">
        <v>155</v>
      </c>
      <c r="E1780" t="s">
        <v>66</v>
      </c>
      <c r="F1780" t="s">
        <v>163</v>
      </c>
      <c r="G1780" t="s">
        <v>114</v>
      </c>
      <c r="H1780" t="s">
        <v>433</v>
      </c>
      <c r="I1780" t="s">
        <v>32</v>
      </c>
      <c r="J1780" t="s">
        <v>534</v>
      </c>
      <c r="K1780">
        <f t="shared" si="5597"/>
        <v>1</v>
      </c>
      <c r="L1780">
        <f t="shared" si="5598"/>
        <v>1</v>
      </c>
      <c r="M1780">
        <f t="shared" si="5599"/>
        <v>1</v>
      </c>
      <c r="N1780">
        <f t="shared" si="5600"/>
        <v>0</v>
      </c>
      <c r="O1780">
        <f t="shared" si="5601"/>
        <v>3</v>
      </c>
      <c r="P1780" t="str">
        <f t="shared" si="5602"/>
        <v>Large centralized electrolysis-Regulatory coverage</v>
      </c>
      <c r="Q1780" t="str">
        <f t="shared" si="5603"/>
        <v>Central gas storage-Regulatory coverage</v>
      </c>
      <c r="R1780" t="str">
        <f t="shared" si="5604"/>
        <v>Onsite-Regulatory coverage</v>
      </c>
      <c r="S1780" t="str">
        <f t="shared" si="5605"/>
        <v>Hydrogen turbine (CC)-Regulatory coverage</v>
      </c>
      <c r="T1780">
        <f ca="1">VLOOKUP($P1780,'TA database'!$I$8:$J$79,2,FALSE)</f>
        <v>100</v>
      </c>
      <c r="U1780">
        <f ca="1">VLOOKUP($Q1780,'TA database'!$I$86:$J$105,2,FALSE)</f>
        <v>80</v>
      </c>
      <c r="V1780">
        <f ca="1">VLOOKUP($R1780,'TA database'!$I$112:$J$139,2,FALSE)</f>
        <v>100</v>
      </c>
      <c r="W1780">
        <f>IFERROR(VLOOKUP($S1780,'TA database'!$I$146:$J$193,2,FALSE),0)</f>
        <v>0</v>
      </c>
      <c r="X1780">
        <f ca="1">IFERROR(VLOOKUP($S1780,'TA database'!$I$200:$J$271,2,FALSE),0)</f>
        <v>50</v>
      </c>
      <c r="Y1780">
        <f t="shared" ca="1" si="5610"/>
        <v>82.5</v>
      </c>
      <c r="Z1780" t="str">
        <f t="shared" si="5606"/>
        <v>ELCTRLYZ_LRG_C   →   C_GAS_STRG   →   ONSITE_USE   →   H2_CCGT_PWR</v>
      </c>
      <c r="AA1780" t="str">
        <f t="shared" si="5607"/>
        <v>Grid electricity</v>
      </c>
      <c r="AB1780" t="str">
        <f t="shared" si="5608"/>
        <v>Regulatory coverage</v>
      </c>
      <c r="AC1780">
        <f t="shared" ca="1" si="5609"/>
        <v>82.5</v>
      </c>
      <c r="AD1780">
        <v>1721</v>
      </c>
      <c r="AE1780" t="str">
        <f>IF(AND(ISNUMBER(SEARCH(O1780,4)),ISNUMBER(SEARCH('(4) FCH pathway assessment'!$B$16,AB1780)),ISNUMBER(SEARCH('(4) FCH pathway assessment'!$B$10,AA1780))),AD1780,"")</f>
        <v/>
      </c>
      <c r="AF1780" t="str">
        <f t="shared" si="5441"/>
        <v/>
      </c>
      <c r="AG1780" t="str">
        <f>VLOOKUP(C1780,Assumptions!$B$116:$C$162,2,FALSE)</f>
        <v>ELCTRLYZ_LRG_C</v>
      </c>
      <c r="AH1780" t="str">
        <f>VLOOKUP(D1780,Assumptions!$B$116:$C$162,2,FALSE)</f>
        <v>C_GAS_STRG</v>
      </c>
      <c r="AI1780" t="str">
        <f>VLOOKUP(E1780,Assumptions!$B$116:$C$162,2,FALSE)</f>
        <v>ONSITE_USE</v>
      </c>
      <c r="AJ1780" t="str">
        <f>VLOOKUP(F1780,Assumptions!$B$116:$C$162,2,FALSE)</f>
        <v>H2_CCGT_PWR</v>
      </c>
    </row>
    <row r="1781" spans="2:36" x14ac:dyDescent="0.25">
      <c r="B1781" t="s">
        <v>112</v>
      </c>
      <c r="C1781" t="s">
        <v>51</v>
      </c>
      <c r="D1781" t="s">
        <v>155</v>
      </c>
      <c r="E1781" t="s">
        <v>157</v>
      </c>
      <c r="F1781" t="s">
        <v>163</v>
      </c>
      <c r="G1781" t="s">
        <v>114</v>
      </c>
      <c r="H1781" t="s">
        <v>433</v>
      </c>
      <c r="I1781" t="s">
        <v>32</v>
      </c>
      <c r="J1781" t="s">
        <v>534</v>
      </c>
      <c r="K1781">
        <f t="shared" ref="K1781:K1784" si="5611">SUMPRODUCT(($C$7:$C$18=$C1781)*($D$6:$H$6=$D1781)*($D$7:$H$18))</f>
        <v>1</v>
      </c>
      <c r="L1781">
        <f t="shared" ref="L1781:L1784" si="5612">SUMPRODUCT(($C$19:$C$23=$D1781)*($I$6:$O$6=$E1781)*($I$19:$O$23))</f>
        <v>1</v>
      </c>
      <c r="M1781">
        <f t="shared" ref="M1781:M1784" si="5613">SUMPRODUCT(($C$24:$C$30=$E1781)*($P$6:$AI$6=$F1781)*($P$24:$AI$30))</f>
        <v>0</v>
      </c>
      <c r="N1781">
        <f t="shared" ref="N1781:N1784" si="5614">SUMPRODUCT(($C$31:$C$50=$F1781)*($AJ$6:$AM$6=$G1781)*($AJ$31:$AM$50))</f>
        <v>0</v>
      </c>
      <c r="O1781">
        <f t="shared" ref="O1781:O1784" si="5615">K1781+L1781+M1781+N1781</f>
        <v>2</v>
      </c>
      <c r="P1781" t="str">
        <f t="shared" ref="P1781:P1784" si="5616">CONCATENATE(C1781,"-",J1781)</f>
        <v>Medium centralized electrolysis-Regulatory coverage</v>
      </c>
      <c r="Q1781" t="str">
        <f t="shared" ref="Q1781:Q1784" si="5617">CONCATENATE(D1781,"-",J1781)</f>
        <v>Central gas storage-Regulatory coverage</v>
      </c>
      <c r="R1781" t="str">
        <f t="shared" ref="R1781:R1784" si="5618">CONCATENATE(E1781,"-",J1781)</f>
        <v>Blending in natural gas pipeline-Regulatory coverage</v>
      </c>
      <c r="S1781" t="str">
        <f t="shared" ref="S1781:S1784" si="5619">CONCATENATE(F1781,"-",J1781)</f>
        <v>Hydrogen turbine (CC)-Regulatory coverage</v>
      </c>
      <c r="T1781">
        <f ca="1">VLOOKUP($P1781,'TA database'!$I$8:$J$79,2,FALSE)</f>
        <v>100</v>
      </c>
      <c r="U1781">
        <f ca="1">VLOOKUP($Q1781,'TA database'!$I$86:$J$105,2,FALSE)</f>
        <v>80</v>
      </c>
      <c r="V1781">
        <f ca="1">VLOOKUP($R1781,'TA database'!$I$112:$J$139,2,FALSE)</f>
        <v>100</v>
      </c>
      <c r="W1781">
        <f>IFERROR(VLOOKUP($S1781,'TA database'!$I$146:$J$193,2,FALSE),0)</f>
        <v>0</v>
      </c>
      <c r="X1781">
        <f ca="1">IFERROR(VLOOKUP($S1781,'TA database'!$I$200:$J$271,2,FALSE),0)</f>
        <v>50</v>
      </c>
      <c r="Y1781">
        <f t="shared" ca="1" si="5610"/>
        <v>82.5</v>
      </c>
      <c r="Z1781" t="str">
        <f t="shared" ref="Z1781:Z1784" si="5620">CONCATENATE(AG1781,"   →   ",AH1781,"   →   ",AI1781,"   →   ",AJ1781)</f>
        <v>ELCTRLYZ_MED_C   →   C_GAS_STRG   →   H2_BLND_NG_P   →   H2_CCGT_PWR</v>
      </c>
      <c r="AA1781" t="str">
        <f t="shared" ref="AA1781:AA1784" si="5621">G1781</f>
        <v>Grid electricity</v>
      </c>
      <c r="AB1781" t="str">
        <f t="shared" ref="AB1781:AB1784" si="5622">J1781</f>
        <v>Regulatory coverage</v>
      </c>
      <c r="AC1781">
        <f t="shared" ref="AC1781:AC1784" ca="1" si="5623">Y1781</f>
        <v>82.5</v>
      </c>
      <c r="AD1781">
        <v>1722</v>
      </c>
      <c r="AE1781" t="str">
        <f>IF(AND(ISNUMBER(SEARCH(O1781,4)),ISNUMBER(SEARCH('(4) FCH pathway assessment'!$B$16,AB1781)),ISNUMBER(SEARCH('(4) FCH pathway assessment'!$B$10,AA1781))),AD1781,"")</f>
        <v/>
      </c>
      <c r="AF1781" t="str">
        <f t="shared" si="5441"/>
        <v/>
      </c>
      <c r="AG1781" t="str">
        <f>VLOOKUP(C1781,Assumptions!$B$116:$C$162,2,FALSE)</f>
        <v>ELCTRLYZ_MED_C</v>
      </c>
      <c r="AH1781" t="str">
        <f>VLOOKUP(D1781,Assumptions!$B$116:$C$162,2,FALSE)</f>
        <v>C_GAS_STRG</v>
      </c>
      <c r="AI1781" t="str">
        <f>VLOOKUP(E1781,Assumptions!$B$116:$C$162,2,FALSE)</f>
        <v>H2_BLND_NG_P</v>
      </c>
      <c r="AJ1781" t="str">
        <f>VLOOKUP(F1781,Assumptions!$B$116:$C$162,2,FALSE)</f>
        <v>H2_CCGT_PWR</v>
      </c>
    </row>
    <row r="1782" spans="2:36" x14ac:dyDescent="0.25">
      <c r="B1782" t="s">
        <v>112</v>
      </c>
      <c r="C1782" t="s">
        <v>51</v>
      </c>
      <c r="D1782" t="s">
        <v>155</v>
      </c>
      <c r="E1782" t="s">
        <v>122</v>
      </c>
      <c r="F1782" t="s">
        <v>163</v>
      </c>
      <c r="G1782" t="s">
        <v>114</v>
      </c>
      <c r="H1782" t="s">
        <v>433</v>
      </c>
      <c r="I1782" t="s">
        <v>32</v>
      </c>
      <c r="J1782" t="s">
        <v>534</v>
      </c>
      <c r="K1782">
        <f t="shared" si="5611"/>
        <v>1</v>
      </c>
      <c r="L1782">
        <f t="shared" si="5612"/>
        <v>1</v>
      </c>
      <c r="M1782">
        <f t="shared" si="5613"/>
        <v>1</v>
      </c>
      <c r="N1782">
        <f t="shared" si="5614"/>
        <v>0</v>
      </c>
      <c r="O1782">
        <f t="shared" si="5615"/>
        <v>3</v>
      </c>
      <c r="P1782" t="str">
        <f t="shared" si="5616"/>
        <v>Medium centralized electrolysis-Regulatory coverage</v>
      </c>
      <c r="Q1782" t="str">
        <f t="shared" si="5617"/>
        <v>Central gas storage-Regulatory coverage</v>
      </c>
      <c r="R1782" t="str">
        <f t="shared" si="5618"/>
        <v>Hydrogen transmission &amp; distribution pipeline-Regulatory coverage</v>
      </c>
      <c r="S1782" t="str">
        <f t="shared" si="5619"/>
        <v>Hydrogen turbine (CC)-Regulatory coverage</v>
      </c>
      <c r="T1782">
        <f ca="1">VLOOKUP($P1782,'TA database'!$I$8:$J$79,2,FALSE)</f>
        <v>100</v>
      </c>
      <c r="U1782">
        <f ca="1">VLOOKUP($Q1782,'TA database'!$I$86:$J$105,2,FALSE)</f>
        <v>80</v>
      </c>
      <c r="V1782">
        <f ca="1">VLOOKUP($R1782,'TA database'!$I$112:$J$139,2,FALSE)</f>
        <v>40</v>
      </c>
      <c r="W1782">
        <f>IFERROR(VLOOKUP($S1782,'TA database'!$I$146:$J$193,2,FALSE),0)</f>
        <v>0</v>
      </c>
      <c r="X1782">
        <f ca="1">IFERROR(VLOOKUP($S1782,'TA database'!$I$200:$J$271,2,FALSE),0)</f>
        <v>50</v>
      </c>
      <c r="Y1782">
        <f t="shared" ca="1" si="5610"/>
        <v>67.5</v>
      </c>
      <c r="Z1782" t="str">
        <f t="shared" si="5620"/>
        <v>ELCTRLYZ_MED_C   →   C_GAS_STRG   →   H2_T&amp;D_P   →   H2_CCGT_PWR</v>
      </c>
      <c r="AA1782" t="str">
        <f t="shared" si="5621"/>
        <v>Grid electricity</v>
      </c>
      <c r="AB1782" t="str">
        <f t="shared" si="5622"/>
        <v>Regulatory coverage</v>
      </c>
      <c r="AC1782">
        <f t="shared" ca="1" si="5623"/>
        <v>67.5</v>
      </c>
      <c r="AD1782">
        <v>1723</v>
      </c>
      <c r="AE1782" t="str">
        <f>IF(AND(ISNUMBER(SEARCH(O1782,4)),ISNUMBER(SEARCH('(4) FCH pathway assessment'!$B$16,AB1782)),ISNUMBER(SEARCH('(4) FCH pathway assessment'!$B$10,AA1782))),AD1782,"")</f>
        <v/>
      </c>
      <c r="AF1782" t="str">
        <f t="shared" si="5441"/>
        <v/>
      </c>
      <c r="AG1782" t="str">
        <f>VLOOKUP(C1782,Assumptions!$B$116:$C$162,2,FALSE)</f>
        <v>ELCTRLYZ_MED_C</v>
      </c>
      <c r="AH1782" t="str">
        <f>VLOOKUP(D1782,Assumptions!$B$116:$C$162,2,FALSE)</f>
        <v>C_GAS_STRG</v>
      </c>
      <c r="AI1782" t="str">
        <f>VLOOKUP(E1782,Assumptions!$B$116:$C$162,2,FALSE)</f>
        <v>H2_T&amp;D_P</v>
      </c>
      <c r="AJ1782" t="str">
        <f>VLOOKUP(F1782,Assumptions!$B$116:$C$162,2,FALSE)</f>
        <v>H2_CCGT_PWR</v>
      </c>
    </row>
    <row r="1783" spans="2:36" x14ac:dyDescent="0.25">
      <c r="B1783" t="s">
        <v>112</v>
      </c>
      <c r="C1783" t="s">
        <v>51</v>
      </c>
      <c r="D1783" t="s">
        <v>155</v>
      </c>
      <c r="E1783" t="s">
        <v>116</v>
      </c>
      <c r="F1783" t="s">
        <v>163</v>
      </c>
      <c r="G1783" t="s">
        <v>114</v>
      </c>
      <c r="H1783" t="s">
        <v>433</v>
      </c>
      <c r="I1783" t="s">
        <v>32</v>
      </c>
      <c r="J1783" t="s">
        <v>534</v>
      </c>
      <c r="K1783">
        <f t="shared" si="5611"/>
        <v>1</v>
      </c>
      <c r="L1783">
        <f t="shared" si="5612"/>
        <v>1</v>
      </c>
      <c r="M1783">
        <f t="shared" si="5613"/>
        <v>1</v>
      </c>
      <c r="N1783">
        <f t="shared" si="5614"/>
        <v>0</v>
      </c>
      <c r="O1783">
        <f t="shared" si="5615"/>
        <v>3</v>
      </c>
      <c r="P1783" t="str">
        <f t="shared" si="5616"/>
        <v>Medium centralized electrolysis-Regulatory coverage</v>
      </c>
      <c r="Q1783" t="str">
        <f t="shared" si="5617"/>
        <v>Central gas storage-Regulatory coverage</v>
      </c>
      <c r="R1783" t="str">
        <f t="shared" si="5618"/>
        <v>Liquid hydrogen truck-Regulatory coverage</v>
      </c>
      <c r="S1783" t="str">
        <f t="shared" si="5619"/>
        <v>Hydrogen turbine (CC)-Regulatory coverage</v>
      </c>
      <c r="T1783">
        <f ca="1">VLOOKUP($P1783,'TA database'!$I$8:$J$79,2,FALSE)</f>
        <v>100</v>
      </c>
      <c r="U1783">
        <f ca="1">VLOOKUP($Q1783,'TA database'!$I$86:$J$105,2,FALSE)</f>
        <v>80</v>
      </c>
      <c r="V1783">
        <f ca="1">VLOOKUP($R1783,'TA database'!$I$112:$J$139,2,FALSE)</f>
        <v>40</v>
      </c>
      <c r="W1783">
        <f>IFERROR(VLOOKUP($S1783,'TA database'!$I$146:$J$193,2,FALSE),0)</f>
        <v>0</v>
      </c>
      <c r="X1783">
        <f ca="1">IFERROR(VLOOKUP($S1783,'TA database'!$I$200:$J$271,2,FALSE),0)</f>
        <v>50</v>
      </c>
      <c r="Y1783">
        <f t="shared" ca="1" si="5610"/>
        <v>67.5</v>
      </c>
      <c r="Z1783" t="str">
        <f t="shared" si="5620"/>
        <v>ELCTRLYZ_MED_C   →   C_GAS_STRG   →   LQ_TRUCK   →   H2_CCGT_PWR</v>
      </c>
      <c r="AA1783" t="str">
        <f t="shared" si="5621"/>
        <v>Grid electricity</v>
      </c>
      <c r="AB1783" t="str">
        <f t="shared" si="5622"/>
        <v>Regulatory coverage</v>
      </c>
      <c r="AC1783">
        <f t="shared" ca="1" si="5623"/>
        <v>67.5</v>
      </c>
      <c r="AD1783">
        <v>1724</v>
      </c>
      <c r="AE1783" t="str">
        <f>IF(AND(ISNUMBER(SEARCH(O1783,4)),ISNUMBER(SEARCH('(4) FCH pathway assessment'!$B$16,AB1783)),ISNUMBER(SEARCH('(4) FCH pathway assessment'!$B$10,AA1783))),AD1783,"")</f>
        <v/>
      </c>
      <c r="AF1783" t="str">
        <f t="shared" si="5441"/>
        <v/>
      </c>
      <c r="AG1783" t="str">
        <f>VLOOKUP(C1783,Assumptions!$B$116:$C$162,2,FALSE)</f>
        <v>ELCTRLYZ_MED_C</v>
      </c>
      <c r="AH1783" t="str">
        <f>VLOOKUP(D1783,Assumptions!$B$116:$C$162,2,FALSE)</f>
        <v>C_GAS_STRG</v>
      </c>
      <c r="AI1783" t="str">
        <f>VLOOKUP(E1783,Assumptions!$B$116:$C$162,2,FALSE)</f>
        <v>LQ_TRUCK</v>
      </c>
      <c r="AJ1783" t="str">
        <f>VLOOKUP(F1783,Assumptions!$B$116:$C$162,2,FALSE)</f>
        <v>H2_CCGT_PWR</v>
      </c>
    </row>
    <row r="1784" spans="2:36" x14ac:dyDescent="0.25">
      <c r="B1784" t="s">
        <v>112</v>
      </c>
      <c r="C1784" t="s">
        <v>51</v>
      </c>
      <c r="D1784" t="s">
        <v>155</v>
      </c>
      <c r="E1784" t="s">
        <v>66</v>
      </c>
      <c r="F1784" t="s">
        <v>163</v>
      </c>
      <c r="G1784" t="s">
        <v>114</v>
      </c>
      <c r="H1784" t="s">
        <v>433</v>
      </c>
      <c r="I1784" t="s">
        <v>32</v>
      </c>
      <c r="J1784" t="s">
        <v>534</v>
      </c>
      <c r="K1784">
        <f t="shared" si="5611"/>
        <v>1</v>
      </c>
      <c r="L1784">
        <f t="shared" si="5612"/>
        <v>1</v>
      </c>
      <c r="M1784">
        <f t="shared" si="5613"/>
        <v>1</v>
      </c>
      <c r="N1784">
        <f t="shared" si="5614"/>
        <v>0</v>
      </c>
      <c r="O1784">
        <f t="shared" si="5615"/>
        <v>3</v>
      </c>
      <c r="P1784" t="str">
        <f t="shared" si="5616"/>
        <v>Medium centralized electrolysis-Regulatory coverage</v>
      </c>
      <c r="Q1784" t="str">
        <f t="shared" si="5617"/>
        <v>Central gas storage-Regulatory coverage</v>
      </c>
      <c r="R1784" t="str">
        <f t="shared" si="5618"/>
        <v>Onsite-Regulatory coverage</v>
      </c>
      <c r="S1784" t="str">
        <f t="shared" si="5619"/>
        <v>Hydrogen turbine (CC)-Regulatory coverage</v>
      </c>
      <c r="T1784">
        <f ca="1">VLOOKUP($P1784,'TA database'!$I$8:$J$79,2,FALSE)</f>
        <v>100</v>
      </c>
      <c r="U1784">
        <f ca="1">VLOOKUP($Q1784,'TA database'!$I$86:$J$105,2,FALSE)</f>
        <v>80</v>
      </c>
      <c r="V1784">
        <f ca="1">VLOOKUP($R1784,'TA database'!$I$112:$J$139,2,FALSE)</f>
        <v>100</v>
      </c>
      <c r="W1784">
        <f>IFERROR(VLOOKUP($S1784,'TA database'!$I$146:$J$193,2,FALSE),0)</f>
        <v>0</v>
      </c>
      <c r="X1784">
        <f ca="1">IFERROR(VLOOKUP($S1784,'TA database'!$I$200:$J$271,2,FALSE),0)</f>
        <v>50</v>
      </c>
      <c r="Y1784">
        <f t="shared" ca="1" si="5610"/>
        <v>82.5</v>
      </c>
      <c r="Z1784" t="str">
        <f t="shared" si="5620"/>
        <v>ELCTRLYZ_MED_C   →   C_GAS_STRG   →   ONSITE_USE   →   H2_CCGT_PWR</v>
      </c>
      <c r="AA1784" t="str">
        <f t="shared" si="5621"/>
        <v>Grid electricity</v>
      </c>
      <c r="AB1784" t="str">
        <f t="shared" si="5622"/>
        <v>Regulatory coverage</v>
      </c>
      <c r="AC1784">
        <f t="shared" ca="1" si="5623"/>
        <v>82.5</v>
      </c>
      <c r="AD1784">
        <v>1725</v>
      </c>
      <c r="AE1784" t="str">
        <f>IF(AND(ISNUMBER(SEARCH(O1784,4)),ISNUMBER(SEARCH('(4) FCH pathway assessment'!$B$16,AB1784)),ISNUMBER(SEARCH('(4) FCH pathway assessment'!$B$10,AA1784))),AD1784,"")</f>
        <v/>
      </c>
      <c r="AF1784" t="str">
        <f t="shared" si="5441"/>
        <v/>
      </c>
      <c r="AG1784" t="str">
        <f>VLOOKUP(C1784,Assumptions!$B$116:$C$162,2,FALSE)</f>
        <v>ELCTRLYZ_MED_C</v>
      </c>
      <c r="AH1784" t="str">
        <f>VLOOKUP(D1784,Assumptions!$B$116:$C$162,2,FALSE)</f>
        <v>C_GAS_STRG</v>
      </c>
      <c r="AI1784" t="str">
        <f>VLOOKUP(E1784,Assumptions!$B$116:$C$162,2,FALSE)</f>
        <v>ONSITE_USE</v>
      </c>
      <c r="AJ1784" t="str">
        <f>VLOOKUP(F1784,Assumptions!$B$116:$C$162,2,FALSE)</f>
        <v>H2_CCGT_PWR</v>
      </c>
    </row>
    <row r="1785" spans="2:36" x14ac:dyDescent="0.25">
      <c r="B1785" t="s">
        <v>112</v>
      </c>
      <c r="C1785" t="s">
        <v>52</v>
      </c>
      <c r="D1785" s="60" t="s">
        <v>130</v>
      </c>
      <c r="E1785" t="s">
        <v>66</v>
      </c>
      <c r="F1785" t="s">
        <v>163</v>
      </c>
      <c r="G1785" t="s">
        <v>114</v>
      </c>
      <c r="H1785" t="s">
        <v>433</v>
      </c>
      <c r="I1785" t="s">
        <v>32</v>
      </c>
      <c r="J1785" t="s">
        <v>534</v>
      </c>
      <c r="K1785">
        <f t="shared" ref="K1785:K1790" si="5624">SUMPRODUCT(($C$7:$C$18=$C1785)*($D$6:$H$6=$D1785)*($D$7:$H$18))</f>
        <v>1</v>
      </c>
      <c r="L1785">
        <f t="shared" ref="L1785:L1790" si="5625">SUMPRODUCT(($C$19:$C$23=$D1785)*($I$6:$O$6=$E1785)*($I$19:$O$23))</f>
        <v>1</v>
      </c>
      <c r="M1785">
        <f t="shared" ref="M1785:M1790" si="5626">SUMPRODUCT(($C$24:$C$30=$E1785)*($P$6:$AI$6=$F1785)*($P$24:$AI$30))</f>
        <v>1</v>
      </c>
      <c r="N1785">
        <f t="shared" ref="N1785:N1790" si="5627">SUMPRODUCT(($C$31:$C$50=$F1785)*($AJ$6:$AM$6=$G1785)*($AJ$31:$AM$50))</f>
        <v>0</v>
      </c>
      <c r="O1785">
        <f t="shared" ref="O1785:O1790" si="5628">K1785+L1785+M1785+N1785</f>
        <v>3</v>
      </c>
      <c r="P1785" t="str">
        <f t="shared" ref="P1785:P1790" si="5629">CONCATENATE(C1785,"-",J1785)</f>
        <v>Small decentralized electrolysis-Regulatory coverage</v>
      </c>
      <c r="Q1785" t="str">
        <f t="shared" ref="Q1785:Q1790" si="5630">CONCATENATE(D1785,"-",J1785)</f>
        <v>Distributed gas storage-Regulatory coverage</v>
      </c>
      <c r="R1785" t="str">
        <f t="shared" ref="R1785:R1790" si="5631">CONCATENATE(E1785,"-",J1785)</f>
        <v>Onsite-Regulatory coverage</v>
      </c>
      <c r="S1785" t="str">
        <f t="shared" ref="S1785:S1790" si="5632">CONCATENATE(F1785,"-",J1785)</f>
        <v>Hydrogen turbine (CC)-Regulatory coverage</v>
      </c>
      <c r="T1785">
        <f ca="1">VLOOKUP($P1785,'TA database'!$I$8:$J$79,2,FALSE)</f>
        <v>100</v>
      </c>
      <c r="U1785">
        <f ca="1">VLOOKUP($Q1785,'TA database'!$I$86:$J$105,2,FALSE)</f>
        <v>100</v>
      </c>
      <c r="V1785">
        <f ca="1">VLOOKUP($R1785,'TA database'!$I$112:$J$139,2,FALSE)</f>
        <v>100</v>
      </c>
      <c r="W1785">
        <f>IFERROR(VLOOKUP($S1785,'TA database'!$I$146:$J$193,2,FALSE),0)</f>
        <v>0</v>
      </c>
      <c r="X1785">
        <f ca="1">IFERROR(VLOOKUP($S1785,'TA database'!$I$200:$J$271,2,FALSE),0)</f>
        <v>50</v>
      </c>
      <c r="Y1785">
        <f t="shared" ref="Y1785:Y1790" ca="1" si="5633">IF($W1785=0,SUM($T1785:$V1785,$X1785)/4,SUM($T1785:$W1785)/4)</f>
        <v>87.5</v>
      </c>
      <c r="Z1785" t="str">
        <f t="shared" ref="Z1785:Z1790" si="5634">CONCATENATE(AG1785,"   →   ",AH1785,"   →   ",AI1785,"   →   ",AJ1785)</f>
        <v>ELCTRLYZ_SML_D   →   D_GAS_STRG   →   ONSITE_USE   →   H2_CCGT_PWR</v>
      </c>
      <c r="AA1785" t="str">
        <f t="shared" ref="AA1785:AA1790" si="5635">G1785</f>
        <v>Grid electricity</v>
      </c>
      <c r="AB1785" t="str">
        <f t="shared" ref="AB1785:AB1790" si="5636">J1785</f>
        <v>Regulatory coverage</v>
      </c>
      <c r="AC1785">
        <f t="shared" ref="AC1785:AC1790" ca="1" si="5637">Y1785</f>
        <v>87.5</v>
      </c>
      <c r="AD1785">
        <v>1726</v>
      </c>
      <c r="AE1785" t="str">
        <f>IF(AND(ISNUMBER(SEARCH(O1785,4)),ISNUMBER(SEARCH('(4) FCH pathway assessment'!$B$16,AB1785)),ISNUMBER(SEARCH('(4) FCH pathway assessment'!$B$10,AA1785))),AD1785,"")</f>
        <v/>
      </c>
      <c r="AF1785" t="str">
        <f t="shared" si="5441"/>
        <v/>
      </c>
      <c r="AG1785" t="str">
        <f>VLOOKUP(C1785,Assumptions!$B$116:$C$162,2,FALSE)</f>
        <v>ELCTRLYZ_SML_D</v>
      </c>
      <c r="AH1785" t="str">
        <f>VLOOKUP(D1785,Assumptions!$B$116:$C$162,2,FALSE)</f>
        <v>D_GAS_STRG</v>
      </c>
      <c r="AI1785" t="str">
        <f>VLOOKUP(E1785,Assumptions!$B$116:$C$162,2,FALSE)</f>
        <v>ONSITE_USE</v>
      </c>
      <c r="AJ1785" t="str">
        <f>VLOOKUP(F1785,Assumptions!$B$116:$C$162,2,FALSE)</f>
        <v>H2_CCGT_PWR</v>
      </c>
    </row>
    <row r="1786" spans="2:36" x14ac:dyDescent="0.25">
      <c r="B1786" t="s">
        <v>127</v>
      </c>
      <c r="C1786" t="s">
        <v>57</v>
      </c>
      <c r="D1786" t="s">
        <v>62</v>
      </c>
      <c r="E1786" t="s">
        <v>157</v>
      </c>
      <c r="F1786" t="s">
        <v>163</v>
      </c>
      <c r="G1786" t="s">
        <v>114</v>
      </c>
      <c r="H1786" t="s">
        <v>433</v>
      </c>
      <c r="I1786" t="s">
        <v>32</v>
      </c>
      <c r="J1786" t="s">
        <v>534</v>
      </c>
      <c r="K1786">
        <f t="shared" si="5624"/>
        <v>1</v>
      </c>
      <c r="L1786">
        <f t="shared" si="5625"/>
        <v>0</v>
      </c>
      <c r="M1786">
        <f t="shared" si="5626"/>
        <v>0</v>
      </c>
      <c r="N1786">
        <f t="shared" si="5627"/>
        <v>0</v>
      </c>
      <c r="O1786">
        <f t="shared" si="5628"/>
        <v>1</v>
      </c>
      <c r="P1786" t="str">
        <f t="shared" si="5629"/>
        <v>Large centralized natural gas steam reforming-Regulatory coverage</v>
      </c>
      <c r="Q1786" t="str">
        <f t="shared" si="5630"/>
        <v>Underground storage-Regulatory coverage</v>
      </c>
      <c r="R1786" t="str">
        <f t="shared" si="5631"/>
        <v>Blending in natural gas pipeline-Regulatory coverage</v>
      </c>
      <c r="S1786" t="str">
        <f t="shared" si="5632"/>
        <v>Hydrogen turbine (CC)-Regulatory coverage</v>
      </c>
      <c r="T1786">
        <f ca="1">VLOOKUP($P1786,'TA database'!$I$8:$J$79,2,FALSE)</f>
        <v>100</v>
      </c>
      <c r="U1786">
        <f ca="1">VLOOKUP($Q1786,'TA database'!$I$86:$J$105,2,FALSE)</f>
        <v>0</v>
      </c>
      <c r="V1786">
        <f ca="1">VLOOKUP($R1786,'TA database'!$I$112:$J$139,2,FALSE)</f>
        <v>100</v>
      </c>
      <c r="W1786">
        <f>IFERROR(VLOOKUP($S1786,'TA database'!$I$146:$J$193,2,FALSE),0)</f>
        <v>0</v>
      </c>
      <c r="X1786">
        <f ca="1">IFERROR(VLOOKUP($S1786,'TA database'!$I$200:$J$271,2,FALSE),0)</f>
        <v>50</v>
      </c>
      <c r="Y1786">
        <f t="shared" ca="1" si="5633"/>
        <v>62.5</v>
      </c>
      <c r="Z1786" t="str">
        <f t="shared" si="5634"/>
        <v>NG_SR_LRG_C   →   C_UNDRGRND_STRG   →   H2_BLND_NG_P   →   H2_CCGT_PWR</v>
      </c>
      <c r="AA1786" t="str">
        <f t="shared" si="5635"/>
        <v>Grid electricity</v>
      </c>
      <c r="AB1786" t="str">
        <f t="shared" si="5636"/>
        <v>Regulatory coverage</v>
      </c>
      <c r="AC1786">
        <f t="shared" ca="1" si="5637"/>
        <v>62.5</v>
      </c>
      <c r="AD1786">
        <v>1727</v>
      </c>
      <c r="AE1786" t="str">
        <f>IF(AND(ISNUMBER(SEARCH(O1786,4)),ISNUMBER(SEARCH('(4) FCH pathway assessment'!$B$16,AB1786)),ISNUMBER(SEARCH('(4) FCH pathway assessment'!$B$10,AA1786))),AD1786,"")</f>
        <v/>
      </c>
      <c r="AF1786" t="str">
        <f t="shared" si="5441"/>
        <v/>
      </c>
      <c r="AG1786" t="str">
        <f>VLOOKUP(C1786,Assumptions!$B$116:$C$162,2,FALSE)</f>
        <v>NG_SR_LRG_C</v>
      </c>
      <c r="AH1786" t="str">
        <f>VLOOKUP(D1786,Assumptions!$B$116:$C$162,2,FALSE)</f>
        <v>C_UNDRGRND_STRG</v>
      </c>
      <c r="AI1786" t="str">
        <f>VLOOKUP(E1786,Assumptions!$B$116:$C$162,2,FALSE)</f>
        <v>H2_BLND_NG_P</v>
      </c>
      <c r="AJ1786" t="str">
        <f>VLOOKUP(F1786,Assumptions!$B$116:$C$162,2,FALSE)</f>
        <v>H2_CCGT_PWR</v>
      </c>
    </row>
    <row r="1787" spans="2:36" x14ac:dyDescent="0.25">
      <c r="B1787" t="s">
        <v>127</v>
      </c>
      <c r="C1787" t="s">
        <v>57</v>
      </c>
      <c r="D1787" t="s">
        <v>62</v>
      </c>
      <c r="E1787" t="s">
        <v>122</v>
      </c>
      <c r="F1787" t="s">
        <v>163</v>
      </c>
      <c r="G1787" t="s">
        <v>114</v>
      </c>
      <c r="H1787" t="s">
        <v>433</v>
      </c>
      <c r="I1787" t="s">
        <v>32</v>
      </c>
      <c r="J1787" t="s">
        <v>534</v>
      </c>
      <c r="K1787">
        <f t="shared" si="5624"/>
        <v>1</v>
      </c>
      <c r="L1787">
        <f t="shared" si="5625"/>
        <v>0</v>
      </c>
      <c r="M1787">
        <f t="shared" si="5626"/>
        <v>1</v>
      </c>
      <c r="N1787">
        <f t="shared" si="5627"/>
        <v>0</v>
      </c>
      <c r="O1787">
        <f t="shared" si="5628"/>
        <v>2</v>
      </c>
      <c r="P1787" t="str">
        <f t="shared" si="5629"/>
        <v>Large centralized natural gas steam reforming-Regulatory coverage</v>
      </c>
      <c r="Q1787" t="str">
        <f t="shared" si="5630"/>
        <v>Underground storage-Regulatory coverage</v>
      </c>
      <c r="R1787" t="str">
        <f t="shared" si="5631"/>
        <v>Hydrogen transmission &amp; distribution pipeline-Regulatory coverage</v>
      </c>
      <c r="S1787" t="str">
        <f t="shared" si="5632"/>
        <v>Hydrogen turbine (CC)-Regulatory coverage</v>
      </c>
      <c r="T1787">
        <f ca="1">VLOOKUP($P1787,'TA database'!$I$8:$J$79,2,FALSE)</f>
        <v>100</v>
      </c>
      <c r="U1787">
        <f ca="1">VLOOKUP($Q1787,'TA database'!$I$86:$J$105,2,FALSE)</f>
        <v>0</v>
      </c>
      <c r="V1787">
        <f ca="1">VLOOKUP($R1787,'TA database'!$I$112:$J$139,2,FALSE)</f>
        <v>40</v>
      </c>
      <c r="W1787">
        <f>IFERROR(VLOOKUP($S1787,'TA database'!$I$146:$J$193,2,FALSE),0)</f>
        <v>0</v>
      </c>
      <c r="X1787">
        <f ca="1">IFERROR(VLOOKUP($S1787,'TA database'!$I$200:$J$271,2,FALSE),0)</f>
        <v>50</v>
      </c>
      <c r="Y1787">
        <f t="shared" ca="1" si="5633"/>
        <v>47.5</v>
      </c>
      <c r="Z1787" t="str">
        <f t="shared" si="5634"/>
        <v>NG_SR_LRG_C   →   C_UNDRGRND_STRG   →   H2_T&amp;D_P   →   H2_CCGT_PWR</v>
      </c>
      <c r="AA1787" t="str">
        <f t="shared" si="5635"/>
        <v>Grid electricity</v>
      </c>
      <c r="AB1787" t="str">
        <f t="shared" si="5636"/>
        <v>Regulatory coverage</v>
      </c>
      <c r="AC1787">
        <f t="shared" ca="1" si="5637"/>
        <v>47.5</v>
      </c>
      <c r="AD1787">
        <v>1728</v>
      </c>
      <c r="AE1787" t="str">
        <f>IF(AND(ISNUMBER(SEARCH(O1787,4)),ISNUMBER(SEARCH('(4) FCH pathway assessment'!$B$16,AB1787)),ISNUMBER(SEARCH('(4) FCH pathway assessment'!$B$10,AA1787))),AD1787,"")</f>
        <v/>
      </c>
      <c r="AF1787" t="str">
        <f t="shared" si="5441"/>
        <v/>
      </c>
      <c r="AG1787" t="str">
        <f>VLOOKUP(C1787,Assumptions!$B$116:$C$162,2,FALSE)</f>
        <v>NG_SR_LRG_C</v>
      </c>
      <c r="AH1787" t="str">
        <f>VLOOKUP(D1787,Assumptions!$B$116:$C$162,2,FALSE)</f>
        <v>C_UNDRGRND_STRG</v>
      </c>
      <c r="AI1787" t="str">
        <f>VLOOKUP(E1787,Assumptions!$B$116:$C$162,2,FALSE)</f>
        <v>H2_T&amp;D_P</v>
      </c>
      <c r="AJ1787" t="str">
        <f>VLOOKUP(F1787,Assumptions!$B$116:$C$162,2,FALSE)</f>
        <v>H2_CCGT_PWR</v>
      </c>
    </row>
    <row r="1788" spans="2:36" x14ac:dyDescent="0.25">
      <c r="B1788" t="s">
        <v>127</v>
      </c>
      <c r="C1788" t="s">
        <v>57</v>
      </c>
      <c r="D1788" t="s">
        <v>62</v>
      </c>
      <c r="E1788" t="s">
        <v>116</v>
      </c>
      <c r="F1788" t="s">
        <v>163</v>
      </c>
      <c r="G1788" t="s">
        <v>114</v>
      </c>
      <c r="H1788" t="s">
        <v>433</v>
      </c>
      <c r="I1788" t="s">
        <v>32</v>
      </c>
      <c r="J1788" t="s">
        <v>534</v>
      </c>
      <c r="K1788">
        <f t="shared" si="5624"/>
        <v>1</v>
      </c>
      <c r="L1788">
        <f t="shared" si="5625"/>
        <v>0</v>
      </c>
      <c r="M1788">
        <f t="shared" si="5626"/>
        <v>1</v>
      </c>
      <c r="N1788">
        <f t="shared" si="5627"/>
        <v>0</v>
      </c>
      <c r="O1788">
        <f t="shared" si="5628"/>
        <v>2</v>
      </c>
      <c r="P1788" t="str">
        <f t="shared" si="5629"/>
        <v>Large centralized natural gas steam reforming-Regulatory coverage</v>
      </c>
      <c r="Q1788" t="str">
        <f t="shared" si="5630"/>
        <v>Underground storage-Regulatory coverage</v>
      </c>
      <c r="R1788" t="str">
        <f t="shared" si="5631"/>
        <v>Liquid hydrogen truck-Regulatory coverage</v>
      </c>
      <c r="S1788" t="str">
        <f t="shared" si="5632"/>
        <v>Hydrogen turbine (CC)-Regulatory coverage</v>
      </c>
      <c r="T1788">
        <f ca="1">VLOOKUP($P1788,'TA database'!$I$8:$J$79,2,FALSE)</f>
        <v>100</v>
      </c>
      <c r="U1788">
        <f ca="1">VLOOKUP($Q1788,'TA database'!$I$86:$J$105,2,FALSE)</f>
        <v>0</v>
      </c>
      <c r="V1788">
        <f ca="1">VLOOKUP($R1788,'TA database'!$I$112:$J$139,2,FALSE)</f>
        <v>40</v>
      </c>
      <c r="W1788">
        <f>IFERROR(VLOOKUP($S1788,'TA database'!$I$146:$J$193,2,FALSE),0)</f>
        <v>0</v>
      </c>
      <c r="X1788">
        <f ca="1">IFERROR(VLOOKUP($S1788,'TA database'!$I$200:$J$271,2,FALSE),0)</f>
        <v>50</v>
      </c>
      <c r="Y1788">
        <f t="shared" ca="1" si="5633"/>
        <v>47.5</v>
      </c>
      <c r="Z1788" t="str">
        <f t="shared" si="5634"/>
        <v>NG_SR_LRG_C   →   C_UNDRGRND_STRG   →   LQ_TRUCK   →   H2_CCGT_PWR</v>
      </c>
      <c r="AA1788" t="str">
        <f t="shared" si="5635"/>
        <v>Grid electricity</v>
      </c>
      <c r="AB1788" t="str">
        <f t="shared" si="5636"/>
        <v>Regulatory coverage</v>
      </c>
      <c r="AC1788">
        <f t="shared" ca="1" si="5637"/>
        <v>47.5</v>
      </c>
      <c r="AD1788">
        <v>1729</v>
      </c>
      <c r="AE1788" t="str">
        <f>IF(AND(ISNUMBER(SEARCH(O1788,4)),ISNUMBER(SEARCH('(4) FCH pathway assessment'!$B$16,AB1788)),ISNUMBER(SEARCH('(4) FCH pathway assessment'!$B$10,AA1788))),AD1788,"")</f>
        <v/>
      </c>
      <c r="AF1788" t="str">
        <f t="shared" ref="AF1788:AF1851" si="5638">IFERROR(SMALL($AE$60:$AE$1991,AD1788),"")</f>
        <v/>
      </c>
      <c r="AG1788" t="str">
        <f>VLOOKUP(C1788,Assumptions!$B$116:$C$162,2,FALSE)</f>
        <v>NG_SR_LRG_C</v>
      </c>
      <c r="AH1788" t="str">
        <f>VLOOKUP(D1788,Assumptions!$B$116:$C$162,2,FALSE)</f>
        <v>C_UNDRGRND_STRG</v>
      </c>
      <c r="AI1788" t="str">
        <f>VLOOKUP(E1788,Assumptions!$B$116:$C$162,2,FALSE)</f>
        <v>LQ_TRUCK</v>
      </c>
      <c r="AJ1788" t="str">
        <f>VLOOKUP(F1788,Assumptions!$B$116:$C$162,2,FALSE)</f>
        <v>H2_CCGT_PWR</v>
      </c>
    </row>
    <row r="1789" spans="2:36" x14ac:dyDescent="0.25">
      <c r="B1789" t="s">
        <v>127</v>
      </c>
      <c r="C1789" t="s">
        <v>57</v>
      </c>
      <c r="D1789" t="s">
        <v>62</v>
      </c>
      <c r="E1789" t="s">
        <v>66</v>
      </c>
      <c r="F1789" t="s">
        <v>163</v>
      </c>
      <c r="G1789" t="s">
        <v>114</v>
      </c>
      <c r="H1789" t="s">
        <v>433</v>
      </c>
      <c r="I1789" t="s">
        <v>32</v>
      </c>
      <c r="J1789" t="s">
        <v>534</v>
      </c>
      <c r="K1789">
        <f t="shared" si="5624"/>
        <v>1</v>
      </c>
      <c r="L1789">
        <f t="shared" si="5625"/>
        <v>0</v>
      </c>
      <c r="M1789">
        <f t="shared" si="5626"/>
        <v>1</v>
      </c>
      <c r="N1789">
        <f t="shared" si="5627"/>
        <v>0</v>
      </c>
      <c r="O1789">
        <f t="shared" si="5628"/>
        <v>2</v>
      </c>
      <c r="P1789" t="str">
        <f t="shared" si="5629"/>
        <v>Large centralized natural gas steam reforming-Regulatory coverage</v>
      </c>
      <c r="Q1789" t="str">
        <f t="shared" si="5630"/>
        <v>Underground storage-Regulatory coverage</v>
      </c>
      <c r="R1789" t="str">
        <f t="shared" si="5631"/>
        <v>Onsite-Regulatory coverage</v>
      </c>
      <c r="S1789" t="str">
        <f t="shared" si="5632"/>
        <v>Hydrogen turbine (CC)-Regulatory coverage</v>
      </c>
      <c r="T1789">
        <f ca="1">VLOOKUP($P1789,'TA database'!$I$8:$J$79,2,FALSE)</f>
        <v>100</v>
      </c>
      <c r="U1789">
        <f ca="1">VLOOKUP($Q1789,'TA database'!$I$86:$J$105,2,FALSE)</f>
        <v>0</v>
      </c>
      <c r="V1789">
        <f ca="1">VLOOKUP($R1789,'TA database'!$I$112:$J$139,2,FALSE)</f>
        <v>100</v>
      </c>
      <c r="W1789">
        <f>IFERROR(VLOOKUP($S1789,'TA database'!$I$146:$J$193,2,FALSE),0)</f>
        <v>0</v>
      </c>
      <c r="X1789">
        <f ca="1">IFERROR(VLOOKUP($S1789,'TA database'!$I$200:$J$271,2,FALSE),0)</f>
        <v>50</v>
      </c>
      <c r="Y1789">
        <f t="shared" ca="1" si="5633"/>
        <v>62.5</v>
      </c>
      <c r="Z1789" t="str">
        <f t="shared" si="5634"/>
        <v>NG_SR_LRG_C   →   C_UNDRGRND_STRG   →   ONSITE_USE   →   H2_CCGT_PWR</v>
      </c>
      <c r="AA1789" t="str">
        <f t="shared" si="5635"/>
        <v>Grid electricity</v>
      </c>
      <c r="AB1789" t="str">
        <f t="shared" si="5636"/>
        <v>Regulatory coverage</v>
      </c>
      <c r="AC1789">
        <f t="shared" ca="1" si="5637"/>
        <v>62.5</v>
      </c>
      <c r="AD1789">
        <v>1730</v>
      </c>
      <c r="AE1789" t="str">
        <f>IF(AND(ISNUMBER(SEARCH(O1789,4)),ISNUMBER(SEARCH('(4) FCH pathway assessment'!$B$16,AB1789)),ISNUMBER(SEARCH('(4) FCH pathway assessment'!$B$10,AA1789))),AD1789,"")</f>
        <v/>
      </c>
      <c r="AF1789" t="str">
        <f t="shared" si="5638"/>
        <v/>
      </c>
      <c r="AG1789" t="str">
        <f>VLOOKUP(C1789,Assumptions!$B$116:$C$162,2,FALSE)</f>
        <v>NG_SR_LRG_C</v>
      </c>
      <c r="AH1789" t="str">
        <f>VLOOKUP(D1789,Assumptions!$B$116:$C$162,2,FALSE)</f>
        <v>C_UNDRGRND_STRG</v>
      </c>
      <c r="AI1789" t="str">
        <f>VLOOKUP(E1789,Assumptions!$B$116:$C$162,2,FALSE)</f>
        <v>ONSITE_USE</v>
      </c>
      <c r="AJ1789" t="str">
        <f>VLOOKUP(F1789,Assumptions!$B$116:$C$162,2,FALSE)</f>
        <v>H2_CCGT_PWR</v>
      </c>
    </row>
    <row r="1790" spans="2:36" x14ac:dyDescent="0.25">
      <c r="B1790" t="s">
        <v>127</v>
      </c>
      <c r="C1790" t="s">
        <v>57</v>
      </c>
      <c r="D1790" s="61" t="s">
        <v>63</v>
      </c>
      <c r="E1790" t="s">
        <v>122</v>
      </c>
      <c r="F1790" t="s">
        <v>163</v>
      </c>
      <c r="G1790" t="s">
        <v>114</v>
      </c>
      <c r="H1790" t="s">
        <v>433</v>
      </c>
      <c r="I1790" t="s">
        <v>32</v>
      </c>
      <c r="J1790" t="s">
        <v>534</v>
      </c>
      <c r="K1790">
        <f t="shared" si="5624"/>
        <v>1</v>
      </c>
      <c r="L1790">
        <f t="shared" si="5625"/>
        <v>1</v>
      </c>
      <c r="M1790">
        <f t="shared" si="5626"/>
        <v>1</v>
      </c>
      <c r="N1790">
        <f t="shared" si="5627"/>
        <v>0</v>
      </c>
      <c r="O1790">
        <f t="shared" si="5628"/>
        <v>3</v>
      </c>
      <c r="P1790" t="str">
        <f t="shared" si="5629"/>
        <v>Large centralized natural gas steam reforming-Regulatory coverage</v>
      </c>
      <c r="Q1790" t="str">
        <f t="shared" si="5630"/>
        <v>No storage-Regulatory coverage</v>
      </c>
      <c r="R1790" t="str">
        <f t="shared" si="5631"/>
        <v>Hydrogen transmission &amp; distribution pipeline-Regulatory coverage</v>
      </c>
      <c r="S1790" t="str">
        <f t="shared" si="5632"/>
        <v>Hydrogen turbine (CC)-Regulatory coverage</v>
      </c>
      <c r="T1790">
        <f ca="1">VLOOKUP($P1790,'TA database'!$I$8:$J$79,2,FALSE)</f>
        <v>100</v>
      </c>
      <c r="U1790">
        <f ca="1">VLOOKUP($Q1790,'TA database'!$I$86:$J$105,2,FALSE)</f>
        <v>100</v>
      </c>
      <c r="V1790">
        <f ca="1">VLOOKUP($R1790,'TA database'!$I$112:$J$139,2,FALSE)</f>
        <v>40</v>
      </c>
      <c r="W1790">
        <f>IFERROR(VLOOKUP($S1790,'TA database'!$I$146:$J$193,2,FALSE),0)</f>
        <v>0</v>
      </c>
      <c r="X1790">
        <f ca="1">IFERROR(VLOOKUP($S1790,'TA database'!$I$200:$J$271,2,FALSE),0)</f>
        <v>50</v>
      </c>
      <c r="Y1790">
        <f t="shared" ca="1" si="5633"/>
        <v>72.5</v>
      </c>
      <c r="Z1790" t="str">
        <f t="shared" si="5634"/>
        <v>NG_SR_LRG_C   →   NO_STRG   →   H2_T&amp;D_P   →   H2_CCGT_PWR</v>
      </c>
      <c r="AA1790" t="str">
        <f t="shared" si="5635"/>
        <v>Grid electricity</v>
      </c>
      <c r="AB1790" t="str">
        <f t="shared" si="5636"/>
        <v>Regulatory coverage</v>
      </c>
      <c r="AC1790">
        <f t="shared" ca="1" si="5637"/>
        <v>72.5</v>
      </c>
      <c r="AD1790">
        <v>1731</v>
      </c>
      <c r="AE1790" t="str">
        <f>IF(AND(ISNUMBER(SEARCH(O1790,4)),ISNUMBER(SEARCH('(4) FCH pathway assessment'!$B$16,AB1790)),ISNUMBER(SEARCH('(4) FCH pathway assessment'!$B$10,AA1790))),AD1790,"")</f>
        <v/>
      </c>
      <c r="AF1790" t="str">
        <f t="shared" si="5638"/>
        <v/>
      </c>
      <c r="AG1790" t="str">
        <f>VLOOKUP(C1790,Assumptions!$B$116:$C$162,2,FALSE)</f>
        <v>NG_SR_LRG_C</v>
      </c>
      <c r="AH1790" t="str">
        <f>VLOOKUP(D1790,Assumptions!$B$116:$C$162,2,FALSE)</f>
        <v>NO_STRG</v>
      </c>
      <c r="AI1790" t="str">
        <f>VLOOKUP(E1790,Assumptions!$B$116:$C$162,2,FALSE)</f>
        <v>H2_T&amp;D_P</v>
      </c>
      <c r="AJ1790" t="str">
        <f>VLOOKUP(F1790,Assumptions!$B$116:$C$162,2,FALSE)</f>
        <v>H2_CCGT_PWR</v>
      </c>
    </row>
    <row r="1791" spans="2:36" x14ac:dyDescent="0.25">
      <c r="B1791" t="s">
        <v>127</v>
      </c>
      <c r="C1791" t="s">
        <v>58</v>
      </c>
      <c r="D1791" t="s">
        <v>155</v>
      </c>
      <c r="E1791" t="s">
        <v>157</v>
      </c>
      <c r="F1791" t="s">
        <v>163</v>
      </c>
      <c r="G1791" t="s">
        <v>114</v>
      </c>
      <c r="H1791" t="s">
        <v>433</v>
      </c>
      <c r="I1791" t="s">
        <v>32</v>
      </c>
      <c r="J1791" t="s">
        <v>534</v>
      </c>
      <c r="K1791">
        <f t="shared" ref="K1791:K1795" si="5639">SUMPRODUCT(($C$7:$C$18=$C1791)*($D$6:$H$6=$D1791)*($D$7:$H$18))</f>
        <v>1</v>
      </c>
      <c r="L1791">
        <f t="shared" ref="L1791:L1795" si="5640">SUMPRODUCT(($C$19:$C$23=$D1791)*($I$6:$O$6=$E1791)*($I$19:$O$23))</f>
        <v>1</v>
      </c>
      <c r="M1791">
        <f t="shared" ref="M1791:M1795" si="5641">SUMPRODUCT(($C$24:$C$30=$E1791)*($P$6:$AI$6=$F1791)*($P$24:$AI$30))</f>
        <v>0</v>
      </c>
      <c r="N1791">
        <f t="shared" ref="N1791:N1795" si="5642">SUMPRODUCT(($C$31:$C$50=$F1791)*($AJ$6:$AM$6=$G1791)*($AJ$31:$AM$50))</f>
        <v>0</v>
      </c>
      <c r="O1791">
        <f t="shared" ref="O1791:O1795" si="5643">K1791+L1791+M1791+N1791</f>
        <v>2</v>
      </c>
      <c r="P1791" t="str">
        <f t="shared" ref="P1791:P1795" si="5644">CONCATENATE(C1791,"-",J1791)</f>
        <v>Small centralized natural gas steam reforming-Regulatory coverage</v>
      </c>
      <c r="Q1791" t="str">
        <f t="shared" ref="Q1791:Q1795" si="5645">CONCATENATE(D1791,"-",J1791)</f>
        <v>Central gas storage-Regulatory coverage</v>
      </c>
      <c r="R1791" t="str">
        <f t="shared" ref="R1791:R1795" si="5646">CONCATENATE(E1791,"-",J1791)</f>
        <v>Blending in natural gas pipeline-Regulatory coverage</v>
      </c>
      <c r="S1791" t="str">
        <f t="shared" ref="S1791:S1795" si="5647">CONCATENATE(F1791,"-",J1791)</f>
        <v>Hydrogen turbine (CC)-Regulatory coverage</v>
      </c>
      <c r="T1791">
        <f ca="1">VLOOKUP($P1791,'TA database'!$I$8:$J$79,2,FALSE)</f>
        <v>100</v>
      </c>
      <c r="U1791">
        <f ca="1">VLOOKUP($Q1791,'TA database'!$I$86:$J$105,2,FALSE)</f>
        <v>80</v>
      </c>
      <c r="V1791">
        <f ca="1">VLOOKUP($R1791,'TA database'!$I$112:$J$139,2,FALSE)</f>
        <v>100</v>
      </c>
      <c r="W1791">
        <f>IFERROR(VLOOKUP($S1791,'TA database'!$I$146:$J$193,2,FALSE),0)</f>
        <v>0</v>
      </c>
      <c r="X1791">
        <f ca="1">IFERROR(VLOOKUP($S1791,'TA database'!$I$200:$J$271,2,FALSE),0)</f>
        <v>50</v>
      </c>
      <c r="Y1791">
        <f t="shared" ref="Y1791:Y1795" ca="1" si="5648">IF($W1791=0,SUM($T1791:$V1791,$X1791)/4,SUM($T1791:$W1791)/4)</f>
        <v>82.5</v>
      </c>
      <c r="Z1791" t="str">
        <f t="shared" ref="Z1791:Z1795" si="5649">CONCATENATE(AG1791,"   →   ",AH1791,"   →   ",AI1791,"   →   ",AJ1791)</f>
        <v>NG_SR_SML_C   →   C_GAS_STRG   →   H2_BLND_NG_P   →   H2_CCGT_PWR</v>
      </c>
      <c r="AA1791" t="str">
        <f t="shared" ref="AA1791:AA1795" si="5650">G1791</f>
        <v>Grid electricity</v>
      </c>
      <c r="AB1791" t="str">
        <f t="shared" ref="AB1791:AB1795" si="5651">J1791</f>
        <v>Regulatory coverage</v>
      </c>
      <c r="AC1791">
        <f t="shared" ref="AC1791:AC1795" ca="1" si="5652">Y1791</f>
        <v>82.5</v>
      </c>
      <c r="AD1791">
        <v>1732</v>
      </c>
      <c r="AE1791" t="str">
        <f>IF(AND(ISNUMBER(SEARCH(O1791,4)),ISNUMBER(SEARCH('(4) FCH pathway assessment'!$B$16,AB1791)),ISNUMBER(SEARCH('(4) FCH pathway assessment'!$B$10,AA1791))),AD1791,"")</f>
        <v/>
      </c>
      <c r="AF1791" t="str">
        <f t="shared" si="5638"/>
        <v/>
      </c>
      <c r="AG1791" t="str">
        <f>VLOOKUP(C1791,Assumptions!$B$116:$C$162,2,FALSE)</f>
        <v>NG_SR_SML_C</v>
      </c>
      <c r="AH1791" t="str">
        <f>VLOOKUP(D1791,Assumptions!$B$116:$C$162,2,FALSE)</f>
        <v>C_GAS_STRG</v>
      </c>
      <c r="AI1791" t="str">
        <f>VLOOKUP(E1791,Assumptions!$B$116:$C$162,2,FALSE)</f>
        <v>H2_BLND_NG_P</v>
      </c>
      <c r="AJ1791" t="str">
        <f>VLOOKUP(F1791,Assumptions!$B$116:$C$162,2,FALSE)</f>
        <v>H2_CCGT_PWR</v>
      </c>
    </row>
    <row r="1792" spans="2:36" x14ac:dyDescent="0.25">
      <c r="B1792" t="s">
        <v>127</v>
      </c>
      <c r="C1792" t="s">
        <v>58</v>
      </c>
      <c r="D1792" t="s">
        <v>155</v>
      </c>
      <c r="E1792" t="s">
        <v>122</v>
      </c>
      <c r="F1792" t="s">
        <v>163</v>
      </c>
      <c r="G1792" t="s">
        <v>114</v>
      </c>
      <c r="H1792" t="s">
        <v>433</v>
      </c>
      <c r="I1792" t="s">
        <v>32</v>
      </c>
      <c r="J1792" t="s">
        <v>534</v>
      </c>
      <c r="K1792">
        <f t="shared" si="5639"/>
        <v>1</v>
      </c>
      <c r="L1792">
        <f t="shared" si="5640"/>
        <v>1</v>
      </c>
      <c r="M1792">
        <f t="shared" si="5641"/>
        <v>1</v>
      </c>
      <c r="N1792">
        <f t="shared" si="5642"/>
        <v>0</v>
      </c>
      <c r="O1792">
        <f t="shared" si="5643"/>
        <v>3</v>
      </c>
      <c r="P1792" t="str">
        <f t="shared" si="5644"/>
        <v>Small centralized natural gas steam reforming-Regulatory coverage</v>
      </c>
      <c r="Q1792" t="str">
        <f t="shared" si="5645"/>
        <v>Central gas storage-Regulatory coverage</v>
      </c>
      <c r="R1792" t="str">
        <f t="shared" si="5646"/>
        <v>Hydrogen transmission &amp; distribution pipeline-Regulatory coverage</v>
      </c>
      <c r="S1792" t="str">
        <f t="shared" si="5647"/>
        <v>Hydrogen turbine (CC)-Regulatory coverage</v>
      </c>
      <c r="T1792">
        <f ca="1">VLOOKUP($P1792,'TA database'!$I$8:$J$79,2,FALSE)</f>
        <v>100</v>
      </c>
      <c r="U1792">
        <f ca="1">VLOOKUP($Q1792,'TA database'!$I$86:$J$105,2,FALSE)</f>
        <v>80</v>
      </c>
      <c r="V1792">
        <f ca="1">VLOOKUP($R1792,'TA database'!$I$112:$J$139,2,FALSE)</f>
        <v>40</v>
      </c>
      <c r="W1792">
        <f>IFERROR(VLOOKUP($S1792,'TA database'!$I$146:$J$193,2,FALSE),0)</f>
        <v>0</v>
      </c>
      <c r="X1792">
        <f ca="1">IFERROR(VLOOKUP($S1792,'TA database'!$I$200:$J$271,2,FALSE),0)</f>
        <v>50</v>
      </c>
      <c r="Y1792">
        <f t="shared" ca="1" si="5648"/>
        <v>67.5</v>
      </c>
      <c r="Z1792" t="str">
        <f t="shared" si="5649"/>
        <v>NG_SR_SML_C   →   C_GAS_STRG   →   H2_T&amp;D_P   →   H2_CCGT_PWR</v>
      </c>
      <c r="AA1792" t="str">
        <f t="shared" si="5650"/>
        <v>Grid electricity</v>
      </c>
      <c r="AB1792" t="str">
        <f t="shared" si="5651"/>
        <v>Regulatory coverage</v>
      </c>
      <c r="AC1792">
        <f t="shared" ca="1" si="5652"/>
        <v>67.5</v>
      </c>
      <c r="AD1792">
        <v>1733</v>
      </c>
      <c r="AE1792" t="str">
        <f>IF(AND(ISNUMBER(SEARCH(O1792,4)),ISNUMBER(SEARCH('(4) FCH pathway assessment'!$B$16,AB1792)),ISNUMBER(SEARCH('(4) FCH pathway assessment'!$B$10,AA1792))),AD1792,"")</f>
        <v/>
      </c>
      <c r="AF1792" t="str">
        <f t="shared" si="5638"/>
        <v/>
      </c>
      <c r="AG1792" t="str">
        <f>VLOOKUP(C1792,Assumptions!$B$116:$C$162,2,FALSE)</f>
        <v>NG_SR_SML_C</v>
      </c>
      <c r="AH1792" t="str">
        <f>VLOOKUP(D1792,Assumptions!$B$116:$C$162,2,FALSE)</f>
        <v>C_GAS_STRG</v>
      </c>
      <c r="AI1792" t="str">
        <f>VLOOKUP(E1792,Assumptions!$B$116:$C$162,2,FALSE)</f>
        <v>H2_T&amp;D_P</v>
      </c>
      <c r="AJ1792" t="str">
        <f>VLOOKUP(F1792,Assumptions!$B$116:$C$162,2,FALSE)</f>
        <v>H2_CCGT_PWR</v>
      </c>
    </row>
    <row r="1793" spans="2:36" x14ac:dyDescent="0.25">
      <c r="B1793" t="s">
        <v>127</v>
      </c>
      <c r="C1793" t="s">
        <v>58</v>
      </c>
      <c r="D1793" t="s">
        <v>155</v>
      </c>
      <c r="E1793" t="s">
        <v>116</v>
      </c>
      <c r="F1793" t="s">
        <v>163</v>
      </c>
      <c r="G1793" t="s">
        <v>114</v>
      </c>
      <c r="H1793" t="s">
        <v>433</v>
      </c>
      <c r="I1793" t="s">
        <v>32</v>
      </c>
      <c r="J1793" t="s">
        <v>534</v>
      </c>
      <c r="K1793">
        <f t="shared" si="5639"/>
        <v>1</v>
      </c>
      <c r="L1793">
        <f t="shared" si="5640"/>
        <v>1</v>
      </c>
      <c r="M1793">
        <f t="shared" si="5641"/>
        <v>1</v>
      </c>
      <c r="N1793">
        <f t="shared" si="5642"/>
        <v>0</v>
      </c>
      <c r="O1793">
        <f t="shared" si="5643"/>
        <v>3</v>
      </c>
      <c r="P1793" t="str">
        <f t="shared" si="5644"/>
        <v>Small centralized natural gas steam reforming-Regulatory coverage</v>
      </c>
      <c r="Q1793" t="str">
        <f t="shared" si="5645"/>
        <v>Central gas storage-Regulatory coverage</v>
      </c>
      <c r="R1793" t="str">
        <f t="shared" si="5646"/>
        <v>Liquid hydrogen truck-Regulatory coverage</v>
      </c>
      <c r="S1793" t="str">
        <f t="shared" si="5647"/>
        <v>Hydrogen turbine (CC)-Regulatory coverage</v>
      </c>
      <c r="T1793">
        <f ca="1">VLOOKUP($P1793,'TA database'!$I$8:$J$79,2,FALSE)</f>
        <v>100</v>
      </c>
      <c r="U1793">
        <f ca="1">VLOOKUP($Q1793,'TA database'!$I$86:$J$105,2,FALSE)</f>
        <v>80</v>
      </c>
      <c r="V1793">
        <f ca="1">VLOOKUP($R1793,'TA database'!$I$112:$J$139,2,FALSE)</f>
        <v>40</v>
      </c>
      <c r="W1793">
        <f>IFERROR(VLOOKUP($S1793,'TA database'!$I$146:$J$193,2,FALSE),0)</f>
        <v>0</v>
      </c>
      <c r="X1793">
        <f ca="1">IFERROR(VLOOKUP($S1793,'TA database'!$I$200:$J$271,2,FALSE),0)</f>
        <v>50</v>
      </c>
      <c r="Y1793">
        <f t="shared" ca="1" si="5648"/>
        <v>67.5</v>
      </c>
      <c r="Z1793" t="str">
        <f t="shared" si="5649"/>
        <v>NG_SR_SML_C   →   C_GAS_STRG   →   LQ_TRUCK   →   H2_CCGT_PWR</v>
      </c>
      <c r="AA1793" t="str">
        <f t="shared" si="5650"/>
        <v>Grid electricity</v>
      </c>
      <c r="AB1793" t="str">
        <f t="shared" si="5651"/>
        <v>Regulatory coverage</v>
      </c>
      <c r="AC1793">
        <f t="shared" ca="1" si="5652"/>
        <v>67.5</v>
      </c>
      <c r="AD1793">
        <v>1734</v>
      </c>
      <c r="AE1793" t="str">
        <f>IF(AND(ISNUMBER(SEARCH(O1793,4)),ISNUMBER(SEARCH('(4) FCH pathway assessment'!$B$16,AB1793)),ISNUMBER(SEARCH('(4) FCH pathway assessment'!$B$10,AA1793))),AD1793,"")</f>
        <v/>
      </c>
      <c r="AF1793" t="str">
        <f t="shared" si="5638"/>
        <v/>
      </c>
      <c r="AG1793" t="str">
        <f>VLOOKUP(C1793,Assumptions!$B$116:$C$162,2,FALSE)</f>
        <v>NG_SR_SML_C</v>
      </c>
      <c r="AH1793" t="str">
        <f>VLOOKUP(D1793,Assumptions!$B$116:$C$162,2,FALSE)</f>
        <v>C_GAS_STRG</v>
      </c>
      <c r="AI1793" t="str">
        <f>VLOOKUP(E1793,Assumptions!$B$116:$C$162,2,FALSE)</f>
        <v>LQ_TRUCK</v>
      </c>
      <c r="AJ1793" t="str">
        <f>VLOOKUP(F1793,Assumptions!$B$116:$C$162,2,FALSE)</f>
        <v>H2_CCGT_PWR</v>
      </c>
    </row>
    <row r="1794" spans="2:36" x14ac:dyDescent="0.25">
      <c r="B1794" t="s">
        <v>127</v>
      </c>
      <c r="C1794" t="s">
        <v>58</v>
      </c>
      <c r="D1794" t="s">
        <v>155</v>
      </c>
      <c r="E1794" t="s">
        <v>66</v>
      </c>
      <c r="F1794" t="s">
        <v>163</v>
      </c>
      <c r="G1794" t="s">
        <v>114</v>
      </c>
      <c r="H1794" t="s">
        <v>433</v>
      </c>
      <c r="I1794" t="s">
        <v>32</v>
      </c>
      <c r="J1794" t="s">
        <v>534</v>
      </c>
      <c r="K1794">
        <f t="shared" si="5639"/>
        <v>1</v>
      </c>
      <c r="L1794">
        <f t="shared" si="5640"/>
        <v>1</v>
      </c>
      <c r="M1794">
        <f t="shared" si="5641"/>
        <v>1</v>
      </c>
      <c r="N1794">
        <f t="shared" si="5642"/>
        <v>0</v>
      </c>
      <c r="O1794">
        <f t="shared" si="5643"/>
        <v>3</v>
      </c>
      <c r="P1794" t="str">
        <f t="shared" si="5644"/>
        <v>Small centralized natural gas steam reforming-Regulatory coverage</v>
      </c>
      <c r="Q1794" t="str">
        <f t="shared" si="5645"/>
        <v>Central gas storage-Regulatory coverage</v>
      </c>
      <c r="R1794" t="str">
        <f t="shared" si="5646"/>
        <v>Onsite-Regulatory coverage</v>
      </c>
      <c r="S1794" t="str">
        <f t="shared" si="5647"/>
        <v>Hydrogen turbine (CC)-Regulatory coverage</v>
      </c>
      <c r="T1794">
        <f ca="1">VLOOKUP($P1794,'TA database'!$I$8:$J$79,2,FALSE)</f>
        <v>100</v>
      </c>
      <c r="U1794">
        <f ca="1">VLOOKUP($Q1794,'TA database'!$I$86:$J$105,2,FALSE)</f>
        <v>80</v>
      </c>
      <c r="V1794">
        <f ca="1">VLOOKUP($R1794,'TA database'!$I$112:$J$139,2,FALSE)</f>
        <v>100</v>
      </c>
      <c r="W1794">
        <f>IFERROR(VLOOKUP($S1794,'TA database'!$I$146:$J$193,2,FALSE),0)</f>
        <v>0</v>
      </c>
      <c r="X1794">
        <f ca="1">IFERROR(VLOOKUP($S1794,'TA database'!$I$200:$J$271,2,FALSE),0)</f>
        <v>50</v>
      </c>
      <c r="Y1794">
        <f t="shared" ca="1" si="5648"/>
        <v>82.5</v>
      </c>
      <c r="Z1794" t="str">
        <f t="shared" si="5649"/>
        <v>NG_SR_SML_C   →   C_GAS_STRG   →   ONSITE_USE   →   H2_CCGT_PWR</v>
      </c>
      <c r="AA1794" t="str">
        <f t="shared" si="5650"/>
        <v>Grid electricity</v>
      </c>
      <c r="AB1794" t="str">
        <f t="shared" si="5651"/>
        <v>Regulatory coverage</v>
      </c>
      <c r="AC1794">
        <f t="shared" ca="1" si="5652"/>
        <v>82.5</v>
      </c>
      <c r="AD1794">
        <v>1735</v>
      </c>
      <c r="AE1794" t="str">
        <f>IF(AND(ISNUMBER(SEARCH(O1794,4)),ISNUMBER(SEARCH('(4) FCH pathway assessment'!$B$16,AB1794)),ISNUMBER(SEARCH('(4) FCH pathway assessment'!$B$10,AA1794))),AD1794,"")</f>
        <v/>
      </c>
      <c r="AF1794" t="str">
        <f t="shared" si="5638"/>
        <v/>
      </c>
      <c r="AG1794" t="str">
        <f>VLOOKUP(C1794,Assumptions!$B$116:$C$162,2,FALSE)</f>
        <v>NG_SR_SML_C</v>
      </c>
      <c r="AH1794" t="str">
        <f>VLOOKUP(D1794,Assumptions!$B$116:$C$162,2,FALSE)</f>
        <v>C_GAS_STRG</v>
      </c>
      <c r="AI1794" t="str">
        <f>VLOOKUP(E1794,Assumptions!$B$116:$C$162,2,FALSE)</f>
        <v>ONSITE_USE</v>
      </c>
      <c r="AJ1794" t="str">
        <f>VLOOKUP(F1794,Assumptions!$B$116:$C$162,2,FALSE)</f>
        <v>H2_CCGT_PWR</v>
      </c>
    </row>
    <row r="1795" spans="2:36" x14ac:dyDescent="0.25">
      <c r="B1795" t="s">
        <v>127</v>
      </c>
      <c r="C1795" t="s">
        <v>59</v>
      </c>
      <c r="D1795" s="60" t="s">
        <v>130</v>
      </c>
      <c r="E1795" t="s">
        <v>66</v>
      </c>
      <c r="F1795" t="s">
        <v>163</v>
      </c>
      <c r="G1795" t="s">
        <v>114</v>
      </c>
      <c r="H1795" t="s">
        <v>433</v>
      </c>
      <c r="I1795" t="s">
        <v>32</v>
      </c>
      <c r="J1795" t="s">
        <v>534</v>
      </c>
      <c r="K1795">
        <f t="shared" si="5639"/>
        <v>1</v>
      </c>
      <c r="L1795">
        <f t="shared" si="5640"/>
        <v>1</v>
      </c>
      <c r="M1795">
        <f t="shared" si="5641"/>
        <v>1</v>
      </c>
      <c r="N1795">
        <f t="shared" si="5642"/>
        <v>0</v>
      </c>
      <c r="O1795">
        <f t="shared" si="5643"/>
        <v>3</v>
      </c>
      <c r="P1795" t="str">
        <f t="shared" si="5644"/>
        <v>Medium decentralized natural gas steam reforming-Regulatory coverage</v>
      </c>
      <c r="Q1795" t="str">
        <f t="shared" si="5645"/>
        <v>Distributed gas storage-Regulatory coverage</v>
      </c>
      <c r="R1795" t="str">
        <f t="shared" si="5646"/>
        <v>Onsite-Regulatory coverage</v>
      </c>
      <c r="S1795" t="str">
        <f t="shared" si="5647"/>
        <v>Hydrogen turbine (CC)-Regulatory coverage</v>
      </c>
      <c r="T1795">
        <f ca="1">VLOOKUP($P1795,'TA database'!$I$8:$J$79,2,FALSE)</f>
        <v>100</v>
      </c>
      <c r="U1795">
        <f ca="1">VLOOKUP($Q1795,'TA database'!$I$86:$J$105,2,FALSE)</f>
        <v>100</v>
      </c>
      <c r="V1795">
        <f ca="1">VLOOKUP($R1795,'TA database'!$I$112:$J$139,2,FALSE)</f>
        <v>100</v>
      </c>
      <c r="W1795">
        <f>IFERROR(VLOOKUP($S1795,'TA database'!$I$146:$J$193,2,FALSE),0)</f>
        <v>0</v>
      </c>
      <c r="X1795">
        <f ca="1">IFERROR(VLOOKUP($S1795,'TA database'!$I$200:$J$271,2,FALSE),0)</f>
        <v>50</v>
      </c>
      <c r="Y1795">
        <f t="shared" ca="1" si="5648"/>
        <v>87.5</v>
      </c>
      <c r="Z1795" t="str">
        <f t="shared" si="5649"/>
        <v>NG_SR_MED_D   →   D_GAS_STRG   →   ONSITE_USE   →   H2_CCGT_PWR</v>
      </c>
      <c r="AA1795" t="str">
        <f t="shared" si="5650"/>
        <v>Grid electricity</v>
      </c>
      <c r="AB1795" t="str">
        <f t="shared" si="5651"/>
        <v>Regulatory coverage</v>
      </c>
      <c r="AC1795">
        <f t="shared" ca="1" si="5652"/>
        <v>87.5</v>
      </c>
      <c r="AD1795">
        <v>1736</v>
      </c>
      <c r="AE1795" t="str">
        <f>IF(AND(ISNUMBER(SEARCH(O1795,4)),ISNUMBER(SEARCH('(4) FCH pathway assessment'!$B$16,AB1795)),ISNUMBER(SEARCH('(4) FCH pathway assessment'!$B$10,AA1795))),AD1795,"")</f>
        <v/>
      </c>
      <c r="AF1795" t="str">
        <f t="shared" si="5638"/>
        <v/>
      </c>
      <c r="AG1795" t="str">
        <f>VLOOKUP(C1795,Assumptions!$B$116:$C$162,2,FALSE)</f>
        <v>NG_SR_MED_D</v>
      </c>
      <c r="AH1795" t="str">
        <f>VLOOKUP(D1795,Assumptions!$B$116:$C$162,2,FALSE)</f>
        <v>D_GAS_STRG</v>
      </c>
      <c r="AI1795" t="str">
        <f>VLOOKUP(E1795,Assumptions!$B$116:$C$162,2,FALSE)</f>
        <v>ONSITE_USE</v>
      </c>
      <c r="AJ1795" t="str">
        <f>VLOOKUP(F1795,Assumptions!$B$116:$C$162,2,FALSE)</f>
        <v>H2_CCGT_PWR</v>
      </c>
    </row>
    <row r="1796" spans="2:36" x14ac:dyDescent="0.25">
      <c r="B1796" t="s">
        <v>127</v>
      </c>
      <c r="C1796" t="s">
        <v>60</v>
      </c>
      <c r="D1796" s="60" t="s">
        <v>130</v>
      </c>
      <c r="E1796" t="s">
        <v>66</v>
      </c>
      <c r="F1796" t="s">
        <v>163</v>
      </c>
      <c r="G1796" t="s">
        <v>114</v>
      </c>
      <c r="H1796" t="s">
        <v>433</v>
      </c>
      <c r="I1796" t="s">
        <v>32</v>
      </c>
      <c r="J1796" t="s">
        <v>534</v>
      </c>
      <c r="K1796">
        <f t="shared" ref="K1796" si="5653">SUMPRODUCT(($C$7:$C$18=$C1796)*($D$6:$H$6=$D1796)*($D$7:$H$18))</f>
        <v>1</v>
      </c>
      <c r="L1796">
        <f t="shared" ref="L1796" si="5654">SUMPRODUCT(($C$19:$C$23=$D1796)*($I$6:$O$6=$E1796)*($I$19:$O$23))</f>
        <v>1</v>
      </c>
      <c r="M1796">
        <f t="shared" ref="M1796" si="5655">SUMPRODUCT(($C$24:$C$30=$E1796)*($P$6:$AI$6=$F1796)*($P$24:$AI$30))</f>
        <v>1</v>
      </c>
      <c r="N1796">
        <f t="shared" ref="N1796" si="5656">SUMPRODUCT(($C$31:$C$50=$F1796)*($AJ$6:$AM$6=$G1796)*($AJ$31:$AM$50))</f>
        <v>0</v>
      </c>
      <c r="O1796">
        <f t="shared" ref="O1796" si="5657">K1796+L1796+M1796+N1796</f>
        <v>3</v>
      </c>
      <c r="P1796" t="str">
        <f t="shared" ref="P1796" si="5658">CONCATENATE(C1796,"-",J1796)</f>
        <v>Small decentralized natural gas steam reforming-Regulatory coverage</v>
      </c>
      <c r="Q1796" t="str">
        <f t="shared" ref="Q1796" si="5659">CONCATENATE(D1796,"-",J1796)</f>
        <v>Distributed gas storage-Regulatory coverage</v>
      </c>
      <c r="R1796" t="str">
        <f t="shared" ref="R1796" si="5660">CONCATENATE(E1796,"-",J1796)</f>
        <v>Onsite-Regulatory coverage</v>
      </c>
      <c r="S1796" t="str">
        <f t="shared" ref="S1796" si="5661">CONCATENATE(F1796,"-",J1796)</f>
        <v>Hydrogen turbine (CC)-Regulatory coverage</v>
      </c>
      <c r="T1796">
        <f ca="1">VLOOKUP($P1796,'TA database'!$I$8:$J$79,2,FALSE)</f>
        <v>100</v>
      </c>
      <c r="U1796">
        <f ca="1">VLOOKUP($Q1796,'TA database'!$I$86:$J$105,2,FALSE)</f>
        <v>100</v>
      </c>
      <c r="V1796">
        <f ca="1">VLOOKUP($R1796,'TA database'!$I$112:$J$139,2,FALSE)</f>
        <v>100</v>
      </c>
      <c r="W1796">
        <f>IFERROR(VLOOKUP($S1796,'TA database'!$I$146:$J$193,2,FALSE),0)</f>
        <v>0</v>
      </c>
      <c r="X1796">
        <f ca="1">IFERROR(VLOOKUP($S1796,'TA database'!$I$200:$J$271,2,FALSE),0)</f>
        <v>50</v>
      </c>
      <c r="Y1796">
        <f t="shared" ref="Y1796" ca="1" si="5662">IF($W1796=0,SUM($T1796:$V1796,$X1796)/4,SUM($T1796:$W1796)/4)</f>
        <v>87.5</v>
      </c>
      <c r="Z1796" t="str">
        <f t="shared" ref="Z1796" si="5663">CONCATENATE(AG1796,"   →   ",AH1796,"   →   ",AI1796,"   →   ",AJ1796)</f>
        <v>NG_SR_SML_D   →   D_GAS_STRG   →   ONSITE_USE   →   H2_CCGT_PWR</v>
      </c>
      <c r="AA1796" t="str">
        <f t="shared" ref="AA1796" si="5664">G1796</f>
        <v>Grid electricity</v>
      </c>
      <c r="AB1796" t="str">
        <f t="shared" ref="AB1796" si="5665">J1796</f>
        <v>Regulatory coverage</v>
      </c>
      <c r="AC1796">
        <f t="shared" ref="AC1796" ca="1" si="5666">Y1796</f>
        <v>87.5</v>
      </c>
      <c r="AD1796">
        <v>1737</v>
      </c>
      <c r="AE1796" t="str">
        <f>IF(AND(ISNUMBER(SEARCH(O1796,4)),ISNUMBER(SEARCH('(4) FCH pathway assessment'!$B$16,AB1796)),ISNUMBER(SEARCH('(4) FCH pathway assessment'!$B$10,AA1796))),AD1796,"")</f>
        <v/>
      </c>
      <c r="AF1796" t="str">
        <f t="shared" si="5638"/>
        <v/>
      </c>
      <c r="AG1796" t="str">
        <f>VLOOKUP(C1796,Assumptions!$B$116:$C$162,2,FALSE)</f>
        <v>NG_SR_SML_D</v>
      </c>
      <c r="AH1796" t="str">
        <f>VLOOKUP(D1796,Assumptions!$B$116:$C$162,2,FALSE)</f>
        <v>D_GAS_STRG</v>
      </c>
      <c r="AI1796" t="str">
        <f>VLOOKUP(E1796,Assumptions!$B$116:$C$162,2,FALSE)</f>
        <v>ONSITE_USE</v>
      </c>
      <c r="AJ1796" t="str">
        <f>VLOOKUP(F1796,Assumptions!$B$116:$C$162,2,FALSE)</f>
        <v>H2_CCGT_PWR</v>
      </c>
    </row>
    <row r="1797" spans="2:36" x14ac:dyDescent="0.25">
      <c r="B1797" t="s">
        <v>117</v>
      </c>
      <c r="C1797" t="s">
        <v>53</v>
      </c>
      <c r="D1797" t="s">
        <v>155</v>
      </c>
      <c r="E1797" t="s">
        <v>157</v>
      </c>
      <c r="F1797" t="s">
        <v>162</v>
      </c>
      <c r="G1797" t="s">
        <v>114</v>
      </c>
      <c r="H1797" t="s">
        <v>433</v>
      </c>
      <c r="I1797" t="s">
        <v>32</v>
      </c>
      <c r="J1797" t="s">
        <v>534</v>
      </c>
      <c r="K1797">
        <f t="shared" ref="K1797:K1804" si="5667">SUMPRODUCT(($C$7:$C$18=$C1797)*($D$6:$H$6=$D1797)*($D$7:$H$18))</f>
        <v>0</v>
      </c>
      <c r="L1797">
        <f t="shared" ref="L1797:L1804" si="5668">SUMPRODUCT(($C$19:$C$23=$D1797)*($I$6:$O$6=$E1797)*($I$19:$O$23))</f>
        <v>1</v>
      </c>
      <c r="M1797">
        <f t="shared" ref="M1797:M1804" si="5669">SUMPRODUCT(($C$24:$C$30=$E1797)*($P$6:$AI$6=$F1797)*($P$24:$AI$30))</f>
        <v>0</v>
      </c>
      <c r="N1797">
        <f t="shared" ref="N1797:N1804" si="5670">SUMPRODUCT(($C$31:$C$50=$F1797)*($AJ$6:$AM$6=$G1797)*($AJ$31:$AM$50))</f>
        <v>0</v>
      </c>
      <c r="O1797">
        <f t="shared" ref="O1797:O1804" si="5671">K1797+L1797+M1797+N1797</f>
        <v>1</v>
      </c>
      <c r="P1797" t="str">
        <f t="shared" ref="P1797:P1804" si="5672">CONCATENATE(C1797,"-",J1797)</f>
        <v>Medium centralized biomass gasification-Regulatory coverage</v>
      </c>
      <c r="Q1797" t="str">
        <f t="shared" ref="Q1797:Q1804" si="5673">CONCATENATE(D1797,"-",J1797)</f>
        <v>Central gas storage-Regulatory coverage</v>
      </c>
      <c r="R1797" t="str">
        <f t="shared" ref="R1797:R1804" si="5674">CONCATENATE(E1797,"-",J1797)</f>
        <v>Blending in natural gas pipeline-Regulatory coverage</v>
      </c>
      <c r="S1797" t="str">
        <f t="shared" ref="S1797:S1804" si="5675">CONCATENATE(F1797,"-",J1797)</f>
        <v>Hydrogen turbine (OC)-Regulatory coverage</v>
      </c>
      <c r="T1797">
        <f ca="1">VLOOKUP($P1797,'TA database'!$I$8:$J$79,2,FALSE)</f>
        <v>100</v>
      </c>
      <c r="U1797">
        <f ca="1">VLOOKUP($Q1797,'TA database'!$I$86:$J$105,2,FALSE)</f>
        <v>80</v>
      </c>
      <c r="V1797">
        <f ca="1">VLOOKUP($R1797,'TA database'!$I$112:$J$139,2,FALSE)</f>
        <v>100</v>
      </c>
      <c r="W1797">
        <f>IFERROR(VLOOKUP($S1797,'TA database'!$I$146:$J$193,2,FALSE),0)</f>
        <v>0</v>
      </c>
      <c r="X1797">
        <f ca="1">IFERROR(VLOOKUP($S1797,'TA database'!$I$200:$J$271,2,FALSE),0)</f>
        <v>50</v>
      </c>
      <c r="Y1797">
        <f t="shared" ref="Y1797:Y1804" ca="1" si="5676">IF($W1797=0,SUM($T1797:$V1797,$X1797)/4,SUM($T1797:$W1797)/4)</f>
        <v>82.5</v>
      </c>
      <c r="Z1797" t="str">
        <f t="shared" ref="Z1797:Z1804" si="5677">CONCATENATE(AG1797,"   →   ",AH1797,"   →   ",AI1797,"   →   ",AJ1797)</f>
        <v>BIO_GSF_MED_C   →   C_GAS_STRG   →   H2_BLND_NG_P   →   H2_OCGT_PWR</v>
      </c>
      <c r="AA1797" t="str">
        <f t="shared" ref="AA1797:AA1804" si="5678">G1797</f>
        <v>Grid electricity</v>
      </c>
      <c r="AB1797" t="str">
        <f t="shared" ref="AB1797:AB1804" si="5679">J1797</f>
        <v>Regulatory coverage</v>
      </c>
      <c r="AC1797">
        <f t="shared" ref="AC1797:AC1804" ca="1" si="5680">Y1797</f>
        <v>82.5</v>
      </c>
      <c r="AD1797">
        <v>1738</v>
      </c>
      <c r="AE1797" t="str">
        <f>IF(AND(ISNUMBER(SEARCH(O1797,4)),ISNUMBER(SEARCH('(4) FCH pathway assessment'!$B$16,AB1797)),ISNUMBER(SEARCH('(4) FCH pathway assessment'!$B$10,AA1797))),AD1797,"")</f>
        <v/>
      </c>
      <c r="AF1797" t="str">
        <f t="shared" si="5638"/>
        <v/>
      </c>
      <c r="AG1797" t="str">
        <f>VLOOKUP(C1797,Assumptions!$B$116:$C$162,2,FALSE)</f>
        <v>BIO_GSF_MED_C</v>
      </c>
      <c r="AH1797" t="str">
        <f>VLOOKUP(D1797,Assumptions!$B$116:$C$162,2,FALSE)</f>
        <v>C_GAS_STRG</v>
      </c>
      <c r="AI1797" t="str">
        <f>VLOOKUP(E1797,Assumptions!$B$116:$C$162,2,FALSE)</f>
        <v>H2_BLND_NG_P</v>
      </c>
      <c r="AJ1797" t="str">
        <f>VLOOKUP(F1797,Assumptions!$B$116:$C$162,2,FALSE)</f>
        <v>H2_OCGT_PWR</v>
      </c>
    </row>
    <row r="1798" spans="2:36" x14ac:dyDescent="0.25">
      <c r="B1798" t="s">
        <v>117</v>
      </c>
      <c r="C1798" t="s">
        <v>53</v>
      </c>
      <c r="D1798" t="s">
        <v>155</v>
      </c>
      <c r="E1798" t="s">
        <v>122</v>
      </c>
      <c r="F1798" t="s">
        <v>162</v>
      </c>
      <c r="G1798" t="s">
        <v>114</v>
      </c>
      <c r="H1798" t="s">
        <v>433</v>
      </c>
      <c r="I1798" t="s">
        <v>32</v>
      </c>
      <c r="J1798" t="s">
        <v>534</v>
      </c>
      <c r="K1798">
        <f t="shared" si="5667"/>
        <v>0</v>
      </c>
      <c r="L1798">
        <f t="shared" si="5668"/>
        <v>1</v>
      </c>
      <c r="M1798">
        <f t="shared" si="5669"/>
        <v>1</v>
      </c>
      <c r="N1798">
        <f t="shared" si="5670"/>
        <v>0</v>
      </c>
      <c r="O1798">
        <f t="shared" si="5671"/>
        <v>2</v>
      </c>
      <c r="P1798" t="str">
        <f t="shared" si="5672"/>
        <v>Medium centralized biomass gasification-Regulatory coverage</v>
      </c>
      <c r="Q1798" t="str">
        <f t="shared" si="5673"/>
        <v>Central gas storage-Regulatory coverage</v>
      </c>
      <c r="R1798" t="str">
        <f t="shared" si="5674"/>
        <v>Hydrogen transmission &amp; distribution pipeline-Regulatory coverage</v>
      </c>
      <c r="S1798" t="str">
        <f t="shared" si="5675"/>
        <v>Hydrogen turbine (OC)-Regulatory coverage</v>
      </c>
      <c r="T1798">
        <f ca="1">VLOOKUP($P1798,'TA database'!$I$8:$J$79,2,FALSE)</f>
        <v>100</v>
      </c>
      <c r="U1798">
        <f ca="1">VLOOKUP($Q1798,'TA database'!$I$86:$J$105,2,FALSE)</f>
        <v>80</v>
      </c>
      <c r="V1798">
        <f ca="1">VLOOKUP($R1798,'TA database'!$I$112:$J$139,2,FALSE)</f>
        <v>40</v>
      </c>
      <c r="W1798">
        <f>IFERROR(VLOOKUP($S1798,'TA database'!$I$146:$J$193,2,FALSE),0)</f>
        <v>0</v>
      </c>
      <c r="X1798">
        <f ca="1">IFERROR(VLOOKUP($S1798,'TA database'!$I$200:$J$271,2,FALSE),0)</f>
        <v>50</v>
      </c>
      <c r="Y1798">
        <f t="shared" ca="1" si="5676"/>
        <v>67.5</v>
      </c>
      <c r="Z1798" t="str">
        <f t="shared" si="5677"/>
        <v>BIO_GSF_MED_C   →   C_GAS_STRG   →   H2_T&amp;D_P   →   H2_OCGT_PWR</v>
      </c>
      <c r="AA1798" t="str">
        <f t="shared" si="5678"/>
        <v>Grid electricity</v>
      </c>
      <c r="AB1798" t="str">
        <f t="shared" si="5679"/>
        <v>Regulatory coverage</v>
      </c>
      <c r="AC1798">
        <f t="shared" ca="1" si="5680"/>
        <v>67.5</v>
      </c>
      <c r="AD1798">
        <v>1739</v>
      </c>
      <c r="AE1798" t="str">
        <f>IF(AND(ISNUMBER(SEARCH(O1798,4)),ISNUMBER(SEARCH('(4) FCH pathway assessment'!$B$16,AB1798)),ISNUMBER(SEARCH('(4) FCH pathway assessment'!$B$10,AA1798))),AD1798,"")</f>
        <v/>
      </c>
      <c r="AF1798" t="str">
        <f t="shared" si="5638"/>
        <v/>
      </c>
      <c r="AG1798" t="str">
        <f>VLOOKUP(C1798,Assumptions!$B$116:$C$162,2,FALSE)</f>
        <v>BIO_GSF_MED_C</v>
      </c>
      <c r="AH1798" t="str">
        <f>VLOOKUP(D1798,Assumptions!$B$116:$C$162,2,FALSE)</f>
        <v>C_GAS_STRG</v>
      </c>
      <c r="AI1798" t="str">
        <f>VLOOKUP(E1798,Assumptions!$B$116:$C$162,2,FALSE)</f>
        <v>H2_T&amp;D_P</v>
      </c>
      <c r="AJ1798" t="str">
        <f>VLOOKUP(F1798,Assumptions!$B$116:$C$162,2,FALSE)</f>
        <v>H2_OCGT_PWR</v>
      </c>
    </row>
    <row r="1799" spans="2:36" x14ac:dyDescent="0.25">
      <c r="B1799" t="s">
        <v>117</v>
      </c>
      <c r="C1799" t="s">
        <v>53</v>
      </c>
      <c r="D1799" t="s">
        <v>155</v>
      </c>
      <c r="E1799" t="s">
        <v>116</v>
      </c>
      <c r="F1799" t="s">
        <v>162</v>
      </c>
      <c r="G1799" t="s">
        <v>114</v>
      </c>
      <c r="H1799" t="s">
        <v>433</v>
      </c>
      <c r="I1799" t="s">
        <v>32</v>
      </c>
      <c r="J1799" t="s">
        <v>534</v>
      </c>
      <c r="K1799">
        <f t="shared" si="5667"/>
        <v>0</v>
      </c>
      <c r="L1799">
        <f t="shared" si="5668"/>
        <v>1</v>
      </c>
      <c r="M1799">
        <f t="shared" si="5669"/>
        <v>1</v>
      </c>
      <c r="N1799">
        <f t="shared" si="5670"/>
        <v>0</v>
      </c>
      <c r="O1799">
        <f t="shared" si="5671"/>
        <v>2</v>
      </c>
      <c r="P1799" t="str">
        <f t="shared" si="5672"/>
        <v>Medium centralized biomass gasification-Regulatory coverage</v>
      </c>
      <c r="Q1799" t="str">
        <f t="shared" si="5673"/>
        <v>Central gas storage-Regulatory coverage</v>
      </c>
      <c r="R1799" t="str">
        <f t="shared" si="5674"/>
        <v>Liquid hydrogen truck-Regulatory coverage</v>
      </c>
      <c r="S1799" t="str">
        <f t="shared" si="5675"/>
        <v>Hydrogen turbine (OC)-Regulatory coverage</v>
      </c>
      <c r="T1799">
        <f ca="1">VLOOKUP($P1799,'TA database'!$I$8:$J$79,2,FALSE)</f>
        <v>100</v>
      </c>
      <c r="U1799">
        <f ca="1">VLOOKUP($Q1799,'TA database'!$I$86:$J$105,2,FALSE)</f>
        <v>80</v>
      </c>
      <c r="V1799">
        <f ca="1">VLOOKUP($R1799,'TA database'!$I$112:$J$139,2,FALSE)</f>
        <v>40</v>
      </c>
      <c r="W1799">
        <f>IFERROR(VLOOKUP($S1799,'TA database'!$I$146:$J$193,2,FALSE),0)</f>
        <v>0</v>
      </c>
      <c r="X1799">
        <f ca="1">IFERROR(VLOOKUP($S1799,'TA database'!$I$200:$J$271,2,FALSE),0)</f>
        <v>50</v>
      </c>
      <c r="Y1799">
        <f t="shared" ca="1" si="5676"/>
        <v>67.5</v>
      </c>
      <c r="Z1799" t="str">
        <f t="shared" si="5677"/>
        <v>BIO_GSF_MED_C   →   C_GAS_STRG   →   LQ_TRUCK   →   H2_OCGT_PWR</v>
      </c>
      <c r="AA1799" t="str">
        <f t="shared" si="5678"/>
        <v>Grid electricity</v>
      </c>
      <c r="AB1799" t="str">
        <f t="shared" si="5679"/>
        <v>Regulatory coverage</v>
      </c>
      <c r="AC1799">
        <f t="shared" ca="1" si="5680"/>
        <v>67.5</v>
      </c>
      <c r="AD1799">
        <v>1740</v>
      </c>
      <c r="AE1799" t="str">
        <f>IF(AND(ISNUMBER(SEARCH(O1799,4)),ISNUMBER(SEARCH('(4) FCH pathway assessment'!$B$16,AB1799)),ISNUMBER(SEARCH('(4) FCH pathway assessment'!$B$10,AA1799))),AD1799,"")</f>
        <v/>
      </c>
      <c r="AF1799" t="str">
        <f t="shared" si="5638"/>
        <v/>
      </c>
      <c r="AG1799" t="str">
        <f>VLOOKUP(C1799,Assumptions!$B$116:$C$162,2,FALSE)</f>
        <v>BIO_GSF_MED_C</v>
      </c>
      <c r="AH1799" t="str">
        <f>VLOOKUP(D1799,Assumptions!$B$116:$C$162,2,FALSE)</f>
        <v>C_GAS_STRG</v>
      </c>
      <c r="AI1799" t="str">
        <f>VLOOKUP(E1799,Assumptions!$B$116:$C$162,2,FALSE)</f>
        <v>LQ_TRUCK</v>
      </c>
      <c r="AJ1799" t="str">
        <f>VLOOKUP(F1799,Assumptions!$B$116:$C$162,2,FALSE)</f>
        <v>H2_OCGT_PWR</v>
      </c>
    </row>
    <row r="1800" spans="2:36" x14ac:dyDescent="0.25">
      <c r="B1800" t="s">
        <v>117</v>
      </c>
      <c r="C1800" t="s">
        <v>53</v>
      </c>
      <c r="D1800" t="s">
        <v>155</v>
      </c>
      <c r="E1800" t="s">
        <v>66</v>
      </c>
      <c r="F1800" t="s">
        <v>162</v>
      </c>
      <c r="G1800" t="s">
        <v>114</v>
      </c>
      <c r="H1800" t="s">
        <v>433</v>
      </c>
      <c r="I1800" t="s">
        <v>32</v>
      </c>
      <c r="J1800" t="s">
        <v>534</v>
      </c>
      <c r="K1800">
        <f t="shared" si="5667"/>
        <v>0</v>
      </c>
      <c r="L1800">
        <f t="shared" si="5668"/>
        <v>1</v>
      </c>
      <c r="M1800">
        <f t="shared" si="5669"/>
        <v>1</v>
      </c>
      <c r="N1800">
        <f t="shared" si="5670"/>
        <v>0</v>
      </c>
      <c r="O1800">
        <f t="shared" si="5671"/>
        <v>2</v>
      </c>
      <c r="P1800" t="str">
        <f t="shared" si="5672"/>
        <v>Medium centralized biomass gasification-Regulatory coverage</v>
      </c>
      <c r="Q1800" t="str">
        <f t="shared" si="5673"/>
        <v>Central gas storage-Regulatory coverage</v>
      </c>
      <c r="R1800" t="str">
        <f t="shared" si="5674"/>
        <v>Onsite-Regulatory coverage</v>
      </c>
      <c r="S1800" t="str">
        <f t="shared" si="5675"/>
        <v>Hydrogen turbine (OC)-Regulatory coverage</v>
      </c>
      <c r="T1800">
        <f ca="1">VLOOKUP($P1800,'TA database'!$I$8:$J$79,2,FALSE)</f>
        <v>100</v>
      </c>
      <c r="U1800">
        <f ca="1">VLOOKUP($Q1800,'TA database'!$I$86:$J$105,2,FALSE)</f>
        <v>80</v>
      </c>
      <c r="V1800">
        <f ca="1">VLOOKUP($R1800,'TA database'!$I$112:$J$139,2,FALSE)</f>
        <v>100</v>
      </c>
      <c r="W1800">
        <f>IFERROR(VLOOKUP($S1800,'TA database'!$I$146:$J$193,2,FALSE),0)</f>
        <v>0</v>
      </c>
      <c r="X1800">
        <f ca="1">IFERROR(VLOOKUP($S1800,'TA database'!$I$200:$J$271,2,FALSE),0)</f>
        <v>50</v>
      </c>
      <c r="Y1800">
        <f t="shared" ca="1" si="5676"/>
        <v>82.5</v>
      </c>
      <c r="Z1800" t="str">
        <f t="shared" si="5677"/>
        <v>BIO_GSF_MED_C   →   C_GAS_STRG   →   ONSITE_USE   →   H2_OCGT_PWR</v>
      </c>
      <c r="AA1800" t="str">
        <f t="shared" si="5678"/>
        <v>Grid electricity</v>
      </c>
      <c r="AB1800" t="str">
        <f t="shared" si="5679"/>
        <v>Regulatory coverage</v>
      </c>
      <c r="AC1800">
        <f t="shared" ca="1" si="5680"/>
        <v>82.5</v>
      </c>
      <c r="AD1800">
        <v>1741</v>
      </c>
      <c r="AE1800" t="str">
        <f>IF(AND(ISNUMBER(SEARCH(O1800,4)),ISNUMBER(SEARCH('(4) FCH pathway assessment'!$B$16,AB1800)),ISNUMBER(SEARCH('(4) FCH pathway assessment'!$B$10,AA1800))),AD1800,"")</f>
        <v/>
      </c>
      <c r="AF1800" t="str">
        <f t="shared" si="5638"/>
        <v/>
      </c>
      <c r="AG1800" t="str">
        <f>VLOOKUP(C1800,Assumptions!$B$116:$C$162,2,FALSE)</f>
        <v>BIO_GSF_MED_C</v>
      </c>
      <c r="AH1800" t="str">
        <f>VLOOKUP(D1800,Assumptions!$B$116:$C$162,2,FALSE)</f>
        <v>C_GAS_STRG</v>
      </c>
      <c r="AI1800" t="str">
        <f>VLOOKUP(E1800,Assumptions!$B$116:$C$162,2,FALSE)</f>
        <v>ONSITE_USE</v>
      </c>
      <c r="AJ1800" t="str">
        <f>VLOOKUP(F1800,Assumptions!$B$116:$C$162,2,FALSE)</f>
        <v>H2_OCGT_PWR</v>
      </c>
    </row>
    <row r="1801" spans="2:36" x14ac:dyDescent="0.25">
      <c r="B1801" t="s">
        <v>117</v>
      </c>
      <c r="C1801" t="s">
        <v>54</v>
      </c>
      <c r="D1801" t="s">
        <v>155</v>
      </c>
      <c r="E1801" t="s">
        <v>157</v>
      </c>
      <c r="F1801" t="s">
        <v>162</v>
      </c>
      <c r="G1801" t="s">
        <v>114</v>
      </c>
      <c r="H1801" t="s">
        <v>433</v>
      </c>
      <c r="I1801" t="s">
        <v>32</v>
      </c>
      <c r="J1801" t="s">
        <v>534</v>
      </c>
      <c r="K1801">
        <f t="shared" si="5667"/>
        <v>0</v>
      </c>
      <c r="L1801">
        <f t="shared" si="5668"/>
        <v>1</v>
      </c>
      <c r="M1801">
        <f t="shared" si="5669"/>
        <v>0</v>
      </c>
      <c r="N1801">
        <f t="shared" si="5670"/>
        <v>0</v>
      </c>
      <c r="O1801">
        <f t="shared" si="5671"/>
        <v>1</v>
      </c>
      <c r="P1801" t="str">
        <f t="shared" si="5672"/>
        <v>Medium centralized biomass gasification w/ CCS-Regulatory coverage</v>
      </c>
      <c r="Q1801" t="str">
        <f t="shared" si="5673"/>
        <v>Central gas storage-Regulatory coverage</v>
      </c>
      <c r="R1801" t="str">
        <f t="shared" si="5674"/>
        <v>Blending in natural gas pipeline-Regulatory coverage</v>
      </c>
      <c r="S1801" t="str">
        <f t="shared" si="5675"/>
        <v>Hydrogen turbine (OC)-Regulatory coverage</v>
      </c>
      <c r="T1801">
        <f ca="1">VLOOKUP($P1801,'TA database'!$I$8:$J$79,2,FALSE)</f>
        <v>80</v>
      </c>
      <c r="U1801">
        <f ca="1">VLOOKUP($Q1801,'TA database'!$I$86:$J$105,2,FALSE)</f>
        <v>80</v>
      </c>
      <c r="V1801">
        <f ca="1">VLOOKUP($R1801,'TA database'!$I$112:$J$139,2,FALSE)</f>
        <v>100</v>
      </c>
      <c r="W1801">
        <f>IFERROR(VLOOKUP($S1801,'TA database'!$I$146:$J$193,2,FALSE),0)</f>
        <v>0</v>
      </c>
      <c r="X1801">
        <f ca="1">IFERROR(VLOOKUP($S1801,'TA database'!$I$200:$J$271,2,FALSE),0)</f>
        <v>50</v>
      </c>
      <c r="Y1801">
        <f t="shared" ca="1" si="5676"/>
        <v>77.5</v>
      </c>
      <c r="Z1801" t="str">
        <f t="shared" si="5677"/>
        <v>BIO_GSF_CCS_MED_C   →   C_GAS_STRG   →   H2_BLND_NG_P   →   H2_OCGT_PWR</v>
      </c>
      <c r="AA1801" t="str">
        <f t="shared" si="5678"/>
        <v>Grid electricity</v>
      </c>
      <c r="AB1801" t="str">
        <f t="shared" si="5679"/>
        <v>Regulatory coverage</v>
      </c>
      <c r="AC1801">
        <f t="shared" ca="1" si="5680"/>
        <v>77.5</v>
      </c>
      <c r="AD1801">
        <v>1742</v>
      </c>
      <c r="AE1801" t="str">
        <f>IF(AND(ISNUMBER(SEARCH(O1801,4)),ISNUMBER(SEARCH('(4) FCH pathway assessment'!$B$16,AB1801)),ISNUMBER(SEARCH('(4) FCH pathway assessment'!$B$10,AA1801))),AD1801,"")</f>
        <v/>
      </c>
      <c r="AF1801" t="str">
        <f t="shared" si="5638"/>
        <v/>
      </c>
      <c r="AG1801" t="str">
        <f>VLOOKUP(C1801,Assumptions!$B$116:$C$162,2,FALSE)</f>
        <v>BIO_GSF_CCS_MED_C</v>
      </c>
      <c r="AH1801" t="str">
        <f>VLOOKUP(D1801,Assumptions!$B$116:$C$162,2,FALSE)</f>
        <v>C_GAS_STRG</v>
      </c>
      <c r="AI1801" t="str">
        <f>VLOOKUP(E1801,Assumptions!$B$116:$C$162,2,FALSE)</f>
        <v>H2_BLND_NG_P</v>
      </c>
      <c r="AJ1801" t="str">
        <f>VLOOKUP(F1801,Assumptions!$B$116:$C$162,2,FALSE)</f>
        <v>H2_OCGT_PWR</v>
      </c>
    </row>
    <row r="1802" spans="2:36" x14ac:dyDescent="0.25">
      <c r="B1802" t="s">
        <v>117</v>
      </c>
      <c r="C1802" t="s">
        <v>54</v>
      </c>
      <c r="D1802" t="s">
        <v>155</v>
      </c>
      <c r="E1802" t="s">
        <v>122</v>
      </c>
      <c r="F1802" t="s">
        <v>162</v>
      </c>
      <c r="G1802" t="s">
        <v>114</v>
      </c>
      <c r="H1802" t="s">
        <v>433</v>
      </c>
      <c r="I1802" t="s">
        <v>32</v>
      </c>
      <c r="J1802" t="s">
        <v>534</v>
      </c>
      <c r="K1802">
        <f t="shared" si="5667"/>
        <v>0</v>
      </c>
      <c r="L1802">
        <f t="shared" si="5668"/>
        <v>1</v>
      </c>
      <c r="M1802">
        <f t="shared" si="5669"/>
        <v>1</v>
      </c>
      <c r="N1802">
        <f t="shared" si="5670"/>
        <v>0</v>
      </c>
      <c r="O1802">
        <f t="shared" si="5671"/>
        <v>2</v>
      </c>
      <c r="P1802" t="str">
        <f t="shared" si="5672"/>
        <v>Medium centralized biomass gasification w/ CCS-Regulatory coverage</v>
      </c>
      <c r="Q1802" t="str">
        <f t="shared" si="5673"/>
        <v>Central gas storage-Regulatory coverage</v>
      </c>
      <c r="R1802" t="str">
        <f t="shared" si="5674"/>
        <v>Hydrogen transmission &amp; distribution pipeline-Regulatory coverage</v>
      </c>
      <c r="S1802" t="str">
        <f t="shared" si="5675"/>
        <v>Hydrogen turbine (OC)-Regulatory coverage</v>
      </c>
      <c r="T1802">
        <f ca="1">VLOOKUP($P1802,'TA database'!$I$8:$J$79,2,FALSE)</f>
        <v>80</v>
      </c>
      <c r="U1802">
        <f ca="1">VLOOKUP($Q1802,'TA database'!$I$86:$J$105,2,FALSE)</f>
        <v>80</v>
      </c>
      <c r="V1802">
        <f ca="1">VLOOKUP($R1802,'TA database'!$I$112:$J$139,2,FALSE)</f>
        <v>40</v>
      </c>
      <c r="W1802">
        <f>IFERROR(VLOOKUP($S1802,'TA database'!$I$146:$J$193,2,FALSE),0)</f>
        <v>0</v>
      </c>
      <c r="X1802">
        <f ca="1">IFERROR(VLOOKUP($S1802,'TA database'!$I$200:$J$271,2,FALSE),0)</f>
        <v>50</v>
      </c>
      <c r="Y1802">
        <f t="shared" ca="1" si="5676"/>
        <v>62.5</v>
      </c>
      <c r="Z1802" t="str">
        <f t="shared" si="5677"/>
        <v>BIO_GSF_CCS_MED_C   →   C_GAS_STRG   →   H2_T&amp;D_P   →   H2_OCGT_PWR</v>
      </c>
      <c r="AA1802" t="str">
        <f t="shared" si="5678"/>
        <v>Grid electricity</v>
      </c>
      <c r="AB1802" t="str">
        <f t="shared" si="5679"/>
        <v>Regulatory coverage</v>
      </c>
      <c r="AC1802">
        <f t="shared" ca="1" si="5680"/>
        <v>62.5</v>
      </c>
      <c r="AD1802">
        <v>1743</v>
      </c>
      <c r="AE1802" t="str">
        <f>IF(AND(ISNUMBER(SEARCH(O1802,4)),ISNUMBER(SEARCH('(4) FCH pathway assessment'!$B$16,AB1802)),ISNUMBER(SEARCH('(4) FCH pathway assessment'!$B$10,AA1802))),AD1802,"")</f>
        <v/>
      </c>
      <c r="AF1802" t="str">
        <f t="shared" si="5638"/>
        <v/>
      </c>
      <c r="AG1802" t="str">
        <f>VLOOKUP(C1802,Assumptions!$B$116:$C$162,2,FALSE)</f>
        <v>BIO_GSF_CCS_MED_C</v>
      </c>
      <c r="AH1802" t="str">
        <f>VLOOKUP(D1802,Assumptions!$B$116:$C$162,2,FALSE)</f>
        <v>C_GAS_STRG</v>
      </c>
      <c r="AI1802" t="str">
        <f>VLOOKUP(E1802,Assumptions!$B$116:$C$162,2,FALSE)</f>
        <v>H2_T&amp;D_P</v>
      </c>
      <c r="AJ1802" t="str">
        <f>VLOOKUP(F1802,Assumptions!$B$116:$C$162,2,FALSE)</f>
        <v>H2_OCGT_PWR</v>
      </c>
    </row>
    <row r="1803" spans="2:36" x14ac:dyDescent="0.25">
      <c r="B1803" t="s">
        <v>117</v>
      </c>
      <c r="C1803" t="s">
        <v>54</v>
      </c>
      <c r="D1803" t="s">
        <v>155</v>
      </c>
      <c r="E1803" t="s">
        <v>116</v>
      </c>
      <c r="F1803" t="s">
        <v>162</v>
      </c>
      <c r="G1803" t="s">
        <v>114</v>
      </c>
      <c r="H1803" t="s">
        <v>433</v>
      </c>
      <c r="I1803" t="s">
        <v>32</v>
      </c>
      <c r="J1803" t="s">
        <v>534</v>
      </c>
      <c r="K1803">
        <f t="shared" si="5667"/>
        <v>0</v>
      </c>
      <c r="L1803">
        <f t="shared" si="5668"/>
        <v>1</v>
      </c>
      <c r="M1803">
        <f t="shared" si="5669"/>
        <v>1</v>
      </c>
      <c r="N1803">
        <f t="shared" si="5670"/>
        <v>0</v>
      </c>
      <c r="O1803">
        <f t="shared" si="5671"/>
        <v>2</v>
      </c>
      <c r="P1803" t="str">
        <f t="shared" si="5672"/>
        <v>Medium centralized biomass gasification w/ CCS-Regulatory coverage</v>
      </c>
      <c r="Q1803" t="str">
        <f t="shared" si="5673"/>
        <v>Central gas storage-Regulatory coverage</v>
      </c>
      <c r="R1803" t="str">
        <f t="shared" si="5674"/>
        <v>Liquid hydrogen truck-Regulatory coverage</v>
      </c>
      <c r="S1803" t="str">
        <f t="shared" si="5675"/>
        <v>Hydrogen turbine (OC)-Regulatory coverage</v>
      </c>
      <c r="T1803">
        <f ca="1">VLOOKUP($P1803,'TA database'!$I$8:$J$79,2,FALSE)</f>
        <v>80</v>
      </c>
      <c r="U1803">
        <f ca="1">VLOOKUP($Q1803,'TA database'!$I$86:$J$105,2,FALSE)</f>
        <v>80</v>
      </c>
      <c r="V1803">
        <f ca="1">VLOOKUP($R1803,'TA database'!$I$112:$J$139,2,FALSE)</f>
        <v>40</v>
      </c>
      <c r="W1803">
        <f>IFERROR(VLOOKUP($S1803,'TA database'!$I$146:$J$193,2,FALSE),0)</f>
        <v>0</v>
      </c>
      <c r="X1803">
        <f ca="1">IFERROR(VLOOKUP($S1803,'TA database'!$I$200:$J$271,2,FALSE),0)</f>
        <v>50</v>
      </c>
      <c r="Y1803">
        <f t="shared" ca="1" si="5676"/>
        <v>62.5</v>
      </c>
      <c r="Z1803" t="str">
        <f t="shared" si="5677"/>
        <v>BIO_GSF_CCS_MED_C   →   C_GAS_STRG   →   LQ_TRUCK   →   H2_OCGT_PWR</v>
      </c>
      <c r="AA1803" t="str">
        <f t="shared" si="5678"/>
        <v>Grid electricity</v>
      </c>
      <c r="AB1803" t="str">
        <f t="shared" si="5679"/>
        <v>Regulatory coverage</v>
      </c>
      <c r="AC1803">
        <f t="shared" ca="1" si="5680"/>
        <v>62.5</v>
      </c>
      <c r="AD1803">
        <v>1744</v>
      </c>
      <c r="AE1803" t="str">
        <f>IF(AND(ISNUMBER(SEARCH(O1803,4)),ISNUMBER(SEARCH('(4) FCH pathway assessment'!$B$16,AB1803)),ISNUMBER(SEARCH('(4) FCH pathway assessment'!$B$10,AA1803))),AD1803,"")</f>
        <v/>
      </c>
      <c r="AF1803" t="str">
        <f t="shared" si="5638"/>
        <v/>
      </c>
      <c r="AG1803" t="str">
        <f>VLOOKUP(C1803,Assumptions!$B$116:$C$162,2,FALSE)</f>
        <v>BIO_GSF_CCS_MED_C</v>
      </c>
      <c r="AH1803" t="str">
        <f>VLOOKUP(D1803,Assumptions!$B$116:$C$162,2,FALSE)</f>
        <v>C_GAS_STRG</v>
      </c>
      <c r="AI1803" t="str">
        <f>VLOOKUP(E1803,Assumptions!$B$116:$C$162,2,FALSE)</f>
        <v>LQ_TRUCK</v>
      </c>
      <c r="AJ1803" t="str">
        <f>VLOOKUP(F1803,Assumptions!$B$116:$C$162,2,FALSE)</f>
        <v>H2_OCGT_PWR</v>
      </c>
    </row>
    <row r="1804" spans="2:36" x14ac:dyDescent="0.25">
      <c r="B1804" t="s">
        <v>117</v>
      </c>
      <c r="C1804" t="s">
        <v>54</v>
      </c>
      <c r="D1804" t="s">
        <v>155</v>
      </c>
      <c r="E1804" t="s">
        <v>66</v>
      </c>
      <c r="F1804" t="s">
        <v>162</v>
      </c>
      <c r="G1804" t="s">
        <v>114</v>
      </c>
      <c r="H1804" t="s">
        <v>433</v>
      </c>
      <c r="I1804" t="s">
        <v>32</v>
      </c>
      <c r="J1804" t="s">
        <v>534</v>
      </c>
      <c r="K1804">
        <f t="shared" si="5667"/>
        <v>0</v>
      </c>
      <c r="L1804">
        <f t="shared" si="5668"/>
        <v>1</v>
      </c>
      <c r="M1804">
        <f t="shared" si="5669"/>
        <v>1</v>
      </c>
      <c r="N1804">
        <f t="shared" si="5670"/>
        <v>0</v>
      </c>
      <c r="O1804">
        <f t="shared" si="5671"/>
        <v>2</v>
      </c>
      <c r="P1804" t="str">
        <f t="shared" si="5672"/>
        <v>Medium centralized biomass gasification w/ CCS-Regulatory coverage</v>
      </c>
      <c r="Q1804" t="str">
        <f t="shared" si="5673"/>
        <v>Central gas storage-Regulatory coverage</v>
      </c>
      <c r="R1804" t="str">
        <f t="shared" si="5674"/>
        <v>Onsite-Regulatory coverage</v>
      </c>
      <c r="S1804" t="str">
        <f t="shared" si="5675"/>
        <v>Hydrogen turbine (OC)-Regulatory coverage</v>
      </c>
      <c r="T1804">
        <f ca="1">VLOOKUP($P1804,'TA database'!$I$8:$J$79,2,FALSE)</f>
        <v>80</v>
      </c>
      <c r="U1804">
        <f ca="1">VLOOKUP($Q1804,'TA database'!$I$86:$J$105,2,FALSE)</f>
        <v>80</v>
      </c>
      <c r="V1804">
        <f ca="1">VLOOKUP($R1804,'TA database'!$I$112:$J$139,2,FALSE)</f>
        <v>100</v>
      </c>
      <c r="W1804">
        <f>IFERROR(VLOOKUP($S1804,'TA database'!$I$146:$J$193,2,FALSE),0)</f>
        <v>0</v>
      </c>
      <c r="X1804">
        <f ca="1">IFERROR(VLOOKUP($S1804,'TA database'!$I$200:$J$271,2,FALSE),0)</f>
        <v>50</v>
      </c>
      <c r="Y1804">
        <f t="shared" ca="1" si="5676"/>
        <v>77.5</v>
      </c>
      <c r="Z1804" t="str">
        <f t="shared" si="5677"/>
        <v>BIO_GSF_CCS_MED_C   →   C_GAS_STRG   →   ONSITE_USE   →   H2_OCGT_PWR</v>
      </c>
      <c r="AA1804" t="str">
        <f t="shared" si="5678"/>
        <v>Grid electricity</v>
      </c>
      <c r="AB1804" t="str">
        <f t="shared" si="5679"/>
        <v>Regulatory coverage</v>
      </c>
      <c r="AC1804">
        <f t="shared" ca="1" si="5680"/>
        <v>77.5</v>
      </c>
      <c r="AD1804">
        <v>1745</v>
      </c>
      <c r="AE1804" t="str">
        <f>IF(AND(ISNUMBER(SEARCH(O1804,4)),ISNUMBER(SEARCH('(4) FCH pathway assessment'!$B$16,AB1804)),ISNUMBER(SEARCH('(4) FCH pathway assessment'!$B$10,AA1804))),AD1804,"")</f>
        <v/>
      </c>
      <c r="AF1804" t="str">
        <f t="shared" si="5638"/>
        <v/>
      </c>
      <c r="AG1804" t="str">
        <f>VLOOKUP(C1804,Assumptions!$B$116:$C$162,2,FALSE)</f>
        <v>BIO_GSF_CCS_MED_C</v>
      </c>
      <c r="AH1804" t="str">
        <f>VLOOKUP(D1804,Assumptions!$B$116:$C$162,2,FALSE)</f>
        <v>C_GAS_STRG</v>
      </c>
      <c r="AI1804" t="str">
        <f>VLOOKUP(E1804,Assumptions!$B$116:$C$162,2,FALSE)</f>
        <v>ONSITE_USE</v>
      </c>
      <c r="AJ1804" t="str">
        <f>VLOOKUP(F1804,Assumptions!$B$116:$C$162,2,FALSE)</f>
        <v>H2_OCGT_PWR</v>
      </c>
    </row>
    <row r="1805" spans="2:36" x14ac:dyDescent="0.25">
      <c r="B1805" t="s">
        <v>117</v>
      </c>
      <c r="C1805" t="s">
        <v>55</v>
      </c>
      <c r="D1805" s="60" t="s">
        <v>130</v>
      </c>
      <c r="E1805" t="s">
        <v>66</v>
      </c>
      <c r="F1805" t="s">
        <v>162</v>
      </c>
      <c r="G1805" t="s">
        <v>114</v>
      </c>
      <c r="H1805" t="s">
        <v>433</v>
      </c>
      <c r="I1805" t="s">
        <v>32</v>
      </c>
      <c r="J1805" t="s">
        <v>534</v>
      </c>
      <c r="K1805">
        <f t="shared" ref="K1805:K1809" si="5681">SUMPRODUCT(($C$7:$C$18=$C1805)*($D$6:$H$6=$D1805)*($D$7:$H$18))</f>
        <v>0</v>
      </c>
      <c r="L1805">
        <f t="shared" ref="L1805:L1809" si="5682">SUMPRODUCT(($C$19:$C$23=$D1805)*($I$6:$O$6=$E1805)*($I$19:$O$23))</f>
        <v>1</v>
      </c>
      <c r="M1805">
        <f t="shared" ref="M1805:M1809" si="5683">SUMPRODUCT(($C$24:$C$30=$E1805)*($P$6:$AI$6=$F1805)*($P$24:$AI$30))</f>
        <v>1</v>
      </c>
      <c r="N1805">
        <f t="shared" ref="N1805:N1809" si="5684">SUMPRODUCT(($C$31:$C$50=$F1805)*($AJ$6:$AM$6=$G1805)*($AJ$31:$AM$50))</f>
        <v>0</v>
      </c>
      <c r="O1805">
        <f t="shared" ref="O1805:O1809" si="5685">K1805+L1805+M1805+N1805</f>
        <v>2</v>
      </c>
      <c r="P1805" t="str">
        <f t="shared" ref="P1805:P1809" si="5686">CONCATENATE(C1805,"-",J1805)</f>
        <v>Small decentralized biomass gasification-Regulatory coverage</v>
      </c>
      <c r="Q1805" t="str">
        <f t="shared" ref="Q1805:Q1809" si="5687">CONCATENATE(D1805,"-",J1805)</f>
        <v>Distributed gas storage-Regulatory coverage</v>
      </c>
      <c r="R1805" t="str">
        <f t="shared" ref="R1805:R1809" si="5688">CONCATENATE(E1805,"-",J1805)</f>
        <v>Onsite-Regulatory coverage</v>
      </c>
      <c r="S1805" t="str">
        <f t="shared" ref="S1805:S1809" si="5689">CONCATENATE(F1805,"-",J1805)</f>
        <v>Hydrogen turbine (OC)-Regulatory coverage</v>
      </c>
      <c r="T1805">
        <f ca="1">VLOOKUP($P1805,'TA database'!$I$8:$J$79,2,FALSE)</f>
        <v>100</v>
      </c>
      <c r="U1805">
        <f ca="1">VLOOKUP($Q1805,'TA database'!$I$86:$J$105,2,FALSE)</f>
        <v>100</v>
      </c>
      <c r="V1805">
        <f ca="1">VLOOKUP($R1805,'TA database'!$I$112:$J$139,2,FALSE)</f>
        <v>100</v>
      </c>
      <c r="W1805">
        <f>IFERROR(VLOOKUP($S1805,'TA database'!$I$146:$J$193,2,FALSE),0)</f>
        <v>0</v>
      </c>
      <c r="X1805">
        <f ca="1">IFERROR(VLOOKUP($S1805,'TA database'!$I$200:$J$271,2,FALSE),0)</f>
        <v>50</v>
      </c>
      <c r="Y1805">
        <f t="shared" ref="Y1805:Y1809" ca="1" si="5690">IF($W1805=0,SUM($T1805:$V1805,$X1805)/4,SUM($T1805:$W1805)/4)</f>
        <v>87.5</v>
      </c>
      <c r="Z1805" t="str">
        <f t="shared" ref="Z1805:Z1809" si="5691">CONCATENATE(AG1805,"   →   ",AH1805,"   →   ",AI1805,"   →   ",AJ1805)</f>
        <v>BIO_GSF_SML_D   →   D_GAS_STRG   →   ONSITE_USE   →   H2_OCGT_PWR</v>
      </c>
      <c r="AA1805" t="str">
        <f t="shared" ref="AA1805:AA1809" si="5692">G1805</f>
        <v>Grid electricity</v>
      </c>
      <c r="AB1805" t="str">
        <f t="shared" ref="AB1805:AB1809" si="5693">J1805</f>
        <v>Regulatory coverage</v>
      </c>
      <c r="AC1805">
        <f t="shared" ref="AC1805:AC1809" ca="1" si="5694">Y1805</f>
        <v>87.5</v>
      </c>
      <c r="AD1805">
        <v>1746</v>
      </c>
      <c r="AE1805" t="str">
        <f>IF(AND(ISNUMBER(SEARCH(O1805,4)),ISNUMBER(SEARCH('(4) FCH pathway assessment'!$B$16,AB1805)),ISNUMBER(SEARCH('(4) FCH pathway assessment'!$B$10,AA1805))),AD1805,"")</f>
        <v/>
      </c>
      <c r="AF1805" t="str">
        <f t="shared" si="5638"/>
        <v/>
      </c>
      <c r="AG1805" t="str">
        <f>VLOOKUP(C1805,Assumptions!$B$116:$C$162,2,FALSE)</f>
        <v>BIO_GSF_SML_D</v>
      </c>
      <c r="AH1805" t="str">
        <f>VLOOKUP(D1805,Assumptions!$B$116:$C$162,2,FALSE)</f>
        <v>D_GAS_STRG</v>
      </c>
      <c r="AI1805" t="str">
        <f>VLOOKUP(E1805,Assumptions!$B$116:$C$162,2,FALSE)</f>
        <v>ONSITE_USE</v>
      </c>
      <c r="AJ1805" t="str">
        <f>VLOOKUP(F1805,Assumptions!$B$116:$C$162,2,FALSE)</f>
        <v>H2_OCGT_PWR</v>
      </c>
    </row>
    <row r="1806" spans="2:36" x14ac:dyDescent="0.25">
      <c r="B1806" t="s">
        <v>117</v>
      </c>
      <c r="C1806" t="s">
        <v>56</v>
      </c>
      <c r="D1806" t="s">
        <v>62</v>
      </c>
      <c r="E1806" t="s">
        <v>157</v>
      </c>
      <c r="F1806" t="s">
        <v>162</v>
      </c>
      <c r="G1806" t="s">
        <v>114</v>
      </c>
      <c r="H1806" t="s">
        <v>433</v>
      </c>
      <c r="I1806" t="s">
        <v>32</v>
      </c>
      <c r="J1806" t="s">
        <v>534</v>
      </c>
      <c r="K1806">
        <f t="shared" si="5681"/>
        <v>0</v>
      </c>
      <c r="L1806">
        <f t="shared" si="5682"/>
        <v>0</v>
      </c>
      <c r="M1806">
        <f t="shared" si="5683"/>
        <v>0</v>
      </c>
      <c r="N1806">
        <f t="shared" si="5684"/>
        <v>0</v>
      </c>
      <c r="O1806">
        <f t="shared" si="5685"/>
        <v>0</v>
      </c>
      <c r="P1806" t="str">
        <f t="shared" si="5686"/>
        <v>Large centralized biomass steam reforming -Regulatory coverage</v>
      </c>
      <c r="Q1806" t="str">
        <f t="shared" si="5687"/>
        <v>Underground storage-Regulatory coverage</v>
      </c>
      <c r="R1806" t="str">
        <f t="shared" si="5688"/>
        <v>Blending in natural gas pipeline-Regulatory coverage</v>
      </c>
      <c r="S1806" t="str">
        <f t="shared" si="5689"/>
        <v>Hydrogen turbine (OC)-Regulatory coverage</v>
      </c>
      <c r="T1806">
        <f ca="1">VLOOKUP($P1806,'TA database'!$I$8:$J$79,2,FALSE)</f>
        <v>100</v>
      </c>
      <c r="U1806">
        <f ca="1">VLOOKUP($Q1806,'TA database'!$I$86:$J$105,2,FALSE)</f>
        <v>0</v>
      </c>
      <c r="V1806">
        <f ca="1">VLOOKUP($R1806,'TA database'!$I$112:$J$139,2,FALSE)</f>
        <v>100</v>
      </c>
      <c r="W1806">
        <f>IFERROR(VLOOKUP($S1806,'TA database'!$I$146:$J$193,2,FALSE),0)</f>
        <v>0</v>
      </c>
      <c r="X1806">
        <f ca="1">IFERROR(VLOOKUP($S1806,'TA database'!$I$200:$J$271,2,FALSE),0)</f>
        <v>50</v>
      </c>
      <c r="Y1806">
        <f t="shared" ca="1" si="5690"/>
        <v>62.5</v>
      </c>
      <c r="Z1806" t="str">
        <f t="shared" si="5691"/>
        <v>BIO_SR_LRG_C   →   C_UNDRGRND_STRG   →   H2_BLND_NG_P   →   H2_OCGT_PWR</v>
      </c>
      <c r="AA1806" t="str">
        <f t="shared" si="5692"/>
        <v>Grid electricity</v>
      </c>
      <c r="AB1806" t="str">
        <f t="shared" si="5693"/>
        <v>Regulatory coverage</v>
      </c>
      <c r="AC1806">
        <f t="shared" ca="1" si="5694"/>
        <v>62.5</v>
      </c>
      <c r="AD1806">
        <v>1747</v>
      </c>
      <c r="AE1806" t="str">
        <f>IF(AND(ISNUMBER(SEARCH(O1806,4)),ISNUMBER(SEARCH('(4) FCH pathway assessment'!$B$16,AB1806)),ISNUMBER(SEARCH('(4) FCH pathway assessment'!$B$10,AA1806))),AD1806,"")</f>
        <v/>
      </c>
      <c r="AF1806" t="str">
        <f t="shared" si="5638"/>
        <v/>
      </c>
      <c r="AG1806" t="str">
        <f>VLOOKUP(C1806,Assumptions!$B$116:$C$162,2,FALSE)</f>
        <v>BIO_SR_LRG_C</v>
      </c>
      <c r="AH1806" t="str">
        <f>VLOOKUP(D1806,Assumptions!$B$116:$C$162,2,FALSE)</f>
        <v>C_UNDRGRND_STRG</v>
      </c>
      <c r="AI1806" t="str">
        <f>VLOOKUP(E1806,Assumptions!$B$116:$C$162,2,FALSE)</f>
        <v>H2_BLND_NG_P</v>
      </c>
      <c r="AJ1806" t="str">
        <f>VLOOKUP(F1806,Assumptions!$B$116:$C$162,2,FALSE)</f>
        <v>H2_OCGT_PWR</v>
      </c>
    </row>
    <row r="1807" spans="2:36" x14ac:dyDescent="0.25">
      <c r="B1807" t="s">
        <v>117</v>
      </c>
      <c r="C1807" t="s">
        <v>56</v>
      </c>
      <c r="D1807" t="s">
        <v>62</v>
      </c>
      <c r="E1807" t="s">
        <v>122</v>
      </c>
      <c r="F1807" t="s">
        <v>162</v>
      </c>
      <c r="G1807" t="s">
        <v>114</v>
      </c>
      <c r="H1807" t="s">
        <v>433</v>
      </c>
      <c r="I1807" t="s">
        <v>32</v>
      </c>
      <c r="J1807" t="s">
        <v>534</v>
      </c>
      <c r="K1807">
        <f t="shared" si="5681"/>
        <v>0</v>
      </c>
      <c r="L1807">
        <f t="shared" si="5682"/>
        <v>0</v>
      </c>
      <c r="M1807">
        <f t="shared" si="5683"/>
        <v>1</v>
      </c>
      <c r="N1807">
        <f t="shared" si="5684"/>
        <v>0</v>
      </c>
      <c r="O1807">
        <f t="shared" si="5685"/>
        <v>1</v>
      </c>
      <c r="P1807" t="str">
        <f t="shared" si="5686"/>
        <v>Large centralized biomass steam reforming -Regulatory coverage</v>
      </c>
      <c r="Q1807" t="str">
        <f t="shared" si="5687"/>
        <v>Underground storage-Regulatory coverage</v>
      </c>
      <c r="R1807" t="str">
        <f t="shared" si="5688"/>
        <v>Hydrogen transmission &amp; distribution pipeline-Regulatory coverage</v>
      </c>
      <c r="S1807" t="str">
        <f t="shared" si="5689"/>
        <v>Hydrogen turbine (OC)-Regulatory coverage</v>
      </c>
      <c r="T1807">
        <f ca="1">VLOOKUP($P1807,'TA database'!$I$8:$J$79,2,FALSE)</f>
        <v>100</v>
      </c>
      <c r="U1807">
        <f ca="1">VLOOKUP($Q1807,'TA database'!$I$86:$J$105,2,FALSE)</f>
        <v>0</v>
      </c>
      <c r="V1807">
        <f ca="1">VLOOKUP($R1807,'TA database'!$I$112:$J$139,2,FALSE)</f>
        <v>40</v>
      </c>
      <c r="W1807">
        <f>IFERROR(VLOOKUP($S1807,'TA database'!$I$146:$J$193,2,FALSE),0)</f>
        <v>0</v>
      </c>
      <c r="X1807">
        <f ca="1">IFERROR(VLOOKUP($S1807,'TA database'!$I$200:$J$271,2,FALSE),0)</f>
        <v>50</v>
      </c>
      <c r="Y1807">
        <f t="shared" ca="1" si="5690"/>
        <v>47.5</v>
      </c>
      <c r="Z1807" t="str">
        <f t="shared" si="5691"/>
        <v>BIO_SR_LRG_C   →   C_UNDRGRND_STRG   →   H2_T&amp;D_P   →   H2_OCGT_PWR</v>
      </c>
      <c r="AA1807" t="str">
        <f t="shared" si="5692"/>
        <v>Grid electricity</v>
      </c>
      <c r="AB1807" t="str">
        <f t="shared" si="5693"/>
        <v>Regulatory coverage</v>
      </c>
      <c r="AC1807">
        <f t="shared" ca="1" si="5694"/>
        <v>47.5</v>
      </c>
      <c r="AD1807">
        <v>1748</v>
      </c>
      <c r="AE1807" t="str">
        <f>IF(AND(ISNUMBER(SEARCH(O1807,4)),ISNUMBER(SEARCH('(4) FCH pathway assessment'!$B$16,AB1807)),ISNUMBER(SEARCH('(4) FCH pathway assessment'!$B$10,AA1807))),AD1807,"")</f>
        <v/>
      </c>
      <c r="AF1807" t="str">
        <f t="shared" si="5638"/>
        <v/>
      </c>
      <c r="AG1807" t="str">
        <f>VLOOKUP(C1807,Assumptions!$B$116:$C$162,2,FALSE)</f>
        <v>BIO_SR_LRG_C</v>
      </c>
      <c r="AH1807" t="str">
        <f>VLOOKUP(D1807,Assumptions!$B$116:$C$162,2,FALSE)</f>
        <v>C_UNDRGRND_STRG</v>
      </c>
      <c r="AI1807" t="str">
        <f>VLOOKUP(E1807,Assumptions!$B$116:$C$162,2,FALSE)</f>
        <v>H2_T&amp;D_P</v>
      </c>
      <c r="AJ1807" t="str">
        <f>VLOOKUP(F1807,Assumptions!$B$116:$C$162,2,FALSE)</f>
        <v>H2_OCGT_PWR</v>
      </c>
    </row>
    <row r="1808" spans="2:36" x14ac:dyDescent="0.25">
      <c r="B1808" t="s">
        <v>117</v>
      </c>
      <c r="C1808" t="s">
        <v>56</v>
      </c>
      <c r="D1808" t="s">
        <v>62</v>
      </c>
      <c r="E1808" t="s">
        <v>116</v>
      </c>
      <c r="F1808" t="s">
        <v>162</v>
      </c>
      <c r="G1808" t="s">
        <v>114</v>
      </c>
      <c r="H1808" t="s">
        <v>433</v>
      </c>
      <c r="I1808" t="s">
        <v>32</v>
      </c>
      <c r="J1808" t="s">
        <v>534</v>
      </c>
      <c r="K1808">
        <f t="shared" si="5681"/>
        <v>0</v>
      </c>
      <c r="L1808">
        <f t="shared" si="5682"/>
        <v>0</v>
      </c>
      <c r="M1808">
        <f t="shared" si="5683"/>
        <v>1</v>
      </c>
      <c r="N1808">
        <f t="shared" si="5684"/>
        <v>0</v>
      </c>
      <c r="O1808">
        <f t="shared" si="5685"/>
        <v>1</v>
      </c>
      <c r="P1808" t="str">
        <f t="shared" si="5686"/>
        <v>Large centralized biomass steam reforming -Regulatory coverage</v>
      </c>
      <c r="Q1808" t="str">
        <f t="shared" si="5687"/>
        <v>Underground storage-Regulatory coverage</v>
      </c>
      <c r="R1808" t="str">
        <f t="shared" si="5688"/>
        <v>Liquid hydrogen truck-Regulatory coverage</v>
      </c>
      <c r="S1808" t="str">
        <f t="shared" si="5689"/>
        <v>Hydrogen turbine (OC)-Regulatory coverage</v>
      </c>
      <c r="T1808">
        <f ca="1">VLOOKUP($P1808,'TA database'!$I$8:$J$79,2,FALSE)</f>
        <v>100</v>
      </c>
      <c r="U1808">
        <f ca="1">VLOOKUP($Q1808,'TA database'!$I$86:$J$105,2,FALSE)</f>
        <v>0</v>
      </c>
      <c r="V1808">
        <f ca="1">VLOOKUP($R1808,'TA database'!$I$112:$J$139,2,FALSE)</f>
        <v>40</v>
      </c>
      <c r="W1808">
        <f>IFERROR(VLOOKUP($S1808,'TA database'!$I$146:$J$193,2,FALSE),0)</f>
        <v>0</v>
      </c>
      <c r="X1808">
        <f ca="1">IFERROR(VLOOKUP($S1808,'TA database'!$I$200:$J$271,2,FALSE),0)</f>
        <v>50</v>
      </c>
      <c r="Y1808">
        <f t="shared" ca="1" si="5690"/>
        <v>47.5</v>
      </c>
      <c r="Z1808" t="str">
        <f t="shared" si="5691"/>
        <v>BIO_SR_LRG_C   →   C_UNDRGRND_STRG   →   LQ_TRUCK   →   H2_OCGT_PWR</v>
      </c>
      <c r="AA1808" t="str">
        <f t="shared" si="5692"/>
        <v>Grid electricity</v>
      </c>
      <c r="AB1808" t="str">
        <f t="shared" si="5693"/>
        <v>Regulatory coverage</v>
      </c>
      <c r="AC1808">
        <f t="shared" ca="1" si="5694"/>
        <v>47.5</v>
      </c>
      <c r="AD1808">
        <v>1749</v>
      </c>
      <c r="AE1808" t="str">
        <f>IF(AND(ISNUMBER(SEARCH(O1808,4)),ISNUMBER(SEARCH('(4) FCH pathway assessment'!$B$16,AB1808)),ISNUMBER(SEARCH('(4) FCH pathway assessment'!$B$10,AA1808))),AD1808,"")</f>
        <v/>
      </c>
      <c r="AF1808" t="str">
        <f t="shared" si="5638"/>
        <v/>
      </c>
      <c r="AG1808" t="str">
        <f>VLOOKUP(C1808,Assumptions!$B$116:$C$162,2,FALSE)</f>
        <v>BIO_SR_LRG_C</v>
      </c>
      <c r="AH1808" t="str">
        <f>VLOOKUP(D1808,Assumptions!$B$116:$C$162,2,FALSE)</f>
        <v>C_UNDRGRND_STRG</v>
      </c>
      <c r="AI1808" t="str">
        <f>VLOOKUP(E1808,Assumptions!$B$116:$C$162,2,FALSE)</f>
        <v>LQ_TRUCK</v>
      </c>
      <c r="AJ1808" t="str">
        <f>VLOOKUP(F1808,Assumptions!$B$116:$C$162,2,FALSE)</f>
        <v>H2_OCGT_PWR</v>
      </c>
    </row>
    <row r="1809" spans="2:36" x14ac:dyDescent="0.25">
      <c r="B1809" t="s">
        <v>117</v>
      </c>
      <c r="C1809" t="s">
        <v>56</v>
      </c>
      <c r="D1809" t="s">
        <v>62</v>
      </c>
      <c r="E1809" t="s">
        <v>66</v>
      </c>
      <c r="F1809" t="s">
        <v>162</v>
      </c>
      <c r="G1809" t="s">
        <v>114</v>
      </c>
      <c r="H1809" t="s">
        <v>433</v>
      </c>
      <c r="I1809" t="s">
        <v>32</v>
      </c>
      <c r="J1809" t="s">
        <v>534</v>
      </c>
      <c r="K1809">
        <f t="shared" si="5681"/>
        <v>0</v>
      </c>
      <c r="L1809">
        <f t="shared" si="5682"/>
        <v>0</v>
      </c>
      <c r="M1809">
        <f t="shared" si="5683"/>
        <v>1</v>
      </c>
      <c r="N1809">
        <f t="shared" si="5684"/>
        <v>0</v>
      </c>
      <c r="O1809">
        <f t="shared" si="5685"/>
        <v>1</v>
      </c>
      <c r="P1809" t="str">
        <f t="shared" si="5686"/>
        <v>Large centralized biomass steam reforming -Regulatory coverage</v>
      </c>
      <c r="Q1809" t="str">
        <f t="shared" si="5687"/>
        <v>Underground storage-Regulatory coverage</v>
      </c>
      <c r="R1809" t="str">
        <f t="shared" si="5688"/>
        <v>Onsite-Regulatory coverage</v>
      </c>
      <c r="S1809" t="str">
        <f t="shared" si="5689"/>
        <v>Hydrogen turbine (OC)-Regulatory coverage</v>
      </c>
      <c r="T1809">
        <f ca="1">VLOOKUP($P1809,'TA database'!$I$8:$J$79,2,FALSE)</f>
        <v>100</v>
      </c>
      <c r="U1809">
        <f ca="1">VLOOKUP($Q1809,'TA database'!$I$86:$J$105,2,FALSE)</f>
        <v>0</v>
      </c>
      <c r="V1809">
        <f ca="1">VLOOKUP($R1809,'TA database'!$I$112:$J$139,2,FALSE)</f>
        <v>100</v>
      </c>
      <c r="W1809">
        <f>IFERROR(VLOOKUP($S1809,'TA database'!$I$146:$J$193,2,FALSE),0)</f>
        <v>0</v>
      </c>
      <c r="X1809">
        <f ca="1">IFERROR(VLOOKUP($S1809,'TA database'!$I$200:$J$271,2,FALSE),0)</f>
        <v>50</v>
      </c>
      <c r="Y1809">
        <f t="shared" ca="1" si="5690"/>
        <v>62.5</v>
      </c>
      <c r="Z1809" t="str">
        <f t="shared" si="5691"/>
        <v>BIO_SR_LRG_C   →   C_UNDRGRND_STRG   →   ONSITE_USE   →   H2_OCGT_PWR</v>
      </c>
      <c r="AA1809" t="str">
        <f t="shared" si="5692"/>
        <v>Grid electricity</v>
      </c>
      <c r="AB1809" t="str">
        <f t="shared" si="5693"/>
        <v>Regulatory coverage</v>
      </c>
      <c r="AC1809">
        <f t="shared" ca="1" si="5694"/>
        <v>62.5</v>
      </c>
      <c r="AD1809">
        <v>1750</v>
      </c>
      <c r="AE1809" t="str">
        <f>IF(AND(ISNUMBER(SEARCH(O1809,4)),ISNUMBER(SEARCH('(4) FCH pathway assessment'!$B$16,AB1809)),ISNUMBER(SEARCH('(4) FCH pathway assessment'!$B$10,AA1809))),AD1809,"")</f>
        <v/>
      </c>
      <c r="AF1809" t="str">
        <f t="shared" si="5638"/>
        <v/>
      </c>
      <c r="AG1809" t="str">
        <f>VLOOKUP(C1809,Assumptions!$B$116:$C$162,2,FALSE)</f>
        <v>BIO_SR_LRG_C</v>
      </c>
      <c r="AH1809" t="str">
        <f>VLOOKUP(D1809,Assumptions!$B$116:$C$162,2,FALSE)</f>
        <v>C_UNDRGRND_STRG</v>
      </c>
      <c r="AI1809" t="str">
        <f>VLOOKUP(E1809,Assumptions!$B$116:$C$162,2,FALSE)</f>
        <v>ONSITE_USE</v>
      </c>
      <c r="AJ1809" t="str">
        <f>VLOOKUP(F1809,Assumptions!$B$116:$C$162,2,FALSE)</f>
        <v>H2_OCGT_PWR</v>
      </c>
    </row>
    <row r="1810" spans="2:36" x14ac:dyDescent="0.25">
      <c r="B1810" t="s">
        <v>117</v>
      </c>
      <c r="C1810" t="s">
        <v>56</v>
      </c>
      <c r="D1810" s="61" t="s">
        <v>63</v>
      </c>
      <c r="E1810" t="s">
        <v>122</v>
      </c>
      <c r="F1810" t="s">
        <v>162</v>
      </c>
      <c r="G1810" t="s">
        <v>114</v>
      </c>
      <c r="H1810" t="s">
        <v>433</v>
      </c>
      <c r="I1810" t="s">
        <v>32</v>
      </c>
      <c r="J1810" t="s">
        <v>534</v>
      </c>
      <c r="K1810">
        <f t="shared" ref="K1810:K1820" si="5695">SUMPRODUCT(($C$7:$C$18=$C1810)*($D$6:$H$6=$D1810)*($D$7:$H$18))</f>
        <v>0</v>
      </c>
      <c r="L1810">
        <f t="shared" ref="L1810:L1820" si="5696">SUMPRODUCT(($C$19:$C$23=$D1810)*($I$6:$O$6=$E1810)*($I$19:$O$23))</f>
        <v>1</v>
      </c>
      <c r="M1810">
        <f t="shared" ref="M1810:M1820" si="5697">SUMPRODUCT(($C$24:$C$30=$E1810)*($P$6:$AI$6=$F1810)*($P$24:$AI$30))</f>
        <v>1</v>
      </c>
      <c r="N1810">
        <f t="shared" ref="N1810:N1820" si="5698">SUMPRODUCT(($C$31:$C$50=$F1810)*($AJ$6:$AM$6=$G1810)*($AJ$31:$AM$50))</f>
        <v>0</v>
      </c>
      <c r="O1810">
        <f t="shared" ref="O1810:O1819" si="5699">K1810+L1810+M1810+N1810</f>
        <v>2</v>
      </c>
      <c r="P1810" t="str">
        <f t="shared" ref="P1810:P1820" si="5700">CONCATENATE(C1810,"-",J1810)</f>
        <v>Large centralized biomass steam reforming -Regulatory coverage</v>
      </c>
      <c r="Q1810" t="str">
        <f t="shared" ref="Q1810:Q1820" si="5701">CONCATENATE(D1810,"-",J1810)</f>
        <v>No storage-Regulatory coverage</v>
      </c>
      <c r="R1810" t="str">
        <f t="shared" ref="R1810:R1820" si="5702">CONCATENATE(E1810,"-",J1810)</f>
        <v>Hydrogen transmission &amp; distribution pipeline-Regulatory coverage</v>
      </c>
      <c r="S1810" t="str">
        <f t="shared" ref="S1810:S1820" si="5703">CONCATENATE(F1810,"-",J1810)</f>
        <v>Hydrogen turbine (OC)-Regulatory coverage</v>
      </c>
      <c r="T1810">
        <f ca="1">VLOOKUP($P1810,'TA database'!$I$8:$J$79,2,FALSE)</f>
        <v>100</v>
      </c>
      <c r="U1810">
        <f ca="1">VLOOKUP($Q1810,'TA database'!$I$86:$J$105,2,FALSE)</f>
        <v>100</v>
      </c>
      <c r="V1810">
        <f ca="1">VLOOKUP($R1810,'TA database'!$I$112:$J$139,2,FALSE)</f>
        <v>40</v>
      </c>
      <c r="W1810">
        <f>IFERROR(VLOOKUP($S1810,'TA database'!$I$146:$J$193,2,FALSE),0)</f>
        <v>0</v>
      </c>
      <c r="X1810">
        <f ca="1">IFERROR(VLOOKUP($S1810,'TA database'!$I$200:$J$271,2,FALSE),0)</f>
        <v>50</v>
      </c>
      <c r="Y1810">
        <f t="shared" ref="Y1810:Y1818" ca="1" si="5704">IF($W1810=0,SUM($T1810:$V1810,$X1810)/4,SUM($T1810:$W1810)/4)</f>
        <v>72.5</v>
      </c>
      <c r="Z1810" t="str">
        <f t="shared" ref="Z1810:Z1819" si="5705">CONCATENATE(AG1810,"   →   ",AH1810,"   →   ",AI1810,"   →   ",AJ1810)</f>
        <v>BIO_SR_LRG_C   →   NO_STRG   →   H2_T&amp;D_P   →   H2_OCGT_PWR</v>
      </c>
      <c r="AA1810" t="str">
        <f t="shared" ref="AA1810:AA1819" si="5706">G1810</f>
        <v>Grid electricity</v>
      </c>
      <c r="AB1810" t="str">
        <f t="shared" ref="AB1810:AB1819" si="5707">J1810</f>
        <v>Regulatory coverage</v>
      </c>
      <c r="AC1810">
        <f t="shared" ref="AC1810:AC1819" ca="1" si="5708">Y1810</f>
        <v>72.5</v>
      </c>
      <c r="AD1810">
        <v>1751</v>
      </c>
      <c r="AE1810" t="str">
        <f>IF(AND(ISNUMBER(SEARCH(O1810,4)),ISNUMBER(SEARCH('(4) FCH pathway assessment'!$B$16,AB1810)),ISNUMBER(SEARCH('(4) FCH pathway assessment'!$B$10,AA1810))),AD1810,"")</f>
        <v/>
      </c>
      <c r="AF1810" t="str">
        <f t="shared" si="5638"/>
        <v/>
      </c>
      <c r="AG1810" t="str">
        <f>VLOOKUP(C1810,Assumptions!$B$116:$C$162,2,FALSE)</f>
        <v>BIO_SR_LRG_C</v>
      </c>
      <c r="AH1810" t="str">
        <f>VLOOKUP(D1810,Assumptions!$B$116:$C$162,2,FALSE)</f>
        <v>NO_STRG</v>
      </c>
      <c r="AI1810" t="str">
        <f>VLOOKUP(E1810,Assumptions!$B$116:$C$162,2,FALSE)</f>
        <v>H2_T&amp;D_P</v>
      </c>
      <c r="AJ1810" t="str">
        <f>VLOOKUP(F1810,Assumptions!$B$116:$C$162,2,FALSE)</f>
        <v>H2_OCGT_PWR</v>
      </c>
    </row>
    <row r="1811" spans="2:36" x14ac:dyDescent="0.25">
      <c r="B1811" t="s">
        <v>112</v>
      </c>
      <c r="C1811" t="s">
        <v>49</v>
      </c>
      <c r="D1811" t="s">
        <v>62</v>
      </c>
      <c r="E1811" t="s">
        <v>157</v>
      </c>
      <c r="F1811" t="s">
        <v>162</v>
      </c>
      <c r="G1811" t="s">
        <v>114</v>
      </c>
      <c r="H1811" t="s">
        <v>433</v>
      </c>
      <c r="I1811" t="s">
        <v>32</v>
      </c>
      <c r="J1811" t="s">
        <v>534</v>
      </c>
      <c r="K1811">
        <f t="shared" si="5695"/>
        <v>1</v>
      </c>
      <c r="L1811">
        <f t="shared" si="5696"/>
        <v>0</v>
      </c>
      <c r="M1811">
        <f t="shared" si="5697"/>
        <v>0</v>
      </c>
      <c r="N1811">
        <f t="shared" si="5698"/>
        <v>0</v>
      </c>
      <c r="O1811">
        <f t="shared" si="5699"/>
        <v>1</v>
      </c>
      <c r="P1811" t="str">
        <f t="shared" si="5700"/>
        <v>Large centralized electrolysis-Regulatory coverage</v>
      </c>
      <c r="Q1811" t="str">
        <f t="shared" si="5701"/>
        <v>Underground storage-Regulatory coverage</v>
      </c>
      <c r="R1811" t="str">
        <f t="shared" si="5702"/>
        <v>Blending in natural gas pipeline-Regulatory coverage</v>
      </c>
      <c r="S1811" t="str">
        <f t="shared" si="5703"/>
        <v>Hydrogen turbine (OC)-Regulatory coverage</v>
      </c>
      <c r="T1811">
        <f ca="1">VLOOKUP($P1811,'TA database'!$I$8:$J$79,2,FALSE)</f>
        <v>100</v>
      </c>
      <c r="U1811">
        <f ca="1">VLOOKUP($Q1811,'TA database'!$I$86:$J$105,2,FALSE)</f>
        <v>0</v>
      </c>
      <c r="V1811">
        <f ca="1">VLOOKUP($R1811,'TA database'!$I$112:$J$139,2,FALSE)</f>
        <v>100</v>
      </c>
      <c r="W1811">
        <f>IFERROR(VLOOKUP($S1811,'TA database'!$I$146:$J$193,2,FALSE),0)</f>
        <v>0</v>
      </c>
      <c r="X1811">
        <f ca="1">IFERROR(VLOOKUP($S1811,'TA database'!$I$200:$J$271,2,FALSE),0)</f>
        <v>50</v>
      </c>
      <c r="Y1811">
        <f t="shared" ca="1" si="5704"/>
        <v>62.5</v>
      </c>
      <c r="Z1811" t="str">
        <f t="shared" si="5705"/>
        <v>ELCTRLYZ_LRG_C   →   C_UNDRGRND_STRG   →   H2_BLND_NG_P   →   H2_OCGT_PWR</v>
      </c>
      <c r="AA1811" t="str">
        <f t="shared" si="5706"/>
        <v>Grid electricity</v>
      </c>
      <c r="AB1811" t="str">
        <f t="shared" si="5707"/>
        <v>Regulatory coverage</v>
      </c>
      <c r="AC1811">
        <f t="shared" ca="1" si="5708"/>
        <v>62.5</v>
      </c>
      <c r="AD1811">
        <v>1752</v>
      </c>
      <c r="AE1811" t="str">
        <f>IF(AND(ISNUMBER(SEARCH(O1811,4)),ISNUMBER(SEARCH('(4) FCH pathway assessment'!$B$16,AB1811)),ISNUMBER(SEARCH('(4) FCH pathway assessment'!$B$10,AA1811))),AD1811,"")</f>
        <v/>
      </c>
      <c r="AF1811" t="str">
        <f t="shared" si="5638"/>
        <v/>
      </c>
      <c r="AG1811" t="str">
        <f>VLOOKUP(C1811,Assumptions!$B$116:$C$162,2,FALSE)</f>
        <v>ELCTRLYZ_LRG_C</v>
      </c>
      <c r="AH1811" t="str">
        <f>VLOOKUP(D1811,Assumptions!$B$116:$C$162,2,FALSE)</f>
        <v>C_UNDRGRND_STRG</v>
      </c>
      <c r="AI1811" t="str">
        <f>VLOOKUP(E1811,Assumptions!$B$116:$C$162,2,FALSE)</f>
        <v>H2_BLND_NG_P</v>
      </c>
      <c r="AJ1811" t="str">
        <f>VLOOKUP(F1811,Assumptions!$B$116:$C$162,2,FALSE)</f>
        <v>H2_OCGT_PWR</v>
      </c>
    </row>
    <row r="1812" spans="2:36" x14ac:dyDescent="0.25">
      <c r="B1812" t="s">
        <v>112</v>
      </c>
      <c r="C1812" t="s">
        <v>49</v>
      </c>
      <c r="D1812" t="s">
        <v>62</v>
      </c>
      <c r="E1812" t="s">
        <v>122</v>
      </c>
      <c r="F1812" t="s">
        <v>162</v>
      </c>
      <c r="G1812" t="s">
        <v>114</v>
      </c>
      <c r="H1812" t="s">
        <v>433</v>
      </c>
      <c r="I1812" t="s">
        <v>32</v>
      </c>
      <c r="J1812" t="s">
        <v>534</v>
      </c>
      <c r="K1812">
        <f t="shared" si="5695"/>
        <v>1</v>
      </c>
      <c r="L1812">
        <f t="shared" si="5696"/>
        <v>0</v>
      </c>
      <c r="M1812">
        <f t="shared" si="5697"/>
        <v>1</v>
      </c>
      <c r="N1812">
        <f t="shared" si="5698"/>
        <v>0</v>
      </c>
      <c r="O1812">
        <f t="shared" si="5699"/>
        <v>2</v>
      </c>
      <c r="P1812" t="str">
        <f t="shared" si="5700"/>
        <v>Large centralized electrolysis-Regulatory coverage</v>
      </c>
      <c r="Q1812" t="str">
        <f t="shared" si="5701"/>
        <v>Underground storage-Regulatory coverage</v>
      </c>
      <c r="R1812" t="str">
        <f t="shared" si="5702"/>
        <v>Hydrogen transmission &amp; distribution pipeline-Regulatory coverage</v>
      </c>
      <c r="S1812" t="str">
        <f t="shared" si="5703"/>
        <v>Hydrogen turbine (OC)-Regulatory coverage</v>
      </c>
      <c r="T1812">
        <f ca="1">VLOOKUP($P1812,'TA database'!$I$8:$J$79,2,FALSE)</f>
        <v>100</v>
      </c>
      <c r="U1812">
        <f ca="1">VLOOKUP($Q1812,'TA database'!$I$86:$J$105,2,FALSE)</f>
        <v>0</v>
      </c>
      <c r="V1812">
        <f ca="1">VLOOKUP($R1812,'TA database'!$I$112:$J$139,2,FALSE)</f>
        <v>40</v>
      </c>
      <c r="W1812">
        <f>IFERROR(VLOOKUP($S1812,'TA database'!$I$146:$J$193,2,FALSE),0)</f>
        <v>0</v>
      </c>
      <c r="X1812">
        <f ca="1">IFERROR(VLOOKUP($S1812,'TA database'!$I$200:$J$271,2,FALSE),0)</f>
        <v>50</v>
      </c>
      <c r="Y1812">
        <f t="shared" ca="1" si="5704"/>
        <v>47.5</v>
      </c>
      <c r="Z1812" t="str">
        <f t="shared" si="5705"/>
        <v>ELCTRLYZ_LRG_C   →   C_UNDRGRND_STRG   →   H2_T&amp;D_P   →   H2_OCGT_PWR</v>
      </c>
      <c r="AA1812" t="str">
        <f t="shared" si="5706"/>
        <v>Grid electricity</v>
      </c>
      <c r="AB1812" t="str">
        <f t="shared" si="5707"/>
        <v>Regulatory coverage</v>
      </c>
      <c r="AC1812">
        <f t="shared" ca="1" si="5708"/>
        <v>47.5</v>
      </c>
      <c r="AD1812">
        <v>1753</v>
      </c>
      <c r="AE1812" t="str">
        <f>IF(AND(ISNUMBER(SEARCH(O1812,4)),ISNUMBER(SEARCH('(4) FCH pathway assessment'!$B$16,AB1812)),ISNUMBER(SEARCH('(4) FCH pathway assessment'!$B$10,AA1812))),AD1812,"")</f>
        <v/>
      </c>
      <c r="AF1812" t="str">
        <f t="shared" si="5638"/>
        <v/>
      </c>
      <c r="AG1812" t="str">
        <f>VLOOKUP(C1812,Assumptions!$B$116:$C$162,2,FALSE)</f>
        <v>ELCTRLYZ_LRG_C</v>
      </c>
      <c r="AH1812" t="str">
        <f>VLOOKUP(D1812,Assumptions!$B$116:$C$162,2,FALSE)</f>
        <v>C_UNDRGRND_STRG</v>
      </c>
      <c r="AI1812" t="str">
        <f>VLOOKUP(E1812,Assumptions!$B$116:$C$162,2,FALSE)</f>
        <v>H2_T&amp;D_P</v>
      </c>
      <c r="AJ1812" t="str">
        <f>VLOOKUP(F1812,Assumptions!$B$116:$C$162,2,FALSE)</f>
        <v>H2_OCGT_PWR</v>
      </c>
    </row>
    <row r="1813" spans="2:36" x14ac:dyDescent="0.25">
      <c r="B1813" t="s">
        <v>112</v>
      </c>
      <c r="C1813" t="s">
        <v>49</v>
      </c>
      <c r="D1813" t="s">
        <v>62</v>
      </c>
      <c r="E1813" t="s">
        <v>116</v>
      </c>
      <c r="F1813" t="s">
        <v>162</v>
      </c>
      <c r="G1813" t="s">
        <v>114</v>
      </c>
      <c r="H1813" t="s">
        <v>433</v>
      </c>
      <c r="I1813" t="s">
        <v>32</v>
      </c>
      <c r="J1813" t="s">
        <v>534</v>
      </c>
      <c r="K1813">
        <f t="shared" si="5695"/>
        <v>1</v>
      </c>
      <c r="L1813">
        <f t="shared" si="5696"/>
        <v>0</v>
      </c>
      <c r="M1813">
        <f t="shared" si="5697"/>
        <v>1</v>
      </c>
      <c r="N1813">
        <f t="shared" si="5698"/>
        <v>0</v>
      </c>
      <c r="O1813">
        <f t="shared" si="5699"/>
        <v>2</v>
      </c>
      <c r="P1813" t="str">
        <f t="shared" si="5700"/>
        <v>Large centralized electrolysis-Regulatory coverage</v>
      </c>
      <c r="Q1813" t="str">
        <f t="shared" si="5701"/>
        <v>Underground storage-Regulatory coverage</v>
      </c>
      <c r="R1813" t="str">
        <f t="shared" si="5702"/>
        <v>Liquid hydrogen truck-Regulatory coverage</v>
      </c>
      <c r="S1813" t="str">
        <f t="shared" si="5703"/>
        <v>Hydrogen turbine (OC)-Regulatory coverage</v>
      </c>
      <c r="T1813">
        <f ca="1">VLOOKUP($P1813,'TA database'!$I$8:$J$79,2,FALSE)</f>
        <v>100</v>
      </c>
      <c r="U1813">
        <f ca="1">VLOOKUP($Q1813,'TA database'!$I$86:$J$105,2,FALSE)</f>
        <v>0</v>
      </c>
      <c r="V1813">
        <f ca="1">VLOOKUP($R1813,'TA database'!$I$112:$J$139,2,FALSE)</f>
        <v>40</v>
      </c>
      <c r="W1813">
        <f>IFERROR(VLOOKUP($S1813,'TA database'!$I$146:$J$193,2,FALSE),0)</f>
        <v>0</v>
      </c>
      <c r="X1813">
        <f ca="1">IFERROR(VLOOKUP($S1813,'TA database'!$I$200:$J$271,2,FALSE),0)</f>
        <v>50</v>
      </c>
      <c r="Y1813">
        <f t="shared" ca="1" si="5704"/>
        <v>47.5</v>
      </c>
      <c r="Z1813" t="str">
        <f t="shared" si="5705"/>
        <v>ELCTRLYZ_LRG_C   →   C_UNDRGRND_STRG   →   LQ_TRUCK   →   H2_OCGT_PWR</v>
      </c>
      <c r="AA1813" t="str">
        <f t="shared" si="5706"/>
        <v>Grid electricity</v>
      </c>
      <c r="AB1813" t="str">
        <f t="shared" si="5707"/>
        <v>Regulatory coverage</v>
      </c>
      <c r="AC1813">
        <f t="shared" ca="1" si="5708"/>
        <v>47.5</v>
      </c>
      <c r="AD1813">
        <v>1754</v>
      </c>
      <c r="AE1813" t="str">
        <f>IF(AND(ISNUMBER(SEARCH(O1813,4)),ISNUMBER(SEARCH('(4) FCH pathway assessment'!$B$16,AB1813)),ISNUMBER(SEARCH('(4) FCH pathway assessment'!$B$10,AA1813))),AD1813,"")</f>
        <v/>
      </c>
      <c r="AF1813" t="str">
        <f t="shared" si="5638"/>
        <v/>
      </c>
      <c r="AG1813" t="str">
        <f>VLOOKUP(C1813,Assumptions!$B$116:$C$162,2,FALSE)</f>
        <v>ELCTRLYZ_LRG_C</v>
      </c>
      <c r="AH1813" t="str">
        <f>VLOOKUP(D1813,Assumptions!$B$116:$C$162,2,FALSE)</f>
        <v>C_UNDRGRND_STRG</v>
      </c>
      <c r="AI1813" t="str">
        <f>VLOOKUP(E1813,Assumptions!$B$116:$C$162,2,FALSE)</f>
        <v>LQ_TRUCK</v>
      </c>
      <c r="AJ1813" t="str">
        <f>VLOOKUP(F1813,Assumptions!$B$116:$C$162,2,FALSE)</f>
        <v>H2_OCGT_PWR</v>
      </c>
    </row>
    <row r="1814" spans="2:36" x14ac:dyDescent="0.25">
      <c r="B1814" t="s">
        <v>112</v>
      </c>
      <c r="C1814" t="s">
        <v>49</v>
      </c>
      <c r="D1814" t="s">
        <v>62</v>
      </c>
      <c r="E1814" t="s">
        <v>66</v>
      </c>
      <c r="F1814" t="s">
        <v>162</v>
      </c>
      <c r="G1814" t="s">
        <v>114</v>
      </c>
      <c r="H1814" t="s">
        <v>433</v>
      </c>
      <c r="I1814" t="s">
        <v>32</v>
      </c>
      <c r="J1814" t="s">
        <v>534</v>
      </c>
      <c r="K1814">
        <f t="shared" si="5695"/>
        <v>1</v>
      </c>
      <c r="L1814">
        <f t="shared" si="5696"/>
        <v>0</v>
      </c>
      <c r="M1814">
        <f t="shared" si="5697"/>
        <v>1</v>
      </c>
      <c r="N1814">
        <f t="shared" si="5698"/>
        <v>0</v>
      </c>
      <c r="O1814">
        <f t="shared" si="5699"/>
        <v>2</v>
      </c>
      <c r="P1814" t="str">
        <f t="shared" si="5700"/>
        <v>Large centralized electrolysis-Regulatory coverage</v>
      </c>
      <c r="Q1814" t="str">
        <f t="shared" si="5701"/>
        <v>Underground storage-Regulatory coverage</v>
      </c>
      <c r="R1814" t="str">
        <f t="shared" si="5702"/>
        <v>Onsite-Regulatory coverage</v>
      </c>
      <c r="S1814" t="str">
        <f t="shared" si="5703"/>
        <v>Hydrogen turbine (OC)-Regulatory coverage</v>
      </c>
      <c r="T1814">
        <f ca="1">VLOOKUP($P1814,'TA database'!$I$8:$J$79,2,FALSE)</f>
        <v>100</v>
      </c>
      <c r="U1814">
        <f ca="1">VLOOKUP($Q1814,'TA database'!$I$86:$J$105,2,FALSE)</f>
        <v>0</v>
      </c>
      <c r="V1814">
        <f ca="1">VLOOKUP($R1814,'TA database'!$I$112:$J$139,2,FALSE)</f>
        <v>100</v>
      </c>
      <c r="W1814">
        <f>IFERROR(VLOOKUP($S1814,'TA database'!$I$146:$J$193,2,FALSE),0)</f>
        <v>0</v>
      </c>
      <c r="X1814">
        <f ca="1">IFERROR(VLOOKUP($S1814,'TA database'!$I$200:$J$271,2,FALSE),0)</f>
        <v>50</v>
      </c>
      <c r="Y1814">
        <f t="shared" ca="1" si="5704"/>
        <v>62.5</v>
      </c>
      <c r="Z1814" t="str">
        <f t="shared" si="5705"/>
        <v>ELCTRLYZ_LRG_C   →   C_UNDRGRND_STRG   →   ONSITE_USE   →   H2_OCGT_PWR</v>
      </c>
      <c r="AA1814" t="str">
        <f t="shared" si="5706"/>
        <v>Grid electricity</v>
      </c>
      <c r="AB1814" t="str">
        <f t="shared" si="5707"/>
        <v>Regulatory coverage</v>
      </c>
      <c r="AC1814">
        <f t="shared" ca="1" si="5708"/>
        <v>62.5</v>
      </c>
      <c r="AD1814">
        <v>1755</v>
      </c>
      <c r="AE1814" t="str">
        <f>IF(AND(ISNUMBER(SEARCH(O1814,4)),ISNUMBER(SEARCH('(4) FCH pathway assessment'!$B$16,AB1814)),ISNUMBER(SEARCH('(4) FCH pathway assessment'!$B$10,AA1814))),AD1814,"")</f>
        <v/>
      </c>
      <c r="AF1814" t="str">
        <f t="shared" si="5638"/>
        <v/>
      </c>
      <c r="AG1814" t="str">
        <f>VLOOKUP(C1814,Assumptions!$B$116:$C$162,2,FALSE)</f>
        <v>ELCTRLYZ_LRG_C</v>
      </c>
      <c r="AH1814" t="str">
        <f>VLOOKUP(D1814,Assumptions!$B$116:$C$162,2,FALSE)</f>
        <v>C_UNDRGRND_STRG</v>
      </c>
      <c r="AI1814" t="str">
        <f>VLOOKUP(E1814,Assumptions!$B$116:$C$162,2,FALSE)</f>
        <v>ONSITE_USE</v>
      </c>
      <c r="AJ1814" t="str">
        <f>VLOOKUP(F1814,Assumptions!$B$116:$C$162,2,FALSE)</f>
        <v>H2_OCGT_PWR</v>
      </c>
    </row>
    <row r="1815" spans="2:36" x14ac:dyDescent="0.25">
      <c r="B1815" t="s">
        <v>112</v>
      </c>
      <c r="C1815" t="s">
        <v>49</v>
      </c>
      <c r="D1815" t="s">
        <v>155</v>
      </c>
      <c r="E1815" t="s">
        <v>157</v>
      </c>
      <c r="F1815" t="s">
        <v>162</v>
      </c>
      <c r="G1815" t="s">
        <v>114</v>
      </c>
      <c r="H1815" t="s">
        <v>433</v>
      </c>
      <c r="I1815" t="s">
        <v>32</v>
      </c>
      <c r="J1815" t="s">
        <v>534</v>
      </c>
      <c r="K1815">
        <f t="shared" si="5695"/>
        <v>1</v>
      </c>
      <c r="L1815">
        <f t="shared" si="5696"/>
        <v>1</v>
      </c>
      <c r="M1815">
        <f t="shared" si="5697"/>
        <v>0</v>
      </c>
      <c r="N1815">
        <f t="shared" si="5698"/>
        <v>0</v>
      </c>
      <c r="O1815">
        <f t="shared" si="5699"/>
        <v>2</v>
      </c>
      <c r="P1815" t="str">
        <f t="shared" si="5700"/>
        <v>Large centralized electrolysis-Regulatory coverage</v>
      </c>
      <c r="Q1815" t="str">
        <f t="shared" si="5701"/>
        <v>Central gas storage-Regulatory coverage</v>
      </c>
      <c r="R1815" t="str">
        <f t="shared" si="5702"/>
        <v>Blending in natural gas pipeline-Regulatory coverage</v>
      </c>
      <c r="S1815" t="str">
        <f t="shared" si="5703"/>
        <v>Hydrogen turbine (OC)-Regulatory coverage</v>
      </c>
      <c r="T1815">
        <f ca="1">VLOOKUP($P1815,'TA database'!$I$8:$J$79,2,FALSE)</f>
        <v>100</v>
      </c>
      <c r="U1815">
        <f ca="1">VLOOKUP($Q1815,'TA database'!$I$86:$J$105,2,FALSE)</f>
        <v>80</v>
      </c>
      <c r="V1815">
        <f ca="1">VLOOKUP($R1815,'TA database'!$I$112:$J$139,2,FALSE)</f>
        <v>100</v>
      </c>
      <c r="W1815">
        <f>IFERROR(VLOOKUP($S1815,'TA database'!$I$146:$J$193,2,FALSE),0)</f>
        <v>0</v>
      </c>
      <c r="X1815">
        <f ca="1">IFERROR(VLOOKUP($S1815,'TA database'!$I$200:$J$271,2,FALSE),0)</f>
        <v>50</v>
      </c>
      <c r="Y1815">
        <f t="shared" ca="1" si="5704"/>
        <v>82.5</v>
      </c>
      <c r="Z1815" t="str">
        <f t="shared" si="5705"/>
        <v>ELCTRLYZ_LRG_C   →   C_GAS_STRG   →   H2_BLND_NG_P   →   H2_OCGT_PWR</v>
      </c>
      <c r="AA1815" t="str">
        <f t="shared" si="5706"/>
        <v>Grid electricity</v>
      </c>
      <c r="AB1815" t="str">
        <f t="shared" si="5707"/>
        <v>Regulatory coverage</v>
      </c>
      <c r="AC1815">
        <f t="shared" ca="1" si="5708"/>
        <v>82.5</v>
      </c>
      <c r="AD1815">
        <v>1756</v>
      </c>
      <c r="AE1815" t="str">
        <f>IF(AND(ISNUMBER(SEARCH(O1815,4)),ISNUMBER(SEARCH('(4) FCH pathway assessment'!$B$16,AB1815)),ISNUMBER(SEARCH('(4) FCH pathway assessment'!$B$10,AA1815))),AD1815,"")</f>
        <v/>
      </c>
      <c r="AF1815" t="str">
        <f t="shared" si="5638"/>
        <v/>
      </c>
      <c r="AG1815" t="str">
        <f>VLOOKUP(C1815,Assumptions!$B$116:$C$162,2,FALSE)</f>
        <v>ELCTRLYZ_LRG_C</v>
      </c>
      <c r="AH1815" t="str">
        <f>VLOOKUP(D1815,Assumptions!$B$116:$C$162,2,FALSE)</f>
        <v>C_GAS_STRG</v>
      </c>
      <c r="AI1815" t="str">
        <f>VLOOKUP(E1815,Assumptions!$B$116:$C$162,2,FALSE)</f>
        <v>H2_BLND_NG_P</v>
      </c>
      <c r="AJ1815" t="str">
        <f>VLOOKUP(F1815,Assumptions!$B$116:$C$162,2,FALSE)</f>
        <v>H2_OCGT_PWR</v>
      </c>
    </row>
    <row r="1816" spans="2:36" x14ac:dyDescent="0.25">
      <c r="B1816" t="s">
        <v>112</v>
      </c>
      <c r="C1816" t="s">
        <v>49</v>
      </c>
      <c r="D1816" t="s">
        <v>155</v>
      </c>
      <c r="E1816" t="s">
        <v>122</v>
      </c>
      <c r="F1816" t="s">
        <v>162</v>
      </c>
      <c r="G1816" t="s">
        <v>114</v>
      </c>
      <c r="H1816" t="s">
        <v>433</v>
      </c>
      <c r="I1816" t="s">
        <v>32</v>
      </c>
      <c r="J1816" t="s">
        <v>534</v>
      </c>
      <c r="K1816">
        <f t="shared" si="5695"/>
        <v>1</v>
      </c>
      <c r="L1816">
        <f t="shared" si="5696"/>
        <v>1</v>
      </c>
      <c r="M1816">
        <f t="shared" si="5697"/>
        <v>1</v>
      </c>
      <c r="N1816">
        <f t="shared" si="5698"/>
        <v>0</v>
      </c>
      <c r="O1816">
        <f t="shared" si="5699"/>
        <v>3</v>
      </c>
      <c r="P1816" t="str">
        <f t="shared" si="5700"/>
        <v>Large centralized electrolysis-Regulatory coverage</v>
      </c>
      <c r="Q1816" t="str">
        <f t="shared" si="5701"/>
        <v>Central gas storage-Regulatory coverage</v>
      </c>
      <c r="R1816" t="str">
        <f t="shared" si="5702"/>
        <v>Hydrogen transmission &amp; distribution pipeline-Regulatory coverage</v>
      </c>
      <c r="S1816" t="str">
        <f t="shared" si="5703"/>
        <v>Hydrogen turbine (OC)-Regulatory coverage</v>
      </c>
      <c r="T1816">
        <f ca="1">VLOOKUP($P1816,'TA database'!$I$8:$J$79,2,FALSE)</f>
        <v>100</v>
      </c>
      <c r="U1816">
        <f ca="1">VLOOKUP($Q1816,'TA database'!$I$86:$J$105,2,FALSE)</f>
        <v>80</v>
      </c>
      <c r="V1816">
        <f ca="1">VLOOKUP($R1816,'TA database'!$I$112:$J$139,2,FALSE)</f>
        <v>40</v>
      </c>
      <c r="W1816">
        <f>IFERROR(VLOOKUP($S1816,'TA database'!$I$146:$J$193,2,FALSE),0)</f>
        <v>0</v>
      </c>
      <c r="X1816">
        <f ca="1">IFERROR(VLOOKUP($S1816,'TA database'!$I$200:$J$271,2,FALSE),0)</f>
        <v>50</v>
      </c>
      <c r="Y1816">
        <f t="shared" ca="1" si="5704"/>
        <v>67.5</v>
      </c>
      <c r="Z1816" t="str">
        <f t="shared" si="5705"/>
        <v>ELCTRLYZ_LRG_C   →   C_GAS_STRG   →   H2_T&amp;D_P   →   H2_OCGT_PWR</v>
      </c>
      <c r="AA1816" t="str">
        <f t="shared" si="5706"/>
        <v>Grid electricity</v>
      </c>
      <c r="AB1816" t="str">
        <f t="shared" si="5707"/>
        <v>Regulatory coverage</v>
      </c>
      <c r="AC1816">
        <f t="shared" ca="1" si="5708"/>
        <v>67.5</v>
      </c>
      <c r="AD1816">
        <v>1757</v>
      </c>
      <c r="AE1816" t="str">
        <f>IF(AND(ISNUMBER(SEARCH(O1816,4)),ISNUMBER(SEARCH('(4) FCH pathway assessment'!$B$16,AB1816)),ISNUMBER(SEARCH('(4) FCH pathway assessment'!$B$10,AA1816))),AD1816,"")</f>
        <v/>
      </c>
      <c r="AF1816" t="str">
        <f t="shared" si="5638"/>
        <v/>
      </c>
      <c r="AG1816" t="str">
        <f>VLOOKUP(C1816,Assumptions!$B$116:$C$162,2,FALSE)</f>
        <v>ELCTRLYZ_LRG_C</v>
      </c>
      <c r="AH1816" t="str">
        <f>VLOOKUP(D1816,Assumptions!$B$116:$C$162,2,FALSE)</f>
        <v>C_GAS_STRG</v>
      </c>
      <c r="AI1816" t="str">
        <f>VLOOKUP(E1816,Assumptions!$B$116:$C$162,2,FALSE)</f>
        <v>H2_T&amp;D_P</v>
      </c>
      <c r="AJ1816" t="str">
        <f>VLOOKUP(F1816,Assumptions!$B$116:$C$162,2,FALSE)</f>
        <v>H2_OCGT_PWR</v>
      </c>
    </row>
    <row r="1817" spans="2:36" x14ac:dyDescent="0.25">
      <c r="B1817" t="s">
        <v>112</v>
      </c>
      <c r="C1817" t="s">
        <v>49</v>
      </c>
      <c r="D1817" t="s">
        <v>155</v>
      </c>
      <c r="E1817" t="s">
        <v>116</v>
      </c>
      <c r="F1817" t="s">
        <v>162</v>
      </c>
      <c r="G1817" t="s">
        <v>114</v>
      </c>
      <c r="H1817" t="s">
        <v>433</v>
      </c>
      <c r="I1817" t="s">
        <v>32</v>
      </c>
      <c r="J1817" t="s">
        <v>534</v>
      </c>
      <c r="K1817">
        <f t="shared" si="5695"/>
        <v>1</v>
      </c>
      <c r="L1817">
        <f t="shared" si="5696"/>
        <v>1</v>
      </c>
      <c r="M1817">
        <f t="shared" si="5697"/>
        <v>1</v>
      </c>
      <c r="N1817">
        <f t="shared" si="5698"/>
        <v>0</v>
      </c>
      <c r="O1817">
        <f t="shared" si="5699"/>
        <v>3</v>
      </c>
      <c r="P1817" t="str">
        <f t="shared" si="5700"/>
        <v>Large centralized electrolysis-Regulatory coverage</v>
      </c>
      <c r="Q1817" t="str">
        <f t="shared" si="5701"/>
        <v>Central gas storage-Regulatory coverage</v>
      </c>
      <c r="R1817" t="str">
        <f t="shared" si="5702"/>
        <v>Liquid hydrogen truck-Regulatory coverage</v>
      </c>
      <c r="S1817" t="str">
        <f t="shared" si="5703"/>
        <v>Hydrogen turbine (OC)-Regulatory coverage</v>
      </c>
      <c r="T1817">
        <f ca="1">VLOOKUP($P1817,'TA database'!$I$8:$J$79,2,FALSE)</f>
        <v>100</v>
      </c>
      <c r="U1817">
        <f ca="1">VLOOKUP($Q1817,'TA database'!$I$86:$J$105,2,FALSE)</f>
        <v>80</v>
      </c>
      <c r="V1817">
        <f ca="1">VLOOKUP($R1817,'TA database'!$I$112:$J$139,2,FALSE)</f>
        <v>40</v>
      </c>
      <c r="W1817">
        <f>IFERROR(VLOOKUP($S1817,'TA database'!$I$146:$J$193,2,FALSE),0)</f>
        <v>0</v>
      </c>
      <c r="X1817">
        <f ca="1">IFERROR(VLOOKUP($S1817,'TA database'!$I$200:$J$271,2,FALSE),0)</f>
        <v>50</v>
      </c>
      <c r="Y1817">
        <f t="shared" ca="1" si="5704"/>
        <v>67.5</v>
      </c>
      <c r="Z1817" t="str">
        <f t="shared" si="5705"/>
        <v>ELCTRLYZ_LRG_C   →   C_GAS_STRG   →   LQ_TRUCK   →   H2_OCGT_PWR</v>
      </c>
      <c r="AA1817" t="str">
        <f t="shared" si="5706"/>
        <v>Grid electricity</v>
      </c>
      <c r="AB1817" t="str">
        <f t="shared" si="5707"/>
        <v>Regulatory coverage</v>
      </c>
      <c r="AC1817">
        <f t="shared" ca="1" si="5708"/>
        <v>67.5</v>
      </c>
      <c r="AD1817">
        <v>1758</v>
      </c>
      <c r="AE1817" t="str">
        <f>IF(AND(ISNUMBER(SEARCH(O1817,4)),ISNUMBER(SEARCH('(4) FCH pathway assessment'!$B$16,AB1817)),ISNUMBER(SEARCH('(4) FCH pathway assessment'!$B$10,AA1817))),AD1817,"")</f>
        <v/>
      </c>
      <c r="AF1817" t="str">
        <f t="shared" si="5638"/>
        <v/>
      </c>
      <c r="AG1817" t="str">
        <f>VLOOKUP(C1817,Assumptions!$B$116:$C$162,2,FALSE)</f>
        <v>ELCTRLYZ_LRG_C</v>
      </c>
      <c r="AH1817" t="str">
        <f>VLOOKUP(D1817,Assumptions!$B$116:$C$162,2,FALSE)</f>
        <v>C_GAS_STRG</v>
      </c>
      <c r="AI1817" t="str">
        <f>VLOOKUP(E1817,Assumptions!$B$116:$C$162,2,FALSE)</f>
        <v>LQ_TRUCK</v>
      </c>
      <c r="AJ1817" t="str">
        <f>VLOOKUP(F1817,Assumptions!$B$116:$C$162,2,FALSE)</f>
        <v>H2_OCGT_PWR</v>
      </c>
    </row>
    <row r="1818" spans="2:36" x14ac:dyDescent="0.25">
      <c r="B1818" t="s">
        <v>112</v>
      </c>
      <c r="C1818" t="s">
        <v>49</v>
      </c>
      <c r="D1818" t="s">
        <v>155</v>
      </c>
      <c r="E1818" t="s">
        <v>66</v>
      </c>
      <c r="F1818" t="s">
        <v>162</v>
      </c>
      <c r="G1818" t="s">
        <v>114</v>
      </c>
      <c r="H1818" t="s">
        <v>433</v>
      </c>
      <c r="I1818" t="s">
        <v>32</v>
      </c>
      <c r="J1818" t="s">
        <v>534</v>
      </c>
      <c r="K1818">
        <f t="shared" si="5695"/>
        <v>1</v>
      </c>
      <c r="L1818">
        <f t="shared" si="5696"/>
        <v>1</v>
      </c>
      <c r="M1818">
        <f t="shared" si="5697"/>
        <v>1</v>
      </c>
      <c r="N1818">
        <f t="shared" si="5698"/>
        <v>0</v>
      </c>
      <c r="O1818">
        <f t="shared" si="5699"/>
        <v>3</v>
      </c>
      <c r="P1818" t="str">
        <f t="shared" si="5700"/>
        <v>Large centralized electrolysis-Regulatory coverage</v>
      </c>
      <c r="Q1818" t="str">
        <f t="shared" si="5701"/>
        <v>Central gas storage-Regulatory coverage</v>
      </c>
      <c r="R1818" t="str">
        <f t="shared" si="5702"/>
        <v>Onsite-Regulatory coverage</v>
      </c>
      <c r="S1818" t="str">
        <f t="shared" si="5703"/>
        <v>Hydrogen turbine (OC)-Regulatory coverage</v>
      </c>
      <c r="T1818">
        <f ca="1">VLOOKUP($P1818,'TA database'!$I$8:$J$79,2,FALSE)</f>
        <v>100</v>
      </c>
      <c r="U1818">
        <f ca="1">VLOOKUP($Q1818,'TA database'!$I$86:$J$105,2,FALSE)</f>
        <v>80</v>
      </c>
      <c r="V1818">
        <f ca="1">VLOOKUP($R1818,'TA database'!$I$112:$J$139,2,FALSE)</f>
        <v>100</v>
      </c>
      <c r="W1818">
        <f>IFERROR(VLOOKUP($S1818,'TA database'!$I$146:$J$193,2,FALSE),0)</f>
        <v>0</v>
      </c>
      <c r="X1818">
        <f ca="1">IFERROR(VLOOKUP($S1818,'TA database'!$I$200:$J$271,2,FALSE),0)</f>
        <v>50</v>
      </c>
      <c r="Y1818">
        <f t="shared" ca="1" si="5704"/>
        <v>82.5</v>
      </c>
      <c r="Z1818" t="str">
        <f t="shared" si="5705"/>
        <v>ELCTRLYZ_LRG_C   →   C_GAS_STRG   →   ONSITE_USE   →   H2_OCGT_PWR</v>
      </c>
      <c r="AA1818" t="str">
        <f t="shared" si="5706"/>
        <v>Grid electricity</v>
      </c>
      <c r="AB1818" t="str">
        <f t="shared" si="5707"/>
        <v>Regulatory coverage</v>
      </c>
      <c r="AC1818">
        <f t="shared" ca="1" si="5708"/>
        <v>82.5</v>
      </c>
      <c r="AD1818">
        <v>1759</v>
      </c>
      <c r="AE1818" t="str">
        <f>IF(AND(ISNUMBER(SEARCH(O1818,4)),ISNUMBER(SEARCH('(4) FCH pathway assessment'!$B$16,AB1818)),ISNUMBER(SEARCH('(4) FCH pathway assessment'!$B$10,AA1818))),AD1818,"")</f>
        <v/>
      </c>
      <c r="AF1818" t="str">
        <f t="shared" si="5638"/>
        <v/>
      </c>
      <c r="AG1818" t="str">
        <f>VLOOKUP(C1818,Assumptions!$B$116:$C$162,2,FALSE)</f>
        <v>ELCTRLYZ_LRG_C</v>
      </c>
      <c r="AH1818" t="str">
        <f>VLOOKUP(D1818,Assumptions!$B$116:$C$162,2,FALSE)</f>
        <v>C_GAS_STRG</v>
      </c>
      <c r="AI1818" t="str">
        <f>VLOOKUP(E1818,Assumptions!$B$116:$C$162,2,FALSE)</f>
        <v>ONSITE_USE</v>
      </c>
      <c r="AJ1818" t="str">
        <f>VLOOKUP(F1818,Assumptions!$B$116:$C$162,2,FALSE)</f>
        <v>H2_OCGT_PWR</v>
      </c>
    </row>
    <row r="1819" spans="2:36" x14ac:dyDescent="0.25">
      <c r="B1819" t="s">
        <v>112</v>
      </c>
      <c r="C1819" t="s">
        <v>51</v>
      </c>
      <c r="D1819" t="s">
        <v>155</v>
      </c>
      <c r="E1819" t="s">
        <v>157</v>
      </c>
      <c r="F1819" t="s">
        <v>162</v>
      </c>
      <c r="G1819" t="s">
        <v>114</v>
      </c>
      <c r="H1819" t="s">
        <v>433</v>
      </c>
      <c r="I1819" t="s">
        <v>32</v>
      </c>
      <c r="J1819" t="s">
        <v>534</v>
      </c>
      <c r="K1819">
        <f t="shared" si="5695"/>
        <v>1</v>
      </c>
      <c r="L1819">
        <f t="shared" si="5696"/>
        <v>1</v>
      </c>
      <c r="M1819">
        <f t="shared" si="5697"/>
        <v>0</v>
      </c>
      <c r="N1819">
        <f t="shared" si="5698"/>
        <v>0</v>
      </c>
      <c r="O1819">
        <f t="shared" si="5699"/>
        <v>2</v>
      </c>
      <c r="P1819" t="str">
        <f t="shared" si="5700"/>
        <v>Medium centralized electrolysis-Regulatory coverage</v>
      </c>
      <c r="Q1819" t="str">
        <f t="shared" si="5701"/>
        <v>Central gas storage-Regulatory coverage</v>
      </c>
      <c r="R1819" t="str">
        <f t="shared" si="5702"/>
        <v>Blending in natural gas pipeline-Regulatory coverage</v>
      </c>
      <c r="S1819" t="str">
        <f t="shared" si="5703"/>
        <v>Hydrogen turbine (OC)-Regulatory coverage</v>
      </c>
      <c r="T1819">
        <f ca="1">VLOOKUP($P1819,'TA database'!$I$8:$J$79,2,FALSE)</f>
        <v>100</v>
      </c>
      <c r="U1819">
        <f ca="1">VLOOKUP($Q1819,'TA database'!$I$86:$J$105,2,FALSE)</f>
        <v>80</v>
      </c>
      <c r="V1819">
        <f ca="1">VLOOKUP($R1819,'TA database'!$I$112:$J$139,2,FALSE)</f>
        <v>100</v>
      </c>
      <c r="W1819">
        <f>IFERROR(VLOOKUP($S1819,'TA database'!$I$146:$J$193,2,FALSE),0)</f>
        <v>0</v>
      </c>
      <c r="X1819">
        <f ca="1">IFERROR(VLOOKUP($S1819,'TA database'!$I$200:$J$271,2,FALSE),0)</f>
        <v>50</v>
      </c>
      <c r="Y1819">
        <f t="shared" ref="Y1819:Y1823" ca="1" si="5709">IF($W1819=0,SUM($T1819:$V1819,$X1819)/4,SUM($T1819:$W1819)/4)</f>
        <v>82.5</v>
      </c>
      <c r="Z1819" t="str">
        <f t="shared" si="5705"/>
        <v>ELCTRLYZ_MED_C   →   C_GAS_STRG   →   H2_BLND_NG_P   →   H2_OCGT_PWR</v>
      </c>
      <c r="AA1819" t="str">
        <f t="shared" si="5706"/>
        <v>Grid electricity</v>
      </c>
      <c r="AB1819" t="str">
        <f t="shared" si="5707"/>
        <v>Regulatory coverage</v>
      </c>
      <c r="AC1819">
        <f t="shared" ca="1" si="5708"/>
        <v>82.5</v>
      </c>
      <c r="AD1819">
        <v>1760</v>
      </c>
      <c r="AE1819" t="str">
        <f>IF(AND(ISNUMBER(SEARCH(O1819,4)),ISNUMBER(SEARCH('(4) FCH pathway assessment'!$B$16,AB1819)),ISNUMBER(SEARCH('(4) FCH pathway assessment'!$B$10,AA1819))),AD1819,"")</f>
        <v/>
      </c>
      <c r="AF1819" t="str">
        <f t="shared" si="5638"/>
        <v/>
      </c>
      <c r="AG1819" t="str">
        <f>VLOOKUP(C1819,Assumptions!$B$116:$C$162,2,FALSE)</f>
        <v>ELCTRLYZ_MED_C</v>
      </c>
      <c r="AH1819" t="str">
        <f>VLOOKUP(D1819,Assumptions!$B$116:$C$162,2,FALSE)</f>
        <v>C_GAS_STRG</v>
      </c>
      <c r="AI1819" t="str">
        <f>VLOOKUP(E1819,Assumptions!$B$116:$C$162,2,FALSE)</f>
        <v>H2_BLND_NG_P</v>
      </c>
      <c r="AJ1819" t="str">
        <f>VLOOKUP(F1819,Assumptions!$B$116:$C$162,2,FALSE)</f>
        <v>H2_OCGT_PWR</v>
      </c>
    </row>
    <row r="1820" spans="2:36" x14ac:dyDescent="0.25">
      <c r="B1820" t="s">
        <v>112</v>
      </c>
      <c r="C1820" t="s">
        <v>51</v>
      </c>
      <c r="D1820" t="s">
        <v>155</v>
      </c>
      <c r="E1820" t="s">
        <v>122</v>
      </c>
      <c r="F1820" t="s">
        <v>162</v>
      </c>
      <c r="G1820" t="s">
        <v>114</v>
      </c>
      <c r="H1820" t="s">
        <v>433</v>
      </c>
      <c r="I1820" t="s">
        <v>32</v>
      </c>
      <c r="J1820" t="s">
        <v>534</v>
      </c>
      <c r="K1820">
        <f t="shared" si="5695"/>
        <v>1</v>
      </c>
      <c r="L1820">
        <f t="shared" si="5696"/>
        <v>1</v>
      </c>
      <c r="M1820">
        <f t="shared" si="5697"/>
        <v>1</v>
      </c>
      <c r="N1820">
        <f t="shared" si="5698"/>
        <v>0</v>
      </c>
      <c r="O1820">
        <f t="shared" ref="O1820:O1825" si="5710">K1820+L1820+M1820+N1820</f>
        <v>3</v>
      </c>
      <c r="P1820" t="str">
        <f t="shared" si="5700"/>
        <v>Medium centralized electrolysis-Regulatory coverage</v>
      </c>
      <c r="Q1820" t="str">
        <f t="shared" si="5701"/>
        <v>Central gas storage-Regulatory coverage</v>
      </c>
      <c r="R1820" t="str">
        <f t="shared" si="5702"/>
        <v>Hydrogen transmission &amp; distribution pipeline-Regulatory coverage</v>
      </c>
      <c r="S1820" t="str">
        <f t="shared" si="5703"/>
        <v>Hydrogen turbine (OC)-Regulatory coverage</v>
      </c>
      <c r="T1820">
        <f ca="1">VLOOKUP($P1820,'TA database'!$I$8:$J$79,2,FALSE)</f>
        <v>100</v>
      </c>
      <c r="U1820">
        <f ca="1">VLOOKUP($Q1820,'TA database'!$I$86:$J$105,2,FALSE)</f>
        <v>80</v>
      </c>
      <c r="V1820">
        <f ca="1">VLOOKUP($R1820,'TA database'!$I$112:$J$139,2,FALSE)</f>
        <v>40</v>
      </c>
      <c r="W1820">
        <f>IFERROR(VLOOKUP($S1820,'TA database'!$I$146:$J$193,2,FALSE),0)</f>
        <v>0</v>
      </c>
      <c r="X1820">
        <f ca="1">IFERROR(VLOOKUP($S1820,'TA database'!$I$200:$J$271,2,FALSE),0)</f>
        <v>50</v>
      </c>
      <c r="Y1820">
        <f t="shared" ca="1" si="5709"/>
        <v>67.5</v>
      </c>
      <c r="Z1820" t="str">
        <f t="shared" ref="Z1820:Z1825" si="5711">CONCATENATE(AG1820,"   →   ",AH1820,"   →   ",AI1820,"   →   ",AJ1820)</f>
        <v>ELCTRLYZ_MED_C   →   C_GAS_STRG   →   H2_T&amp;D_P   →   H2_OCGT_PWR</v>
      </c>
      <c r="AA1820" t="str">
        <f t="shared" ref="AA1820:AA1825" si="5712">G1820</f>
        <v>Grid electricity</v>
      </c>
      <c r="AB1820" t="str">
        <f t="shared" ref="AB1820:AB1825" si="5713">J1820</f>
        <v>Regulatory coverage</v>
      </c>
      <c r="AC1820">
        <f t="shared" ref="AC1820:AC1825" ca="1" si="5714">Y1820</f>
        <v>67.5</v>
      </c>
      <c r="AD1820">
        <v>1761</v>
      </c>
      <c r="AE1820" t="str">
        <f>IF(AND(ISNUMBER(SEARCH(O1820,4)),ISNUMBER(SEARCH('(4) FCH pathway assessment'!$B$16,AB1820)),ISNUMBER(SEARCH('(4) FCH pathway assessment'!$B$10,AA1820))),AD1820,"")</f>
        <v/>
      </c>
      <c r="AF1820" t="str">
        <f t="shared" si="5638"/>
        <v/>
      </c>
      <c r="AG1820" t="str">
        <f>VLOOKUP(C1820,Assumptions!$B$116:$C$162,2,FALSE)</f>
        <v>ELCTRLYZ_MED_C</v>
      </c>
      <c r="AH1820" t="str">
        <f>VLOOKUP(D1820,Assumptions!$B$116:$C$162,2,FALSE)</f>
        <v>C_GAS_STRG</v>
      </c>
      <c r="AI1820" t="str">
        <f>VLOOKUP(E1820,Assumptions!$B$116:$C$162,2,FALSE)</f>
        <v>H2_T&amp;D_P</v>
      </c>
      <c r="AJ1820" t="str">
        <f>VLOOKUP(F1820,Assumptions!$B$116:$C$162,2,FALSE)</f>
        <v>H2_OCGT_PWR</v>
      </c>
    </row>
    <row r="1821" spans="2:36" x14ac:dyDescent="0.25">
      <c r="B1821" t="s">
        <v>112</v>
      </c>
      <c r="C1821" t="s">
        <v>51</v>
      </c>
      <c r="D1821" t="s">
        <v>155</v>
      </c>
      <c r="E1821" t="s">
        <v>116</v>
      </c>
      <c r="F1821" t="s">
        <v>162</v>
      </c>
      <c r="G1821" t="s">
        <v>114</v>
      </c>
      <c r="H1821" t="s">
        <v>433</v>
      </c>
      <c r="I1821" t="s">
        <v>32</v>
      </c>
      <c r="J1821" t="s">
        <v>534</v>
      </c>
      <c r="K1821">
        <f t="shared" ref="K1821:K1826" si="5715">SUMPRODUCT(($C$7:$C$18=$C1821)*($D$6:$H$6=$D1821)*($D$7:$H$18))</f>
        <v>1</v>
      </c>
      <c r="L1821">
        <f t="shared" ref="L1821:L1826" si="5716">SUMPRODUCT(($C$19:$C$23=$D1821)*($I$6:$O$6=$E1821)*($I$19:$O$23))</f>
        <v>1</v>
      </c>
      <c r="M1821">
        <f t="shared" ref="M1821:M1826" si="5717">SUMPRODUCT(($C$24:$C$30=$E1821)*($P$6:$AI$6=$F1821)*($P$24:$AI$30))</f>
        <v>1</v>
      </c>
      <c r="N1821">
        <f t="shared" ref="N1821:N1826" si="5718">SUMPRODUCT(($C$31:$C$50=$F1821)*($AJ$6:$AM$6=$G1821)*($AJ$31:$AM$50))</f>
        <v>0</v>
      </c>
      <c r="O1821">
        <f t="shared" si="5710"/>
        <v>3</v>
      </c>
      <c r="P1821" t="str">
        <f t="shared" ref="P1821:P1826" si="5719">CONCATENATE(C1821,"-",J1821)</f>
        <v>Medium centralized electrolysis-Regulatory coverage</v>
      </c>
      <c r="Q1821" t="str">
        <f t="shared" ref="Q1821:Q1826" si="5720">CONCATENATE(D1821,"-",J1821)</f>
        <v>Central gas storage-Regulatory coverage</v>
      </c>
      <c r="R1821" t="str">
        <f t="shared" ref="R1821:R1826" si="5721">CONCATENATE(E1821,"-",J1821)</f>
        <v>Liquid hydrogen truck-Regulatory coverage</v>
      </c>
      <c r="S1821" t="str">
        <f t="shared" ref="S1821:S1826" si="5722">CONCATENATE(F1821,"-",J1821)</f>
        <v>Hydrogen turbine (OC)-Regulatory coverage</v>
      </c>
      <c r="T1821">
        <f ca="1">VLOOKUP($P1821,'TA database'!$I$8:$J$79,2,FALSE)</f>
        <v>100</v>
      </c>
      <c r="U1821">
        <f ca="1">VLOOKUP($Q1821,'TA database'!$I$86:$J$105,2,FALSE)</f>
        <v>80</v>
      </c>
      <c r="V1821">
        <f ca="1">VLOOKUP($R1821,'TA database'!$I$112:$J$139,2,FALSE)</f>
        <v>40</v>
      </c>
      <c r="W1821">
        <f>IFERROR(VLOOKUP($S1821,'TA database'!$I$146:$J$193,2,FALSE),0)</f>
        <v>0</v>
      </c>
      <c r="X1821">
        <f ca="1">IFERROR(VLOOKUP($S1821,'TA database'!$I$200:$J$271,2,FALSE),0)</f>
        <v>50</v>
      </c>
      <c r="Y1821">
        <f t="shared" ca="1" si="5709"/>
        <v>67.5</v>
      </c>
      <c r="Z1821" t="str">
        <f t="shared" si="5711"/>
        <v>ELCTRLYZ_MED_C   →   C_GAS_STRG   →   LQ_TRUCK   →   H2_OCGT_PWR</v>
      </c>
      <c r="AA1821" t="str">
        <f t="shared" si="5712"/>
        <v>Grid electricity</v>
      </c>
      <c r="AB1821" t="str">
        <f t="shared" si="5713"/>
        <v>Regulatory coverage</v>
      </c>
      <c r="AC1821">
        <f t="shared" ca="1" si="5714"/>
        <v>67.5</v>
      </c>
      <c r="AD1821">
        <v>1762</v>
      </c>
      <c r="AE1821" t="str">
        <f>IF(AND(ISNUMBER(SEARCH(O1821,4)),ISNUMBER(SEARCH('(4) FCH pathway assessment'!$B$16,AB1821)),ISNUMBER(SEARCH('(4) FCH pathway assessment'!$B$10,AA1821))),AD1821,"")</f>
        <v/>
      </c>
      <c r="AF1821" t="str">
        <f t="shared" si="5638"/>
        <v/>
      </c>
      <c r="AG1821" t="str">
        <f>VLOOKUP(C1821,Assumptions!$B$116:$C$162,2,FALSE)</f>
        <v>ELCTRLYZ_MED_C</v>
      </c>
      <c r="AH1821" t="str">
        <f>VLOOKUP(D1821,Assumptions!$B$116:$C$162,2,FALSE)</f>
        <v>C_GAS_STRG</v>
      </c>
      <c r="AI1821" t="str">
        <f>VLOOKUP(E1821,Assumptions!$B$116:$C$162,2,FALSE)</f>
        <v>LQ_TRUCK</v>
      </c>
      <c r="AJ1821" t="str">
        <f>VLOOKUP(F1821,Assumptions!$B$116:$C$162,2,FALSE)</f>
        <v>H2_OCGT_PWR</v>
      </c>
    </row>
    <row r="1822" spans="2:36" x14ac:dyDescent="0.25">
      <c r="B1822" t="s">
        <v>112</v>
      </c>
      <c r="C1822" t="s">
        <v>51</v>
      </c>
      <c r="D1822" t="s">
        <v>155</v>
      </c>
      <c r="E1822" t="s">
        <v>66</v>
      </c>
      <c r="F1822" t="s">
        <v>162</v>
      </c>
      <c r="G1822" t="s">
        <v>114</v>
      </c>
      <c r="H1822" t="s">
        <v>433</v>
      </c>
      <c r="I1822" t="s">
        <v>32</v>
      </c>
      <c r="J1822" t="s">
        <v>534</v>
      </c>
      <c r="K1822">
        <f t="shared" si="5715"/>
        <v>1</v>
      </c>
      <c r="L1822">
        <f t="shared" si="5716"/>
        <v>1</v>
      </c>
      <c r="M1822">
        <f t="shared" si="5717"/>
        <v>1</v>
      </c>
      <c r="N1822">
        <f t="shared" si="5718"/>
        <v>0</v>
      </c>
      <c r="O1822">
        <f t="shared" si="5710"/>
        <v>3</v>
      </c>
      <c r="P1822" t="str">
        <f t="shared" si="5719"/>
        <v>Medium centralized electrolysis-Regulatory coverage</v>
      </c>
      <c r="Q1822" t="str">
        <f t="shared" si="5720"/>
        <v>Central gas storage-Regulatory coverage</v>
      </c>
      <c r="R1822" t="str">
        <f t="shared" si="5721"/>
        <v>Onsite-Regulatory coverage</v>
      </c>
      <c r="S1822" t="str">
        <f t="shared" si="5722"/>
        <v>Hydrogen turbine (OC)-Regulatory coverage</v>
      </c>
      <c r="T1822">
        <f ca="1">VLOOKUP($P1822,'TA database'!$I$8:$J$79,2,FALSE)</f>
        <v>100</v>
      </c>
      <c r="U1822">
        <f ca="1">VLOOKUP($Q1822,'TA database'!$I$86:$J$105,2,FALSE)</f>
        <v>80</v>
      </c>
      <c r="V1822">
        <f ca="1">VLOOKUP($R1822,'TA database'!$I$112:$J$139,2,FALSE)</f>
        <v>100</v>
      </c>
      <c r="W1822">
        <f>IFERROR(VLOOKUP($S1822,'TA database'!$I$146:$J$193,2,FALSE),0)</f>
        <v>0</v>
      </c>
      <c r="X1822">
        <f ca="1">IFERROR(VLOOKUP($S1822,'TA database'!$I$200:$J$271,2,FALSE),0)</f>
        <v>50</v>
      </c>
      <c r="Y1822">
        <f t="shared" ca="1" si="5709"/>
        <v>82.5</v>
      </c>
      <c r="Z1822" t="str">
        <f t="shared" si="5711"/>
        <v>ELCTRLYZ_MED_C   →   C_GAS_STRG   →   ONSITE_USE   →   H2_OCGT_PWR</v>
      </c>
      <c r="AA1822" t="str">
        <f t="shared" si="5712"/>
        <v>Grid electricity</v>
      </c>
      <c r="AB1822" t="str">
        <f t="shared" si="5713"/>
        <v>Regulatory coverage</v>
      </c>
      <c r="AC1822">
        <f t="shared" ca="1" si="5714"/>
        <v>82.5</v>
      </c>
      <c r="AD1822">
        <v>1763</v>
      </c>
      <c r="AE1822" t="str">
        <f>IF(AND(ISNUMBER(SEARCH(O1822,4)),ISNUMBER(SEARCH('(4) FCH pathway assessment'!$B$16,AB1822)),ISNUMBER(SEARCH('(4) FCH pathway assessment'!$B$10,AA1822))),AD1822,"")</f>
        <v/>
      </c>
      <c r="AF1822" t="str">
        <f t="shared" si="5638"/>
        <v/>
      </c>
      <c r="AG1822" t="str">
        <f>VLOOKUP(C1822,Assumptions!$B$116:$C$162,2,FALSE)</f>
        <v>ELCTRLYZ_MED_C</v>
      </c>
      <c r="AH1822" t="str">
        <f>VLOOKUP(D1822,Assumptions!$B$116:$C$162,2,FALSE)</f>
        <v>C_GAS_STRG</v>
      </c>
      <c r="AI1822" t="str">
        <f>VLOOKUP(E1822,Assumptions!$B$116:$C$162,2,FALSE)</f>
        <v>ONSITE_USE</v>
      </c>
      <c r="AJ1822" t="str">
        <f>VLOOKUP(F1822,Assumptions!$B$116:$C$162,2,FALSE)</f>
        <v>H2_OCGT_PWR</v>
      </c>
    </row>
    <row r="1823" spans="2:36" x14ac:dyDescent="0.25">
      <c r="B1823" t="s">
        <v>112</v>
      </c>
      <c r="C1823" t="s">
        <v>52</v>
      </c>
      <c r="D1823" s="60" t="s">
        <v>130</v>
      </c>
      <c r="E1823" t="s">
        <v>66</v>
      </c>
      <c r="F1823" t="s">
        <v>162</v>
      </c>
      <c r="G1823" t="s">
        <v>114</v>
      </c>
      <c r="H1823" t="s">
        <v>433</v>
      </c>
      <c r="I1823" t="s">
        <v>32</v>
      </c>
      <c r="J1823" t="s">
        <v>534</v>
      </c>
      <c r="K1823">
        <f t="shared" si="5715"/>
        <v>1</v>
      </c>
      <c r="L1823">
        <f t="shared" si="5716"/>
        <v>1</v>
      </c>
      <c r="M1823">
        <f t="shared" si="5717"/>
        <v>1</v>
      </c>
      <c r="N1823">
        <f t="shared" si="5718"/>
        <v>0</v>
      </c>
      <c r="O1823">
        <f t="shared" si="5710"/>
        <v>3</v>
      </c>
      <c r="P1823" t="str">
        <f t="shared" si="5719"/>
        <v>Small decentralized electrolysis-Regulatory coverage</v>
      </c>
      <c r="Q1823" t="str">
        <f t="shared" si="5720"/>
        <v>Distributed gas storage-Regulatory coverage</v>
      </c>
      <c r="R1823" t="str">
        <f t="shared" si="5721"/>
        <v>Onsite-Regulatory coverage</v>
      </c>
      <c r="S1823" t="str">
        <f t="shared" si="5722"/>
        <v>Hydrogen turbine (OC)-Regulatory coverage</v>
      </c>
      <c r="T1823">
        <f ca="1">VLOOKUP($P1823,'TA database'!$I$8:$J$79,2,FALSE)</f>
        <v>100</v>
      </c>
      <c r="U1823">
        <f ca="1">VLOOKUP($Q1823,'TA database'!$I$86:$J$105,2,FALSE)</f>
        <v>100</v>
      </c>
      <c r="V1823">
        <f ca="1">VLOOKUP($R1823,'TA database'!$I$112:$J$139,2,FALSE)</f>
        <v>100</v>
      </c>
      <c r="W1823">
        <f>IFERROR(VLOOKUP($S1823,'TA database'!$I$146:$J$193,2,FALSE),0)</f>
        <v>0</v>
      </c>
      <c r="X1823">
        <f ca="1">IFERROR(VLOOKUP($S1823,'TA database'!$I$200:$J$271,2,FALSE),0)</f>
        <v>50</v>
      </c>
      <c r="Y1823">
        <f t="shared" ca="1" si="5709"/>
        <v>87.5</v>
      </c>
      <c r="Z1823" t="str">
        <f t="shared" si="5711"/>
        <v>ELCTRLYZ_SML_D   →   D_GAS_STRG   →   ONSITE_USE   →   H2_OCGT_PWR</v>
      </c>
      <c r="AA1823" t="str">
        <f t="shared" si="5712"/>
        <v>Grid electricity</v>
      </c>
      <c r="AB1823" t="str">
        <f t="shared" si="5713"/>
        <v>Regulatory coverage</v>
      </c>
      <c r="AC1823">
        <f t="shared" ca="1" si="5714"/>
        <v>87.5</v>
      </c>
      <c r="AD1823">
        <v>1764</v>
      </c>
      <c r="AE1823" t="str">
        <f>IF(AND(ISNUMBER(SEARCH(O1823,4)),ISNUMBER(SEARCH('(4) FCH pathway assessment'!$B$16,AB1823)),ISNUMBER(SEARCH('(4) FCH pathway assessment'!$B$10,AA1823))),AD1823,"")</f>
        <v/>
      </c>
      <c r="AF1823" t="str">
        <f t="shared" si="5638"/>
        <v/>
      </c>
      <c r="AG1823" t="str">
        <f>VLOOKUP(C1823,Assumptions!$B$116:$C$162,2,FALSE)</f>
        <v>ELCTRLYZ_SML_D</v>
      </c>
      <c r="AH1823" t="str">
        <f>VLOOKUP(D1823,Assumptions!$B$116:$C$162,2,FALSE)</f>
        <v>D_GAS_STRG</v>
      </c>
      <c r="AI1823" t="str">
        <f>VLOOKUP(E1823,Assumptions!$B$116:$C$162,2,FALSE)</f>
        <v>ONSITE_USE</v>
      </c>
      <c r="AJ1823" t="str">
        <f>VLOOKUP(F1823,Assumptions!$B$116:$C$162,2,FALSE)</f>
        <v>H2_OCGT_PWR</v>
      </c>
    </row>
    <row r="1824" spans="2:36" x14ac:dyDescent="0.25">
      <c r="B1824" t="s">
        <v>127</v>
      </c>
      <c r="C1824" t="s">
        <v>57</v>
      </c>
      <c r="D1824" t="s">
        <v>62</v>
      </c>
      <c r="E1824" t="s">
        <v>157</v>
      </c>
      <c r="F1824" t="s">
        <v>162</v>
      </c>
      <c r="G1824" t="s">
        <v>114</v>
      </c>
      <c r="H1824" t="s">
        <v>433</v>
      </c>
      <c r="I1824" t="s">
        <v>32</v>
      </c>
      <c r="J1824" t="s">
        <v>534</v>
      </c>
      <c r="K1824">
        <f t="shared" si="5715"/>
        <v>1</v>
      </c>
      <c r="L1824">
        <f t="shared" si="5716"/>
        <v>0</v>
      </c>
      <c r="M1824">
        <f t="shared" si="5717"/>
        <v>0</v>
      </c>
      <c r="N1824">
        <f t="shared" si="5718"/>
        <v>0</v>
      </c>
      <c r="O1824">
        <f t="shared" si="5710"/>
        <v>1</v>
      </c>
      <c r="P1824" t="str">
        <f t="shared" si="5719"/>
        <v>Large centralized natural gas steam reforming-Regulatory coverage</v>
      </c>
      <c r="Q1824" t="str">
        <f t="shared" si="5720"/>
        <v>Underground storage-Regulatory coverage</v>
      </c>
      <c r="R1824" t="str">
        <f t="shared" si="5721"/>
        <v>Blending in natural gas pipeline-Regulatory coverage</v>
      </c>
      <c r="S1824" t="str">
        <f t="shared" si="5722"/>
        <v>Hydrogen turbine (OC)-Regulatory coverage</v>
      </c>
      <c r="T1824">
        <f ca="1">VLOOKUP($P1824,'TA database'!$I$8:$J$79,2,FALSE)</f>
        <v>100</v>
      </c>
      <c r="U1824">
        <f ca="1">VLOOKUP($Q1824,'TA database'!$I$86:$J$105,2,FALSE)</f>
        <v>0</v>
      </c>
      <c r="V1824">
        <f ca="1">VLOOKUP($R1824,'TA database'!$I$112:$J$139,2,FALSE)</f>
        <v>100</v>
      </c>
      <c r="W1824">
        <f>IFERROR(VLOOKUP($S1824,'TA database'!$I$146:$J$193,2,FALSE),0)</f>
        <v>0</v>
      </c>
      <c r="X1824">
        <f ca="1">IFERROR(VLOOKUP($S1824,'TA database'!$I$200:$J$271,2,FALSE),0)</f>
        <v>50</v>
      </c>
      <c r="Y1824">
        <f t="shared" ref="Y1824:Y1832" ca="1" si="5723">IF($W1824=0,SUM($T1824:$V1824,$X1824)/4,SUM($T1824:$W1824)/4)</f>
        <v>62.5</v>
      </c>
      <c r="Z1824" t="str">
        <f t="shared" si="5711"/>
        <v>NG_SR_LRG_C   →   C_UNDRGRND_STRG   →   H2_BLND_NG_P   →   H2_OCGT_PWR</v>
      </c>
      <c r="AA1824" t="str">
        <f t="shared" si="5712"/>
        <v>Grid electricity</v>
      </c>
      <c r="AB1824" t="str">
        <f t="shared" si="5713"/>
        <v>Regulatory coverage</v>
      </c>
      <c r="AC1824">
        <f t="shared" ca="1" si="5714"/>
        <v>62.5</v>
      </c>
      <c r="AD1824">
        <v>1765</v>
      </c>
      <c r="AE1824" t="str">
        <f>IF(AND(ISNUMBER(SEARCH(O1824,4)),ISNUMBER(SEARCH('(4) FCH pathway assessment'!$B$16,AB1824)),ISNUMBER(SEARCH('(4) FCH pathway assessment'!$B$10,AA1824))),AD1824,"")</f>
        <v/>
      </c>
      <c r="AF1824" t="str">
        <f t="shared" si="5638"/>
        <v/>
      </c>
      <c r="AG1824" t="str">
        <f>VLOOKUP(C1824,Assumptions!$B$116:$C$162,2,FALSE)</f>
        <v>NG_SR_LRG_C</v>
      </c>
      <c r="AH1824" t="str">
        <f>VLOOKUP(D1824,Assumptions!$B$116:$C$162,2,FALSE)</f>
        <v>C_UNDRGRND_STRG</v>
      </c>
      <c r="AI1824" t="str">
        <f>VLOOKUP(E1824,Assumptions!$B$116:$C$162,2,FALSE)</f>
        <v>H2_BLND_NG_P</v>
      </c>
      <c r="AJ1824" t="str">
        <f>VLOOKUP(F1824,Assumptions!$B$116:$C$162,2,FALSE)</f>
        <v>H2_OCGT_PWR</v>
      </c>
    </row>
    <row r="1825" spans="2:36" x14ac:dyDescent="0.25">
      <c r="B1825" t="s">
        <v>127</v>
      </c>
      <c r="C1825" t="s">
        <v>57</v>
      </c>
      <c r="D1825" t="s">
        <v>62</v>
      </c>
      <c r="E1825" t="s">
        <v>122</v>
      </c>
      <c r="F1825" t="s">
        <v>162</v>
      </c>
      <c r="G1825" t="s">
        <v>114</v>
      </c>
      <c r="H1825" t="s">
        <v>433</v>
      </c>
      <c r="I1825" t="s">
        <v>32</v>
      </c>
      <c r="J1825" t="s">
        <v>534</v>
      </c>
      <c r="K1825">
        <f t="shared" si="5715"/>
        <v>1</v>
      </c>
      <c r="L1825">
        <f t="shared" si="5716"/>
        <v>0</v>
      </c>
      <c r="M1825">
        <f t="shared" si="5717"/>
        <v>1</v>
      </c>
      <c r="N1825">
        <f t="shared" si="5718"/>
        <v>0</v>
      </c>
      <c r="O1825">
        <f t="shared" si="5710"/>
        <v>2</v>
      </c>
      <c r="P1825" t="str">
        <f t="shared" si="5719"/>
        <v>Large centralized natural gas steam reforming-Regulatory coverage</v>
      </c>
      <c r="Q1825" t="str">
        <f t="shared" si="5720"/>
        <v>Underground storage-Regulatory coverage</v>
      </c>
      <c r="R1825" t="str">
        <f t="shared" si="5721"/>
        <v>Hydrogen transmission &amp; distribution pipeline-Regulatory coverage</v>
      </c>
      <c r="S1825" t="str">
        <f t="shared" si="5722"/>
        <v>Hydrogen turbine (OC)-Regulatory coverage</v>
      </c>
      <c r="T1825">
        <f ca="1">VLOOKUP($P1825,'TA database'!$I$8:$J$79,2,FALSE)</f>
        <v>100</v>
      </c>
      <c r="U1825">
        <f ca="1">VLOOKUP($Q1825,'TA database'!$I$86:$J$105,2,FALSE)</f>
        <v>0</v>
      </c>
      <c r="V1825">
        <f ca="1">VLOOKUP($R1825,'TA database'!$I$112:$J$139,2,FALSE)</f>
        <v>40</v>
      </c>
      <c r="W1825">
        <f>IFERROR(VLOOKUP($S1825,'TA database'!$I$146:$J$193,2,FALSE),0)</f>
        <v>0</v>
      </c>
      <c r="X1825">
        <f ca="1">IFERROR(VLOOKUP($S1825,'TA database'!$I$200:$J$271,2,FALSE),0)</f>
        <v>50</v>
      </c>
      <c r="Y1825">
        <f t="shared" ca="1" si="5723"/>
        <v>47.5</v>
      </c>
      <c r="Z1825" t="str">
        <f t="shared" si="5711"/>
        <v>NG_SR_LRG_C   →   C_UNDRGRND_STRG   →   H2_T&amp;D_P   →   H2_OCGT_PWR</v>
      </c>
      <c r="AA1825" t="str">
        <f t="shared" si="5712"/>
        <v>Grid electricity</v>
      </c>
      <c r="AB1825" t="str">
        <f t="shared" si="5713"/>
        <v>Regulatory coverage</v>
      </c>
      <c r="AC1825">
        <f t="shared" ca="1" si="5714"/>
        <v>47.5</v>
      </c>
      <c r="AD1825">
        <v>1766</v>
      </c>
      <c r="AE1825" t="str">
        <f>IF(AND(ISNUMBER(SEARCH(O1825,4)),ISNUMBER(SEARCH('(4) FCH pathway assessment'!$B$16,AB1825)),ISNUMBER(SEARCH('(4) FCH pathway assessment'!$B$10,AA1825))),AD1825,"")</f>
        <v/>
      </c>
      <c r="AF1825" t="str">
        <f t="shared" si="5638"/>
        <v/>
      </c>
      <c r="AG1825" t="str">
        <f>VLOOKUP(C1825,Assumptions!$B$116:$C$162,2,FALSE)</f>
        <v>NG_SR_LRG_C</v>
      </c>
      <c r="AH1825" t="str">
        <f>VLOOKUP(D1825,Assumptions!$B$116:$C$162,2,FALSE)</f>
        <v>C_UNDRGRND_STRG</v>
      </c>
      <c r="AI1825" t="str">
        <f>VLOOKUP(E1825,Assumptions!$B$116:$C$162,2,FALSE)</f>
        <v>H2_T&amp;D_P</v>
      </c>
      <c r="AJ1825" t="str">
        <f>VLOOKUP(F1825,Assumptions!$B$116:$C$162,2,FALSE)</f>
        <v>H2_OCGT_PWR</v>
      </c>
    </row>
    <row r="1826" spans="2:36" x14ac:dyDescent="0.25">
      <c r="B1826" t="s">
        <v>127</v>
      </c>
      <c r="C1826" t="s">
        <v>57</v>
      </c>
      <c r="D1826" t="s">
        <v>62</v>
      </c>
      <c r="E1826" t="s">
        <v>116</v>
      </c>
      <c r="F1826" t="s">
        <v>162</v>
      </c>
      <c r="G1826" t="s">
        <v>114</v>
      </c>
      <c r="H1826" t="s">
        <v>433</v>
      </c>
      <c r="I1826" t="s">
        <v>32</v>
      </c>
      <c r="J1826" t="s">
        <v>534</v>
      </c>
      <c r="K1826">
        <f t="shared" si="5715"/>
        <v>1</v>
      </c>
      <c r="L1826">
        <f t="shared" si="5716"/>
        <v>0</v>
      </c>
      <c r="M1826">
        <f t="shared" si="5717"/>
        <v>1</v>
      </c>
      <c r="N1826">
        <f t="shared" si="5718"/>
        <v>0</v>
      </c>
      <c r="O1826">
        <f t="shared" ref="O1826:O1832" si="5724">K1826+L1826+M1826+N1826</f>
        <v>2</v>
      </c>
      <c r="P1826" t="str">
        <f t="shared" si="5719"/>
        <v>Large centralized natural gas steam reforming-Regulatory coverage</v>
      </c>
      <c r="Q1826" t="str">
        <f t="shared" si="5720"/>
        <v>Underground storage-Regulatory coverage</v>
      </c>
      <c r="R1826" t="str">
        <f t="shared" si="5721"/>
        <v>Liquid hydrogen truck-Regulatory coverage</v>
      </c>
      <c r="S1826" t="str">
        <f t="shared" si="5722"/>
        <v>Hydrogen turbine (OC)-Regulatory coverage</v>
      </c>
      <c r="T1826">
        <f ca="1">VLOOKUP($P1826,'TA database'!$I$8:$J$79,2,FALSE)</f>
        <v>100</v>
      </c>
      <c r="U1826">
        <f ca="1">VLOOKUP($Q1826,'TA database'!$I$86:$J$105,2,FALSE)</f>
        <v>0</v>
      </c>
      <c r="V1826">
        <f ca="1">VLOOKUP($R1826,'TA database'!$I$112:$J$139,2,FALSE)</f>
        <v>40</v>
      </c>
      <c r="W1826">
        <f>IFERROR(VLOOKUP($S1826,'TA database'!$I$146:$J$193,2,FALSE),0)</f>
        <v>0</v>
      </c>
      <c r="X1826">
        <f ca="1">IFERROR(VLOOKUP($S1826,'TA database'!$I$200:$J$271,2,FALSE),0)</f>
        <v>50</v>
      </c>
      <c r="Y1826">
        <f t="shared" ca="1" si="5723"/>
        <v>47.5</v>
      </c>
      <c r="Z1826" t="str">
        <f t="shared" ref="Z1826:Z1832" si="5725">CONCATENATE(AG1826,"   →   ",AH1826,"   →   ",AI1826,"   →   ",AJ1826)</f>
        <v>NG_SR_LRG_C   →   C_UNDRGRND_STRG   →   LQ_TRUCK   →   H2_OCGT_PWR</v>
      </c>
      <c r="AA1826" t="str">
        <f t="shared" ref="AA1826:AA1832" si="5726">G1826</f>
        <v>Grid electricity</v>
      </c>
      <c r="AB1826" t="str">
        <f t="shared" ref="AB1826:AB1832" si="5727">J1826</f>
        <v>Regulatory coverage</v>
      </c>
      <c r="AC1826">
        <f t="shared" ref="AC1826:AC1832" ca="1" si="5728">Y1826</f>
        <v>47.5</v>
      </c>
      <c r="AD1826">
        <v>1767</v>
      </c>
      <c r="AE1826" t="str">
        <f>IF(AND(ISNUMBER(SEARCH(O1826,4)),ISNUMBER(SEARCH('(4) FCH pathway assessment'!$B$16,AB1826)),ISNUMBER(SEARCH('(4) FCH pathway assessment'!$B$10,AA1826))),AD1826,"")</f>
        <v/>
      </c>
      <c r="AF1826" t="str">
        <f t="shared" si="5638"/>
        <v/>
      </c>
      <c r="AG1826" t="str">
        <f>VLOOKUP(C1826,Assumptions!$B$116:$C$162,2,FALSE)</f>
        <v>NG_SR_LRG_C</v>
      </c>
      <c r="AH1826" t="str">
        <f>VLOOKUP(D1826,Assumptions!$B$116:$C$162,2,FALSE)</f>
        <v>C_UNDRGRND_STRG</v>
      </c>
      <c r="AI1826" t="str">
        <f>VLOOKUP(E1826,Assumptions!$B$116:$C$162,2,FALSE)</f>
        <v>LQ_TRUCK</v>
      </c>
      <c r="AJ1826" t="str">
        <f>VLOOKUP(F1826,Assumptions!$B$116:$C$162,2,FALSE)</f>
        <v>H2_OCGT_PWR</v>
      </c>
    </row>
    <row r="1827" spans="2:36" x14ac:dyDescent="0.25">
      <c r="B1827" t="s">
        <v>127</v>
      </c>
      <c r="C1827" t="s">
        <v>57</v>
      </c>
      <c r="D1827" t="s">
        <v>62</v>
      </c>
      <c r="E1827" t="s">
        <v>66</v>
      </c>
      <c r="F1827" t="s">
        <v>162</v>
      </c>
      <c r="G1827" t="s">
        <v>114</v>
      </c>
      <c r="H1827" t="s">
        <v>433</v>
      </c>
      <c r="I1827" t="s">
        <v>32</v>
      </c>
      <c r="J1827" t="s">
        <v>534</v>
      </c>
      <c r="K1827">
        <f t="shared" ref="K1827:K1832" si="5729">SUMPRODUCT(($C$7:$C$18=$C1827)*($D$6:$H$6=$D1827)*($D$7:$H$18))</f>
        <v>1</v>
      </c>
      <c r="L1827">
        <f t="shared" ref="L1827:L1832" si="5730">SUMPRODUCT(($C$19:$C$23=$D1827)*($I$6:$O$6=$E1827)*($I$19:$O$23))</f>
        <v>0</v>
      </c>
      <c r="M1827">
        <f t="shared" ref="M1827:M1832" si="5731">SUMPRODUCT(($C$24:$C$30=$E1827)*($P$6:$AI$6=$F1827)*($P$24:$AI$30))</f>
        <v>1</v>
      </c>
      <c r="N1827">
        <f t="shared" ref="N1827:N1832" si="5732">SUMPRODUCT(($C$31:$C$50=$F1827)*($AJ$6:$AM$6=$G1827)*($AJ$31:$AM$50))</f>
        <v>0</v>
      </c>
      <c r="O1827">
        <f t="shared" si="5724"/>
        <v>2</v>
      </c>
      <c r="P1827" t="str">
        <f t="shared" ref="P1827:P1832" si="5733">CONCATENATE(C1827,"-",J1827)</f>
        <v>Large centralized natural gas steam reforming-Regulatory coverage</v>
      </c>
      <c r="Q1827" t="str">
        <f t="shared" ref="Q1827:Q1832" si="5734">CONCATENATE(D1827,"-",J1827)</f>
        <v>Underground storage-Regulatory coverage</v>
      </c>
      <c r="R1827" t="str">
        <f t="shared" ref="R1827:R1832" si="5735">CONCATENATE(E1827,"-",J1827)</f>
        <v>Onsite-Regulatory coverage</v>
      </c>
      <c r="S1827" t="str">
        <f t="shared" ref="S1827:S1832" si="5736">CONCATENATE(F1827,"-",J1827)</f>
        <v>Hydrogen turbine (OC)-Regulatory coverage</v>
      </c>
      <c r="T1827">
        <f ca="1">VLOOKUP($P1827,'TA database'!$I$8:$J$79,2,FALSE)</f>
        <v>100</v>
      </c>
      <c r="U1827">
        <f ca="1">VLOOKUP($Q1827,'TA database'!$I$86:$J$105,2,FALSE)</f>
        <v>0</v>
      </c>
      <c r="V1827">
        <f ca="1">VLOOKUP($R1827,'TA database'!$I$112:$J$139,2,FALSE)</f>
        <v>100</v>
      </c>
      <c r="W1827">
        <f>IFERROR(VLOOKUP($S1827,'TA database'!$I$146:$J$193,2,FALSE),0)</f>
        <v>0</v>
      </c>
      <c r="X1827">
        <f ca="1">IFERROR(VLOOKUP($S1827,'TA database'!$I$200:$J$271,2,FALSE),0)</f>
        <v>50</v>
      </c>
      <c r="Y1827">
        <f t="shared" ca="1" si="5723"/>
        <v>62.5</v>
      </c>
      <c r="Z1827" t="str">
        <f t="shared" si="5725"/>
        <v>NG_SR_LRG_C   →   C_UNDRGRND_STRG   →   ONSITE_USE   →   H2_OCGT_PWR</v>
      </c>
      <c r="AA1827" t="str">
        <f t="shared" si="5726"/>
        <v>Grid electricity</v>
      </c>
      <c r="AB1827" t="str">
        <f t="shared" si="5727"/>
        <v>Regulatory coverage</v>
      </c>
      <c r="AC1827">
        <f t="shared" ca="1" si="5728"/>
        <v>62.5</v>
      </c>
      <c r="AD1827">
        <v>1768</v>
      </c>
      <c r="AE1827" t="str">
        <f>IF(AND(ISNUMBER(SEARCH(O1827,4)),ISNUMBER(SEARCH('(4) FCH pathway assessment'!$B$16,AB1827)),ISNUMBER(SEARCH('(4) FCH pathway assessment'!$B$10,AA1827))),AD1827,"")</f>
        <v/>
      </c>
      <c r="AF1827" t="str">
        <f t="shared" si="5638"/>
        <v/>
      </c>
      <c r="AG1827" t="str">
        <f>VLOOKUP(C1827,Assumptions!$B$116:$C$162,2,FALSE)</f>
        <v>NG_SR_LRG_C</v>
      </c>
      <c r="AH1827" t="str">
        <f>VLOOKUP(D1827,Assumptions!$B$116:$C$162,2,FALSE)</f>
        <v>C_UNDRGRND_STRG</v>
      </c>
      <c r="AI1827" t="str">
        <f>VLOOKUP(E1827,Assumptions!$B$116:$C$162,2,FALSE)</f>
        <v>ONSITE_USE</v>
      </c>
      <c r="AJ1827" t="str">
        <f>VLOOKUP(F1827,Assumptions!$B$116:$C$162,2,FALSE)</f>
        <v>H2_OCGT_PWR</v>
      </c>
    </row>
    <row r="1828" spans="2:36" x14ac:dyDescent="0.25">
      <c r="B1828" t="s">
        <v>127</v>
      </c>
      <c r="C1828" t="s">
        <v>57</v>
      </c>
      <c r="D1828" s="61" t="s">
        <v>63</v>
      </c>
      <c r="E1828" t="s">
        <v>122</v>
      </c>
      <c r="F1828" t="s">
        <v>162</v>
      </c>
      <c r="G1828" t="s">
        <v>114</v>
      </c>
      <c r="H1828" t="s">
        <v>433</v>
      </c>
      <c r="I1828" t="s">
        <v>32</v>
      </c>
      <c r="J1828" t="s">
        <v>534</v>
      </c>
      <c r="K1828">
        <f t="shared" si="5729"/>
        <v>1</v>
      </c>
      <c r="L1828">
        <f t="shared" si="5730"/>
        <v>1</v>
      </c>
      <c r="M1828">
        <f t="shared" si="5731"/>
        <v>1</v>
      </c>
      <c r="N1828">
        <f t="shared" si="5732"/>
        <v>0</v>
      </c>
      <c r="O1828">
        <f t="shared" si="5724"/>
        <v>3</v>
      </c>
      <c r="P1828" t="str">
        <f t="shared" si="5733"/>
        <v>Large centralized natural gas steam reforming-Regulatory coverage</v>
      </c>
      <c r="Q1828" t="str">
        <f t="shared" si="5734"/>
        <v>No storage-Regulatory coverage</v>
      </c>
      <c r="R1828" t="str">
        <f t="shared" si="5735"/>
        <v>Hydrogen transmission &amp; distribution pipeline-Regulatory coverage</v>
      </c>
      <c r="S1828" t="str">
        <f t="shared" si="5736"/>
        <v>Hydrogen turbine (OC)-Regulatory coverage</v>
      </c>
      <c r="T1828">
        <f ca="1">VLOOKUP($P1828,'TA database'!$I$8:$J$79,2,FALSE)</f>
        <v>100</v>
      </c>
      <c r="U1828">
        <f ca="1">VLOOKUP($Q1828,'TA database'!$I$86:$J$105,2,FALSE)</f>
        <v>100</v>
      </c>
      <c r="V1828">
        <f ca="1">VLOOKUP($R1828,'TA database'!$I$112:$J$139,2,FALSE)</f>
        <v>40</v>
      </c>
      <c r="W1828">
        <f>IFERROR(VLOOKUP($S1828,'TA database'!$I$146:$J$193,2,FALSE),0)</f>
        <v>0</v>
      </c>
      <c r="X1828">
        <f ca="1">IFERROR(VLOOKUP($S1828,'TA database'!$I$200:$J$271,2,FALSE),0)</f>
        <v>50</v>
      </c>
      <c r="Y1828">
        <f t="shared" ca="1" si="5723"/>
        <v>72.5</v>
      </c>
      <c r="Z1828" t="str">
        <f t="shared" si="5725"/>
        <v>NG_SR_LRG_C   →   NO_STRG   →   H2_T&amp;D_P   →   H2_OCGT_PWR</v>
      </c>
      <c r="AA1828" t="str">
        <f t="shared" si="5726"/>
        <v>Grid electricity</v>
      </c>
      <c r="AB1828" t="str">
        <f t="shared" si="5727"/>
        <v>Regulatory coverage</v>
      </c>
      <c r="AC1828">
        <f t="shared" ca="1" si="5728"/>
        <v>72.5</v>
      </c>
      <c r="AD1828">
        <v>1769</v>
      </c>
      <c r="AE1828" t="str">
        <f>IF(AND(ISNUMBER(SEARCH(O1828,4)),ISNUMBER(SEARCH('(4) FCH pathway assessment'!$B$16,AB1828)),ISNUMBER(SEARCH('(4) FCH pathway assessment'!$B$10,AA1828))),AD1828,"")</f>
        <v/>
      </c>
      <c r="AF1828" t="str">
        <f t="shared" si="5638"/>
        <v/>
      </c>
      <c r="AG1828" t="str">
        <f>VLOOKUP(C1828,Assumptions!$B$116:$C$162,2,FALSE)</f>
        <v>NG_SR_LRG_C</v>
      </c>
      <c r="AH1828" t="str">
        <f>VLOOKUP(D1828,Assumptions!$B$116:$C$162,2,FALSE)</f>
        <v>NO_STRG</v>
      </c>
      <c r="AI1828" t="str">
        <f>VLOOKUP(E1828,Assumptions!$B$116:$C$162,2,FALSE)</f>
        <v>H2_T&amp;D_P</v>
      </c>
      <c r="AJ1828" t="str">
        <f>VLOOKUP(F1828,Assumptions!$B$116:$C$162,2,FALSE)</f>
        <v>H2_OCGT_PWR</v>
      </c>
    </row>
    <row r="1829" spans="2:36" x14ac:dyDescent="0.25">
      <c r="B1829" t="s">
        <v>127</v>
      </c>
      <c r="C1829" t="s">
        <v>58</v>
      </c>
      <c r="D1829" t="s">
        <v>155</v>
      </c>
      <c r="E1829" t="s">
        <v>157</v>
      </c>
      <c r="F1829" t="s">
        <v>162</v>
      </c>
      <c r="G1829" t="s">
        <v>114</v>
      </c>
      <c r="H1829" t="s">
        <v>433</v>
      </c>
      <c r="I1829" t="s">
        <v>32</v>
      </c>
      <c r="J1829" t="s">
        <v>534</v>
      </c>
      <c r="K1829">
        <f t="shared" si="5729"/>
        <v>1</v>
      </c>
      <c r="L1829">
        <f t="shared" si="5730"/>
        <v>1</v>
      </c>
      <c r="M1829">
        <f t="shared" si="5731"/>
        <v>0</v>
      </c>
      <c r="N1829">
        <f t="shared" si="5732"/>
        <v>0</v>
      </c>
      <c r="O1829">
        <f t="shared" si="5724"/>
        <v>2</v>
      </c>
      <c r="P1829" t="str">
        <f t="shared" si="5733"/>
        <v>Small centralized natural gas steam reforming-Regulatory coverage</v>
      </c>
      <c r="Q1829" t="str">
        <f t="shared" si="5734"/>
        <v>Central gas storage-Regulatory coverage</v>
      </c>
      <c r="R1829" t="str">
        <f t="shared" si="5735"/>
        <v>Blending in natural gas pipeline-Regulatory coverage</v>
      </c>
      <c r="S1829" t="str">
        <f t="shared" si="5736"/>
        <v>Hydrogen turbine (OC)-Regulatory coverage</v>
      </c>
      <c r="T1829">
        <f ca="1">VLOOKUP($P1829,'TA database'!$I$8:$J$79,2,FALSE)</f>
        <v>100</v>
      </c>
      <c r="U1829">
        <f ca="1">VLOOKUP($Q1829,'TA database'!$I$86:$J$105,2,FALSE)</f>
        <v>80</v>
      </c>
      <c r="V1829">
        <f ca="1">VLOOKUP($R1829,'TA database'!$I$112:$J$139,2,FALSE)</f>
        <v>100</v>
      </c>
      <c r="W1829">
        <f>IFERROR(VLOOKUP($S1829,'TA database'!$I$146:$J$193,2,FALSE),0)</f>
        <v>0</v>
      </c>
      <c r="X1829">
        <f ca="1">IFERROR(VLOOKUP($S1829,'TA database'!$I$200:$J$271,2,FALSE),0)</f>
        <v>50</v>
      </c>
      <c r="Y1829">
        <f t="shared" ca="1" si="5723"/>
        <v>82.5</v>
      </c>
      <c r="Z1829" t="str">
        <f t="shared" si="5725"/>
        <v>NG_SR_SML_C   →   C_GAS_STRG   →   H2_BLND_NG_P   →   H2_OCGT_PWR</v>
      </c>
      <c r="AA1829" t="str">
        <f t="shared" si="5726"/>
        <v>Grid electricity</v>
      </c>
      <c r="AB1829" t="str">
        <f t="shared" si="5727"/>
        <v>Regulatory coverage</v>
      </c>
      <c r="AC1829">
        <f t="shared" ca="1" si="5728"/>
        <v>82.5</v>
      </c>
      <c r="AD1829">
        <v>1770</v>
      </c>
      <c r="AE1829" t="str">
        <f>IF(AND(ISNUMBER(SEARCH(O1829,4)),ISNUMBER(SEARCH('(4) FCH pathway assessment'!$B$16,AB1829)),ISNUMBER(SEARCH('(4) FCH pathway assessment'!$B$10,AA1829))),AD1829,"")</f>
        <v/>
      </c>
      <c r="AF1829" t="str">
        <f t="shared" si="5638"/>
        <v/>
      </c>
      <c r="AG1829" t="str">
        <f>VLOOKUP(C1829,Assumptions!$B$116:$C$162,2,FALSE)</f>
        <v>NG_SR_SML_C</v>
      </c>
      <c r="AH1829" t="str">
        <f>VLOOKUP(D1829,Assumptions!$B$116:$C$162,2,FALSE)</f>
        <v>C_GAS_STRG</v>
      </c>
      <c r="AI1829" t="str">
        <f>VLOOKUP(E1829,Assumptions!$B$116:$C$162,2,FALSE)</f>
        <v>H2_BLND_NG_P</v>
      </c>
      <c r="AJ1829" t="str">
        <f>VLOOKUP(F1829,Assumptions!$B$116:$C$162,2,FALSE)</f>
        <v>H2_OCGT_PWR</v>
      </c>
    </row>
    <row r="1830" spans="2:36" x14ac:dyDescent="0.25">
      <c r="B1830" t="s">
        <v>127</v>
      </c>
      <c r="C1830" t="s">
        <v>58</v>
      </c>
      <c r="D1830" t="s">
        <v>155</v>
      </c>
      <c r="E1830" t="s">
        <v>122</v>
      </c>
      <c r="F1830" t="s">
        <v>162</v>
      </c>
      <c r="G1830" t="s">
        <v>114</v>
      </c>
      <c r="H1830" t="s">
        <v>433</v>
      </c>
      <c r="I1830" t="s">
        <v>32</v>
      </c>
      <c r="J1830" t="s">
        <v>534</v>
      </c>
      <c r="K1830">
        <f t="shared" si="5729"/>
        <v>1</v>
      </c>
      <c r="L1830">
        <f t="shared" si="5730"/>
        <v>1</v>
      </c>
      <c r="M1830">
        <f t="shared" si="5731"/>
        <v>1</v>
      </c>
      <c r="N1830">
        <f t="shared" si="5732"/>
        <v>0</v>
      </c>
      <c r="O1830">
        <f t="shared" si="5724"/>
        <v>3</v>
      </c>
      <c r="P1830" t="str">
        <f t="shared" si="5733"/>
        <v>Small centralized natural gas steam reforming-Regulatory coverage</v>
      </c>
      <c r="Q1830" t="str">
        <f t="shared" si="5734"/>
        <v>Central gas storage-Regulatory coverage</v>
      </c>
      <c r="R1830" t="str">
        <f t="shared" si="5735"/>
        <v>Hydrogen transmission &amp; distribution pipeline-Regulatory coverage</v>
      </c>
      <c r="S1830" t="str">
        <f t="shared" si="5736"/>
        <v>Hydrogen turbine (OC)-Regulatory coverage</v>
      </c>
      <c r="T1830">
        <f ca="1">VLOOKUP($P1830,'TA database'!$I$8:$J$79,2,FALSE)</f>
        <v>100</v>
      </c>
      <c r="U1830">
        <f ca="1">VLOOKUP($Q1830,'TA database'!$I$86:$J$105,2,FALSE)</f>
        <v>80</v>
      </c>
      <c r="V1830">
        <f ca="1">VLOOKUP($R1830,'TA database'!$I$112:$J$139,2,FALSE)</f>
        <v>40</v>
      </c>
      <c r="W1830">
        <f>IFERROR(VLOOKUP($S1830,'TA database'!$I$146:$J$193,2,FALSE),0)</f>
        <v>0</v>
      </c>
      <c r="X1830">
        <f ca="1">IFERROR(VLOOKUP($S1830,'TA database'!$I$200:$J$271,2,FALSE),0)</f>
        <v>50</v>
      </c>
      <c r="Y1830">
        <f t="shared" ca="1" si="5723"/>
        <v>67.5</v>
      </c>
      <c r="Z1830" t="str">
        <f t="shared" si="5725"/>
        <v>NG_SR_SML_C   →   C_GAS_STRG   →   H2_T&amp;D_P   →   H2_OCGT_PWR</v>
      </c>
      <c r="AA1830" t="str">
        <f t="shared" si="5726"/>
        <v>Grid electricity</v>
      </c>
      <c r="AB1830" t="str">
        <f t="shared" si="5727"/>
        <v>Regulatory coverage</v>
      </c>
      <c r="AC1830">
        <f t="shared" ca="1" si="5728"/>
        <v>67.5</v>
      </c>
      <c r="AD1830">
        <v>1771</v>
      </c>
      <c r="AE1830" t="str">
        <f>IF(AND(ISNUMBER(SEARCH(O1830,4)),ISNUMBER(SEARCH('(4) FCH pathway assessment'!$B$16,AB1830)),ISNUMBER(SEARCH('(4) FCH pathway assessment'!$B$10,AA1830))),AD1830,"")</f>
        <v/>
      </c>
      <c r="AF1830" t="str">
        <f t="shared" si="5638"/>
        <v/>
      </c>
      <c r="AG1830" t="str">
        <f>VLOOKUP(C1830,Assumptions!$B$116:$C$162,2,FALSE)</f>
        <v>NG_SR_SML_C</v>
      </c>
      <c r="AH1830" t="str">
        <f>VLOOKUP(D1830,Assumptions!$B$116:$C$162,2,FALSE)</f>
        <v>C_GAS_STRG</v>
      </c>
      <c r="AI1830" t="str">
        <f>VLOOKUP(E1830,Assumptions!$B$116:$C$162,2,FALSE)</f>
        <v>H2_T&amp;D_P</v>
      </c>
      <c r="AJ1830" t="str">
        <f>VLOOKUP(F1830,Assumptions!$B$116:$C$162,2,FALSE)</f>
        <v>H2_OCGT_PWR</v>
      </c>
    </row>
    <row r="1831" spans="2:36" x14ac:dyDescent="0.25">
      <c r="B1831" t="s">
        <v>127</v>
      </c>
      <c r="C1831" t="s">
        <v>58</v>
      </c>
      <c r="D1831" t="s">
        <v>155</v>
      </c>
      <c r="E1831" t="s">
        <v>116</v>
      </c>
      <c r="F1831" t="s">
        <v>162</v>
      </c>
      <c r="G1831" t="s">
        <v>114</v>
      </c>
      <c r="H1831" t="s">
        <v>433</v>
      </c>
      <c r="I1831" t="s">
        <v>32</v>
      </c>
      <c r="J1831" t="s">
        <v>534</v>
      </c>
      <c r="K1831">
        <f t="shared" si="5729"/>
        <v>1</v>
      </c>
      <c r="L1831">
        <f t="shared" si="5730"/>
        <v>1</v>
      </c>
      <c r="M1831">
        <f t="shared" si="5731"/>
        <v>1</v>
      </c>
      <c r="N1831">
        <f t="shared" si="5732"/>
        <v>0</v>
      </c>
      <c r="O1831">
        <f t="shared" si="5724"/>
        <v>3</v>
      </c>
      <c r="P1831" t="str">
        <f t="shared" si="5733"/>
        <v>Small centralized natural gas steam reforming-Regulatory coverage</v>
      </c>
      <c r="Q1831" t="str">
        <f t="shared" si="5734"/>
        <v>Central gas storage-Regulatory coverage</v>
      </c>
      <c r="R1831" t="str">
        <f t="shared" si="5735"/>
        <v>Liquid hydrogen truck-Regulatory coverage</v>
      </c>
      <c r="S1831" t="str">
        <f t="shared" si="5736"/>
        <v>Hydrogen turbine (OC)-Regulatory coverage</v>
      </c>
      <c r="T1831">
        <f ca="1">VLOOKUP($P1831,'TA database'!$I$8:$J$79,2,FALSE)</f>
        <v>100</v>
      </c>
      <c r="U1831">
        <f ca="1">VLOOKUP($Q1831,'TA database'!$I$86:$J$105,2,FALSE)</f>
        <v>80</v>
      </c>
      <c r="V1831">
        <f ca="1">VLOOKUP($R1831,'TA database'!$I$112:$J$139,2,FALSE)</f>
        <v>40</v>
      </c>
      <c r="W1831">
        <f>IFERROR(VLOOKUP($S1831,'TA database'!$I$146:$J$193,2,FALSE),0)</f>
        <v>0</v>
      </c>
      <c r="X1831">
        <f ca="1">IFERROR(VLOOKUP($S1831,'TA database'!$I$200:$J$271,2,FALSE),0)</f>
        <v>50</v>
      </c>
      <c r="Y1831">
        <f t="shared" ca="1" si="5723"/>
        <v>67.5</v>
      </c>
      <c r="Z1831" t="str">
        <f t="shared" si="5725"/>
        <v>NG_SR_SML_C   →   C_GAS_STRG   →   LQ_TRUCK   →   H2_OCGT_PWR</v>
      </c>
      <c r="AA1831" t="str">
        <f t="shared" si="5726"/>
        <v>Grid electricity</v>
      </c>
      <c r="AB1831" t="str">
        <f t="shared" si="5727"/>
        <v>Regulatory coverage</v>
      </c>
      <c r="AC1831">
        <f t="shared" ca="1" si="5728"/>
        <v>67.5</v>
      </c>
      <c r="AD1831">
        <v>1772</v>
      </c>
      <c r="AE1831" t="str">
        <f>IF(AND(ISNUMBER(SEARCH(O1831,4)),ISNUMBER(SEARCH('(4) FCH pathway assessment'!$B$16,AB1831)),ISNUMBER(SEARCH('(4) FCH pathway assessment'!$B$10,AA1831))),AD1831,"")</f>
        <v/>
      </c>
      <c r="AF1831" t="str">
        <f t="shared" si="5638"/>
        <v/>
      </c>
      <c r="AG1831" t="str">
        <f>VLOOKUP(C1831,Assumptions!$B$116:$C$162,2,FALSE)</f>
        <v>NG_SR_SML_C</v>
      </c>
      <c r="AH1831" t="str">
        <f>VLOOKUP(D1831,Assumptions!$B$116:$C$162,2,FALSE)</f>
        <v>C_GAS_STRG</v>
      </c>
      <c r="AI1831" t="str">
        <f>VLOOKUP(E1831,Assumptions!$B$116:$C$162,2,FALSE)</f>
        <v>LQ_TRUCK</v>
      </c>
      <c r="AJ1831" t="str">
        <f>VLOOKUP(F1831,Assumptions!$B$116:$C$162,2,FALSE)</f>
        <v>H2_OCGT_PWR</v>
      </c>
    </row>
    <row r="1832" spans="2:36" x14ac:dyDescent="0.25">
      <c r="B1832" t="s">
        <v>127</v>
      </c>
      <c r="C1832" t="s">
        <v>58</v>
      </c>
      <c r="D1832" t="s">
        <v>155</v>
      </c>
      <c r="E1832" t="s">
        <v>66</v>
      </c>
      <c r="F1832" t="s">
        <v>162</v>
      </c>
      <c r="G1832" t="s">
        <v>114</v>
      </c>
      <c r="H1832" t="s">
        <v>433</v>
      </c>
      <c r="I1832" t="s">
        <v>32</v>
      </c>
      <c r="J1832" t="s">
        <v>534</v>
      </c>
      <c r="K1832">
        <f t="shared" si="5729"/>
        <v>1</v>
      </c>
      <c r="L1832">
        <f t="shared" si="5730"/>
        <v>1</v>
      </c>
      <c r="M1832">
        <f t="shared" si="5731"/>
        <v>1</v>
      </c>
      <c r="N1832">
        <f t="shared" si="5732"/>
        <v>0</v>
      </c>
      <c r="O1832">
        <f t="shared" si="5724"/>
        <v>3</v>
      </c>
      <c r="P1832" t="str">
        <f t="shared" si="5733"/>
        <v>Small centralized natural gas steam reforming-Regulatory coverage</v>
      </c>
      <c r="Q1832" t="str">
        <f t="shared" si="5734"/>
        <v>Central gas storage-Regulatory coverage</v>
      </c>
      <c r="R1832" t="str">
        <f t="shared" si="5735"/>
        <v>Onsite-Regulatory coverage</v>
      </c>
      <c r="S1832" t="str">
        <f t="shared" si="5736"/>
        <v>Hydrogen turbine (OC)-Regulatory coverage</v>
      </c>
      <c r="T1832">
        <f ca="1">VLOOKUP($P1832,'TA database'!$I$8:$J$79,2,FALSE)</f>
        <v>100</v>
      </c>
      <c r="U1832">
        <f ca="1">VLOOKUP($Q1832,'TA database'!$I$86:$J$105,2,FALSE)</f>
        <v>80</v>
      </c>
      <c r="V1832">
        <f ca="1">VLOOKUP($R1832,'TA database'!$I$112:$J$139,2,FALSE)</f>
        <v>100</v>
      </c>
      <c r="W1832">
        <f>IFERROR(VLOOKUP($S1832,'TA database'!$I$146:$J$193,2,FALSE),0)</f>
        <v>0</v>
      </c>
      <c r="X1832">
        <f ca="1">IFERROR(VLOOKUP($S1832,'TA database'!$I$200:$J$271,2,FALSE),0)</f>
        <v>50</v>
      </c>
      <c r="Y1832">
        <f t="shared" ca="1" si="5723"/>
        <v>82.5</v>
      </c>
      <c r="Z1832" t="str">
        <f t="shared" si="5725"/>
        <v>NG_SR_SML_C   →   C_GAS_STRG   →   ONSITE_USE   →   H2_OCGT_PWR</v>
      </c>
      <c r="AA1832" t="str">
        <f t="shared" si="5726"/>
        <v>Grid electricity</v>
      </c>
      <c r="AB1832" t="str">
        <f t="shared" si="5727"/>
        <v>Regulatory coverage</v>
      </c>
      <c r="AC1832">
        <f t="shared" ca="1" si="5728"/>
        <v>82.5</v>
      </c>
      <c r="AD1832">
        <v>1773</v>
      </c>
      <c r="AE1832" t="str">
        <f>IF(AND(ISNUMBER(SEARCH(O1832,4)),ISNUMBER(SEARCH('(4) FCH pathway assessment'!$B$16,AB1832)),ISNUMBER(SEARCH('(4) FCH pathway assessment'!$B$10,AA1832))),AD1832,"")</f>
        <v/>
      </c>
      <c r="AF1832" t="str">
        <f t="shared" si="5638"/>
        <v/>
      </c>
      <c r="AG1832" t="str">
        <f>VLOOKUP(C1832,Assumptions!$B$116:$C$162,2,FALSE)</f>
        <v>NG_SR_SML_C</v>
      </c>
      <c r="AH1832" t="str">
        <f>VLOOKUP(D1832,Assumptions!$B$116:$C$162,2,FALSE)</f>
        <v>C_GAS_STRG</v>
      </c>
      <c r="AI1832" t="str">
        <f>VLOOKUP(E1832,Assumptions!$B$116:$C$162,2,FALSE)</f>
        <v>ONSITE_USE</v>
      </c>
      <c r="AJ1832" t="str">
        <f>VLOOKUP(F1832,Assumptions!$B$116:$C$162,2,FALSE)</f>
        <v>H2_OCGT_PWR</v>
      </c>
    </row>
    <row r="1833" spans="2:36" x14ac:dyDescent="0.25">
      <c r="B1833" t="s">
        <v>127</v>
      </c>
      <c r="C1833" t="s">
        <v>59</v>
      </c>
      <c r="D1833" s="60" t="s">
        <v>130</v>
      </c>
      <c r="E1833" t="s">
        <v>66</v>
      </c>
      <c r="F1833" t="s">
        <v>162</v>
      </c>
      <c r="G1833" t="s">
        <v>114</v>
      </c>
      <c r="H1833" t="s">
        <v>433</v>
      </c>
      <c r="I1833" t="s">
        <v>32</v>
      </c>
      <c r="J1833" t="s">
        <v>534</v>
      </c>
      <c r="K1833">
        <f t="shared" ref="K1833:K1834" si="5737">SUMPRODUCT(($C$7:$C$18=$C1833)*($D$6:$H$6=$D1833)*($D$7:$H$18))</f>
        <v>1</v>
      </c>
      <c r="L1833">
        <f t="shared" ref="L1833:L1834" si="5738">SUMPRODUCT(($C$19:$C$23=$D1833)*($I$6:$O$6=$E1833)*($I$19:$O$23))</f>
        <v>1</v>
      </c>
      <c r="M1833">
        <f t="shared" ref="M1833:M1834" si="5739">SUMPRODUCT(($C$24:$C$30=$E1833)*($P$6:$AI$6=$F1833)*($P$24:$AI$30))</f>
        <v>1</v>
      </c>
      <c r="N1833">
        <f t="shared" ref="N1833:N1834" si="5740">SUMPRODUCT(($C$31:$C$50=$F1833)*($AJ$6:$AM$6=$G1833)*($AJ$31:$AM$50))</f>
        <v>0</v>
      </c>
      <c r="O1833">
        <f t="shared" ref="O1833:O1834" si="5741">K1833+L1833+M1833+N1833</f>
        <v>3</v>
      </c>
      <c r="P1833" t="str">
        <f t="shared" ref="P1833:P1834" si="5742">CONCATENATE(C1833,"-",J1833)</f>
        <v>Medium decentralized natural gas steam reforming-Regulatory coverage</v>
      </c>
      <c r="Q1833" t="str">
        <f t="shared" ref="Q1833:Q1834" si="5743">CONCATENATE(D1833,"-",J1833)</f>
        <v>Distributed gas storage-Regulatory coverage</v>
      </c>
      <c r="R1833" t="str">
        <f t="shared" ref="R1833:R1834" si="5744">CONCATENATE(E1833,"-",J1833)</f>
        <v>Onsite-Regulatory coverage</v>
      </c>
      <c r="S1833" t="str">
        <f t="shared" ref="S1833:S1834" si="5745">CONCATENATE(F1833,"-",J1833)</f>
        <v>Hydrogen turbine (OC)-Regulatory coverage</v>
      </c>
      <c r="T1833">
        <f ca="1">VLOOKUP($P1833,'TA database'!$I$8:$J$79,2,FALSE)</f>
        <v>100</v>
      </c>
      <c r="U1833">
        <f ca="1">VLOOKUP($Q1833,'TA database'!$I$86:$J$105,2,FALSE)</f>
        <v>100</v>
      </c>
      <c r="V1833">
        <f ca="1">VLOOKUP($R1833,'TA database'!$I$112:$J$139,2,FALSE)</f>
        <v>100</v>
      </c>
      <c r="W1833">
        <f>IFERROR(VLOOKUP($S1833,'TA database'!$I$146:$J$193,2,FALSE),0)</f>
        <v>0</v>
      </c>
      <c r="X1833">
        <f ca="1">IFERROR(VLOOKUP($S1833,'TA database'!$I$200:$J$271,2,FALSE),0)</f>
        <v>50</v>
      </c>
      <c r="Y1833">
        <f t="shared" ref="Y1833" ca="1" si="5746">IF($W1833=0,SUM($T1833:$V1833,$X1833)/4,SUM($T1833:$W1833)/4)</f>
        <v>87.5</v>
      </c>
      <c r="Z1833" t="str">
        <f t="shared" ref="Z1833:Z1834" si="5747">CONCATENATE(AG1833,"   →   ",AH1833,"   →   ",AI1833,"   →   ",AJ1833)</f>
        <v>NG_SR_MED_D   →   D_GAS_STRG   →   ONSITE_USE   →   H2_OCGT_PWR</v>
      </c>
      <c r="AA1833" t="str">
        <f t="shared" ref="AA1833:AA1834" si="5748">G1833</f>
        <v>Grid electricity</v>
      </c>
      <c r="AB1833" t="str">
        <f t="shared" ref="AB1833:AB1834" si="5749">J1833</f>
        <v>Regulatory coverage</v>
      </c>
      <c r="AC1833">
        <f t="shared" ref="AC1833:AC1834" ca="1" si="5750">Y1833</f>
        <v>87.5</v>
      </c>
      <c r="AD1833">
        <v>1774</v>
      </c>
      <c r="AE1833" t="str">
        <f>IF(AND(ISNUMBER(SEARCH(O1833,4)),ISNUMBER(SEARCH('(4) FCH pathway assessment'!$B$16,AB1833)),ISNUMBER(SEARCH('(4) FCH pathway assessment'!$B$10,AA1833))),AD1833,"")</f>
        <v/>
      </c>
      <c r="AF1833" t="str">
        <f t="shared" si="5638"/>
        <v/>
      </c>
      <c r="AG1833" t="str">
        <f>VLOOKUP(C1833,Assumptions!$B$116:$C$162,2,FALSE)</f>
        <v>NG_SR_MED_D</v>
      </c>
      <c r="AH1833" t="str">
        <f>VLOOKUP(D1833,Assumptions!$B$116:$C$162,2,FALSE)</f>
        <v>D_GAS_STRG</v>
      </c>
      <c r="AI1833" t="str">
        <f>VLOOKUP(E1833,Assumptions!$B$116:$C$162,2,FALSE)</f>
        <v>ONSITE_USE</v>
      </c>
      <c r="AJ1833" t="str">
        <f>VLOOKUP(F1833,Assumptions!$B$116:$C$162,2,FALSE)</f>
        <v>H2_OCGT_PWR</v>
      </c>
    </row>
    <row r="1834" spans="2:36" x14ac:dyDescent="0.25">
      <c r="B1834" t="s">
        <v>127</v>
      </c>
      <c r="C1834" t="s">
        <v>60</v>
      </c>
      <c r="D1834" s="60" t="s">
        <v>130</v>
      </c>
      <c r="E1834" t="s">
        <v>66</v>
      </c>
      <c r="F1834" t="s">
        <v>162</v>
      </c>
      <c r="G1834" t="s">
        <v>114</v>
      </c>
      <c r="H1834" t="s">
        <v>433</v>
      </c>
      <c r="I1834" t="s">
        <v>32</v>
      </c>
      <c r="J1834" t="s">
        <v>534</v>
      </c>
      <c r="K1834">
        <f t="shared" si="5737"/>
        <v>1</v>
      </c>
      <c r="L1834">
        <f t="shared" si="5738"/>
        <v>1</v>
      </c>
      <c r="M1834">
        <f t="shared" si="5739"/>
        <v>1</v>
      </c>
      <c r="N1834">
        <f t="shared" si="5740"/>
        <v>0</v>
      </c>
      <c r="O1834">
        <f t="shared" si="5741"/>
        <v>3</v>
      </c>
      <c r="P1834" t="str">
        <f t="shared" si="5742"/>
        <v>Small decentralized natural gas steam reforming-Regulatory coverage</v>
      </c>
      <c r="Q1834" t="str">
        <f t="shared" si="5743"/>
        <v>Distributed gas storage-Regulatory coverage</v>
      </c>
      <c r="R1834" t="str">
        <f t="shared" si="5744"/>
        <v>Onsite-Regulatory coverage</v>
      </c>
      <c r="S1834" t="str">
        <f t="shared" si="5745"/>
        <v>Hydrogen turbine (OC)-Regulatory coverage</v>
      </c>
      <c r="T1834">
        <f ca="1">VLOOKUP($P1834,'TA database'!$I$8:$J$79,2,FALSE)</f>
        <v>100</v>
      </c>
      <c r="U1834">
        <f ca="1">VLOOKUP($Q1834,'TA database'!$I$86:$J$105,2,FALSE)</f>
        <v>100</v>
      </c>
      <c r="V1834">
        <f ca="1">VLOOKUP($R1834,'TA database'!$I$112:$J$139,2,FALSE)</f>
        <v>100</v>
      </c>
      <c r="W1834">
        <f>IFERROR(VLOOKUP($S1834,'TA database'!$I$146:$J$193,2,FALSE),0)</f>
        <v>0</v>
      </c>
      <c r="X1834">
        <f ca="1">IFERROR(VLOOKUP($S1834,'TA database'!$I$200:$J$271,2,FALSE),0)</f>
        <v>50</v>
      </c>
      <c r="Y1834">
        <f t="shared" ref="Y1834" ca="1" si="5751">IF($W1834=0,SUM($T1834:$V1834,$X1834)/4,SUM($T1834:$W1834)/4)</f>
        <v>87.5</v>
      </c>
      <c r="Z1834" t="str">
        <f t="shared" si="5747"/>
        <v>NG_SR_SML_D   →   D_GAS_STRG   →   ONSITE_USE   →   H2_OCGT_PWR</v>
      </c>
      <c r="AA1834" t="str">
        <f t="shared" si="5748"/>
        <v>Grid electricity</v>
      </c>
      <c r="AB1834" t="str">
        <f t="shared" si="5749"/>
        <v>Regulatory coverage</v>
      </c>
      <c r="AC1834">
        <f t="shared" ca="1" si="5750"/>
        <v>87.5</v>
      </c>
      <c r="AD1834">
        <v>1775</v>
      </c>
      <c r="AE1834" t="str">
        <f>IF(AND(ISNUMBER(SEARCH(O1834,4)),ISNUMBER(SEARCH('(4) FCH pathway assessment'!$B$16,AB1834)),ISNUMBER(SEARCH('(4) FCH pathway assessment'!$B$10,AA1834))),AD1834,"")</f>
        <v/>
      </c>
      <c r="AF1834" t="str">
        <f t="shared" si="5638"/>
        <v/>
      </c>
      <c r="AG1834" t="str">
        <f>VLOOKUP(C1834,Assumptions!$B$116:$C$162,2,FALSE)</f>
        <v>NG_SR_SML_D</v>
      </c>
      <c r="AH1834" t="str">
        <f>VLOOKUP(D1834,Assumptions!$B$116:$C$162,2,FALSE)</f>
        <v>D_GAS_STRG</v>
      </c>
      <c r="AI1834" t="str">
        <f>VLOOKUP(E1834,Assumptions!$B$116:$C$162,2,FALSE)</f>
        <v>ONSITE_USE</v>
      </c>
      <c r="AJ1834" t="str">
        <f>VLOOKUP(F1834,Assumptions!$B$116:$C$162,2,FALSE)</f>
        <v>H2_OCGT_PWR</v>
      </c>
    </row>
    <row r="1835" spans="2:36" x14ac:dyDescent="0.25">
      <c r="B1835" t="s">
        <v>117</v>
      </c>
      <c r="C1835" t="s">
        <v>53</v>
      </c>
      <c r="D1835" t="s">
        <v>155</v>
      </c>
      <c r="E1835" t="s">
        <v>157</v>
      </c>
      <c r="F1835" t="s">
        <v>164</v>
      </c>
      <c r="G1835" t="s">
        <v>126</v>
      </c>
      <c r="H1835" t="s">
        <v>433</v>
      </c>
      <c r="I1835" t="s">
        <v>32</v>
      </c>
      <c r="J1835" t="s">
        <v>534</v>
      </c>
      <c r="K1835">
        <f t="shared" ref="K1835:K1837" si="5752">SUMPRODUCT(($C$7:$C$18=$C1835)*($D$6:$H$6=$D1835)*($D$7:$H$18))</f>
        <v>0</v>
      </c>
      <c r="L1835">
        <f t="shared" ref="L1835:L1837" si="5753">SUMPRODUCT(($C$19:$C$23=$D1835)*($I$6:$O$6=$E1835)*($I$19:$O$23))</f>
        <v>1</v>
      </c>
      <c r="M1835">
        <f t="shared" ref="M1835:M1837" si="5754">SUMPRODUCT(($C$24:$C$30=$E1835)*($P$6:$AI$6=$F1835)*($P$24:$AI$30))</f>
        <v>0</v>
      </c>
      <c r="N1835">
        <f t="shared" ref="N1835:N1837" si="5755">SUMPRODUCT(($C$31:$C$50=$F1835)*($AJ$6:$AM$6=$G1835)*($AJ$31:$AM$50))</f>
        <v>1</v>
      </c>
      <c r="O1835">
        <f t="shared" ref="O1835:O1836" si="5756">K1835+L1835+M1835+N1835</f>
        <v>2</v>
      </c>
      <c r="P1835" t="str">
        <f t="shared" ref="P1835:P1837" si="5757">CONCATENATE(C1835,"-",J1835)</f>
        <v>Medium centralized biomass gasification-Regulatory coverage</v>
      </c>
      <c r="Q1835" t="str">
        <f t="shared" ref="Q1835:Q1837" si="5758">CONCATENATE(D1835,"-",J1835)</f>
        <v>Central gas storage-Regulatory coverage</v>
      </c>
      <c r="R1835" t="str">
        <f t="shared" ref="R1835:R1837" si="5759">CONCATENATE(E1835,"-",J1835)</f>
        <v>Blending in natural gas pipeline-Regulatory coverage</v>
      </c>
      <c r="S1835" t="str">
        <f t="shared" ref="S1835:S1837" si="5760">CONCATENATE(F1835,"-",J1835)</f>
        <v>Prime power H2 fuel cell-Regulatory coverage</v>
      </c>
      <c r="T1835">
        <f ca="1">VLOOKUP($P1835,'TA database'!$I$8:$J$79,2,FALSE)</f>
        <v>100</v>
      </c>
      <c r="U1835">
        <f ca="1">VLOOKUP($Q1835,'TA database'!$I$86:$J$105,2,FALSE)</f>
        <v>80</v>
      </c>
      <c r="V1835">
        <f ca="1">VLOOKUP($R1835,'TA database'!$I$112:$J$139,2,FALSE)</f>
        <v>100</v>
      </c>
      <c r="W1835">
        <f>IFERROR(VLOOKUP($S1835,'TA database'!$I$146:$J$193,2,FALSE),0)</f>
        <v>0</v>
      </c>
      <c r="X1835">
        <f ca="1">IFERROR(VLOOKUP($S1835,'TA database'!$I$200:$J$271,2,FALSE),0)</f>
        <v>100</v>
      </c>
      <c r="Y1835">
        <f t="shared" ref="Y1835:Y1840" ca="1" si="5761">IF($W1835=0,SUM($T1835:$V1835,$X1835)/4,SUM($T1835:$W1835)/4)</f>
        <v>95</v>
      </c>
      <c r="Z1835" t="str">
        <f t="shared" ref="Z1835:Z1836" si="5762">CONCATENATE(AG1835,"   →   ",AH1835,"   →   ",AI1835,"   →   ",AJ1835)</f>
        <v>BIO_GSF_MED_C   →   C_GAS_STRG   →   H2_BLND_NG_P   →   H2_FC_PWR</v>
      </c>
      <c r="AA1835" t="str">
        <f t="shared" ref="AA1835:AA1836" si="5763">G1835</f>
        <v>Onsite / Back-up power</v>
      </c>
      <c r="AB1835" t="str">
        <f t="shared" ref="AB1835:AB1836" si="5764">J1835</f>
        <v>Regulatory coverage</v>
      </c>
      <c r="AC1835">
        <f t="shared" ref="AC1835:AC1836" ca="1" si="5765">Y1835</f>
        <v>95</v>
      </c>
      <c r="AD1835">
        <v>1776</v>
      </c>
      <c r="AE1835" t="str">
        <f>IF(AND(ISNUMBER(SEARCH(O1835,4)),ISNUMBER(SEARCH('(4) FCH pathway assessment'!$B$16,AB1835)),ISNUMBER(SEARCH('(4) FCH pathway assessment'!$B$10,AA1835))),AD1835,"")</f>
        <v/>
      </c>
      <c r="AF1835" t="str">
        <f t="shared" si="5638"/>
        <v/>
      </c>
      <c r="AG1835" t="str">
        <f>VLOOKUP(C1835,Assumptions!$B$116:$C$162,2,FALSE)</f>
        <v>BIO_GSF_MED_C</v>
      </c>
      <c r="AH1835" t="str">
        <f>VLOOKUP(D1835,Assumptions!$B$116:$C$162,2,FALSE)</f>
        <v>C_GAS_STRG</v>
      </c>
      <c r="AI1835" t="str">
        <f>VLOOKUP(E1835,Assumptions!$B$116:$C$162,2,FALSE)</f>
        <v>H2_BLND_NG_P</v>
      </c>
      <c r="AJ1835" t="str">
        <f>VLOOKUP(F1835,Assumptions!$B$116:$C$162,2,FALSE)</f>
        <v>H2_FC_PWR</v>
      </c>
    </row>
    <row r="1836" spans="2:36" x14ac:dyDescent="0.25">
      <c r="B1836" t="s">
        <v>117</v>
      </c>
      <c r="C1836" t="s">
        <v>53</v>
      </c>
      <c r="D1836" t="s">
        <v>155</v>
      </c>
      <c r="E1836" t="s">
        <v>122</v>
      </c>
      <c r="F1836" t="s">
        <v>164</v>
      </c>
      <c r="G1836" t="s">
        <v>126</v>
      </c>
      <c r="H1836" t="s">
        <v>433</v>
      </c>
      <c r="I1836" t="s">
        <v>32</v>
      </c>
      <c r="J1836" t="s">
        <v>534</v>
      </c>
      <c r="K1836">
        <f t="shared" si="5752"/>
        <v>0</v>
      </c>
      <c r="L1836">
        <f t="shared" si="5753"/>
        <v>1</v>
      </c>
      <c r="M1836">
        <f t="shared" si="5754"/>
        <v>1</v>
      </c>
      <c r="N1836">
        <f t="shared" si="5755"/>
        <v>1</v>
      </c>
      <c r="O1836">
        <f t="shared" si="5756"/>
        <v>3</v>
      </c>
      <c r="P1836" t="str">
        <f t="shared" si="5757"/>
        <v>Medium centralized biomass gasification-Regulatory coverage</v>
      </c>
      <c r="Q1836" t="str">
        <f t="shared" si="5758"/>
        <v>Central gas storage-Regulatory coverage</v>
      </c>
      <c r="R1836" t="str">
        <f t="shared" si="5759"/>
        <v>Hydrogen transmission &amp; distribution pipeline-Regulatory coverage</v>
      </c>
      <c r="S1836" t="str">
        <f t="shared" si="5760"/>
        <v>Prime power H2 fuel cell-Regulatory coverage</v>
      </c>
      <c r="T1836">
        <f ca="1">VLOOKUP($P1836,'TA database'!$I$8:$J$79,2,FALSE)</f>
        <v>100</v>
      </c>
      <c r="U1836">
        <f ca="1">VLOOKUP($Q1836,'TA database'!$I$86:$J$105,2,FALSE)</f>
        <v>80</v>
      </c>
      <c r="V1836">
        <f ca="1">VLOOKUP($R1836,'TA database'!$I$112:$J$139,2,FALSE)</f>
        <v>40</v>
      </c>
      <c r="W1836">
        <f>IFERROR(VLOOKUP($S1836,'TA database'!$I$146:$J$193,2,FALSE),0)</f>
        <v>0</v>
      </c>
      <c r="X1836">
        <f ca="1">IFERROR(VLOOKUP($S1836,'TA database'!$I$200:$J$271,2,FALSE),0)</f>
        <v>100</v>
      </c>
      <c r="Y1836">
        <f t="shared" ca="1" si="5761"/>
        <v>80</v>
      </c>
      <c r="Z1836" t="str">
        <f t="shared" si="5762"/>
        <v>BIO_GSF_MED_C   →   C_GAS_STRG   →   H2_T&amp;D_P   →   H2_FC_PWR</v>
      </c>
      <c r="AA1836" t="str">
        <f t="shared" si="5763"/>
        <v>Onsite / Back-up power</v>
      </c>
      <c r="AB1836" t="str">
        <f t="shared" si="5764"/>
        <v>Regulatory coverage</v>
      </c>
      <c r="AC1836">
        <f t="shared" ca="1" si="5765"/>
        <v>80</v>
      </c>
      <c r="AD1836">
        <v>1777</v>
      </c>
      <c r="AE1836" t="str">
        <f>IF(AND(ISNUMBER(SEARCH(O1836,4)),ISNUMBER(SEARCH('(4) FCH pathway assessment'!$B$16,AB1836)),ISNUMBER(SEARCH('(4) FCH pathway assessment'!$B$10,AA1836))),AD1836,"")</f>
        <v/>
      </c>
      <c r="AF1836" t="str">
        <f t="shared" si="5638"/>
        <v/>
      </c>
      <c r="AG1836" t="str">
        <f>VLOOKUP(C1836,Assumptions!$B$116:$C$162,2,FALSE)</f>
        <v>BIO_GSF_MED_C</v>
      </c>
      <c r="AH1836" t="str">
        <f>VLOOKUP(D1836,Assumptions!$B$116:$C$162,2,FALSE)</f>
        <v>C_GAS_STRG</v>
      </c>
      <c r="AI1836" t="str">
        <f>VLOOKUP(E1836,Assumptions!$B$116:$C$162,2,FALSE)</f>
        <v>H2_T&amp;D_P</v>
      </c>
      <c r="AJ1836" t="str">
        <f>VLOOKUP(F1836,Assumptions!$B$116:$C$162,2,FALSE)</f>
        <v>H2_FC_PWR</v>
      </c>
    </row>
    <row r="1837" spans="2:36" x14ac:dyDescent="0.25">
      <c r="B1837" t="s">
        <v>117</v>
      </c>
      <c r="C1837" t="s">
        <v>53</v>
      </c>
      <c r="D1837" t="s">
        <v>155</v>
      </c>
      <c r="E1837" t="s">
        <v>66</v>
      </c>
      <c r="F1837" t="s">
        <v>164</v>
      </c>
      <c r="G1837" t="s">
        <v>126</v>
      </c>
      <c r="H1837" t="s">
        <v>433</v>
      </c>
      <c r="I1837" t="s">
        <v>32</v>
      </c>
      <c r="J1837" t="s">
        <v>534</v>
      </c>
      <c r="K1837">
        <f t="shared" si="5752"/>
        <v>0</v>
      </c>
      <c r="L1837">
        <f t="shared" si="5753"/>
        <v>1</v>
      </c>
      <c r="M1837">
        <f t="shared" si="5754"/>
        <v>1</v>
      </c>
      <c r="N1837">
        <f t="shared" si="5755"/>
        <v>1</v>
      </c>
      <c r="O1837">
        <f t="shared" ref="O1837:O1840" si="5766">K1837+L1837+M1837+N1837</f>
        <v>3</v>
      </c>
      <c r="P1837" t="str">
        <f t="shared" si="5757"/>
        <v>Medium centralized biomass gasification-Regulatory coverage</v>
      </c>
      <c r="Q1837" t="str">
        <f t="shared" si="5758"/>
        <v>Central gas storage-Regulatory coverage</v>
      </c>
      <c r="R1837" t="str">
        <f t="shared" si="5759"/>
        <v>Onsite-Regulatory coverage</v>
      </c>
      <c r="S1837" t="str">
        <f t="shared" si="5760"/>
        <v>Prime power H2 fuel cell-Regulatory coverage</v>
      </c>
      <c r="T1837">
        <f ca="1">VLOOKUP($P1837,'TA database'!$I$8:$J$79,2,FALSE)</f>
        <v>100</v>
      </c>
      <c r="U1837">
        <f ca="1">VLOOKUP($Q1837,'TA database'!$I$86:$J$105,2,FALSE)</f>
        <v>80</v>
      </c>
      <c r="V1837">
        <f ca="1">VLOOKUP($R1837,'TA database'!$I$112:$J$139,2,FALSE)</f>
        <v>100</v>
      </c>
      <c r="W1837">
        <f>IFERROR(VLOOKUP($S1837,'TA database'!$I$146:$J$193,2,FALSE),0)</f>
        <v>0</v>
      </c>
      <c r="X1837">
        <f ca="1">IFERROR(VLOOKUP($S1837,'TA database'!$I$200:$J$271,2,FALSE),0)</f>
        <v>100</v>
      </c>
      <c r="Y1837">
        <f t="shared" ca="1" si="5761"/>
        <v>95</v>
      </c>
      <c r="Z1837" t="str">
        <f t="shared" ref="Z1837:Z1840" si="5767">CONCATENATE(AG1837,"   →   ",AH1837,"   →   ",AI1837,"   →   ",AJ1837)</f>
        <v>BIO_GSF_MED_C   →   C_GAS_STRG   →   ONSITE_USE   →   H2_FC_PWR</v>
      </c>
      <c r="AA1837" t="str">
        <f t="shared" ref="AA1837:AA1840" si="5768">G1837</f>
        <v>Onsite / Back-up power</v>
      </c>
      <c r="AB1837" t="str">
        <f t="shared" ref="AB1837:AB1840" si="5769">J1837</f>
        <v>Regulatory coverage</v>
      </c>
      <c r="AC1837">
        <f t="shared" ref="AC1837:AC1840" ca="1" si="5770">Y1837</f>
        <v>95</v>
      </c>
      <c r="AD1837">
        <v>1778</v>
      </c>
      <c r="AE1837" t="str">
        <f>IF(AND(ISNUMBER(SEARCH(O1837,4)),ISNUMBER(SEARCH('(4) FCH pathway assessment'!$B$16,AB1837)),ISNUMBER(SEARCH('(4) FCH pathway assessment'!$B$10,AA1837))),AD1837,"")</f>
        <v/>
      </c>
      <c r="AF1837" t="str">
        <f t="shared" si="5638"/>
        <v/>
      </c>
      <c r="AG1837" t="str">
        <f>VLOOKUP(C1837,Assumptions!$B$116:$C$162,2,FALSE)</f>
        <v>BIO_GSF_MED_C</v>
      </c>
      <c r="AH1837" t="str">
        <f>VLOOKUP(D1837,Assumptions!$B$116:$C$162,2,FALSE)</f>
        <v>C_GAS_STRG</v>
      </c>
      <c r="AI1837" t="str">
        <f>VLOOKUP(E1837,Assumptions!$B$116:$C$162,2,FALSE)</f>
        <v>ONSITE_USE</v>
      </c>
      <c r="AJ1837" t="str">
        <f>VLOOKUP(F1837,Assumptions!$B$116:$C$162,2,FALSE)</f>
        <v>H2_FC_PWR</v>
      </c>
    </row>
    <row r="1838" spans="2:36" x14ac:dyDescent="0.25">
      <c r="B1838" t="s">
        <v>117</v>
      </c>
      <c r="C1838" t="s">
        <v>54</v>
      </c>
      <c r="D1838" t="s">
        <v>155</v>
      </c>
      <c r="E1838" t="s">
        <v>157</v>
      </c>
      <c r="F1838" t="s">
        <v>164</v>
      </c>
      <c r="G1838" t="s">
        <v>126</v>
      </c>
      <c r="H1838" t="s">
        <v>433</v>
      </c>
      <c r="I1838" t="s">
        <v>32</v>
      </c>
      <c r="J1838" t="s">
        <v>534</v>
      </c>
      <c r="K1838">
        <f t="shared" ref="K1838:K1840" si="5771">SUMPRODUCT(($C$7:$C$18=$C1838)*($D$6:$H$6=$D1838)*($D$7:$H$18))</f>
        <v>0</v>
      </c>
      <c r="L1838">
        <f t="shared" ref="L1838:L1840" si="5772">SUMPRODUCT(($C$19:$C$23=$D1838)*($I$6:$O$6=$E1838)*($I$19:$O$23))</f>
        <v>1</v>
      </c>
      <c r="M1838">
        <f t="shared" ref="M1838:M1840" si="5773">SUMPRODUCT(($C$24:$C$30=$E1838)*($P$6:$AI$6=$F1838)*($P$24:$AI$30))</f>
        <v>0</v>
      </c>
      <c r="N1838">
        <f t="shared" ref="N1838:N1840" si="5774">SUMPRODUCT(($C$31:$C$50=$F1838)*($AJ$6:$AM$6=$G1838)*($AJ$31:$AM$50))</f>
        <v>1</v>
      </c>
      <c r="O1838">
        <f t="shared" si="5766"/>
        <v>2</v>
      </c>
      <c r="P1838" t="str">
        <f t="shared" ref="P1838:P1840" si="5775">CONCATENATE(C1838,"-",J1838)</f>
        <v>Medium centralized biomass gasification w/ CCS-Regulatory coverage</v>
      </c>
      <c r="Q1838" t="str">
        <f t="shared" ref="Q1838:Q1840" si="5776">CONCATENATE(D1838,"-",J1838)</f>
        <v>Central gas storage-Regulatory coverage</v>
      </c>
      <c r="R1838" t="str">
        <f t="shared" ref="R1838:R1840" si="5777">CONCATENATE(E1838,"-",J1838)</f>
        <v>Blending in natural gas pipeline-Regulatory coverage</v>
      </c>
      <c r="S1838" t="str">
        <f t="shared" ref="S1838:S1840" si="5778">CONCATENATE(F1838,"-",J1838)</f>
        <v>Prime power H2 fuel cell-Regulatory coverage</v>
      </c>
      <c r="T1838">
        <f ca="1">VLOOKUP($P1838,'TA database'!$I$8:$J$79,2,FALSE)</f>
        <v>80</v>
      </c>
      <c r="U1838">
        <f ca="1">VLOOKUP($Q1838,'TA database'!$I$86:$J$105,2,FALSE)</f>
        <v>80</v>
      </c>
      <c r="V1838">
        <f ca="1">VLOOKUP($R1838,'TA database'!$I$112:$J$139,2,FALSE)</f>
        <v>100</v>
      </c>
      <c r="W1838">
        <f>IFERROR(VLOOKUP($S1838,'TA database'!$I$146:$J$193,2,FALSE),0)</f>
        <v>0</v>
      </c>
      <c r="X1838">
        <f ca="1">IFERROR(VLOOKUP($S1838,'TA database'!$I$200:$J$271,2,FALSE),0)</f>
        <v>100</v>
      </c>
      <c r="Y1838">
        <f t="shared" ca="1" si="5761"/>
        <v>90</v>
      </c>
      <c r="Z1838" t="str">
        <f t="shared" si="5767"/>
        <v>BIO_GSF_CCS_MED_C   →   C_GAS_STRG   →   H2_BLND_NG_P   →   H2_FC_PWR</v>
      </c>
      <c r="AA1838" t="str">
        <f t="shared" si="5768"/>
        <v>Onsite / Back-up power</v>
      </c>
      <c r="AB1838" t="str">
        <f t="shared" si="5769"/>
        <v>Regulatory coverage</v>
      </c>
      <c r="AC1838">
        <f t="shared" ca="1" si="5770"/>
        <v>90</v>
      </c>
      <c r="AD1838">
        <v>1779</v>
      </c>
      <c r="AE1838" t="str">
        <f>IF(AND(ISNUMBER(SEARCH(O1838,4)),ISNUMBER(SEARCH('(4) FCH pathway assessment'!$B$16,AB1838)),ISNUMBER(SEARCH('(4) FCH pathway assessment'!$B$10,AA1838))),AD1838,"")</f>
        <v/>
      </c>
      <c r="AF1838" t="str">
        <f t="shared" si="5638"/>
        <v/>
      </c>
      <c r="AG1838" t="str">
        <f>VLOOKUP(C1838,Assumptions!$B$116:$C$162,2,FALSE)</f>
        <v>BIO_GSF_CCS_MED_C</v>
      </c>
      <c r="AH1838" t="str">
        <f>VLOOKUP(D1838,Assumptions!$B$116:$C$162,2,FALSE)</f>
        <v>C_GAS_STRG</v>
      </c>
      <c r="AI1838" t="str">
        <f>VLOOKUP(E1838,Assumptions!$B$116:$C$162,2,FALSE)</f>
        <v>H2_BLND_NG_P</v>
      </c>
      <c r="AJ1838" t="str">
        <f>VLOOKUP(F1838,Assumptions!$B$116:$C$162,2,FALSE)</f>
        <v>H2_FC_PWR</v>
      </c>
    </row>
    <row r="1839" spans="2:36" x14ac:dyDescent="0.25">
      <c r="B1839" t="s">
        <v>117</v>
      </c>
      <c r="C1839" t="s">
        <v>54</v>
      </c>
      <c r="D1839" t="s">
        <v>155</v>
      </c>
      <c r="E1839" t="s">
        <v>122</v>
      </c>
      <c r="F1839" t="s">
        <v>164</v>
      </c>
      <c r="G1839" t="s">
        <v>126</v>
      </c>
      <c r="H1839" t="s">
        <v>433</v>
      </c>
      <c r="I1839" t="s">
        <v>32</v>
      </c>
      <c r="J1839" t="s">
        <v>534</v>
      </c>
      <c r="K1839">
        <f t="shared" si="5771"/>
        <v>0</v>
      </c>
      <c r="L1839">
        <f t="shared" si="5772"/>
        <v>1</v>
      </c>
      <c r="M1839">
        <f t="shared" si="5773"/>
        <v>1</v>
      </c>
      <c r="N1839">
        <f t="shared" si="5774"/>
        <v>1</v>
      </c>
      <c r="O1839">
        <f t="shared" si="5766"/>
        <v>3</v>
      </c>
      <c r="P1839" t="str">
        <f t="shared" si="5775"/>
        <v>Medium centralized biomass gasification w/ CCS-Regulatory coverage</v>
      </c>
      <c r="Q1839" t="str">
        <f t="shared" si="5776"/>
        <v>Central gas storage-Regulatory coverage</v>
      </c>
      <c r="R1839" t="str">
        <f t="shared" si="5777"/>
        <v>Hydrogen transmission &amp; distribution pipeline-Regulatory coverage</v>
      </c>
      <c r="S1839" t="str">
        <f t="shared" si="5778"/>
        <v>Prime power H2 fuel cell-Regulatory coverage</v>
      </c>
      <c r="T1839">
        <f ca="1">VLOOKUP($P1839,'TA database'!$I$8:$J$79,2,FALSE)</f>
        <v>80</v>
      </c>
      <c r="U1839">
        <f ca="1">VLOOKUP($Q1839,'TA database'!$I$86:$J$105,2,FALSE)</f>
        <v>80</v>
      </c>
      <c r="V1839">
        <f ca="1">VLOOKUP($R1839,'TA database'!$I$112:$J$139,2,FALSE)</f>
        <v>40</v>
      </c>
      <c r="W1839">
        <f>IFERROR(VLOOKUP($S1839,'TA database'!$I$146:$J$193,2,FALSE),0)</f>
        <v>0</v>
      </c>
      <c r="X1839">
        <f ca="1">IFERROR(VLOOKUP($S1839,'TA database'!$I$200:$J$271,2,FALSE),0)</f>
        <v>100</v>
      </c>
      <c r="Y1839">
        <f t="shared" ca="1" si="5761"/>
        <v>75</v>
      </c>
      <c r="Z1839" t="str">
        <f t="shared" si="5767"/>
        <v>BIO_GSF_CCS_MED_C   →   C_GAS_STRG   →   H2_T&amp;D_P   →   H2_FC_PWR</v>
      </c>
      <c r="AA1839" t="str">
        <f t="shared" si="5768"/>
        <v>Onsite / Back-up power</v>
      </c>
      <c r="AB1839" t="str">
        <f t="shared" si="5769"/>
        <v>Regulatory coverage</v>
      </c>
      <c r="AC1839">
        <f t="shared" ca="1" si="5770"/>
        <v>75</v>
      </c>
      <c r="AD1839">
        <v>1780</v>
      </c>
      <c r="AE1839" t="str">
        <f>IF(AND(ISNUMBER(SEARCH(O1839,4)),ISNUMBER(SEARCH('(4) FCH pathway assessment'!$B$16,AB1839)),ISNUMBER(SEARCH('(4) FCH pathway assessment'!$B$10,AA1839))),AD1839,"")</f>
        <v/>
      </c>
      <c r="AF1839" t="str">
        <f t="shared" si="5638"/>
        <v/>
      </c>
      <c r="AG1839" t="str">
        <f>VLOOKUP(C1839,Assumptions!$B$116:$C$162,2,FALSE)</f>
        <v>BIO_GSF_CCS_MED_C</v>
      </c>
      <c r="AH1839" t="str">
        <f>VLOOKUP(D1839,Assumptions!$B$116:$C$162,2,FALSE)</f>
        <v>C_GAS_STRG</v>
      </c>
      <c r="AI1839" t="str">
        <f>VLOOKUP(E1839,Assumptions!$B$116:$C$162,2,FALSE)</f>
        <v>H2_T&amp;D_P</v>
      </c>
      <c r="AJ1839" t="str">
        <f>VLOOKUP(F1839,Assumptions!$B$116:$C$162,2,FALSE)</f>
        <v>H2_FC_PWR</v>
      </c>
    </row>
    <row r="1840" spans="2:36" x14ac:dyDescent="0.25">
      <c r="B1840" t="s">
        <v>117</v>
      </c>
      <c r="C1840" t="s">
        <v>54</v>
      </c>
      <c r="D1840" t="s">
        <v>155</v>
      </c>
      <c r="E1840" t="s">
        <v>66</v>
      </c>
      <c r="F1840" t="s">
        <v>164</v>
      </c>
      <c r="G1840" t="s">
        <v>126</v>
      </c>
      <c r="H1840" t="s">
        <v>433</v>
      </c>
      <c r="I1840" t="s">
        <v>32</v>
      </c>
      <c r="J1840" t="s">
        <v>534</v>
      </c>
      <c r="K1840">
        <f t="shared" si="5771"/>
        <v>0</v>
      </c>
      <c r="L1840">
        <f t="shared" si="5772"/>
        <v>1</v>
      </c>
      <c r="M1840">
        <f t="shared" si="5773"/>
        <v>1</v>
      </c>
      <c r="N1840">
        <f t="shared" si="5774"/>
        <v>1</v>
      </c>
      <c r="O1840">
        <f t="shared" si="5766"/>
        <v>3</v>
      </c>
      <c r="P1840" t="str">
        <f t="shared" si="5775"/>
        <v>Medium centralized biomass gasification w/ CCS-Regulatory coverage</v>
      </c>
      <c r="Q1840" t="str">
        <f t="shared" si="5776"/>
        <v>Central gas storage-Regulatory coverage</v>
      </c>
      <c r="R1840" t="str">
        <f t="shared" si="5777"/>
        <v>Onsite-Regulatory coverage</v>
      </c>
      <c r="S1840" t="str">
        <f t="shared" si="5778"/>
        <v>Prime power H2 fuel cell-Regulatory coverage</v>
      </c>
      <c r="T1840">
        <f ca="1">VLOOKUP($P1840,'TA database'!$I$8:$J$79,2,FALSE)</f>
        <v>80</v>
      </c>
      <c r="U1840">
        <f ca="1">VLOOKUP($Q1840,'TA database'!$I$86:$J$105,2,FALSE)</f>
        <v>80</v>
      </c>
      <c r="V1840">
        <f ca="1">VLOOKUP($R1840,'TA database'!$I$112:$J$139,2,FALSE)</f>
        <v>100</v>
      </c>
      <c r="W1840">
        <f>IFERROR(VLOOKUP($S1840,'TA database'!$I$146:$J$193,2,FALSE),0)</f>
        <v>0</v>
      </c>
      <c r="X1840">
        <f ca="1">IFERROR(VLOOKUP($S1840,'TA database'!$I$200:$J$271,2,FALSE),0)</f>
        <v>100</v>
      </c>
      <c r="Y1840">
        <f t="shared" ca="1" si="5761"/>
        <v>90</v>
      </c>
      <c r="Z1840" t="str">
        <f t="shared" si="5767"/>
        <v>BIO_GSF_CCS_MED_C   →   C_GAS_STRG   →   ONSITE_USE   →   H2_FC_PWR</v>
      </c>
      <c r="AA1840" t="str">
        <f t="shared" si="5768"/>
        <v>Onsite / Back-up power</v>
      </c>
      <c r="AB1840" t="str">
        <f t="shared" si="5769"/>
        <v>Regulatory coverage</v>
      </c>
      <c r="AC1840">
        <f t="shared" ca="1" si="5770"/>
        <v>90</v>
      </c>
      <c r="AD1840">
        <v>1781</v>
      </c>
      <c r="AE1840" t="str">
        <f>IF(AND(ISNUMBER(SEARCH(O1840,4)),ISNUMBER(SEARCH('(4) FCH pathway assessment'!$B$16,AB1840)),ISNUMBER(SEARCH('(4) FCH pathway assessment'!$B$10,AA1840))),AD1840,"")</f>
        <v/>
      </c>
      <c r="AF1840" t="str">
        <f t="shared" si="5638"/>
        <v/>
      </c>
      <c r="AG1840" t="str">
        <f>VLOOKUP(C1840,Assumptions!$B$116:$C$162,2,FALSE)</f>
        <v>BIO_GSF_CCS_MED_C</v>
      </c>
      <c r="AH1840" t="str">
        <f>VLOOKUP(D1840,Assumptions!$B$116:$C$162,2,FALSE)</f>
        <v>C_GAS_STRG</v>
      </c>
      <c r="AI1840" t="str">
        <f>VLOOKUP(E1840,Assumptions!$B$116:$C$162,2,FALSE)</f>
        <v>ONSITE_USE</v>
      </c>
      <c r="AJ1840" t="str">
        <f>VLOOKUP(F1840,Assumptions!$B$116:$C$162,2,FALSE)</f>
        <v>H2_FC_PWR</v>
      </c>
    </row>
    <row r="1841" spans="2:36" x14ac:dyDescent="0.25">
      <c r="B1841" t="s">
        <v>117</v>
      </c>
      <c r="C1841" t="s">
        <v>55</v>
      </c>
      <c r="D1841" s="60" t="s">
        <v>130</v>
      </c>
      <c r="E1841" t="s">
        <v>66</v>
      </c>
      <c r="F1841" t="s">
        <v>164</v>
      </c>
      <c r="G1841" t="s">
        <v>126</v>
      </c>
      <c r="H1841" t="s">
        <v>433</v>
      </c>
      <c r="I1841" t="s">
        <v>32</v>
      </c>
      <c r="J1841" t="s">
        <v>534</v>
      </c>
      <c r="K1841">
        <f t="shared" ref="K1841:K1845" si="5779">SUMPRODUCT(($C$7:$C$18=$C1841)*($D$6:$H$6=$D1841)*($D$7:$H$18))</f>
        <v>0</v>
      </c>
      <c r="L1841">
        <f t="shared" ref="L1841:L1845" si="5780">SUMPRODUCT(($C$19:$C$23=$D1841)*($I$6:$O$6=$E1841)*($I$19:$O$23))</f>
        <v>1</v>
      </c>
      <c r="M1841">
        <f t="shared" ref="M1841:M1845" si="5781">SUMPRODUCT(($C$24:$C$30=$E1841)*($P$6:$AI$6=$F1841)*($P$24:$AI$30))</f>
        <v>1</v>
      </c>
      <c r="N1841">
        <f t="shared" ref="N1841:N1845" si="5782">SUMPRODUCT(($C$31:$C$50=$F1841)*($AJ$6:$AM$6=$G1841)*($AJ$31:$AM$50))</f>
        <v>1</v>
      </c>
      <c r="O1841">
        <f t="shared" ref="O1841:O1845" si="5783">K1841+L1841+M1841+N1841</f>
        <v>3</v>
      </c>
      <c r="P1841" t="str">
        <f t="shared" ref="P1841:P1845" si="5784">CONCATENATE(C1841,"-",J1841)</f>
        <v>Small decentralized biomass gasification-Regulatory coverage</v>
      </c>
      <c r="Q1841" t="str">
        <f t="shared" ref="Q1841:Q1845" si="5785">CONCATENATE(D1841,"-",J1841)</f>
        <v>Distributed gas storage-Regulatory coverage</v>
      </c>
      <c r="R1841" t="str">
        <f t="shared" ref="R1841:R1845" si="5786">CONCATENATE(E1841,"-",J1841)</f>
        <v>Onsite-Regulatory coverage</v>
      </c>
      <c r="S1841" t="str">
        <f t="shared" ref="S1841:S1845" si="5787">CONCATENATE(F1841,"-",J1841)</f>
        <v>Prime power H2 fuel cell-Regulatory coverage</v>
      </c>
      <c r="T1841">
        <f ca="1">VLOOKUP($P1841,'TA database'!$I$8:$J$79,2,FALSE)</f>
        <v>100</v>
      </c>
      <c r="U1841">
        <f ca="1">VLOOKUP($Q1841,'TA database'!$I$86:$J$105,2,FALSE)</f>
        <v>100</v>
      </c>
      <c r="V1841">
        <f ca="1">VLOOKUP($R1841,'TA database'!$I$112:$J$139,2,FALSE)</f>
        <v>100</v>
      </c>
      <c r="W1841">
        <f>IFERROR(VLOOKUP($S1841,'TA database'!$I$146:$J$193,2,FALSE),0)</f>
        <v>0</v>
      </c>
      <c r="X1841">
        <f ca="1">IFERROR(VLOOKUP($S1841,'TA database'!$I$200:$J$271,2,FALSE),0)</f>
        <v>100</v>
      </c>
      <c r="Y1841">
        <f t="shared" ref="Y1841:Y1845" ca="1" si="5788">IF($W1841=0,SUM($T1841:$V1841,$X1841)/4,SUM($T1841:$W1841)/4)</f>
        <v>100</v>
      </c>
      <c r="Z1841" t="str">
        <f t="shared" ref="Z1841:Z1845" si="5789">CONCATENATE(AG1841,"   →   ",AH1841,"   →   ",AI1841,"   →   ",AJ1841)</f>
        <v>BIO_GSF_SML_D   →   D_GAS_STRG   →   ONSITE_USE   →   H2_FC_PWR</v>
      </c>
      <c r="AA1841" t="str">
        <f t="shared" ref="AA1841:AA1845" si="5790">G1841</f>
        <v>Onsite / Back-up power</v>
      </c>
      <c r="AB1841" t="str">
        <f t="shared" ref="AB1841:AB1845" si="5791">J1841</f>
        <v>Regulatory coverage</v>
      </c>
      <c r="AC1841">
        <f t="shared" ref="AC1841:AC1845" ca="1" si="5792">Y1841</f>
        <v>100</v>
      </c>
      <c r="AD1841">
        <v>1782</v>
      </c>
      <c r="AE1841" t="str">
        <f>IF(AND(ISNUMBER(SEARCH(O1841,4)),ISNUMBER(SEARCH('(4) FCH pathway assessment'!$B$16,AB1841)),ISNUMBER(SEARCH('(4) FCH pathway assessment'!$B$10,AA1841))),AD1841,"")</f>
        <v/>
      </c>
      <c r="AF1841" t="str">
        <f t="shared" si="5638"/>
        <v/>
      </c>
      <c r="AG1841" t="str">
        <f>VLOOKUP(C1841,Assumptions!$B$116:$C$162,2,FALSE)</f>
        <v>BIO_GSF_SML_D</v>
      </c>
      <c r="AH1841" t="str">
        <f>VLOOKUP(D1841,Assumptions!$B$116:$C$162,2,FALSE)</f>
        <v>D_GAS_STRG</v>
      </c>
      <c r="AI1841" t="str">
        <f>VLOOKUP(E1841,Assumptions!$B$116:$C$162,2,FALSE)</f>
        <v>ONSITE_USE</v>
      </c>
      <c r="AJ1841" t="str">
        <f>VLOOKUP(F1841,Assumptions!$B$116:$C$162,2,FALSE)</f>
        <v>H2_FC_PWR</v>
      </c>
    </row>
    <row r="1842" spans="2:36" x14ac:dyDescent="0.25">
      <c r="B1842" t="s">
        <v>117</v>
      </c>
      <c r="C1842" t="s">
        <v>56</v>
      </c>
      <c r="D1842" t="s">
        <v>62</v>
      </c>
      <c r="E1842" t="s">
        <v>157</v>
      </c>
      <c r="F1842" t="s">
        <v>164</v>
      </c>
      <c r="G1842" t="s">
        <v>126</v>
      </c>
      <c r="H1842" t="s">
        <v>433</v>
      </c>
      <c r="I1842" t="s">
        <v>32</v>
      </c>
      <c r="J1842" t="s">
        <v>534</v>
      </c>
      <c r="K1842">
        <f t="shared" si="5779"/>
        <v>0</v>
      </c>
      <c r="L1842">
        <f t="shared" si="5780"/>
        <v>0</v>
      </c>
      <c r="M1842">
        <f t="shared" si="5781"/>
        <v>0</v>
      </c>
      <c r="N1842">
        <f t="shared" si="5782"/>
        <v>1</v>
      </c>
      <c r="O1842">
        <f t="shared" si="5783"/>
        <v>1</v>
      </c>
      <c r="P1842" t="str">
        <f t="shared" si="5784"/>
        <v>Large centralized biomass steam reforming -Regulatory coverage</v>
      </c>
      <c r="Q1842" t="str">
        <f t="shared" si="5785"/>
        <v>Underground storage-Regulatory coverage</v>
      </c>
      <c r="R1842" t="str">
        <f t="shared" si="5786"/>
        <v>Blending in natural gas pipeline-Regulatory coverage</v>
      </c>
      <c r="S1842" t="str">
        <f t="shared" si="5787"/>
        <v>Prime power H2 fuel cell-Regulatory coverage</v>
      </c>
      <c r="T1842">
        <f ca="1">VLOOKUP($P1842,'TA database'!$I$8:$J$79,2,FALSE)</f>
        <v>100</v>
      </c>
      <c r="U1842">
        <f ca="1">VLOOKUP($Q1842,'TA database'!$I$86:$J$105,2,FALSE)</f>
        <v>0</v>
      </c>
      <c r="V1842">
        <f ca="1">VLOOKUP($R1842,'TA database'!$I$112:$J$139,2,FALSE)</f>
        <v>100</v>
      </c>
      <c r="W1842">
        <f>IFERROR(VLOOKUP($S1842,'TA database'!$I$146:$J$193,2,FALSE),0)</f>
        <v>0</v>
      </c>
      <c r="X1842">
        <f ca="1">IFERROR(VLOOKUP($S1842,'TA database'!$I$200:$J$271,2,FALSE),0)</f>
        <v>100</v>
      </c>
      <c r="Y1842">
        <f t="shared" ca="1" si="5788"/>
        <v>75</v>
      </c>
      <c r="Z1842" t="str">
        <f t="shared" si="5789"/>
        <v>BIO_SR_LRG_C   →   C_UNDRGRND_STRG   →   H2_BLND_NG_P   →   H2_FC_PWR</v>
      </c>
      <c r="AA1842" t="str">
        <f t="shared" si="5790"/>
        <v>Onsite / Back-up power</v>
      </c>
      <c r="AB1842" t="str">
        <f t="shared" si="5791"/>
        <v>Regulatory coverage</v>
      </c>
      <c r="AC1842">
        <f t="shared" ca="1" si="5792"/>
        <v>75</v>
      </c>
      <c r="AD1842">
        <v>1783</v>
      </c>
      <c r="AE1842" t="str">
        <f>IF(AND(ISNUMBER(SEARCH(O1842,4)),ISNUMBER(SEARCH('(4) FCH pathway assessment'!$B$16,AB1842)),ISNUMBER(SEARCH('(4) FCH pathway assessment'!$B$10,AA1842))),AD1842,"")</f>
        <v/>
      </c>
      <c r="AF1842" t="str">
        <f t="shared" si="5638"/>
        <v/>
      </c>
      <c r="AG1842" t="str">
        <f>VLOOKUP(C1842,Assumptions!$B$116:$C$162,2,FALSE)</f>
        <v>BIO_SR_LRG_C</v>
      </c>
      <c r="AH1842" t="str">
        <f>VLOOKUP(D1842,Assumptions!$B$116:$C$162,2,FALSE)</f>
        <v>C_UNDRGRND_STRG</v>
      </c>
      <c r="AI1842" t="str">
        <f>VLOOKUP(E1842,Assumptions!$B$116:$C$162,2,FALSE)</f>
        <v>H2_BLND_NG_P</v>
      </c>
      <c r="AJ1842" t="str">
        <f>VLOOKUP(F1842,Assumptions!$B$116:$C$162,2,FALSE)</f>
        <v>H2_FC_PWR</v>
      </c>
    </row>
    <row r="1843" spans="2:36" x14ac:dyDescent="0.25">
      <c r="B1843" t="s">
        <v>117</v>
      </c>
      <c r="C1843" t="s">
        <v>56</v>
      </c>
      <c r="D1843" t="s">
        <v>62</v>
      </c>
      <c r="E1843" t="s">
        <v>122</v>
      </c>
      <c r="F1843" t="s">
        <v>164</v>
      </c>
      <c r="G1843" t="s">
        <v>126</v>
      </c>
      <c r="H1843" t="s">
        <v>433</v>
      </c>
      <c r="I1843" t="s">
        <v>32</v>
      </c>
      <c r="J1843" t="s">
        <v>534</v>
      </c>
      <c r="K1843">
        <f t="shared" si="5779"/>
        <v>0</v>
      </c>
      <c r="L1843">
        <f t="shared" si="5780"/>
        <v>0</v>
      </c>
      <c r="M1843">
        <f t="shared" si="5781"/>
        <v>1</v>
      </c>
      <c r="N1843">
        <f t="shared" si="5782"/>
        <v>1</v>
      </c>
      <c r="O1843">
        <f t="shared" si="5783"/>
        <v>2</v>
      </c>
      <c r="P1843" t="str">
        <f t="shared" si="5784"/>
        <v>Large centralized biomass steam reforming -Regulatory coverage</v>
      </c>
      <c r="Q1843" t="str">
        <f t="shared" si="5785"/>
        <v>Underground storage-Regulatory coverage</v>
      </c>
      <c r="R1843" t="str">
        <f t="shared" si="5786"/>
        <v>Hydrogen transmission &amp; distribution pipeline-Regulatory coverage</v>
      </c>
      <c r="S1843" t="str">
        <f t="shared" si="5787"/>
        <v>Prime power H2 fuel cell-Regulatory coverage</v>
      </c>
      <c r="T1843">
        <f ca="1">VLOOKUP($P1843,'TA database'!$I$8:$J$79,2,FALSE)</f>
        <v>100</v>
      </c>
      <c r="U1843">
        <f ca="1">VLOOKUP($Q1843,'TA database'!$I$86:$J$105,2,FALSE)</f>
        <v>0</v>
      </c>
      <c r="V1843">
        <f ca="1">VLOOKUP($R1843,'TA database'!$I$112:$J$139,2,FALSE)</f>
        <v>40</v>
      </c>
      <c r="W1843">
        <f>IFERROR(VLOOKUP($S1843,'TA database'!$I$146:$J$193,2,FALSE),0)</f>
        <v>0</v>
      </c>
      <c r="X1843">
        <f ca="1">IFERROR(VLOOKUP($S1843,'TA database'!$I$200:$J$271,2,FALSE),0)</f>
        <v>100</v>
      </c>
      <c r="Y1843">
        <f t="shared" ca="1" si="5788"/>
        <v>60</v>
      </c>
      <c r="Z1843" t="str">
        <f t="shared" si="5789"/>
        <v>BIO_SR_LRG_C   →   C_UNDRGRND_STRG   →   H2_T&amp;D_P   →   H2_FC_PWR</v>
      </c>
      <c r="AA1843" t="str">
        <f t="shared" si="5790"/>
        <v>Onsite / Back-up power</v>
      </c>
      <c r="AB1843" t="str">
        <f t="shared" si="5791"/>
        <v>Regulatory coverage</v>
      </c>
      <c r="AC1843">
        <f t="shared" ca="1" si="5792"/>
        <v>60</v>
      </c>
      <c r="AD1843">
        <v>1784</v>
      </c>
      <c r="AE1843" t="str">
        <f>IF(AND(ISNUMBER(SEARCH(O1843,4)),ISNUMBER(SEARCH('(4) FCH pathway assessment'!$B$16,AB1843)),ISNUMBER(SEARCH('(4) FCH pathway assessment'!$B$10,AA1843))),AD1843,"")</f>
        <v/>
      </c>
      <c r="AF1843" t="str">
        <f t="shared" si="5638"/>
        <v/>
      </c>
      <c r="AG1843" t="str">
        <f>VLOOKUP(C1843,Assumptions!$B$116:$C$162,2,FALSE)</f>
        <v>BIO_SR_LRG_C</v>
      </c>
      <c r="AH1843" t="str">
        <f>VLOOKUP(D1843,Assumptions!$B$116:$C$162,2,FALSE)</f>
        <v>C_UNDRGRND_STRG</v>
      </c>
      <c r="AI1843" t="str">
        <f>VLOOKUP(E1843,Assumptions!$B$116:$C$162,2,FALSE)</f>
        <v>H2_T&amp;D_P</v>
      </c>
      <c r="AJ1843" t="str">
        <f>VLOOKUP(F1843,Assumptions!$B$116:$C$162,2,FALSE)</f>
        <v>H2_FC_PWR</v>
      </c>
    </row>
    <row r="1844" spans="2:36" x14ac:dyDescent="0.25">
      <c r="B1844" t="s">
        <v>117</v>
      </c>
      <c r="C1844" t="s">
        <v>56</v>
      </c>
      <c r="D1844" t="s">
        <v>62</v>
      </c>
      <c r="E1844" t="s">
        <v>66</v>
      </c>
      <c r="F1844" t="s">
        <v>164</v>
      </c>
      <c r="G1844" t="s">
        <v>126</v>
      </c>
      <c r="H1844" t="s">
        <v>433</v>
      </c>
      <c r="I1844" t="s">
        <v>32</v>
      </c>
      <c r="J1844" t="s">
        <v>534</v>
      </c>
      <c r="K1844">
        <f t="shared" si="5779"/>
        <v>0</v>
      </c>
      <c r="L1844">
        <f t="shared" si="5780"/>
        <v>0</v>
      </c>
      <c r="M1844">
        <f t="shared" si="5781"/>
        <v>1</v>
      </c>
      <c r="N1844">
        <f t="shared" si="5782"/>
        <v>1</v>
      </c>
      <c r="O1844">
        <f t="shared" si="5783"/>
        <v>2</v>
      </c>
      <c r="P1844" t="str">
        <f t="shared" si="5784"/>
        <v>Large centralized biomass steam reforming -Regulatory coverage</v>
      </c>
      <c r="Q1844" t="str">
        <f t="shared" si="5785"/>
        <v>Underground storage-Regulatory coverage</v>
      </c>
      <c r="R1844" t="str">
        <f t="shared" si="5786"/>
        <v>Onsite-Regulatory coverage</v>
      </c>
      <c r="S1844" t="str">
        <f t="shared" si="5787"/>
        <v>Prime power H2 fuel cell-Regulatory coverage</v>
      </c>
      <c r="T1844">
        <f ca="1">VLOOKUP($P1844,'TA database'!$I$8:$J$79,2,FALSE)</f>
        <v>100</v>
      </c>
      <c r="U1844">
        <f ca="1">VLOOKUP($Q1844,'TA database'!$I$86:$J$105,2,FALSE)</f>
        <v>0</v>
      </c>
      <c r="V1844">
        <f ca="1">VLOOKUP($R1844,'TA database'!$I$112:$J$139,2,FALSE)</f>
        <v>100</v>
      </c>
      <c r="W1844">
        <f>IFERROR(VLOOKUP($S1844,'TA database'!$I$146:$J$193,2,FALSE),0)</f>
        <v>0</v>
      </c>
      <c r="X1844">
        <f ca="1">IFERROR(VLOOKUP($S1844,'TA database'!$I$200:$J$271,2,FALSE),0)</f>
        <v>100</v>
      </c>
      <c r="Y1844">
        <f t="shared" ca="1" si="5788"/>
        <v>75</v>
      </c>
      <c r="Z1844" t="str">
        <f t="shared" si="5789"/>
        <v>BIO_SR_LRG_C   →   C_UNDRGRND_STRG   →   ONSITE_USE   →   H2_FC_PWR</v>
      </c>
      <c r="AA1844" t="str">
        <f t="shared" si="5790"/>
        <v>Onsite / Back-up power</v>
      </c>
      <c r="AB1844" t="str">
        <f t="shared" si="5791"/>
        <v>Regulatory coverage</v>
      </c>
      <c r="AC1844">
        <f t="shared" ca="1" si="5792"/>
        <v>75</v>
      </c>
      <c r="AD1844">
        <v>1785</v>
      </c>
      <c r="AE1844" t="str">
        <f>IF(AND(ISNUMBER(SEARCH(O1844,4)),ISNUMBER(SEARCH('(4) FCH pathway assessment'!$B$16,AB1844)),ISNUMBER(SEARCH('(4) FCH pathway assessment'!$B$10,AA1844))),AD1844,"")</f>
        <v/>
      </c>
      <c r="AF1844" t="str">
        <f t="shared" si="5638"/>
        <v/>
      </c>
      <c r="AG1844" t="str">
        <f>VLOOKUP(C1844,Assumptions!$B$116:$C$162,2,FALSE)</f>
        <v>BIO_SR_LRG_C</v>
      </c>
      <c r="AH1844" t="str">
        <f>VLOOKUP(D1844,Assumptions!$B$116:$C$162,2,FALSE)</f>
        <v>C_UNDRGRND_STRG</v>
      </c>
      <c r="AI1844" t="str">
        <f>VLOOKUP(E1844,Assumptions!$B$116:$C$162,2,FALSE)</f>
        <v>ONSITE_USE</v>
      </c>
      <c r="AJ1844" t="str">
        <f>VLOOKUP(F1844,Assumptions!$B$116:$C$162,2,FALSE)</f>
        <v>H2_FC_PWR</v>
      </c>
    </row>
    <row r="1845" spans="2:36" x14ac:dyDescent="0.25">
      <c r="B1845" t="s">
        <v>117</v>
      </c>
      <c r="C1845" t="s">
        <v>56</v>
      </c>
      <c r="D1845" s="61" t="s">
        <v>63</v>
      </c>
      <c r="E1845" t="s">
        <v>122</v>
      </c>
      <c r="F1845" t="s">
        <v>164</v>
      </c>
      <c r="G1845" t="s">
        <v>126</v>
      </c>
      <c r="H1845" t="s">
        <v>433</v>
      </c>
      <c r="I1845" t="s">
        <v>32</v>
      </c>
      <c r="J1845" t="s">
        <v>534</v>
      </c>
      <c r="K1845">
        <f t="shared" si="5779"/>
        <v>0</v>
      </c>
      <c r="L1845">
        <f t="shared" si="5780"/>
        <v>1</v>
      </c>
      <c r="M1845">
        <f t="shared" si="5781"/>
        <v>1</v>
      </c>
      <c r="N1845">
        <f t="shared" si="5782"/>
        <v>1</v>
      </c>
      <c r="O1845">
        <f t="shared" si="5783"/>
        <v>3</v>
      </c>
      <c r="P1845" t="str">
        <f t="shared" si="5784"/>
        <v>Large centralized biomass steam reforming -Regulatory coverage</v>
      </c>
      <c r="Q1845" t="str">
        <f t="shared" si="5785"/>
        <v>No storage-Regulatory coverage</v>
      </c>
      <c r="R1845" t="str">
        <f t="shared" si="5786"/>
        <v>Hydrogen transmission &amp; distribution pipeline-Regulatory coverage</v>
      </c>
      <c r="S1845" t="str">
        <f t="shared" si="5787"/>
        <v>Prime power H2 fuel cell-Regulatory coverage</v>
      </c>
      <c r="T1845">
        <f ca="1">VLOOKUP($P1845,'TA database'!$I$8:$J$79,2,FALSE)</f>
        <v>100</v>
      </c>
      <c r="U1845">
        <f ca="1">VLOOKUP($Q1845,'TA database'!$I$86:$J$105,2,FALSE)</f>
        <v>100</v>
      </c>
      <c r="V1845">
        <f ca="1">VLOOKUP($R1845,'TA database'!$I$112:$J$139,2,FALSE)</f>
        <v>40</v>
      </c>
      <c r="W1845">
        <f>IFERROR(VLOOKUP($S1845,'TA database'!$I$146:$J$193,2,FALSE),0)</f>
        <v>0</v>
      </c>
      <c r="X1845">
        <f ca="1">IFERROR(VLOOKUP($S1845,'TA database'!$I$200:$J$271,2,FALSE),0)</f>
        <v>100</v>
      </c>
      <c r="Y1845">
        <f t="shared" ca="1" si="5788"/>
        <v>85</v>
      </c>
      <c r="Z1845" t="str">
        <f t="shared" si="5789"/>
        <v>BIO_SR_LRG_C   →   NO_STRG   →   H2_T&amp;D_P   →   H2_FC_PWR</v>
      </c>
      <c r="AA1845" t="str">
        <f t="shared" si="5790"/>
        <v>Onsite / Back-up power</v>
      </c>
      <c r="AB1845" t="str">
        <f t="shared" si="5791"/>
        <v>Regulatory coverage</v>
      </c>
      <c r="AC1845">
        <f t="shared" ca="1" si="5792"/>
        <v>85</v>
      </c>
      <c r="AD1845">
        <v>1786</v>
      </c>
      <c r="AE1845" t="str">
        <f>IF(AND(ISNUMBER(SEARCH(O1845,4)),ISNUMBER(SEARCH('(4) FCH pathway assessment'!$B$16,AB1845)),ISNUMBER(SEARCH('(4) FCH pathway assessment'!$B$10,AA1845))),AD1845,"")</f>
        <v/>
      </c>
      <c r="AF1845" t="str">
        <f t="shared" si="5638"/>
        <v/>
      </c>
      <c r="AG1845" t="str">
        <f>VLOOKUP(C1845,Assumptions!$B$116:$C$162,2,FALSE)</f>
        <v>BIO_SR_LRG_C</v>
      </c>
      <c r="AH1845" t="str">
        <f>VLOOKUP(D1845,Assumptions!$B$116:$C$162,2,FALSE)</f>
        <v>NO_STRG</v>
      </c>
      <c r="AI1845" t="str">
        <f>VLOOKUP(E1845,Assumptions!$B$116:$C$162,2,FALSE)</f>
        <v>H2_T&amp;D_P</v>
      </c>
      <c r="AJ1845" t="str">
        <f>VLOOKUP(F1845,Assumptions!$B$116:$C$162,2,FALSE)</f>
        <v>H2_FC_PWR</v>
      </c>
    </row>
    <row r="1846" spans="2:36" x14ac:dyDescent="0.25">
      <c r="B1846" t="s">
        <v>112</v>
      </c>
      <c r="C1846" t="s">
        <v>49</v>
      </c>
      <c r="D1846" t="s">
        <v>62</v>
      </c>
      <c r="E1846" t="s">
        <v>157</v>
      </c>
      <c r="F1846" t="s">
        <v>164</v>
      </c>
      <c r="G1846" t="s">
        <v>126</v>
      </c>
      <c r="H1846" t="s">
        <v>433</v>
      </c>
      <c r="I1846" t="s">
        <v>32</v>
      </c>
      <c r="J1846" t="s">
        <v>534</v>
      </c>
      <c r="K1846">
        <f t="shared" ref="K1846:K1854" si="5793">SUMPRODUCT(($C$7:$C$18=$C1846)*($D$6:$H$6=$D1846)*($D$7:$H$18))</f>
        <v>1</v>
      </c>
      <c r="L1846">
        <f t="shared" ref="L1846:L1854" si="5794">SUMPRODUCT(($C$19:$C$23=$D1846)*($I$6:$O$6=$E1846)*($I$19:$O$23))</f>
        <v>0</v>
      </c>
      <c r="M1846">
        <f t="shared" ref="M1846:M1854" si="5795">SUMPRODUCT(($C$24:$C$30=$E1846)*($P$6:$AI$6=$F1846)*($P$24:$AI$30))</f>
        <v>0</v>
      </c>
      <c r="N1846">
        <f t="shared" ref="N1846:N1854" si="5796">SUMPRODUCT(($C$31:$C$50=$F1846)*($AJ$6:$AM$6=$G1846)*($AJ$31:$AM$50))</f>
        <v>1</v>
      </c>
      <c r="O1846">
        <f t="shared" ref="O1846:O1854" si="5797">K1846+L1846+M1846+N1846</f>
        <v>2</v>
      </c>
      <c r="P1846" t="str">
        <f t="shared" ref="P1846:P1854" si="5798">CONCATENATE(C1846,"-",J1846)</f>
        <v>Large centralized electrolysis-Regulatory coverage</v>
      </c>
      <c r="Q1846" t="str">
        <f t="shared" ref="Q1846:Q1854" si="5799">CONCATENATE(D1846,"-",J1846)</f>
        <v>Underground storage-Regulatory coverage</v>
      </c>
      <c r="R1846" t="str">
        <f t="shared" ref="R1846:R1854" si="5800">CONCATENATE(E1846,"-",J1846)</f>
        <v>Blending in natural gas pipeline-Regulatory coverage</v>
      </c>
      <c r="S1846" t="str">
        <f t="shared" ref="S1846:S1854" si="5801">CONCATENATE(F1846,"-",J1846)</f>
        <v>Prime power H2 fuel cell-Regulatory coverage</v>
      </c>
      <c r="T1846">
        <f ca="1">VLOOKUP($P1846,'TA database'!$I$8:$J$79,2,FALSE)</f>
        <v>100</v>
      </c>
      <c r="U1846">
        <f ca="1">VLOOKUP($Q1846,'TA database'!$I$86:$J$105,2,FALSE)</f>
        <v>0</v>
      </c>
      <c r="V1846">
        <f ca="1">VLOOKUP($R1846,'TA database'!$I$112:$J$139,2,FALSE)</f>
        <v>100</v>
      </c>
      <c r="W1846">
        <f>IFERROR(VLOOKUP($S1846,'TA database'!$I$146:$J$193,2,FALSE),0)</f>
        <v>0</v>
      </c>
      <c r="X1846">
        <f ca="1">IFERROR(VLOOKUP($S1846,'TA database'!$I$200:$J$271,2,FALSE),0)</f>
        <v>100</v>
      </c>
      <c r="Y1846">
        <f t="shared" ref="Y1846:Y1854" ca="1" si="5802">IF($W1846=0,SUM($T1846:$V1846,$X1846)/4,SUM($T1846:$W1846)/4)</f>
        <v>75</v>
      </c>
      <c r="Z1846" t="str">
        <f t="shared" ref="Z1846:Z1854" si="5803">CONCATENATE(AG1846,"   →   ",AH1846,"   →   ",AI1846,"   →   ",AJ1846)</f>
        <v>ELCTRLYZ_LRG_C   →   C_UNDRGRND_STRG   →   H2_BLND_NG_P   →   H2_FC_PWR</v>
      </c>
      <c r="AA1846" t="str">
        <f t="shared" ref="AA1846:AA1854" si="5804">G1846</f>
        <v>Onsite / Back-up power</v>
      </c>
      <c r="AB1846" t="str">
        <f t="shared" ref="AB1846:AB1854" si="5805">J1846</f>
        <v>Regulatory coverage</v>
      </c>
      <c r="AC1846">
        <f t="shared" ref="AC1846:AC1854" ca="1" si="5806">Y1846</f>
        <v>75</v>
      </c>
      <c r="AD1846">
        <v>1787</v>
      </c>
      <c r="AE1846" t="str">
        <f>IF(AND(ISNUMBER(SEARCH(O1846,4)),ISNUMBER(SEARCH('(4) FCH pathway assessment'!$B$16,AB1846)),ISNUMBER(SEARCH('(4) FCH pathway assessment'!$B$10,AA1846))),AD1846,"")</f>
        <v/>
      </c>
      <c r="AF1846" t="str">
        <f t="shared" si="5638"/>
        <v/>
      </c>
      <c r="AG1846" t="str">
        <f>VLOOKUP(C1846,Assumptions!$B$116:$C$162,2,FALSE)</f>
        <v>ELCTRLYZ_LRG_C</v>
      </c>
      <c r="AH1846" t="str">
        <f>VLOOKUP(D1846,Assumptions!$B$116:$C$162,2,FALSE)</f>
        <v>C_UNDRGRND_STRG</v>
      </c>
      <c r="AI1846" t="str">
        <f>VLOOKUP(E1846,Assumptions!$B$116:$C$162,2,FALSE)</f>
        <v>H2_BLND_NG_P</v>
      </c>
      <c r="AJ1846" t="str">
        <f>VLOOKUP(F1846,Assumptions!$B$116:$C$162,2,FALSE)</f>
        <v>H2_FC_PWR</v>
      </c>
    </row>
    <row r="1847" spans="2:36" x14ac:dyDescent="0.25">
      <c r="B1847" t="s">
        <v>112</v>
      </c>
      <c r="C1847" t="s">
        <v>49</v>
      </c>
      <c r="D1847" t="s">
        <v>62</v>
      </c>
      <c r="E1847" t="s">
        <v>122</v>
      </c>
      <c r="F1847" t="s">
        <v>164</v>
      </c>
      <c r="G1847" t="s">
        <v>126</v>
      </c>
      <c r="H1847" t="s">
        <v>433</v>
      </c>
      <c r="I1847" t="s">
        <v>32</v>
      </c>
      <c r="J1847" t="s">
        <v>534</v>
      </c>
      <c r="K1847">
        <f t="shared" si="5793"/>
        <v>1</v>
      </c>
      <c r="L1847">
        <f t="shared" si="5794"/>
        <v>0</v>
      </c>
      <c r="M1847">
        <f t="shared" si="5795"/>
        <v>1</v>
      </c>
      <c r="N1847">
        <f t="shared" si="5796"/>
        <v>1</v>
      </c>
      <c r="O1847">
        <f t="shared" si="5797"/>
        <v>3</v>
      </c>
      <c r="P1847" t="str">
        <f t="shared" si="5798"/>
        <v>Large centralized electrolysis-Regulatory coverage</v>
      </c>
      <c r="Q1847" t="str">
        <f t="shared" si="5799"/>
        <v>Underground storage-Regulatory coverage</v>
      </c>
      <c r="R1847" t="str">
        <f t="shared" si="5800"/>
        <v>Hydrogen transmission &amp; distribution pipeline-Regulatory coverage</v>
      </c>
      <c r="S1847" t="str">
        <f t="shared" si="5801"/>
        <v>Prime power H2 fuel cell-Regulatory coverage</v>
      </c>
      <c r="T1847">
        <f ca="1">VLOOKUP($P1847,'TA database'!$I$8:$J$79,2,FALSE)</f>
        <v>100</v>
      </c>
      <c r="U1847">
        <f ca="1">VLOOKUP($Q1847,'TA database'!$I$86:$J$105,2,FALSE)</f>
        <v>0</v>
      </c>
      <c r="V1847">
        <f ca="1">VLOOKUP($R1847,'TA database'!$I$112:$J$139,2,FALSE)</f>
        <v>40</v>
      </c>
      <c r="W1847">
        <f>IFERROR(VLOOKUP($S1847,'TA database'!$I$146:$J$193,2,FALSE),0)</f>
        <v>0</v>
      </c>
      <c r="X1847">
        <f ca="1">IFERROR(VLOOKUP($S1847,'TA database'!$I$200:$J$271,2,FALSE),0)</f>
        <v>100</v>
      </c>
      <c r="Y1847">
        <f t="shared" ca="1" si="5802"/>
        <v>60</v>
      </c>
      <c r="Z1847" t="str">
        <f t="shared" si="5803"/>
        <v>ELCTRLYZ_LRG_C   →   C_UNDRGRND_STRG   →   H2_T&amp;D_P   →   H2_FC_PWR</v>
      </c>
      <c r="AA1847" t="str">
        <f t="shared" si="5804"/>
        <v>Onsite / Back-up power</v>
      </c>
      <c r="AB1847" t="str">
        <f t="shared" si="5805"/>
        <v>Regulatory coverage</v>
      </c>
      <c r="AC1847">
        <f t="shared" ca="1" si="5806"/>
        <v>60</v>
      </c>
      <c r="AD1847">
        <v>1788</v>
      </c>
      <c r="AE1847" t="str">
        <f>IF(AND(ISNUMBER(SEARCH(O1847,4)),ISNUMBER(SEARCH('(4) FCH pathway assessment'!$B$16,AB1847)),ISNUMBER(SEARCH('(4) FCH pathway assessment'!$B$10,AA1847))),AD1847,"")</f>
        <v/>
      </c>
      <c r="AF1847" t="str">
        <f t="shared" si="5638"/>
        <v/>
      </c>
      <c r="AG1847" t="str">
        <f>VLOOKUP(C1847,Assumptions!$B$116:$C$162,2,FALSE)</f>
        <v>ELCTRLYZ_LRG_C</v>
      </c>
      <c r="AH1847" t="str">
        <f>VLOOKUP(D1847,Assumptions!$B$116:$C$162,2,FALSE)</f>
        <v>C_UNDRGRND_STRG</v>
      </c>
      <c r="AI1847" t="str">
        <f>VLOOKUP(E1847,Assumptions!$B$116:$C$162,2,FALSE)</f>
        <v>H2_T&amp;D_P</v>
      </c>
      <c r="AJ1847" t="str">
        <f>VLOOKUP(F1847,Assumptions!$B$116:$C$162,2,FALSE)</f>
        <v>H2_FC_PWR</v>
      </c>
    </row>
    <row r="1848" spans="2:36" x14ac:dyDescent="0.25">
      <c r="B1848" t="s">
        <v>112</v>
      </c>
      <c r="C1848" t="s">
        <v>49</v>
      </c>
      <c r="D1848" t="s">
        <v>62</v>
      </c>
      <c r="E1848" t="s">
        <v>66</v>
      </c>
      <c r="F1848" t="s">
        <v>164</v>
      </c>
      <c r="G1848" t="s">
        <v>126</v>
      </c>
      <c r="H1848" t="s">
        <v>433</v>
      </c>
      <c r="I1848" t="s">
        <v>32</v>
      </c>
      <c r="J1848" t="s">
        <v>534</v>
      </c>
      <c r="K1848">
        <f t="shared" si="5793"/>
        <v>1</v>
      </c>
      <c r="L1848">
        <f t="shared" si="5794"/>
        <v>0</v>
      </c>
      <c r="M1848">
        <f t="shared" si="5795"/>
        <v>1</v>
      </c>
      <c r="N1848">
        <f t="shared" si="5796"/>
        <v>1</v>
      </c>
      <c r="O1848">
        <f t="shared" si="5797"/>
        <v>3</v>
      </c>
      <c r="P1848" t="str">
        <f t="shared" si="5798"/>
        <v>Large centralized electrolysis-Regulatory coverage</v>
      </c>
      <c r="Q1848" t="str">
        <f t="shared" si="5799"/>
        <v>Underground storage-Regulatory coverage</v>
      </c>
      <c r="R1848" t="str">
        <f t="shared" si="5800"/>
        <v>Onsite-Regulatory coverage</v>
      </c>
      <c r="S1848" t="str">
        <f t="shared" si="5801"/>
        <v>Prime power H2 fuel cell-Regulatory coverage</v>
      </c>
      <c r="T1848">
        <f ca="1">VLOOKUP($P1848,'TA database'!$I$8:$J$79,2,FALSE)</f>
        <v>100</v>
      </c>
      <c r="U1848">
        <f ca="1">VLOOKUP($Q1848,'TA database'!$I$86:$J$105,2,FALSE)</f>
        <v>0</v>
      </c>
      <c r="V1848">
        <f ca="1">VLOOKUP($R1848,'TA database'!$I$112:$J$139,2,FALSE)</f>
        <v>100</v>
      </c>
      <c r="W1848">
        <f>IFERROR(VLOOKUP($S1848,'TA database'!$I$146:$J$193,2,FALSE),0)</f>
        <v>0</v>
      </c>
      <c r="X1848">
        <f ca="1">IFERROR(VLOOKUP($S1848,'TA database'!$I$200:$J$271,2,FALSE),0)</f>
        <v>100</v>
      </c>
      <c r="Y1848">
        <f t="shared" ca="1" si="5802"/>
        <v>75</v>
      </c>
      <c r="Z1848" t="str">
        <f t="shared" si="5803"/>
        <v>ELCTRLYZ_LRG_C   →   C_UNDRGRND_STRG   →   ONSITE_USE   →   H2_FC_PWR</v>
      </c>
      <c r="AA1848" t="str">
        <f t="shared" si="5804"/>
        <v>Onsite / Back-up power</v>
      </c>
      <c r="AB1848" t="str">
        <f t="shared" si="5805"/>
        <v>Regulatory coverage</v>
      </c>
      <c r="AC1848">
        <f t="shared" ca="1" si="5806"/>
        <v>75</v>
      </c>
      <c r="AD1848">
        <v>1789</v>
      </c>
      <c r="AE1848" t="str">
        <f>IF(AND(ISNUMBER(SEARCH(O1848,4)),ISNUMBER(SEARCH('(4) FCH pathway assessment'!$B$16,AB1848)),ISNUMBER(SEARCH('(4) FCH pathway assessment'!$B$10,AA1848))),AD1848,"")</f>
        <v/>
      </c>
      <c r="AF1848" t="str">
        <f t="shared" si="5638"/>
        <v/>
      </c>
      <c r="AG1848" t="str">
        <f>VLOOKUP(C1848,Assumptions!$B$116:$C$162,2,FALSE)</f>
        <v>ELCTRLYZ_LRG_C</v>
      </c>
      <c r="AH1848" t="str">
        <f>VLOOKUP(D1848,Assumptions!$B$116:$C$162,2,FALSE)</f>
        <v>C_UNDRGRND_STRG</v>
      </c>
      <c r="AI1848" t="str">
        <f>VLOOKUP(E1848,Assumptions!$B$116:$C$162,2,FALSE)</f>
        <v>ONSITE_USE</v>
      </c>
      <c r="AJ1848" t="str">
        <f>VLOOKUP(F1848,Assumptions!$B$116:$C$162,2,FALSE)</f>
        <v>H2_FC_PWR</v>
      </c>
    </row>
    <row r="1849" spans="2:36" x14ac:dyDescent="0.25">
      <c r="B1849" t="s">
        <v>112</v>
      </c>
      <c r="C1849" t="s">
        <v>49</v>
      </c>
      <c r="D1849" t="s">
        <v>155</v>
      </c>
      <c r="E1849" t="s">
        <v>157</v>
      </c>
      <c r="F1849" t="s">
        <v>164</v>
      </c>
      <c r="G1849" t="s">
        <v>126</v>
      </c>
      <c r="H1849" t="s">
        <v>433</v>
      </c>
      <c r="I1849" t="s">
        <v>32</v>
      </c>
      <c r="J1849" t="s">
        <v>534</v>
      </c>
      <c r="K1849">
        <f t="shared" si="5793"/>
        <v>1</v>
      </c>
      <c r="L1849">
        <f t="shared" si="5794"/>
        <v>1</v>
      </c>
      <c r="M1849">
        <f t="shared" si="5795"/>
        <v>0</v>
      </c>
      <c r="N1849">
        <f t="shared" si="5796"/>
        <v>1</v>
      </c>
      <c r="O1849">
        <f t="shared" si="5797"/>
        <v>3</v>
      </c>
      <c r="P1849" t="str">
        <f t="shared" si="5798"/>
        <v>Large centralized electrolysis-Regulatory coverage</v>
      </c>
      <c r="Q1849" t="str">
        <f t="shared" si="5799"/>
        <v>Central gas storage-Regulatory coverage</v>
      </c>
      <c r="R1849" t="str">
        <f t="shared" si="5800"/>
        <v>Blending in natural gas pipeline-Regulatory coverage</v>
      </c>
      <c r="S1849" t="str">
        <f t="shared" si="5801"/>
        <v>Prime power H2 fuel cell-Regulatory coverage</v>
      </c>
      <c r="T1849">
        <f ca="1">VLOOKUP($P1849,'TA database'!$I$8:$J$79,2,FALSE)</f>
        <v>100</v>
      </c>
      <c r="U1849">
        <f ca="1">VLOOKUP($Q1849,'TA database'!$I$86:$J$105,2,FALSE)</f>
        <v>80</v>
      </c>
      <c r="V1849">
        <f ca="1">VLOOKUP($R1849,'TA database'!$I$112:$J$139,2,FALSE)</f>
        <v>100</v>
      </c>
      <c r="W1849">
        <f>IFERROR(VLOOKUP($S1849,'TA database'!$I$146:$J$193,2,FALSE),0)</f>
        <v>0</v>
      </c>
      <c r="X1849">
        <f ca="1">IFERROR(VLOOKUP($S1849,'TA database'!$I$200:$J$271,2,FALSE),0)</f>
        <v>100</v>
      </c>
      <c r="Y1849">
        <f t="shared" ca="1" si="5802"/>
        <v>95</v>
      </c>
      <c r="Z1849" t="str">
        <f t="shared" si="5803"/>
        <v>ELCTRLYZ_LRG_C   →   C_GAS_STRG   →   H2_BLND_NG_P   →   H2_FC_PWR</v>
      </c>
      <c r="AA1849" t="str">
        <f t="shared" si="5804"/>
        <v>Onsite / Back-up power</v>
      </c>
      <c r="AB1849" t="str">
        <f t="shared" si="5805"/>
        <v>Regulatory coverage</v>
      </c>
      <c r="AC1849">
        <f t="shared" ca="1" si="5806"/>
        <v>95</v>
      </c>
      <c r="AD1849">
        <v>1790</v>
      </c>
      <c r="AE1849" t="str">
        <f>IF(AND(ISNUMBER(SEARCH(O1849,4)),ISNUMBER(SEARCH('(4) FCH pathway assessment'!$B$16,AB1849)),ISNUMBER(SEARCH('(4) FCH pathway assessment'!$B$10,AA1849))),AD1849,"")</f>
        <v/>
      </c>
      <c r="AF1849" t="str">
        <f t="shared" si="5638"/>
        <v/>
      </c>
      <c r="AG1849" t="str">
        <f>VLOOKUP(C1849,Assumptions!$B$116:$C$162,2,FALSE)</f>
        <v>ELCTRLYZ_LRG_C</v>
      </c>
      <c r="AH1849" t="str">
        <f>VLOOKUP(D1849,Assumptions!$B$116:$C$162,2,FALSE)</f>
        <v>C_GAS_STRG</v>
      </c>
      <c r="AI1849" t="str">
        <f>VLOOKUP(E1849,Assumptions!$B$116:$C$162,2,FALSE)</f>
        <v>H2_BLND_NG_P</v>
      </c>
      <c r="AJ1849" t="str">
        <f>VLOOKUP(F1849,Assumptions!$B$116:$C$162,2,FALSE)</f>
        <v>H2_FC_PWR</v>
      </c>
    </row>
    <row r="1850" spans="2:36" x14ac:dyDescent="0.25">
      <c r="B1850" t="s">
        <v>112</v>
      </c>
      <c r="C1850" t="s">
        <v>49</v>
      </c>
      <c r="D1850" t="s">
        <v>155</v>
      </c>
      <c r="E1850" t="s">
        <v>122</v>
      </c>
      <c r="F1850" t="s">
        <v>164</v>
      </c>
      <c r="G1850" t="s">
        <v>126</v>
      </c>
      <c r="H1850" t="s">
        <v>433</v>
      </c>
      <c r="I1850" t="s">
        <v>32</v>
      </c>
      <c r="J1850" t="s">
        <v>534</v>
      </c>
      <c r="K1850">
        <f t="shared" si="5793"/>
        <v>1</v>
      </c>
      <c r="L1850">
        <f t="shared" si="5794"/>
        <v>1</v>
      </c>
      <c r="M1850">
        <f t="shared" si="5795"/>
        <v>1</v>
      </c>
      <c r="N1850">
        <f t="shared" si="5796"/>
        <v>1</v>
      </c>
      <c r="O1850">
        <f t="shared" si="5797"/>
        <v>4</v>
      </c>
      <c r="P1850" t="str">
        <f t="shared" si="5798"/>
        <v>Large centralized electrolysis-Regulatory coverage</v>
      </c>
      <c r="Q1850" t="str">
        <f t="shared" si="5799"/>
        <v>Central gas storage-Regulatory coverage</v>
      </c>
      <c r="R1850" t="str">
        <f t="shared" si="5800"/>
        <v>Hydrogen transmission &amp; distribution pipeline-Regulatory coverage</v>
      </c>
      <c r="S1850" t="str">
        <f t="shared" si="5801"/>
        <v>Prime power H2 fuel cell-Regulatory coverage</v>
      </c>
      <c r="T1850">
        <f ca="1">VLOOKUP($P1850,'TA database'!$I$8:$J$79,2,FALSE)</f>
        <v>100</v>
      </c>
      <c r="U1850">
        <f ca="1">VLOOKUP($Q1850,'TA database'!$I$86:$J$105,2,FALSE)</f>
        <v>80</v>
      </c>
      <c r="V1850">
        <f ca="1">VLOOKUP($R1850,'TA database'!$I$112:$J$139,2,FALSE)</f>
        <v>40</v>
      </c>
      <c r="W1850">
        <f>IFERROR(VLOOKUP($S1850,'TA database'!$I$146:$J$193,2,FALSE),0)</f>
        <v>0</v>
      </c>
      <c r="X1850">
        <f ca="1">IFERROR(VLOOKUP($S1850,'TA database'!$I$200:$J$271,2,FALSE),0)</f>
        <v>100</v>
      </c>
      <c r="Y1850">
        <f t="shared" ca="1" si="5802"/>
        <v>80</v>
      </c>
      <c r="Z1850" t="str">
        <f t="shared" si="5803"/>
        <v>ELCTRLYZ_LRG_C   →   C_GAS_STRG   →   H2_T&amp;D_P   →   H2_FC_PWR</v>
      </c>
      <c r="AA1850" t="str">
        <f t="shared" si="5804"/>
        <v>Onsite / Back-up power</v>
      </c>
      <c r="AB1850" t="str">
        <f t="shared" si="5805"/>
        <v>Regulatory coverage</v>
      </c>
      <c r="AC1850">
        <f t="shared" ca="1" si="5806"/>
        <v>80</v>
      </c>
      <c r="AD1850">
        <v>1791</v>
      </c>
      <c r="AE1850" t="str">
        <f>IF(AND(ISNUMBER(SEARCH(O1850,4)),ISNUMBER(SEARCH('(4) FCH pathway assessment'!$B$16,AB1850)),ISNUMBER(SEARCH('(4) FCH pathway assessment'!$B$10,AA1850))),AD1850,"")</f>
        <v/>
      </c>
      <c r="AF1850" t="str">
        <f t="shared" si="5638"/>
        <v/>
      </c>
      <c r="AG1850" t="str">
        <f>VLOOKUP(C1850,Assumptions!$B$116:$C$162,2,FALSE)</f>
        <v>ELCTRLYZ_LRG_C</v>
      </c>
      <c r="AH1850" t="str">
        <f>VLOOKUP(D1850,Assumptions!$B$116:$C$162,2,FALSE)</f>
        <v>C_GAS_STRG</v>
      </c>
      <c r="AI1850" t="str">
        <f>VLOOKUP(E1850,Assumptions!$B$116:$C$162,2,FALSE)</f>
        <v>H2_T&amp;D_P</v>
      </c>
      <c r="AJ1850" t="str">
        <f>VLOOKUP(F1850,Assumptions!$B$116:$C$162,2,FALSE)</f>
        <v>H2_FC_PWR</v>
      </c>
    </row>
    <row r="1851" spans="2:36" x14ac:dyDescent="0.25">
      <c r="B1851" t="s">
        <v>112</v>
      </c>
      <c r="C1851" t="s">
        <v>49</v>
      </c>
      <c r="D1851" t="s">
        <v>155</v>
      </c>
      <c r="E1851" t="s">
        <v>66</v>
      </c>
      <c r="F1851" t="s">
        <v>164</v>
      </c>
      <c r="G1851" t="s">
        <v>126</v>
      </c>
      <c r="H1851" t="s">
        <v>433</v>
      </c>
      <c r="I1851" t="s">
        <v>32</v>
      </c>
      <c r="J1851" t="s">
        <v>534</v>
      </c>
      <c r="K1851">
        <f t="shared" si="5793"/>
        <v>1</v>
      </c>
      <c r="L1851">
        <f t="shared" si="5794"/>
        <v>1</v>
      </c>
      <c r="M1851">
        <f t="shared" si="5795"/>
        <v>1</v>
      </c>
      <c r="N1851">
        <f t="shared" si="5796"/>
        <v>1</v>
      </c>
      <c r="O1851">
        <f t="shared" si="5797"/>
        <v>4</v>
      </c>
      <c r="P1851" t="str">
        <f t="shared" si="5798"/>
        <v>Large centralized electrolysis-Regulatory coverage</v>
      </c>
      <c r="Q1851" t="str">
        <f t="shared" si="5799"/>
        <v>Central gas storage-Regulatory coverage</v>
      </c>
      <c r="R1851" t="str">
        <f t="shared" si="5800"/>
        <v>Onsite-Regulatory coverage</v>
      </c>
      <c r="S1851" t="str">
        <f t="shared" si="5801"/>
        <v>Prime power H2 fuel cell-Regulatory coverage</v>
      </c>
      <c r="T1851">
        <f ca="1">VLOOKUP($P1851,'TA database'!$I$8:$J$79,2,FALSE)</f>
        <v>100</v>
      </c>
      <c r="U1851">
        <f ca="1">VLOOKUP($Q1851,'TA database'!$I$86:$J$105,2,FALSE)</f>
        <v>80</v>
      </c>
      <c r="V1851">
        <f ca="1">VLOOKUP($R1851,'TA database'!$I$112:$J$139,2,FALSE)</f>
        <v>100</v>
      </c>
      <c r="W1851">
        <f>IFERROR(VLOOKUP($S1851,'TA database'!$I$146:$J$193,2,FALSE),0)</f>
        <v>0</v>
      </c>
      <c r="X1851">
        <f ca="1">IFERROR(VLOOKUP($S1851,'TA database'!$I$200:$J$271,2,FALSE),0)</f>
        <v>100</v>
      </c>
      <c r="Y1851">
        <f t="shared" ca="1" si="5802"/>
        <v>95</v>
      </c>
      <c r="Z1851" t="str">
        <f t="shared" si="5803"/>
        <v>ELCTRLYZ_LRG_C   →   C_GAS_STRG   →   ONSITE_USE   →   H2_FC_PWR</v>
      </c>
      <c r="AA1851" t="str">
        <f t="shared" si="5804"/>
        <v>Onsite / Back-up power</v>
      </c>
      <c r="AB1851" t="str">
        <f t="shared" si="5805"/>
        <v>Regulatory coverage</v>
      </c>
      <c r="AC1851">
        <f t="shared" ca="1" si="5806"/>
        <v>95</v>
      </c>
      <c r="AD1851">
        <v>1792</v>
      </c>
      <c r="AE1851" t="str">
        <f>IF(AND(ISNUMBER(SEARCH(O1851,4)),ISNUMBER(SEARCH('(4) FCH pathway assessment'!$B$16,AB1851)),ISNUMBER(SEARCH('(4) FCH pathway assessment'!$B$10,AA1851))),AD1851,"")</f>
        <v/>
      </c>
      <c r="AF1851" t="str">
        <f t="shared" si="5638"/>
        <v/>
      </c>
      <c r="AG1851" t="str">
        <f>VLOOKUP(C1851,Assumptions!$B$116:$C$162,2,FALSE)</f>
        <v>ELCTRLYZ_LRG_C</v>
      </c>
      <c r="AH1851" t="str">
        <f>VLOOKUP(D1851,Assumptions!$B$116:$C$162,2,FALSE)</f>
        <v>C_GAS_STRG</v>
      </c>
      <c r="AI1851" t="str">
        <f>VLOOKUP(E1851,Assumptions!$B$116:$C$162,2,FALSE)</f>
        <v>ONSITE_USE</v>
      </c>
      <c r="AJ1851" t="str">
        <f>VLOOKUP(F1851,Assumptions!$B$116:$C$162,2,FALSE)</f>
        <v>H2_FC_PWR</v>
      </c>
    </row>
    <row r="1852" spans="2:36" x14ac:dyDescent="0.25">
      <c r="B1852" t="s">
        <v>112</v>
      </c>
      <c r="C1852" t="s">
        <v>51</v>
      </c>
      <c r="D1852" t="s">
        <v>155</v>
      </c>
      <c r="E1852" t="s">
        <v>157</v>
      </c>
      <c r="F1852" t="s">
        <v>164</v>
      </c>
      <c r="G1852" t="s">
        <v>126</v>
      </c>
      <c r="H1852" t="s">
        <v>433</v>
      </c>
      <c r="I1852" t="s">
        <v>32</v>
      </c>
      <c r="J1852" t="s">
        <v>534</v>
      </c>
      <c r="K1852">
        <f t="shared" si="5793"/>
        <v>1</v>
      </c>
      <c r="L1852">
        <f t="shared" si="5794"/>
        <v>1</v>
      </c>
      <c r="M1852">
        <f t="shared" si="5795"/>
        <v>0</v>
      </c>
      <c r="N1852">
        <f t="shared" si="5796"/>
        <v>1</v>
      </c>
      <c r="O1852">
        <f t="shared" si="5797"/>
        <v>3</v>
      </c>
      <c r="P1852" t="str">
        <f t="shared" si="5798"/>
        <v>Medium centralized electrolysis-Regulatory coverage</v>
      </c>
      <c r="Q1852" t="str">
        <f t="shared" si="5799"/>
        <v>Central gas storage-Regulatory coverage</v>
      </c>
      <c r="R1852" t="str">
        <f t="shared" si="5800"/>
        <v>Blending in natural gas pipeline-Regulatory coverage</v>
      </c>
      <c r="S1852" t="str">
        <f t="shared" si="5801"/>
        <v>Prime power H2 fuel cell-Regulatory coverage</v>
      </c>
      <c r="T1852">
        <f ca="1">VLOOKUP($P1852,'TA database'!$I$8:$J$79,2,FALSE)</f>
        <v>100</v>
      </c>
      <c r="U1852">
        <f ca="1">VLOOKUP($Q1852,'TA database'!$I$86:$J$105,2,FALSE)</f>
        <v>80</v>
      </c>
      <c r="V1852">
        <f ca="1">VLOOKUP($R1852,'TA database'!$I$112:$J$139,2,FALSE)</f>
        <v>100</v>
      </c>
      <c r="W1852">
        <f>IFERROR(VLOOKUP($S1852,'TA database'!$I$146:$J$193,2,FALSE),0)</f>
        <v>0</v>
      </c>
      <c r="X1852">
        <f ca="1">IFERROR(VLOOKUP($S1852,'TA database'!$I$200:$J$271,2,FALSE),0)</f>
        <v>100</v>
      </c>
      <c r="Y1852">
        <f t="shared" ca="1" si="5802"/>
        <v>95</v>
      </c>
      <c r="Z1852" t="str">
        <f t="shared" si="5803"/>
        <v>ELCTRLYZ_MED_C   →   C_GAS_STRG   →   H2_BLND_NG_P   →   H2_FC_PWR</v>
      </c>
      <c r="AA1852" t="str">
        <f t="shared" si="5804"/>
        <v>Onsite / Back-up power</v>
      </c>
      <c r="AB1852" t="str">
        <f t="shared" si="5805"/>
        <v>Regulatory coverage</v>
      </c>
      <c r="AC1852">
        <f t="shared" ca="1" si="5806"/>
        <v>95</v>
      </c>
      <c r="AD1852">
        <v>1793</v>
      </c>
      <c r="AE1852" t="str">
        <f>IF(AND(ISNUMBER(SEARCH(O1852,4)),ISNUMBER(SEARCH('(4) FCH pathway assessment'!$B$16,AB1852)),ISNUMBER(SEARCH('(4) FCH pathway assessment'!$B$10,AA1852))),AD1852,"")</f>
        <v/>
      </c>
      <c r="AF1852" t="str">
        <f t="shared" ref="AF1852:AF1915" si="5807">IFERROR(SMALL($AE$60:$AE$1991,AD1852),"")</f>
        <v/>
      </c>
      <c r="AG1852" t="str">
        <f>VLOOKUP(C1852,Assumptions!$B$116:$C$162,2,FALSE)</f>
        <v>ELCTRLYZ_MED_C</v>
      </c>
      <c r="AH1852" t="str">
        <f>VLOOKUP(D1852,Assumptions!$B$116:$C$162,2,FALSE)</f>
        <v>C_GAS_STRG</v>
      </c>
      <c r="AI1852" t="str">
        <f>VLOOKUP(E1852,Assumptions!$B$116:$C$162,2,FALSE)</f>
        <v>H2_BLND_NG_P</v>
      </c>
      <c r="AJ1852" t="str">
        <f>VLOOKUP(F1852,Assumptions!$B$116:$C$162,2,FALSE)</f>
        <v>H2_FC_PWR</v>
      </c>
    </row>
    <row r="1853" spans="2:36" x14ac:dyDescent="0.25">
      <c r="B1853" t="s">
        <v>112</v>
      </c>
      <c r="C1853" t="s">
        <v>51</v>
      </c>
      <c r="D1853" t="s">
        <v>155</v>
      </c>
      <c r="E1853" t="s">
        <v>122</v>
      </c>
      <c r="F1853" t="s">
        <v>164</v>
      </c>
      <c r="G1853" t="s">
        <v>126</v>
      </c>
      <c r="H1853" t="s">
        <v>433</v>
      </c>
      <c r="I1853" t="s">
        <v>32</v>
      </c>
      <c r="J1853" t="s">
        <v>534</v>
      </c>
      <c r="K1853">
        <f t="shared" si="5793"/>
        <v>1</v>
      </c>
      <c r="L1853">
        <f t="shared" si="5794"/>
        <v>1</v>
      </c>
      <c r="M1853">
        <f t="shared" si="5795"/>
        <v>1</v>
      </c>
      <c r="N1853">
        <f t="shared" si="5796"/>
        <v>1</v>
      </c>
      <c r="O1853">
        <f t="shared" si="5797"/>
        <v>4</v>
      </c>
      <c r="P1853" t="str">
        <f t="shared" si="5798"/>
        <v>Medium centralized electrolysis-Regulatory coverage</v>
      </c>
      <c r="Q1853" t="str">
        <f t="shared" si="5799"/>
        <v>Central gas storage-Regulatory coverage</v>
      </c>
      <c r="R1853" t="str">
        <f t="shared" si="5800"/>
        <v>Hydrogen transmission &amp; distribution pipeline-Regulatory coverage</v>
      </c>
      <c r="S1853" t="str">
        <f t="shared" si="5801"/>
        <v>Prime power H2 fuel cell-Regulatory coverage</v>
      </c>
      <c r="T1853">
        <f ca="1">VLOOKUP($P1853,'TA database'!$I$8:$J$79,2,FALSE)</f>
        <v>100</v>
      </c>
      <c r="U1853">
        <f ca="1">VLOOKUP($Q1853,'TA database'!$I$86:$J$105,2,FALSE)</f>
        <v>80</v>
      </c>
      <c r="V1853">
        <f ca="1">VLOOKUP($R1853,'TA database'!$I$112:$J$139,2,FALSE)</f>
        <v>40</v>
      </c>
      <c r="W1853">
        <f>IFERROR(VLOOKUP($S1853,'TA database'!$I$146:$J$193,2,FALSE),0)</f>
        <v>0</v>
      </c>
      <c r="X1853">
        <f ca="1">IFERROR(VLOOKUP($S1853,'TA database'!$I$200:$J$271,2,FALSE),0)</f>
        <v>100</v>
      </c>
      <c r="Y1853">
        <f t="shared" ca="1" si="5802"/>
        <v>80</v>
      </c>
      <c r="Z1853" t="str">
        <f t="shared" si="5803"/>
        <v>ELCTRLYZ_MED_C   →   C_GAS_STRG   →   H2_T&amp;D_P   →   H2_FC_PWR</v>
      </c>
      <c r="AA1853" t="str">
        <f t="shared" si="5804"/>
        <v>Onsite / Back-up power</v>
      </c>
      <c r="AB1853" t="str">
        <f t="shared" si="5805"/>
        <v>Regulatory coverage</v>
      </c>
      <c r="AC1853">
        <f t="shared" ca="1" si="5806"/>
        <v>80</v>
      </c>
      <c r="AD1853">
        <v>1794</v>
      </c>
      <c r="AE1853" t="str">
        <f>IF(AND(ISNUMBER(SEARCH(O1853,4)),ISNUMBER(SEARCH('(4) FCH pathway assessment'!$B$16,AB1853)),ISNUMBER(SEARCH('(4) FCH pathway assessment'!$B$10,AA1853))),AD1853,"")</f>
        <v/>
      </c>
      <c r="AF1853" t="str">
        <f t="shared" si="5807"/>
        <v/>
      </c>
      <c r="AG1853" t="str">
        <f>VLOOKUP(C1853,Assumptions!$B$116:$C$162,2,FALSE)</f>
        <v>ELCTRLYZ_MED_C</v>
      </c>
      <c r="AH1853" t="str">
        <f>VLOOKUP(D1853,Assumptions!$B$116:$C$162,2,FALSE)</f>
        <v>C_GAS_STRG</v>
      </c>
      <c r="AI1853" t="str">
        <f>VLOOKUP(E1853,Assumptions!$B$116:$C$162,2,FALSE)</f>
        <v>H2_T&amp;D_P</v>
      </c>
      <c r="AJ1853" t="str">
        <f>VLOOKUP(F1853,Assumptions!$B$116:$C$162,2,FALSE)</f>
        <v>H2_FC_PWR</v>
      </c>
    </row>
    <row r="1854" spans="2:36" x14ac:dyDescent="0.25">
      <c r="B1854" t="s">
        <v>112</v>
      </c>
      <c r="C1854" t="s">
        <v>51</v>
      </c>
      <c r="D1854" t="s">
        <v>155</v>
      </c>
      <c r="E1854" t="s">
        <v>66</v>
      </c>
      <c r="F1854" t="s">
        <v>164</v>
      </c>
      <c r="G1854" t="s">
        <v>126</v>
      </c>
      <c r="H1854" t="s">
        <v>433</v>
      </c>
      <c r="I1854" t="s">
        <v>32</v>
      </c>
      <c r="J1854" t="s">
        <v>534</v>
      </c>
      <c r="K1854">
        <f t="shared" si="5793"/>
        <v>1</v>
      </c>
      <c r="L1854">
        <f t="shared" si="5794"/>
        <v>1</v>
      </c>
      <c r="M1854">
        <f t="shared" si="5795"/>
        <v>1</v>
      </c>
      <c r="N1854">
        <f t="shared" si="5796"/>
        <v>1</v>
      </c>
      <c r="O1854">
        <f t="shared" si="5797"/>
        <v>4</v>
      </c>
      <c r="P1854" t="str">
        <f t="shared" si="5798"/>
        <v>Medium centralized electrolysis-Regulatory coverage</v>
      </c>
      <c r="Q1854" t="str">
        <f t="shared" si="5799"/>
        <v>Central gas storage-Regulatory coverage</v>
      </c>
      <c r="R1854" t="str">
        <f t="shared" si="5800"/>
        <v>Onsite-Regulatory coverage</v>
      </c>
      <c r="S1854" t="str">
        <f t="shared" si="5801"/>
        <v>Prime power H2 fuel cell-Regulatory coverage</v>
      </c>
      <c r="T1854">
        <f ca="1">VLOOKUP($P1854,'TA database'!$I$8:$J$79,2,FALSE)</f>
        <v>100</v>
      </c>
      <c r="U1854">
        <f ca="1">VLOOKUP($Q1854,'TA database'!$I$86:$J$105,2,FALSE)</f>
        <v>80</v>
      </c>
      <c r="V1854">
        <f ca="1">VLOOKUP($R1854,'TA database'!$I$112:$J$139,2,FALSE)</f>
        <v>100</v>
      </c>
      <c r="W1854">
        <f>IFERROR(VLOOKUP($S1854,'TA database'!$I$146:$J$193,2,FALSE),0)</f>
        <v>0</v>
      </c>
      <c r="X1854">
        <f ca="1">IFERROR(VLOOKUP($S1854,'TA database'!$I$200:$J$271,2,FALSE),0)</f>
        <v>100</v>
      </c>
      <c r="Y1854">
        <f t="shared" ca="1" si="5802"/>
        <v>95</v>
      </c>
      <c r="Z1854" t="str">
        <f t="shared" si="5803"/>
        <v>ELCTRLYZ_MED_C   →   C_GAS_STRG   →   ONSITE_USE   →   H2_FC_PWR</v>
      </c>
      <c r="AA1854" t="str">
        <f t="shared" si="5804"/>
        <v>Onsite / Back-up power</v>
      </c>
      <c r="AB1854" t="str">
        <f t="shared" si="5805"/>
        <v>Regulatory coverage</v>
      </c>
      <c r="AC1854">
        <f t="shared" ca="1" si="5806"/>
        <v>95</v>
      </c>
      <c r="AD1854">
        <v>1795</v>
      </c>
      <c r="AE1854" t="str">
        <f>IF(AND(ISNUMBER(SEARCH(O1854,4)),ISNUMBER(SEARCH('(4) FCH pathway assessment'!$B$16,AB1854)),ISNUMBER(SEARCH('(4) FCH pathway assessment'!$B$10,AA1854))),AD1854,"")</f>
        <v/>
      </c>
      <c r="AF1854" t="str">
        <f t="shared" si="5807"/>
        <v/>
      </c>
      <c r="AG1854" t="str">
        <f>VLOOKUP(C1854,Assumptions!$B$116:$C$162,2,FALSE)</f>
        <v>ELCTRLYZ_MED_C</v>
      </c>
      <c r="AH1854" t="str">
        <f>VLOOKUP(D1854,Assumptions!$B$116:$C$162,2,FALSE)</f>
        <v>C_GAS_STRG</v>
      </c>
      <c r="AI1854" t="str">
        <f>VLOOKUP(E1854,Assumptions!$B$116:$C$162,2,FALSE)</f>
        <v>ONSITE_USE</v>
      </c>
      <c r="AJ1854" t="str">
        <f>VLOOKUP(F1854,Assumptions!$B$116:$C$162,2,FALSE)</f>
        <v>H2_FC_PWR</v>
      </c>
    </row>
    <row r="1855" spans="2:36" x14ac:dyDescent="0.25">
      <c r="B1855" t="s">
        <v>112</v>
      </c>
      <c r="C1855" t="s">
        <v>52</v>
      </c>
      <c r="D1855" s="60" t="s">
        <v>130</v>
      </c>
      <c r="E1855" t="s">
        <v>66</v>
      </c>
      <c r="F1855" t="s">
        <v>164</v>
      </c>
      <c r="G1855" t="s">
        <v>126</v>
      </c>
      <c r="H1855" t="s">
        <v>433</v>
      </c>
      <c r="I1855" t="s">
        <v>32</v>
      </c>
      <c r="J1855" t="s">
        <v>534</v>
      </c>
      <c r="K1855">
        <f t="shared" ref="K1855:K1859" si="5808">SUMPRODUCT(($C$7:$C$18=$C1855)*($D$6:$H$6=$D1855)*($D$7:$H$18))</f>
        <v>1</v>
      </c>
      <c r="L1855">
        <f t="shared" ref="L1855:L1859" si="5809">SUMPRODUCT(($C$19:$C$23=$D1855)*($I$6:$O$6=$E1855)*($I$19:$O$23))</f>
        <v>1</v>
      </c>
      <c r="M1855">
        <f t="shared" ref="M1855:M1859" si="5810">SUMPRODUCT(($C$24:$C$30=$E1855)*($P$6:$AI$6=$F1855)*($P$24:$AI$30))</f>
        <v>1</v>
      </c>
      <c r="N1855">
        <f t="shared" ref="N1855:N1859" si="5811">SUMPRODUCT(($C$31:$C$50=$F1855)*($AJ$6:$AM$6=$G1855)*($AJ$31:$AM$50))</f>
        <v>1</v>
      </c>
      <c r="O1855">
        <f t="shared" ref="O1855:O1858" si="5812">K1855+L1855+M1855+N1855</f>
        <v>4</v>
      </c>
      <c r="P1855" t="str">
        <f t="shared" ref="P1855:P1859" si="5813">CONCATENATE(C1855,"-",J1855)</f>
        <v>Small decentralized electrolysis-Regulatory coverage</v>
      </c>
      <c r="Q1855" t="str">
        <f t="shared" ref="Q1855:Q1859" si="5814">CONCATENATE(D1855,"-",J1855)</f>
        <v>Distributed gas storage-Regulatory coverage</v>
      </c>
      <c r="R1855" t="str">
        <f t="shared" ref="R1855:R1859" si="5815">CONCATENATE(E1855,"-",J1855)</f>
        <v>Onsite-Regulatory coverage</v>
      </c>
      <c r="S1855" t="str">
        <f t="shared" ref="S1855:S1859" si="5816">CONCATENATE(F1855,"-",J1855)</f>
        <v>Prime power H2 fuel cell-Regulatory coverage</v>
      </c>
      <c r="T1855">
        <f ca="1">VLOOKUP($P1855,'TA database'!$I$8:$J$79,2,FALSE)</f>
        <v>100</v>
      </c>
      <c r="U1855">
        <f ca="1">VLOOKUP($Q1855,'TA database'!$I$86:$J$105,2,FALSE)</f>
        <v>100</v>
      </c>
      <c r="V1855">
        <f ca="1">VLOOKUP($R1855,'TA database'!$I$112:$J$139,2,FALSE)</f>
        <v>100</v>
      </c>
      <c r="W1855">
        <f>IFERROR(VLOOKUP($S1855,'TA database'!$I$146:$J$193,2,FALSE),0)</f>
        <v>0</v>
      </c>
      <c r="X1855">
        <f ca="1">IFERROR(VLOOKUP($S1855,'TA database'!$I$200:$J$271,2,FALSE),0)</f>
        <v>100</v>
      </c>
      <c r="Y1855">
        <f t="shared" ref="Y1855:Y1858" ca="1" si="5817">IF($W1855=0,SUM($T1855:$V1855,$X1855)/4,SUM($T1855:$W1855)/4)</f>
        <v>100</v>
      </c>
      <c r="Z1855" t="str">
        <f t="shared" ref="Z1855:Z1858" si="5818">CONCATENATE(AG1855,"   →   ",AH1855,"   →   ",AI1855,"   →   ",AJ1855)</f>
        <v>ELCTRLYZ_SML_D   →   D_GAS_STRG   →   ONSITE_USE   →   H2_FC_PWR</v>
      </c>
      <c r="AA1855" t="str">
        <f t="shared" ref="AA1855:AA1858" si="5819">G1855</f>
        <v>Onsite / Back-up power</v>
      </c>
      <c r="AB1855" t="str">
        <f t="shared" ref="AB1855:AB1858" si="5820">J1855</f>
        <v>Regulatory coverage</v>
      </c>
      <c r="AC1855">
        <f t="shared" ref="AC1855:AC1858" ca="1" si="5821">Y1855</f>
        <v>100</v>
      </c>
      <c r="AD1855">
        <v>1796</v>
      </c>
      <c r="AE1855" t="str">
        <f>IF(AND(ISNUMBER(SEARCH(O1855,4)),ISNUMBER(SEARCH('(4) FCH pathway assessment'!$B$16,AB1855)),ISNUMBER(SEARCH('(4) FCH pathway assessment'!$B$10,AA1855))),AD1855,"")</f>
        <v/>
      </c>
      <c r="AF1855" t="str">
        <f t="shared" si="5807"/>
        <v/>
      </c>
      <c r="AG1855" t="str">
        <f>VLOOKUP(C1855,Assumptions!$B$116:$C$162,2,FALSE)</f>
        <v>ELCTRLYZ_SML_D</v>
      </c>
      <c r="AH1855" t="str">
        <f>VLOOKUP(D1855,Assumptions!$B$116:$C$162,2,FALSE)</f>
        <v>D_GAS_STRG</v>
      </c>
      <c r="AI1855" t="str">
        <f>VLOOKUP(E1855,Assumptions!$B$116:$C$162,2,FALSE)</f>
        <v>ONSITE_USE</v>
      </c>
      <c r="AJ1855" t="str">
        <f>VLOOKUP(F1855,Assumptions!$B$116:$C$162,2,FALSE)</f>
        <v>H2_FC_PWR</v>
      </c>
    </row>
    <row r="1856" spans="2:36" x14ac:dyDescent="0.25">
      <c r="B1856" t="s">
        <v>127</v>
      </c>
      <c r="C1856" t="s">
        <v>57</v>
      </c>
      <c r="D1856" t="s">
        <v>62</v>
      </c>
      <c r="E1856" t="s">
        <v>157</v>
      </c>
      <c r="F1856" t="s">
        <v>164</v>
      </c>
      <c r="G1856" t="s">
        <v>126</v>
      </c>
      <c r="H1856" t="s">
        <v>433</v>
      </c>
      <c r="I1856" t="s">
        <v>32</v>
      </c>
      <c r="J1856" t="s">
        <v>534</v>
      </c>
      <c r="K1856">
        <f t="shared" si="5808"/>
        <v>1</v>
      </c>
      <c r="L1856">
        <f t="shared" si="5809"/>
        <v>0</v>
      </c>
      <c r="M1856">
        <f t="shared" si="5810"/>
        <v>0</v>
      </c>
      <c r="N1856">
        <f t="shared" si="5811"/>
        <v>1</v>
      </c>
      <c r="O1856">
        <f t="shared" si="5812"/>
        <v>2</v>
      </c>
      <c r="P1856" t="str">
        <f t="shared" si="5813"/>
        <v>Large centralized natural gas steam reforming-Regulatory coverage</v>
      </c>
      <c r="Q1856" t="str">
        <f t="shared" si="5814"/>
        <v>Underground storage-Regulatory coverage</v>
      </c>
      <c r="R1856" t="str">
        <f t="shared" si="5815"/>
        <v>Blending in natural gas pipeline-Regulatory coverage</v>
      </c>
      <c r="S1856" t="str">
        <f t="shared" si="5816"/>
        <v>Prime power H2 fuel cell-Regulatory coverage</v>
      </c>
      <c r="T1856">
        <f ca="1">VLOOKUP($P1856,'TA database'!$I$8:$J$79,2,FALSE)</f>
        <v>100</v>
      </c>
      <c r="U1856">
        <f ca="1">VLOOKUP($Q1856,'TA database'!$I$86:$J$105,2,FALSE)</f>
        <v>0</v>
      </c>
      <c r="V1856">
        <f ca="1">VLOOKUP($R1856,'TA database'!$I$112:$J$139,2,FALSE)</f>
        <v>100</v>
      </c>
      <c r="W1856">
        <f>IFERROR(VLOOKUP($S1856,'TA database'!$I$146:$J$193,2,FALSE),0)</f>
        <v>0</v>
      </c>
      <c r="X1856">
        <f ca="1">IFERROR(VLOOKUP($S1856,'TA database'!$I$200:$J$271,2,FALSE),0)</f>
        <v>100</v>
      </c>
      <c r="Y1856">
        <f t="shared" ca="1" si="5817"/>
        <v>75</v>
      </c>
      <c r="Z1856" t="str">
        <f t="shared" si="5818"/>
        <v>NG_SR_LRG_C   →   C_UNDRGRND_STRG   →   H2_BLND_NG_P   →   H2_FC_PWR</v>
      </c>
      <c r="AA1856" t="str">
        <f t="shared" si="5819"/>
        <v>Onsite / Back-up power</v>
      </c>
      <c r="AB1856" t="str">
        <f t="shared" si="5820"/>
        <v>Regulatory coverage</v>
      </c>
      <c r="AC1856">
        <f t="shared" ca="1" si="5821"/>
        <v>75</v>
      </c>
      <c r="AD1856">
        <v>1797</v>
      </c>
      <c r="AE1856" t="str">
        <f>IF(AND(ISNUMBER(SEARCH(O1856,4)),ISNUMBER(SEARCH('(4) FCH pathway assessment'!$B$16,AB1856)),ISNUMBER(SEARCH('(4) FCH pathway assessment'!$B$10,AA1856))),AD1856,"")</f>
        <v/>
      </c>
      <c r="AF1856" t="str">
        <f t="shared" si="5807"/>
        <v/>
      </c>
      <c r="AG1856" t="str">
        <f>VLOOKUP(C1856,Assumptions!$B$116:$C$162,2,FALSE)</f>
        <v>NG_SR_LRG_C</v>
      </c>
      <c r="AH1856" t="str">
        <f>VLOOKUP(D1856,Assumptions!$B$116:$C$162,2,FALSE)</f>
        <v>C_UNDRGRND_STRG</v>
      </c>
      <c r="AI1856" t="str">
        <f>VLOOKUP(E1856,Assumptions!$B$116:$C$162,2,FALSE)</f>
        <v>H2_BLND_NG_P</v>
      </c>
      <c r="AJ1856" t="str">
        <f>VLOOKUP(F1856,Assumptions!$B$116:$C$162,2,FALSE)</f>
        <v>H2_FC_PWR</v>
      </c>
    </row>
    <row r="1857" spans="2:36" x14ac:dyDescent="0.25">
      <c r="B1857" t="s">
        <v>127</v>
      </c>
      <c r="C1857" t="s">
        <v>57</v>
      </c>
      <c r="D1857" t="s">
        <v>62</v>
      </c>
      <c r="E1857" t="s">
        <v>122</v>
      </c>
      <c r="F1857" t="s">
        <v>164</v>
      </c>
      <c r="G1857" t="s">
        <v>126</v>
      </c>
      <c r="H1857" t="s">
        <v>433</v>
      </c>
      <c r="I1857" t="s">
        <v>32</v>
      </c>
      <c r="J1857" t="s">
        <v>534</v>
      </c>
      <c r="K1857">
        <f t="shared" si="5808"/>
        <v>1</v>
      </c>
      <c r="L1857">
        <f t="shared" si="5809"/>
        <v>0</v>
      </c>
      <c r="M1857">
        <f t="shared" si="5810"/>
        <v>1</v>
      </c>
      <c r="N1857">
        <f t="shared" si="5811"/>
        <v>1</v>
      </c>
      <c r="O1857">
        <f t="shared" si="5812"/>
        <v>3</v>
      </c>
      <c r="P1857" t="str">
        <f t="shared" si="5813"/>
        <v>Large centralized natural gas steam reforming-Regulatory coverage</v>
      </c>
      <c r="Q1857" t="str">
        <f t="shared" si="5814"/>
        <v>Underground storage-Regulatory coverage</v>
      </c>
      <c r="R1857" t="str">
        <f t="shared" si="5815"/>
        <v>Hydrogen transmission &amp; distribution pipeline-Regulatory coverage</v>
      </c>
      <c r="S1857" t="str">
        <f t="shared" si="5816"/>
        <v>Prime power H2 fuel cell-Regulatory coverage</v>
      </c>
      <c r="T1857">
        <f ca="1">VLOOKUP($P1857,'TA database'!$I$8:$J$79,2,FALSE)</f>
        <v>100</v>
      </c>
      <c r="U1857">
        <f ca="1">VLOOKUP($Q1857,'TA database'!$I$86:$J$105,2,FALSE)</f>
        <v>0</v>
      </c>
      <c r="V1857">
        <f ca="1">VLOOKUP($R1857,'TA database'!$I$112:$J$139,2,FALSE)</f>
        <v>40</v>
      </c>
      <c r="W1857">
        <f>IFERROR(VLOOKUP($S1857,'TA database'!$I$146:$J$193,2,FALSE),0)</f>
        <v>0</v>
      </c>
      <c r="X1857">
        <f ca="1">IFERROR(VLOOKUP($S1857,'TA database'!$I$200:$J$271,2,FALSE),0)</f>
        <v>100</v>
      </c>
      <c r="Y1857">
        <f t="shared" ca="1" si="5817"/>
        <v>60</v>
      </c>
      <c r="Z1857" t="str">
        <f t="shared" si="5818"/>
        <v>NG_SR_LRG_C   →   C_UNDRGRND_STRG   →   H2_T&amp;D_P   →   H2_FC_PWR</v>
      </c>
      <c r="AA1857" t="str">
        <f t="shared" si="5819"/>
        <v>Onsite / Back-up power</v>
      </c>
      <c r="AB1857" t="str">
        <f t="shared" si="5820"/>
        <v>Regulatory coverage</v>
      </c>
      <c r="AC1857">
        <f t="shared" ca="1" si="5821"/>
        <v>60</v>
      </c>
      <c r="AD1857">
        <v>1798</v>
      </c>
      <c r="AE1857" t="str">
        <f>IF(AND(ISNUMBER(SEARCH(O1857,4)),ISNUMBER(SEARCH('(4) FCH pathway assessment'!$B$16,AB1857)),ISNUMBER(SEARCH('(4) FCH pathway assessment'!$B$10,AA1857))),AD1857,"")</f>
        <v/>
      </c>
      <c r="AF1857" t="str">
        <f t="shared" si="5807"/>
        <v/>
      </c>
      <c r="AG1857" t="str">
        <f>VLOOKUP(C1857,Assumptions!$B$116:$C$162,2,FALSE)</f>
        <v>NG_SR_LRG_C</v>
      </c>
      <c r="AH1857" t="str">
        <f>VLOOKUP(D1857,Assumptions!$B$116:$C$162,2,FALSE)</f>
        <v>C_UNDRGRND_STRG</v>
      </c>
      <c r="AI1857" t="str">
        <f>VLOOKUP(E1857,Assumptions!$B$116:$C$162,2,FALSE)</f>
        <v>H2_T&amp;D_P</v>
      </c>
      <c r="AJ1857" t="str">
        <f>VLOOKUP(F1857,Assumptions!$B$116:$C$162,2,FALSE)</f>
        <v>H2_FC_PWR</v>
      </c>
    </row>
    <row r="1858" spans="2:36" x14ac:dyDescent="0.25">
      <c r="B1858" t="s">
        <v>127</v>
      </c>
      <c r="C1858" t="s">
        <v>57</v>
      </c>
      <c r="D1858" t="s">
        <v>62</v>
      </c>
      <c r="E1858" t="s">
        <v>66</v>
      </c>
      <c r="F1858" t="s">
        <v>164</v>
      </c>
      <c r="G1858" t="s">
        <v>126</v>
      </c>
      <c r="H1858" t="s">
        <v>433</v>
      </c>
      <c r="I1858" t="s">
        <v>32</v>
      </c>
      <c r="J1858" t="s">
        <v>534</v>
      </c>
      <c r="K1858">
        <f t="shared" si="5808"/>
        <v>1</v>
      </c>
      <c r="L1858">
        <f t="shared" si="5809"/>
        <v>0</v>
      </c>
      <c r="M1858">
        <f t="shared" si="5810"/>
        <v>1</v>
      </c>
      <c r="N1858">
        <f t="shared" si="5811"/>
        <v>1</v>
      </c>
      <c r="O1858">
        <f t="shared" si="5812"/>
        <v>3</v>
      </c>
      <c r="P1858" t="str">
        <f t="shared" si="5813"/>
        <v>Large centralized natural gas steam reforming-Regulatory coverage</v>
      </c>
      <c r="Q1858" t="str">
        <f t="shared" si="5814"/>
        <v>Underground storage-Regulatory coverage</v>
      </c>
      <c r="R1858" t="str">
        <f t="shared" si="5815"/>
        <v>Onsite-Regulatory coverage</v>
      </c>
      <c r="S1858" t="str">
        <f t="shared" si="5816"/>
        <v>Prime power H2 fuel cell-Regulatory coverage</v>
      </c>
      <c r="T1858">
        <f ca="1">VLOOKUP($P1858,'TA database'!$I$8:$J$79,2,FALSE)</f>
        <v>100</v>
      </c>
      <c r="U1858">
        <f ca="1">VLOOKUP($Q1858,'TA database'!$I$86:$J$105,2,FALSE)</f>
        <v>0</v>
      </c>
      <c r="V1858">
        <f ca="1">VLOOKUP($R1858,'TA database'!$I$112:$J$139,2,FALSE)</f>
        <v>100</v>
      </c>
      <c r="W1858">
        <f>IFERROR(VLOOKUP($S1858,'TA database'!$I$146:$J$193,2,FALSE),0)</f>
        <v>0</v>
      </c>
      <c r="X1858">
        <f ca="1">IFERROR(VLOOKUP($S1858,'TA database'!$I$200:$J$271,2,FALSE),0)</f>
        <v>100</v>
      </c>
      <c r="Y1858">
        <f t="shared" ca="1" si="5817"/>
        <v>75</v>
      </c>
      <c r="Z1858" t="str">
        <f t="shared" si="5818"/>
        <v>NG_SR_LRG_C   →   C_UNDRGRND_STRG   →   ONSITE_USE   →   H2_FC_PWR</v>
      </c>
      <c r="AA1858" t="str">
        <f t="shared" si="5819"/>
        <v>Onsite / Back-up power</v>
      </c>
      <c r="AB1858" t="str">
        <f t="shared" si="5820"/>
        <v>Regulatory coverage</v>
      </c>
      <c r="AC1858">
        <f t="shared" ca="1" si="5821"/>
        <v>75</v>
      </c>
      <c r="AD1858">
        <v>1799</v>
      </c>
      <c r="AE1858" t="str">
        <f>IF(AND(ISNUMBER(SEARCH(O1858,4)),ISNUMBER(SEARCH('(4) FCH pathway assessment'!$B$16,AB1858)),ISNUMBER(SEARCH('(4) FCH pathway assessment'!$B$10,AA1858))),AD1858,"")</f>
        <v/>
      </c>
      <c r="AF1858" t="str">
        <f t="shared" si="5807"/>
        <v/>
      </c>
      <c r="AG1858" t="str">
        <f>VLOOKUP(C1858,Assumptions!$B$116:$C$162,2,FALSE)</f>
        <v>NG_SR_LRG_C</v>
      </c>
      <c r="AH1858" t="str">
        <f>VLOOKUP(D1858,Assumptions!$B$116:$C$162,2,FALSE)</f>
        <v>C_UNDRGRND_STRG</v>
      </c>
      <c r="AI1858" t="str">
        <f>VLOOKUP(E1858,Assumptions!$B$116:$C$162,2,FALSE)</f>
        <v>ONSITE_USE</v>
      </c>
      <c r="AJ1858" t="str">
        <f>VLOOKUP(F1858,Assumptions!$B$116:$C$162,2,FALSE)</f>
        <v>H2_FC_PWR</v>
      </c>
    </row>
    <row r="1859" spans="2:36" x14ac:dyDescent="0.25">
      <c r="B1859" t="s">
        <v>127</v>
      </c>
      <c r="C1859" t="s">
        <v>57</v>
      </c>
      <c r="D1859" s="61" t="s">
        <v>63</v>
      </c>
      <c r="E1859" t="s">
        <v>122</v>
      </c>
      <c r="F1859" t="s">
        <v>164</v>
      </c>
      <c r="G1859" t="s">
        <v>126</v>
      </c>
      <c r="H1859" t="s">
        <v>433</v>
      </c>
      <c r="I1859" t="s">
        <v>32</v>
      </c>
      <c r="J1859" t="s">
        <v>534</v>
      </c>
      <c r="K1859">
        <f t="shared" si="5808"/>
        <v>1</v>
      </c>
      <c r="L1859">
        <f t="shared" si="5809"/>
        <v>1</v>
      </c>
      <c r="M1859">
        <f t="shared" si="5810"/>
        <v>1</v>
      </c>
      <c r="N1859">
        <f t="shared" si="5811"/>
        <v>1</v>
      </c>
      <c r="O1859">
        <f t="shared" ref="O1859:O1862" si="5822">K1859+L1859+M1859+N1859</f>
        <v>4</v>
      </c>
      <c r="P1859" t="str">
        <f t="shared" si="5813"/>
        <v>Large centralized natural gas steam reforming-Regulatory coverage</v>
      </c>
      <c r="Q1859" t="str">
        <f t="shared" si="5814"/>
        <v>No storage-Regulatory coverage</v>
      </c>
      <c r="R1859" t="str">
        <f t="shared" si="5815"/>
        <v>Hydrogen transmission &amp; distribution pipeline-Regulatory coverage</v>
      </c>
      <c r="S1859" t="str">
        <f t="shared" si="5816"/>
        <v>Prime power H2 fuel cell-Regulatory coverage</v>
      </c>
      <c r="T1859">
        <f ca="1">VLOOKUP($P1859,'TA database'!$I$8:$J$79,2,FALSE)</f>
        <v>100</v>
      </c>
      <c r="U1859">
        <f ca="1">VLOOKUP($Q1859,'TA database'!$I$86:$J$105,2,FALSE)</f>
        <v>100</v>
      </c>
      <c r="V1859">
        <f ca="1">VLOOKUP($R1859,'TA database'!$I$112:$J$139,2,FALSE)</f>
        <v>40</v>
      </c>
      <c r="W1859">
        <f>IFERROR(VLOOKUP($S1859,'TA database'!$I$146:$J$193,2,FALSE),0)</f>
        <v>0</v>
      </c>
      <c r="X1859">
        <f ca="1">IFERROR(VLOOKUP($S1859,'TA database'!$I$200:$J$271,2,FALSE),0)</f>
        <v>100</v>
      </c>
      <c r="Y1859">
        <f t="shared" ref="Y1859:Y1862" ca="1" si="5823">IF($W1859=0,SUM($T1859:$V1859,$X1859)/4,SUM($T1859:$W1859)/4)</f>
        <v>85</v>
      </c>
      <c r="Z1859" t="str">
        <f t="shared" ref="Z1859:Z1862" si="5824">CONCATENATE(AG1859,"   →   ",AH1859,"   →   ",AI1859,"   →   ",AJ1859)</f>
        <v>NG_SR_LRG_C   →   NO_STRG   →   H2_T&amp;D_P   →   H2_FC_PWR</v>
      </c>
      <c r="AA1859" t="str">
        <f t="shared" ref="AA1859:AA1862" si="5825">G1859</f>
        <v>Onsite / Back-up power</v>
      </c>
      <c r="AB1859" t="str">
        <f t="shared" ref="AB1859:AB1862" si="5826">J1859</f>
        <v>Regulatory coverage</v>
      </c>
      <c r="AC1859">
        <f t="shared" ref="AC1859:AC1862" ca="1" si="5827">Y1859</f>
        <v>85</v>
      </c>
      <c r="AD1859">
        <v>1800</v>
      </c>
      <c r="AE1859" t="str">
        <f>IF(AND(ISNUMBER(SEARCH(O1859,4)),ISNUMBER(SEARCH('(4) FCH pathway assessment'!$B$16,AB1859)),ISNUMBER(SEARCH('(4) FCH pathway assessment'!$B$10,AA1859))),AD1859,"")</f>
        <v/>
      </c>
      <c r="AF1859" t="str">
        <f t="shared" si="5807"/>
        <v/>
      </c>
      <c r="AG1859" t="str">
        <f>VLOOKUP(C1859,Assumptions!$B$116:$C$162,2,FALSE)</f>
        <v>NG_SR_LRG_C</v>
      </c>
      <c r="AH1859" t="str">
        <f>VLOOKUP(D1859,Assumptions!$B$116:$C$162,2,FALSE)</f>
        <v>NO_STRG</v>
      </c>
      <c r="AI1859" t="str">
        <f>VLOOKUP(E1859,Assumptions!$B$116:$C$162,2,FALSE)</f>
        <v>H2_T&amp;D_P</v>
      </c>
      <c r="AJ1859" t="str">
        <f>VLOOKUP(F1859,Assumptions!$B$116:$C$162,2,FALSE)</f>
        <v>H2_FC_PWR</v>
      </c>
    </row>
    <row r="1860" spans="2:36" x14ac:dyDescent="0.25">
      <c r="B1860" t="s">
        <v>127</v>
      </c>
      <c r="C1860" t="s">
        <v>58</v>
      </c>
      <c r="D1860" t="s">
        <v>155</v>
      </c>
      <c r="E1860" t="s">
        <v>157</v>
      </c>
      <c r="F1860" t="s">
        <v>164</v>
      </c>
      <c r="G1860" t="s">
        <v>126</v>
      </c>
      <c r="H1860" t="s">
        <v>433</v>
      </c>
      <c r="I1860" t="s">
        <v>32</v>
      </c>
      <c r="J1860" t="s">
        <v>534</v>
      </c>
      <c r="K1860">
        <f t="shared" ref="K1860:K1862" si="5828">SUMPRODUCT(($C$7:$C$18=$C1860)*($D$6:$H$6=$D1860)*($D$7:$H$18))</f>
        <v>1</v>
      </c>
      <c r="L1860">
        <f t="shared" ref="L1860:L1862" si="5829">SUMPRODUCT(($C$19:$C$23=$D1860)*($I$6:$O$6=$E1860)*($I$19:$O$23))</f>
        <v>1</v>
      </c>
      <c r="M1860">
        <f t="shared" ref="M1860:M1862" si="5830">SUMPRODUCT(($C$24:$C$30=$E1860)*($P$6:$AI$6=$F1860)*($P$24:$AI$30))</f>
        <v>0</v>
      </c>
      <c r="N1860">
        <f t="shared" ref="N1860:N1862" si="5831">SUMPRODUCT(($C$31:$C$50=$F1860)*($AJ$6:$AM$6=$G1860)*($AJ$31:$AM$50))</f>
        <v>1</v>
      </c>
      <c r="O1860">
        <f t="shared" si="5822"/>
        <v>3</v>
      </c>
      <c r="P1860" t="str">
        <f t="shared" ref="P1860:P1862" si="5832">CONCATENATE(C1860,"-",J1860)</f>
        <v>Small centralized natural gas steam reforming-Regulatory coverage</v>
      </c>
      <c r="Q1860" t="str">
        <f t="shared" ref="Q1860:Q1862" si="5833">CONCATENATE(D1860,"-",J1860)</f>
        <v>Central gas storage-Regulatory coverage</v>
      </c>
      <c r="R1860" t="str">
        <f t="shared" ref="R1860:R1862" si="5834">CONCATENATE(E1860,"-",J1860)</f>
        <v>Blending in natural gas pipeline-Regulatory coverage</v>
      </c>
      <c r="S1860" t="str">
        <f t="shared" ref="S1860:S1862" si="5835">CONCATENATE(F1860,"-",J1860)</f>
        <v>Prime power H2 fuel cell-Regulatory coverage</v>
      </c>
      <c r="T1860">
        <f ca="1">VLOOKUP($P1860,'TA database'!$I$8:$J$79,2,FALSE)</f>
        <v>100</v>
      </c>
      <c r="U1860">
        <f ca="1">VLOOKUP($Q1860,'TA database'!$I$86:$J$105,2,FALSE)</f>
        <v>80</v>
      </c>
      <c r="V1860">
        <f ca="1">VLOOKUP($R1860,'TA database'!$I$112:$J$139,2,FALSE)</f>
        <v>100</v>
      </c>
      <c r="W1860">
        <f>IFERROR(VLOOKUP($S1860,'TA database'!$I$146:$J$193,2,FALSE),0)</f>
        <v>0</v>
      </c>
      <c r="X1860">
        <f ca="1">IFERROR(VLOOKUP($S1860,'TA database'!$I$200:$J$271,2,FALSE),0)</f>
        <v>100</v>
      </c>
      <c r="Y1860">
        <f t="shared" ca="1" si="5823"/>
        <v>95</v>
      </c>
      <c r="Z1860" t="str">
        <f t="shared" si="5824"/>
        <v>NG_SR_SML_C   →   C_GAS_STRG   →   H2_BLND_NG_P   →   H2_FC_PWR</v>
      </c>
      <c r="AA1860" t="str">
        <f t="shared" si="5825"/>
        <v>Onsite / Back-up power</v>
      </c>
      <c r="AB1860" t="str">
        <f t="shared" si="5826"/>
        <v>Regulatory coverage</v>
      </c>
      <c r="AC1860">
        <f t="shared" ca="1" si="5827"/>
        <v>95</v>
      </c>
      <c r="AD1860">
        <v>1801</v>
      </c>
      <c r="AE1860" t="str">
        <f>IF(AND(ISNUMBER(SEARCH(O1860,4)),ISNUMBER(SEARCH('(4) FCH pathway assessment'!$B$16,AB1860)),ISNUMBER(SEARCH('(4) FCH pathway assessment'!$B$10,AA1860))),AD1860,"")</f>
        <v/>
      </c>
      <c r="AF1860" t="str">
        <f t="shared" si="5807"/>
        <v/>
      </c>
      <c r="AG1860" t="str">
        <f>VLOOKUP(C1860,Assumptions!$B$116:$C$162,2,FALSE)</f>
        <v>NG_SR_SML_C</v>
      </c>
      <c r="AH1860" t="str">
        <f>VLOOKUP(D1860,Assumptions!$B$116:$C$162,2,FALSE)</f>
        <v>C_GAS_STRG</v>
      </c>
      <c r="AI1860" t="str">
        <f>VLOOKUP(E1860,Assumptions!$B$116:$C$162,2,FALSE)</f>
        <v>H2_BLND_NG_P</v>
      </c>
      <c r="AJ1860" t="str">
        <f>VLOOKUP(F1860,Assumptions!$B$116:$C$162,2,FALSE)</f>
        <v>H2_FC_PWR</v>
      </c>
    </row>
    <row r="1861" spans="2:36" x14ac:dyDescent="0.25">
      <c r="B1861" t="s">
        <v>127</v>
      </c>
      <c r="C1861" t="s">
        <v>58</v>
      </c>
      <c r="D1861" t="s">
        <v>155</v>
      </c>
      <c r="E1861" t="s">
        <v>122</v>
      </c>
      <c r="F1861" t="s">
        <v>164</v>
      </c>
      <c r="G1861" t="s">
        <v>126</v>
      </c>
      <c r="H1861" t="s">
        <v>433</v>
      </c>
      <c r="I1861" t="s">
        <v>32</v>
      </c>
      <c r="J1861" t="s">
        <v>534</v>
      </c>
      <c r="K1861">
        <f t="shared" si="5828"/>
        <v>1</v>
      </c>
      <c r="L1861">
        <f t="shared" si="5829"/>
        <v>1</v>
      </c>
      <c r="M1861">
        <f t="shared" si="5830"/>
        <v>1</v>
      </c>
      <c r="N1861">
        <f t="shared" si="5831"/>
        <v>1</v>
      </c>
      <c r="O1861">
        <f t="shared" si="5822"/>
        <v>4</v>
      </c>
      <c r="P1861" t="str">
        <f t="shared" si="5832"/>
        <v>Small centralized natural gas steam reforming-Regulatory coverage</v>
      </c>
      <c r="Q1861" t="str">
        <f t="shared" si="5833"/>
        <v>Central gas storage-Regulatory coverage</v>
      </c>
      <c r="R1861" t="str">
        <f t="shared" si="5834"/>
        <v>Hydrogen transmission &amp; distribution pipeline-Regulatory coverage</v>
      </c>
      <c r="S1861" t="str">
        <f t="shared" si="5835"/>
        <v>Prime power H2 fuel cell-Regulatory coverage</v>
      </c>
      <c r="T1861">
        <f ca="1">VLOOKUP($P1861,'TA database'!$I$8:$J$79,2,FALSE)</f>
        <v>100</v>
      </c>
      <c r="U1861">
        <f ca="1">VLOOKUP($Q1861,'TA database'!$I$86:$J$105,2,FALSE)</f>
        <v>80</v>
      </c>
      <c r="V1861">
        <f ca="1">VLOOKUP($R1861,'TA database'!$I$112:$J$139,2,FALSE)</f>
        <v>40</v>
      </c>
      <c r="W1861">
        <f>IFERROR(VLOOKUP($S1861,'TA database'!$I$146:$J$193,2,FALSE),0)</f>
        <v>0</v>
      </c>
      <c r="X1861">
        <f ca="1">IFERROR(VLOOKUP($S1861,'TA database'!$I$200:$J$271,2,FALSE),0)</f>
        <v>100</v>
      </c>
      <c r="Y1861">
        <f t="shared" ca="1" si="5823"/>
        <v>80</v>
      </c>
      <c r="Z1861" t="str">
        <f t="shared" si="5824"/>
        <v>NG_SR_SML_C   →   C_GAS_STRG   →   H2_T&amp;D_P   →   H2_FC_PWR</v>
      </c>
      <c r="AA1861" t="str">
        <f t="shared" si="5825"/>
        <v>Onsite / Back-up power</v>
      </c>
      <c r="AB1861" t="str">
        <f t="shared" si="5826"/>
        <v>Regulatory coverage</v>
      </c>
      <c r="AC1861">
        <f t="shared" ca="1" si="5827"/>
        <v>80</v>
      </c>
      <c r="AD1861">
        <v>1802</v>
      </c>
      <c r="AE1861" t="str">
        <f>IF(AND(ISNUMBER(SEARCH(O1861,4)),ISNUMBER(SEARCH('(4) FCH pathway assessment'!$B$16,AB1861)),ISNUMBER(SEARCH('(4) FCH pathway assessment'!$B$10,AA1861))),AD1861,"")</f>
        <v/>
      </c>
      <c r="AF1861" t="str">
        <f t="shared" si="5807"/>
        <v/>
      </c>
      <c r="AG1861" t="str">
        <f>VLOOKUP(C1861,Assumptions!$B$116:$C$162,2,FALSE)</f>
        <v>NG_SR_SML_C</v>
      </c>
      <c r="AH1861" t="str">
        <f>VLOOKUP(D1861,Assumptions!$B$116:$C$162,2,FALSE)</f>
        <v>C_GAS_STRG</v>
      </c>
      <c r="AI1861" t="str">
        <f>VLOOKUP(E1861,Assumptions!$B$116:$C$162,2,FALSE)</f>
        <v>H2_T&amp;D_P</v>
      </c>
      <c r="AJ1861" t="str">
        <f>VLOOKUP(F1861,Assumptions!$B$116:$C$162,2,FALSE)</f>
        <v>H2_FC_PWR</v>
      </c>
    </row>
    <row r="1862" spans="2:36" x14ac:dyDescent="0.25">
      <c r="B1862" t="s">
        <v>127</v>
      </c>
      <c r="C1862" t="s">
        <v>58</v>
      </c>
      <c r="D1862" t="s">
        <v>155</v>
      </c>
      <c r="E1862" t="s">
        <v>66</v>
      </c>
      <c r="F1862" t="s">
        <v>164</v>
      </c>
      <c r="G1862" t="s">
        <v>126</v>
      </c>
      <c r="H1862" t="s">
        <v>433</v>
      </c>
      <c r="I1862" t="s">
        <v>32</v>
      </c>
      <c r="J1862" t="s">
        <v>534</v>
      </c>
      <c r="K1862">
        <f t="shared" si="5828"/>
        <v>1</v>
      </c>
      <c r="L1862">
        <f t="shared" si="5829"/>
        <v>1</v>
      </c>
      <c r="M1862">
        <f t="shared" si="5830"/>
        <v>1</v>
      </c>
      <c r="N1862">
        <f t="shared" si="5831"/>
        <v>1</v>
      </c>
      <c r="O1862">
        <f t="shared" si="5822"/>
        <v>4</v>
      </c>
      <c r="P1862" t="str">
        <f t="shared" si="5832"/>
        <v>Small centralized natural gas steam reforming-Regulatory coverage</v>
      </c>
      <c r="Q1862" t="str">
        <f t="shared" si="5833"/>
        <v>Central gas storage-Regulatory coverage</v>
      </c>
      <c r="R1862" t="str">
        <f t="shared" si="5834"/>
        <v>Onsite-Regulatory coverage</v>
      </c>
      <c r="S1862" t="str">
        <f t="shared" si="5835"/>
        <v>Prime power H2 fuel cell-Regulatory coverage</v>
      </c>
      <c r="T1862">
        <f ca="1">VLOOKUP($P1862,'TA database'!$I$8:$J$79,2,FALSE)</f>
        <v>100</v>
      </c>
      <c r="U1862">
        <f ca="1">VLOOKUP($Q1862,'TA database'!$I$86:$J$105,2,FALSE)</f>
        <v>80</v>
      </c>
      <c r="V1862">
        <f ca="1">VLOOKUP($R1862,'TA database'!$I$112:$J$139,2,FALSE)</f>
        <v>100</v>
      </c>
      <c r="W1862">
        <f>IFERROR(VLOOKUP($S1862,'TA database'!$I$146:$J$193,2,FALSE),0)</f>
        <v>0</v>
      </c>
      <c r="X1862">
        <f ca="1">IFERROR(VLOOKUP($S1862,'TA database'!$I$200:$J$271,2,FALSE),0)</f>
        <v>100</v>
      </c>
      <c r="Y1862">
        <f t="shared" ca="1" si="5823"/>
        <v>95</v>
      </c>
      <c r="Z1862" t="str">
        <f t="shared" si="5824"/>
        <v>NG_SR_SML_C   →   C_GAS_STRG   →   ONSITE_USE   →   H2_FC_PWR</v>
      </c>
      <c r="AA1862" t="str">
        <f t="shared" si="5825"/>
        <v>Onsite / Back-up power</v>
      </c>
      <c r="AB1862" t="str">
        <f t="shared" si="5826"/>
        <v>Regulatory coverage</v>
      </c>
      <c r="AC1862">
        <f t="shared" ca="1" si="5827"/>
        <v>95</v>
      </c>
      <c r="AD1862">
        <v>1803</v>
      </c>
      <c r="AE1862" t="str">
        <f>IF(AND(ISNUMBER(SEARCH(O1862,4)),ISNUMBER(SEARCH('(4) FCH pathway assessment'!$B$16,AB1862)),ISNUMBER(SEARCH('(4) FCH pathway assessment'!$B$10,AA1862))),AD1862,"")</f>
        <v/>
      </c>
      <c r="AF1862" t="str">
        <f t="shared" si="5807"/>
        <v/>
      </c>
      <c r="AG1862" t="str">
        <f>VLOOKUP(C1862,Assumptions!$B$116:$C$162,2,FALSE)</f>
        <v>NG_SR_SML_C</v>
      </c>
      <c r="AH1862" t="str">
        <f>VLOOKUP(D1862,Assumptions!$B$116:$C$162,2,FALSE)</f>
        <v>C_GAS_STRG</v>
      </c>
      <c r="AI1862" t="str">
        <f>VLOOKUP(E1862,Assumptions!$B$116:$C$162,2,FALSE)</f>
        <v>ONSITE_USE</v>
      </c>
      <c r="AJ1862" t="str">
        <f>VLOOKUP(F1862,Assumptions!$B$116:$C$162,2,FALSE)</f>
        <v>H2_FC_PWR</v>
      </c>
    </row>
    <row r="1863" spans="2:36" x14ac:dyDescent="0.25">
      <c r="B1863" t="s">
        <v>127</v>
      </c>
      <c r="C1863" t="s">
        <v>59</v>
      </c>
      <c r="D1863" s="60" t="s">
        <v>130</v>
      </c>
      <c r="E1863" t="s">
        <v>66</v>
      </c>
      <c r="F1863" t="s">
        <v>164</v>
      </c>
      <c r="G1863" t="s">
        <v>126</v>
      </c>
      <c r="H1863" t="s">
        <v>433</v>
      </c>
      <c r="I1863" t="s">
        <v>32</v>
      </c>
      <c r="J1863" t="s">
        <v>534</v>
      </c>
      <c r="K1863">
        <f t="shared" ref="K1863:K1864" si="5836">SUMPRODUCT(($C$7:$C$18=$C1863)*($D$6:$H$6=$D1863)*($D$7:$H$18))</f>
        <v>1</v>
      </c>
      <c r="L1863">
        <f t="shared" ref="L1863:L1864" si="5837">SUMPRODUCT(($C$19:$C$23=$D1863)*($I$6:$O$6=$E1863)*($I$19:$O$23))</f>
        <v>1</v>
      </c>
      <c r="M1863">
        <f t="shared" ref="M1863:M1864" si="5838">SUMPRODUCT(($C$24:$C$30=$E1863)*($P$6:$AI$6=$F1863)*($P$24:$AI$30))</f>
        <v>1</v>
      </c>
      <c r="N1863">
        <f t="shared" ref="N1863:N1864" si="5839">SUMPRODUCT(($C$31:$C$50=$F1863)*($AJ$6:$AM$6=$G1863)*($AJ$31:$AM$50))</f>
        <v>1</v>
      </c>
      <c r="O1863">
        <f t="shared" ref="O1863:O1864" si="5840">K1863+L1863+M1863+N1863</f>
        <v>4</v>
      </c>
      <c r="P1863" t="str">
        <f t="shared" ref="P1863:P1864" si="5841">CONCATENATE(C1863,"-",J1863)</f>
        <v>Medium decentralized natural gas steam reforming-Regulatory coverage</v>
      </c>
      <c r="Q1863" t="str">
        <f t="shared" ref="Q1863:Q1864" si="5842">CONCATENATE(D1863,"-",J1863)</f>
        <v>Distributed gas storage-Regulatory coverage</v>
      </c>
      <c r="R1863" t="str">
        <f t="shared" ref="R1863:R1864" si="5843">CONCATENATE(E1863,"-",J1863)</f>
        <v>Onsite-Regulatory coverage</v>
      </c>
      <c r="S1863" t="str">
        <f t="shared" ref="S1863:S1864" si="5844">CONCATENATE(F1863,"-",J1863)</f>
        <v>Prime power H2 fuel cell-Regulatory coverage</v>
      </c>
      <c r="T1863">
        <f ca="1">VLOOKUP($P1863,'TA database'!$I$8:$J$79,2,FALSE)</f>
        <v>100</v>
      </c>
      <c r="U1863">
        <f ca="1">VLOOKUP($Q1863,'TA database'!$I$86:$J$105,2,FALSE)</f>
        <v>100</v>
      </c>
      <c r="V1863">
        <f ca="1">VLOOKUP($R1863,'TA database'!$I$112:$J$139,2,FALSE)</f>
        <v>100</v>
      </c>
      <c r="W1863">
        <f>IFERROR(VLOOKUP($S1863,'TA database'!$I$146:$J$193,2,FALSE),0)</f>
        <v>0</v>
      </c>
      <c r="X1863">
        <f ca="1">IFERROR(VLOOKUP($S1863,'TA database'!$I$200:$J$271,2,FALSE),0)</f>
        <v>100</v>
      </c>
      <c r="Y1863">
        <f t="shared" ref="Y1863:Y1864" ca="1" si="5845">IF($W1863=0,SUM($T1863:$V1863,$X1863)/4,SUM($T1863:$W1863)/4)</f>
        <v>100</v>
      </c>
      <c r="Z1863" t="str">
        <f t="shared" ref="Z1863:Z1864" si="5846">CONCATENATE(AG1863,"   →   ",AH1863,"   →   ",AI1863,"   →   ",AJ1863)</f>
        <v>NG_SR_MED_D   →   D_GAS_STRG   →   ONSITE_USE   →   H2_FC_PWR</v>
      </c>
      <c r="AA1863" t="str">
        <f t="shared" ref="AA1863:AA1864" si="5847">G1863</f>
        <v>Onsite / Back-up power</v>
      </c>
      <c r="AB1863" t="str">
        <f t="shared" ref="AB1863:AB1864" si="5848">J1863</f>
        <v>Regulatory coverage</v>
      </c>
      <c r="AC1863">
        <f t="shared" ref="AC1863:AC1864" ca="1" si="5849">Y1863</f>
        <v>100</v>
      </c>
      <c r="AD1863">
        <v>1804</v>
      </c>
      <c r="AE1863" t="str">
        <f>IF(AND(ISNUMBER(SEARCH(O1863,4)),ISNUMBER(SEARCH('(4) FCH pathway assessment'!$B$16,AB1863)),ISNUMBER(SEARCH('(4) FCH pathway assessment'!$B$10,AA1863))),AD1863,"")</f>
        <v/>
      </c>
      <c r="AF1863" t="str">
        <f t="shared" si="5807"/>
        <v/>
      </c>
      <c r="AG1863" t="str">
        <f>VLOOKUP(C1863,Assumptions!$B$116:$C$162,2,FALSE)</f>
        <v>NG_SR_MED_D</v>
      </c>
      <c r="AH1863" t="str">
        <f>VLOOKUP(D1863,Assumptions!$B$116:$C$162,2,FALSE)</f>
        <v>D_GAS_STRG</v>
      </c>
      <c r="AI1863" t="str">
        <f>VLOOKUP(E1863,Assumptions!$B$116:$C$162,2,FALSE)</f>
        <v>ONSITE_USE</v>
      </c>
      <c r="AJ1863" t="str">
        <f>VLOOKUP(F1863,Assumptions!$B$116:$C$162,2,FALSE)</f>
        <v>H2_FC_PWR</v>
      </c>
    </row>
    <row r="1864" spans="2:36" x14ac:dyDescent="0.25">
      <c r="B1864" t="s">
        <v>127</v>
      </c>
      <c r="C1864" t="s">
        <v>60</v>
      </c>
      <c r="D1864" s="60" t="s">
        <v>130</v>
      </c>
      <c r="E1864" t="s">
        <v>66</v>
      </c>
      <c r="F1864" t="s">
        <v>164</v>
      </c>
      <c r="G1864" t="s">
        <v>126</v>
      </c>
      <c r="H1864" t="s">
        <v>433</v>
      </c>
      <c r="I1864" t="s">
        <v>32</v>
      </c>
      <c r="J1864" t="s">
        <v>534</v>
      </c>
      <c r="K1864">
        <f t="shared" si="5836"/>
        <v>1</v>
      </c>
      <c r="L1864">
        <f t="shared" si="5837"/>
        <v>1</v>
      </c>
      <c r="M1864">
        <f t="shared" si="5838"/>
        <v>1</v>
      </c>
      <c r="N1864">
        <f t="shared" si="5839"/>
        <v>1</v>
      </c>
      <c r="O1864">
        <f t="shared" si="5840"/>
        <v>4</v>
      </c>
      <c r="P1864" t="str">
        <f t="shared" si="5841"/>
        <v>Small decentralized natural gas steam reforming-Regulatory coverage</v>
      </c>
      <c r="Q1864" t="str">
        <f t="shared" si="5842"/>
        <v>Distributed gas storage-Regulatory coverage</v>
      </c>
      <c r="R1864" t="str">
        <f t="shared" si="5843"/>
        <v>Onsite-Regulatory coverage</v>
      </c>
      <c r="S1864" t="str">
        <f t="shared" si="5844"/>
        <v>Prime power H2 fuel cell-Regulatory coverage</v>
      </c>
      <c r="T1864">
        <f ca="1">VLOOKUP($P1864,'TA database'!$I$8:$J$79,2,FALSE)</f>
        <v>100</v>
      </c>
      <c r="U1864">
        <f ca="1">VLOOKUP($Q1864,'TA database'!$I$86:$J$105,2,FALSE)</f>
        <v>100</v>
      </c>
      <c r="V1864">
        <f ca="1">VLOOKUP($R1864,'TA database'!$I$112:$J$139,2,FALSE)</f>
        <v>100</v>
      </c>
      <c r="W1864">
        <f>IFERROR(VLOOKUP($S1864,'TA database'!$I$146:$J$193,2,FALSE),0)</f>
        <v>0</v>
      </c>
      <c r="X1864">
        <f ca="1">IFERROR(VLOOKUP($S1864,'TA database'!$I$200:$J$271,2,FALSE),0)</f>
        <v>100</v>
      </c>
      <c r="Y1864">
        <f t="shared" ca="1" si="5845"/>
        <v>100</v>
      </c>
      <c r="Z1864" t="str">
        <f t="shared" si="5846"/>
        <v>NG_SR_SML_D   →   D_GAS_STRG   →   ONSITE_USE   →   H2_FC_PWR</v>
      </c>
      <c r="AA1864" t="str">
        <f t="shared" si="5847"/>
        <v>Onsite / Back-up power</v>
      </c>
      <c r="AB1864" t="str">
        <f t="shared" si="5848"/>
        <v>Regulatory coverage</v>
      </c>
      <c r="AC1864">
        <f t="shared" ca="1" si="5849"/>
        <v>100</v>
      </c>
      <c r="AD1864">
        <v>1805</v>
      </c>
      <c r="AE1864" t="str">
        <f>IF(AND(ISNUMBER(SEARCH(O1864,4)),ISNUMBER(SEARCH('(4) FCH pathway assessment'!$B$16,AB1864)),ISNUMBER(SEARCH('(4) FCH pathway assessment'!$B$10,AA1864))),AD1864,"")</f>
        <v/>
      </c>
      <c r="AF1864" t="str">
        <f t="shared" si="5807"/>
        <v/>
      </c>
      <c r="AG1864" t="str">
        <f>VLOOKUP(C1864,Assumptions!$B$116:$C$162,2,FALSE)</f>
        <v>NG_SR_SML_D</v>
      </c>
      <c r="AH1864" t="str">
        <f>VLOOKUP(D1864,Assumptions!$B$116:$C$162,2,FALSE)</f>
        <v>D_GAS_STRG</v>
      </c>
      <c r="AI1864" t="str">
        <f>VLOOKUP(E1864,Assumptions!$B$116:$C$162,2,FALSE)</f>
        <v>ONSITE_USE</v>
      </c>
      <c r="AJ1864" t="str">
        <f>VLOOKUP(F1864,Assumptions!$B$116:$C$162,2,FALSE)</f>
        <v>H2_FC_PWR</v>
      </c>
    </row>
    <row r="1865" spans="2:36" x14ac:dyDescent="0.25">
      <c r="B1865" t="s">
        <v>117</v>
      </c>
      <c r="C1865" t="s">
        <v>53</v>
      </c>
      <c r="D1865" t="s">
        <v>155</v>
      </c>
      <c r="E1865" t="s">
        <v>65</v>
      </c>
      <c r="F1865" t="s">
        <v>165</v>
      </c>
      <c r="G1865" t="s">
        <v>126</v>
      </c>
      <c r="H1865" t="s">
        <v>433</v>
      </c>
      <c r="I1865" t="s">
        <v>32</v>
      </c>
      <c r="J1865" t="s">
        <v>534</v>
      </c>
      <c r="K1865">
        <f t="shared" ref="K1865" si="5850">SUMPRODUCT(($C$7:$C$18=$C1865)*($D$6:$H$6=$D1865)*($D$7:$H$18))</f>
        <v>0</v>
      </c>
      <c r="L1865">
        <f t="shared" ref="L1865" si="5851">SUMPRODUCT(($C$19:$C$23=$D1865)*($I$6:$O$6=$E1865)*($I$19:$O$23))</f>
        <v>1</v>
      </c>
      <c r="M1865">
        <f t="shared" ref="M1865" si="5852">SUMPRODUCT(($C$24:$C$30=$E1865)*($P$6:$AI$6=$F1865)*($P$24:$AI$30))</f>
        <v>0</v>
      </c>
      <c r="N1865">
        <f t="shared" ref="N1865" si="5853">SUMPRODUCT(($C$31:$C$50=$F1865)*($AJ$6:$AM$6=$G1865)*($AJ$31:$AM$50))</f>
        <v>1</v>
      </c>
      <c r="O1865">
        <f t="shared" ref="O1865" si="5854">K1865+L1865+M1865+N1865</f>
        <v>2</v>
      </c>
      <c r="P1865" t="str">
        <f t="shared" ref="P1865" si="5855">CONCATENATE(C1865,"-",J1865)</f>
        <v>Medium centralized biomass gasification-Regulatory coverage</v>
      </c>
      <c r="Q1865" t="str">
        <f t="shared" ref="Q1865" si="5856">CONCATENATE(D1865,"-",J1865)</f>
        <v>Central gas storage-Regulatory coverage</v>
      </c>
      <c r="R1865" t="str">
        <f t="shared" ref="R1865" si="5857">CONCATENATE(E1865,"-",J1865)</f>
        <v>Methanation-Regulatory coverage</v>
      </c>
      <c r="S1865" t="str">
        <f t="shared" ref="S1865" si="5858">CONCATENATE(F1865,"-",J1865)</f>
        <v>Prime power natural gas fuel cell-Regulatory coverage</v>
      </c>
      <c r="T1865">
        <f ca="1">VLOOKUP($P1865,'TA database'!$I$8:$J$79,2,FALSE)</f>
        <v>100</v>
      </c>
      <c r="U1865">
        <f ca="1">VLOOKUP($Q1865,'TA database'!$I$86:$J$105,2,FALSE)</f>
        <v>80</v>
      </c>
      <c r="V1865">
        <f ca="1">VLOOKUP($R1865,'TA database'!$I$112:$J$139,2,FALSE)</f>
        <v>80</v>
      </c>
      <c r="W1865">
        <f>IFERROR(VLOOKUP($S1865,'TA database'!$I$146:$J$193,2,FALSE),0)</f>
        <v>0</v>
      </c>
      <c r="X1865">
        <f ca="1">IFERROR(VLOOKUP($S1865,'TA database'!$I$200:$J$271,2,FALSE),0)</f>
        <v>100</v>
      </c>
      <c r="Y1865">
        <f t="shared" ref="Y1865" ca="1" si="5859">IF($W1865=0,SUM($T1865:$V1865,$X1865)/4,SUM($T1865:$W1865)/4)</f>
        <v>90</v>
      </c>
      <c r="Z1865" t="str">
        <f t="shared" ref="Z1865" si="5860">CONCATENATE(AG1865,"   →   ",AH1865,"   →   ",AI1865,"   →   ",AJ1865)</f>
        <v>BIO_GSF_MED_C   →   C_GAS_STRG   →   METHANATION   →   NG_FC_PWR</v>
      </c>
      <c r="AA1865" t="str">
        <f t="shared" ref="AA1865" si="5861">G1865</f>
        <v>Onsite / Back-up power</v>
      </c>
      <c r="AB1865" t="str">
        <f t="shared" ref="AB1865" si="5862">J1865</f>
        <v>Regulatory coverage</v>
      </c>
      <c r="AC1865">
        <f t="shared" ref="AC1865" ca="1" si="5863">Y1865</f>
        <v>90</v>
      </c>
      <c r="AD1865">
        <v>1806</v>
      </c>
      <c r="AE1865" t="str">
        <f>IF(AND(ISNUMBER(SEARCH(O1865,4)),ISNUMBER(SEARCH('(4) FCH pathway assessment'!$B$16,AB1865)),ISNUMBER(SEARCH('(4) FCH pathway assessment'!$B$10,AA1865))),AD1865,"")</f>
        <v/>
      </c>
      <c r="AF1865" t="str">
        <f t="shared" si="5807"/>
        <v/>
      </c>
      <c r="AG1865" t="str">
        <f>VLOOKUP(C1865,Assumptions!$B$116:$C$162,2,FALSE)</f>
        <v>BIO_GSF_MED_C</v>
      </c>
      <c r="AH1865" t="str">
        <f>VLOOKUP(D1865,Assumptions!$B$116:$C$162,2,FALSE)</f>
        <v>C_GAS_STRG</v>
      </c>
      <c r="AI1865" t="str">
        <f>VLOOKUP(E1865,Assumptions!$B$116:$C$162,2,FALSE)</f>
        <v>METHANATION</v>
      </c>
      <c r="AJ1865" t="str">
        <f>VLOOKUP(F1865,Assumptions!$B$116:$C$162,2,FALSE)</f>
        <v>NG_FC_PWR</v>
      </c>
    </row>
    <row r="1866" spans="2:36" x14ac:dyDescent="0.25">
      <c r="B1866" t="s">
        <v>117</v>
      </c>
      <c r="C1866" t="s">
        <v>54</v>
      </c>
      <c r="D1866" t="s">
        <v>155</v>
      </c>
      <c r="E1866" t="s">
        <v>65</v>
      </c>
      <c r="F1866" t="s">
        <v>165</v>
      </c>
      <c r="G1866" t="s">
        <v>126</v>
      </c>
      <c r="H1866" t="s">
        <v>433</v>
      </c>
      <c r="I1866" t="s">
        <v>32</v>
      </c>
      <c r="J1866" t="s">
        <v>534</v>
      </c>
      <c r="K1866">
        <f t="shared" ref="K1866" si="5864">SUMPRODUCT(($C$7:$C$18=$C1866)*($D$6:$H$6=$D1866)*($D$7:$H$18))</f>
        <v>0</v>
      </c>
      <c r="L1866">
        <f t="shared" ref="L1866" si="5865">SUMPRODUCT(($C$19:$C$23=$D1866)*($I$6:$O$6=$E1866)*($I$19:$O$23))</f>
        <v>1</v>
      </c>
      <c r="M1866">
        <f t="shared" ref="M1866" si="5866">SUMPRODUCT(($C$24:$C$30=$E1866)*($P$6:$AI$6=$F1866)*($P$24:$AI$30))</f>
        <v>0</v>
      </c>
      <c r="N1866">
        <f t="shared" ref="N1866" si="5867">SUMPRODUCT(($C$31:$C$50=$F1866)*($AJ$6:$AM$6=$G1866)*($AJ$31:$AM$50))</f>
        <v>1</v>
      </c>
      <c r="O1866">
        <f t="shared" ref="O1866" si="5868">K1866+L1866+M1866+N1866</f>
        <v>2</v>
      </c>
      <c r="P1866" t="str">
        <f t="shared" ref="P1866" si="5869">CONCATENATE(C1866,"-",J1866)</f>
        <v>Medium centralized biomass gasification w/ CCS-Regulatory coverage</v>
      </c>
      <c r="Q1866" t="str">
        <f t="shared" ref="Q1866" si="5870">CONCATENATE(D1866,"-",J1866)</f>
        <v>Central gas storage-Regulatory coverage</v>
      </c>
      <c r="R1866" t="str">
        <f t="shared" ref="R1866" si="5871">CONCATENATE(E1866,"-",J1866)</f>
        <v>Methanation-Regulatory coverage</v>
      </c>
      <c r="S1866" t="str">
        <f t="shared" ref="S1866" si="5872">CONCATENATE(F1866,"-",J1866)</f>
        <v>Prime power natural gas fuel cell-Regulatory coverage</v>
      </c>
      <c r="T1866">
        <f ca="1">VLOOKUP($P1866,'TA database'!$I$8:$J$79,2,FALSE)</f>
        <v>80</v>
      </c>
      <c r="U1866">
        <f ca="1">VLOOKUP($Q1866,'TA database'!$I$86:$J$105,2,FALSE)</f>
        <v>80</v>
      </c>
      <c r="V1866">
        <f ca="1">VLOOKUP($R1866,'TA database'!$I$112:$J$139,2,FALSE)</f>
        <v>80</v>
      </c>
      <c r="W1866">
        <f>IFERROR(VLOOKUP($S1866,'TA database'!$I$146:$J$193,2,FALSE),0)</f>
        <v>0</v>
      </c>
      <c r="X1866">
        <f ca="1">IFERROR(VLOOKUP($S1866,'TA database'!$I$200:$J$271,2,FALSE),0)</f>
        <v>100</v>
      </c>
      <c r="Y1866">
        <f t="shared" ref="Y1866" ca="1" si="5873">IF($W1866=0,SUM($T1866:$V1866,$X1866)/4,SUM($T1866:$W1866)/4)</f>
        <v>85</v>
      </c>
      <c r="Z1866" t="str">
        <f t="shared" ref="Z1866" si="5874">CONCATENATE(AG1866,"   →   ",AH1866,"   →   ",AI1866,"   →   ",AJ1866)</f>
        <v>BIO_GSF_CCS_MED_C   →   C_GAS_STRG   →   METHANATION   →   NG_FC_PWR</v>
      </c>
      <c r="AA1866" t="str">
        <f t="shared" ref="AA1866" si="5875">G1866</f>
        <v>Onsite / Back-up power</v>
      </c>
      <c r="AB1866" t="str">
        <f t="shared" ref="AB1866" si="5876">J1866</f>
        <v>Regulatory coverage</v>
      </c>
      <c r="AC1866">
        <f t="shared" ref="AC1866" ca="1" si="5877">Y1866</f>
        <v>85</v>
      </c>
      <c r="AD1866">
        <v>1807</v>
      </c>
      <c r="AE1866" t="str">
        <f>IF(AND(ISNUMBER(SEARCH(O1866,4)),ISNUMBER(SEARCH('(4) FCH pathway assessment'!$B$16,AB1866)),ISNUMBER(SEARCH('(4) FCH pathway assessment'!$B$10,AA1866))),AD1866,"")</f>
        <v/>
      </c>
      <c r="AF1866" t="str">
        <f t="shared" si="5807"/>
        <v/>
      </c>
      <c r="AG1866" t="str">
        <f>VLOOKUP(C1866,Assumptions!$B$116:$C$162,2,FALSE)</f>
        <v>BIO_GSF_CCS_MED_C</v>
      </c>
      <c r="AH1866" t="str">
        <f>VLOOKUP(D1866,Assumptions!$B$116:$C$162,2,FALSE)</f>
        <v>C_GAS_STRG</v>
      </c>
      <c r="AI1866" t="str">
        <f>VLOOKUP(E1866,Assumptions!$B$116:$C$162,2,FALSE)</f>
        <v>METHANATION</v>
      </c>
      <c r="AJ1866" t="str">
        <f>VLOOKUP(F1866,Assumptions!$B$116:$C$162,2,FALSE)</f>
        <v>NG_FC_PWR</v>
      </c>
    </row>
    <row r="1867" spans="2:36" x14ac:dyDescent="0.25">
      <c r="B1867" t="s">
        <v>117</v>
      </c>
      <c r="C1867" t="s">
        <v>56</v>
      </c>
      <c r="D1867" t="s">
        <v>62</v>
      </c>
      <c r="E1867" t="s">
        <v>65</v>
      </c>
      <c r="F1867" t="s">
        <v>165</v>
      </c>
      <c r="G1867" t="s">
        <v>126</v>
      </c>
      <c r="H1867" t="s">
        <v>433</v>
      </c>
      <c r="I1867" t="s">
        <v>32</v>
      </c>
      <c r="J1867" t="s">
        <v>534</v>
      </c>
      <c r="K1867">
        <f t="shared" ref="K1867:K1869" si="5878">SUMPRODUCT(($C$7:$C$18=$C1867)*($D$6:$H$6=$D1867)*($D$7:$H$18))</f>
        <v>0</v>
      </c>
      <c r="L1867">
        <f t="shared" ref="L1867:L1869" si="5879">SUMPRODUCT(($C$19:$C$23=$D1867)*($I$6:$O$6=$E1867)*($I$19:$O$23))</f>
        <v>0</v>
      </c>
      <c r="M1867">
        <f t="shared" ref="M1867:M1869" si="5880">SUMPRODUCT(($C$24:$C$30=$E1867)*($P$6:$AI$6=$F1867)*($P$24:$AI$30))</f>
        <v>0</v>
      </c>
      <c r="N1867">
        <f t="shared" ref="N1867:N1869" si="5881">SUMPRODUCT(($C$31:$C$50=$F1867)*($AJ$6:$AM$6=$G1867)*($AJ$31:$AM$50))</f>
        <v>1</v>
      </c>
      <c r="O1867">
        <f t="shared" ref="O1867:O1869" si="5882">K1867+L1867+M1867+N1867</f>
        <v>1</v>
      </c>
      <c r="P1867" t="str">
        <f t="shared" ref="P1867:P1869" si="5883">CONCATENATE(C1867,"-",J1867)</f>
        <v>Large centralized biomass steam reforming -Regulatory coverage</v>
      </c>
      <c r="Q1867" t="str">
        <f t="shared" ref="Q1867:Q1869" si="5884">CONCATENATE(D1867,"-",J1867)</f>
        <v>Underground storage-Regulatory coverage</v>
      </c>
      <c r="R1867" t="str">
        <f t="shared" ref="R1867:R1869" si="5885">CONCATENATE(E1867,"-",J1867)</f>
        <v>Methanation-Regulatory coverage</v>
      </c>
      <c r="S1867" t="str">
        <f t="shared" ref="S1867:S1869" si="5886">CONCATENATE(F1867,"-",J1867)</f>
        <v>Prime power natural gas fuel cell-Regulatory coverage</v>
      </c>
      <c r="T1867">
        <f ca="1">VLOOKUP($P1867,'TA database'!$I$8:$J$79,2,FALSE)</f>
        <v>100</v>
      </c>
      <c r="U1867">
        <f ca="1">VLOOKUP($Q1867,'TA database'!$I$86:$J$105,2,FALSE)</f>
        <v>0</v>
      </c>
      <c r="V1867">
        <f ca="1">VLOOKUP($R1867,'TA database'!$I$112:$J$139,2,FALSE)</f>
        <v>80</v>
      </c>
      <c r="W1867">
        <f>IFERROR(VLOOKUP($S1867,'TA database'!$I$146:$J$193,2,FALSE),0)</f>
        <v>0</v>
      </c>
      <c r="X1867">
        <f ca="1">IFERROR(VLOOKUP($S1867,'TA database'!$I$200:$J$271,2,FALSE),0)</f>
        <v>100</v>
      </c>
      <c r="Y1867">
        <f t="shared" ref="Y1867:Y1869" ca="1" si="5887">IF($W1867=0,SUM($T1867:$V1867,$X1867)/4,SUM($T1867:$W1867)/4)</f>
        <v>70</v>
      </c>
      <c r="Z1867" t="str">
        <f t="shared" ref="Z1867:Z1869" si="5888">CONCATENATE(AG1867,"   →   ",AH1867,"   →   ",AI1867,"   →   ",AJ1867)</f>
        <v>BIO_SR_LRG_C   →   C_UNDRGRND_STRG   →   METHANATION   →   NG_FC_PWR</v>
      </c>
      <c r="AA1867" t="str">
        <f t="shared" ref="AA1867:AA1869" si="5889">G1867</f>
        <v>Onsite / Back-up power</v>
      </c>
      <c r="AB1867" t="str">
        <f t="shared" ref="AB1867:AB1869" si="5890">J1867</f>
        <v>Regulatory coverage</v>
      </c>
      <c r="AC1867">
        <f t="shared" ref="AC1867:AC1869" ca="1" si="5891">Y1867</f>
        <v>70</v>
      </c>
      <c r="AD1867">
        <v>1808</v>
      </c>
      <c r="AE1867" t="str">
        <f>IF(AND(ISNUMBER(SEARCH(O1867,4)),ISNUMBER(SEARCH('(4) FCH pathway assessment'!$B$16,AB1867)),ISNUMBER(SEARCH('(4) FCH pathway assessment'!$B$10,AA1867))),AD1867,"")</f>
        <v/>
      </c>
      <c r="AF1867" t="str">
        <f t="shared" si="5807"/>
        <v/>
      </c>
      <c r="AG1867" t="str">
        <f>VLOOKUP(C1867,Assumptions!$B$116:$C$162,2,FALSE)</f>
        <v>BIO_SR_LRG_C</v>
      </c>
      <c r="AH1867" t="str">
        <f>VLOOKUP(D1867,Assumptions!$B$116:$C$162,2,FALSE)</f>
        <v>C_UNDRGRND_STRG</v>
      </c>
      <c r="AI1867" t="str">
        <f>VLOOKUP(E1867,Assumptions!$B$116:$C$162,2,FALSE)</f>
        <v>METHANATION</v>
      </c>
      <c r="AJ1867" t="str">
        <f>VLOOKUP(F1867,Assumptions!$B$116:$C$162,2,FALSE)</f>
        <v>NG_FC_PWR</v>
      </c>
    </row>
    <row r="1868" spans="2:36" x14ac:dyDescent="0.25">
      <c r="B1868" t="s">
        <v>112</v>
      </c>
      <c r="C1868" t="s">
        <v>49</v>
      </c>
      <c r="D1868" t="s">
        <v>62</v>
      </c>
      <c r="E1868" t="s">
        <v>65</v>
      </c>
      <c r="F1868" t="s">
        <v>165</v>
      </c>
      <c r="G1868" t="s">
        <v>126</v>
      </c>
      <c r="H1868" t="s">
        <v>433</v>
      </c>
      <c r="I1868" t="s">
        <v>32</v>
      </c>
      <c r="J1868" t="s">
        <v>534</v>
      </c>
      <c r="K1868">
        <f t="shared" si="5878"/>
        <v>1</v>
      </c>
      <c r="L1868">
        <f t="shared" si="5879"/>
        <v>0</v>
      </c>
      <c r="M1868">
        <f t="shared" si="5880"/>
        <v>0</v>
      </c>
      <c r="N1868">
        <f t="shared" si="5881"/>
        <v>1</v>
      </c>
      <c r="O1868">
        <f t="shared" si="5882"/>
        <v>2</v>
      </c>
      <c r="P1868" t="str">
        <f t="shared" si="5883"/>
        <v>Large centralized electrolysis-Regulatory coverage</v>
      </c>
      <c r="Q1868" t="str">
        <f t="shared" si="5884"/>
        <v>Underground storage-Regulatory coverage</v>
      </c>
      <c r="R1868" t="str">
        <f t="shared" si="5885"/>
        <v>Methanation-Regulatory coverage</v>
      </c>
      <c r="S1868" t="str">
        <f t="shared" si="5886"/>
        <v>Prime power natural gas fuel cell-Regulatory coverage</v>
      </c>
      <c r="T1868">
        <f ca="1">VLOOKUP($P1868,'TA database'!$I$8:$J$79,2,FALSE)</f>
        <v>100</v>
      </c>
      <c r="U1868">
        <f ca="1">VLOOKUP($Q1868,'TA database'!$I$86:$J$105,2,FALSE)</f>
        <v>0</v>
      </c>
      <c r="V1868">
        <f ca="1">VLOOKUP($R1868,'TA database'!$I$112:$J$139,2,FALSE)</f>
        <v>80</v>
      </c>
      <c r="W1868">
        <f>IFERROR(VLOOKUP($S1868,'TA database'!$I$146:$J$193,2,FALSE),0)</f>
        <v>0</v>
      </c>
      <c r="X1868">
        <f ca="1">IFERROR(VLOOKUP($S1868,'TA database'!$I$200:$J$271,2,FALSE),0)</f>
        <v>100</v>
      </c>
      <c r="Y1868">
        <f t="shared" ca="1" si="5887"/>
        <v>70</v>
      </c>
      <c r="Z1868" t="str">
        <f t="shared" si="5888"/>
        <v>ELCTRLYZ_LRG_C   →   C_UNDRGRND_STRG   →   METHANATION   →   NG_FC_PWR</v>
      </c>
      <c r="AA1868" t="str">
        <f t="shared" si="5889"/>
        <v>Onsite / Back-up power</v>
      </c>
      <c r="AB1868" t="str">
        <f t="shared" si="5890"/>
        <v>Regulatory coverage</v>
      </c>
      <c r="AC1868">
        <f t="shared" ca="1" si="5891"/>
        <v>70</v>
      </c>
      <c r="AD1868">
        <v>1809</v>
      </c>
      <c r="AE1868" t="str">
        <f>IF(AND(ISNUMBER(SEARCH(O1868,4)),ISNUMBER(SEARCH('(4) FCH pathway assessment'!$B$16,AB1868)),ISNUMBER(SEARCH('(4) FCH pathway assessment'!$B$10,AA1868))),AD1868,"")</f>
        <v/>
      </c>
      <c r="AF1868" t="str">
        <f t="shared" si="5807"/>
        <v/>
      </c>
      <c r="AG1868" t="str">
        <f>VLOOKUP(C1868,Assumptions!$B$116:$C$162,2,FALSE)</f>
        <v>ELCTRLYZ_LRG_C</v>
      </c>
      <c r="AH1868" t="str">
        <f>VLOOKUP(D1868,Assumptions!$B$116:$C$162,2,FALSE)</f>
        <v>C_UNDRGRND_STRG</v>
      </c>
      <c r="AI1868" t="str">
        <f>VLOOKUP(E1868,Assumptions!$B$116:$C$162,2,FALSE)</f>
        <v>METHANATION</v>
      </c>
      <c r="AJ1868" t="str">
        <f>VLOOKUP(F1868,Assumptions!$B$116:$C$162,2,FALSE)</f>
        <v>NG_FC_PWR</v>
      </c>
    </row>
    <row r="1869" spans="2:36" x14ac:dyDescent="0.25">
      <c r="B1869" t="s">
        <v>112</v>
      </c>
      <c r="C1869" t="s">
        <v>49</v>
      </c>
      <c r="D1869" t="s">
        <v>155</v>
      </c>
      <c r="E1869" t="s">
        <v>65</v>
      </c>
      <c r="F1869" t="s">
        <v>165</v>
      </c>
      <c r="G1869" t="s">
        <v>126</v>
      </c>
      <c r="H1869" t="s">
        <v>433</v>
      </c>
      <c r="I1869" t="s">
        <v>32</v>
      </c>
      <c r="J1869" t="s">
        <v>534</v>
      </c>
      <c r="K1869">
        <f t="shared" si="5878"/>
        <v>1</v>
      </c>
      <c r="L1869">
        <f t="shared" si="5879"/>
        <v>1</v>
      </c>
      <c r="M1869">
        <f t="shared" si="5880"/>
        <v>0</v>
      </c>
      <c r="N1869">
        <f t="shared" si="5881"/>
        <v>1</v>
      </c>
      <c r="O1869">
        <f t="shared" si="5882"/>
        <v>3</v>
      </c>
      <c r="P1869" t="str">
        <f t="shared" si="5883"/>
        <v>Large centralized electrolysis-Regulatory coverage</v>
      </c>
      <c r="Q1869" t="str">
        <f t="shared" si="5884"/>
        <v>Central gas storage-Regulatory coverage</v>
      </c>
      <c r="R1869" t="str">
        <f t="shared" si="5885"/>
        <v>Methanation-Regulatory coverage</v>
      </c>
      <c r="S1869" t="str">
        <f t="shared" si="5886"/>
        <v>Prime power natural gas fuel cell-Regulatory coverage</v>
      </c>
      <c r="T1869">
        <f ca="1">VLOOKUP($P1869,'TA database'!$I$8:$J$79,2,FALSE)</f>
        <v>100</v>
      </c>
      <c r="U1869">
        <f ca="1">VLOOKUP($Q1869,'TA database'!$I$86:$J$105,2,FALSE)</f>
        <v>80</v>
      </c>
      <c r="V1869">
        <f ca="1">VLOOKUP($R1869,'TA database'!$I$112:$J$139,2,FALSE)</f>
        <v>80</v>
      </c>
      <c r="W1869">
        <f>IFERROR(VLOOKUP($S1869,'TA database'!$I$146:$J$193,2,FALSE),0)</f>
        <v>0</v>
      </c>
      <c r="X1869">
        <f ca="1">IFERROR(VLOOKUP($S1869,'TA database'!$I$200:$J$271,2,FALSE),0)</f>
        <v>100</v>
      </c>
      <c r="Y1869">
        <f t="shared" ca="1" si="5887"/>
        <v>90</v>
      </c>
      <c r="Z1869" t="str">
        <f t="shared" si="5888"/>
        <v>ELCTRLYZ_LRG_C   →   C_GAS_STRG   →   METHANATION   →   NG_FC_PWR</v>
      </c>
      <c r="AA1869" t="str">
        <f t="shared" si="5889"/>
        <v>Onsite / Back-up power</v>
      </c>
      <c r="AB1869" t="str">
        <f t="shared" si="5890"/>
        <v>Regulatory coverage</v>
      </c>
      <c r="AC1869">
        <f t="shared" ca="1" si="5891"/>
        <v>90</v>
      </c>
      <c r="AD1869">
        <v>1810</v>
      </c>
      <c r="AE1869" t="str">
        <f>IF(AND(ISNUMBER(SEARCH(O1869,4)),ISNUMBER(SEARCH('(4) FCH pathway assessment'!$B$16,AB1869)),ISNUMBER(SEARCH('(4) FCH pathway assessment'!$B$10,AA1869))),AD1869,"")</f>
        <v/>
      </c>
      <c r="AF1869" t="str">
        <f t="shared" si="5807"/>
        <v/>
      </c>
      <c r="AG1869" t="str">
        <f>VLOOKUP(C1869,Assumptions!$B$116:$C$162,2,FALSE)</f>
        <v>ELCTRLYZ_LRG_C</v>
      </c>
      <c r="AH1869" t="str">
        <f>VLOOKUP(D1869,Assumptions!$B$116:$C$162,2,FALSE)</f>
        <v>C_GAS_STRG</v>
      </c>
      <c r="AI1869" t="str">
        <f>VLOOKUP(E1869,Assumptions!$B$116:$C$162,2,FALSE)</f>
        <v>METHANATION</v>
      </c>
      <c r="AJ1869" t="str">
        <f>VLOOKUP(F1869,Assumptions!$B$116:$C$162,2,FALSE)</f>
        <v>NG_FC_PWR</v>
      </c>
    </row>
    <row r="1870" spans="2:36" x14ac:dyDescent="0.25">
      <c r="B1870" t="s">
        <v>112</v>
      </c>
      <c r="C1870" t="s">
        <v>51</v>
      </c>
      <c r="D1870" t="s">
        <v>155</v>
      </c>
      <c r="E1870" t="s">
        <v>65</v>
      </c>
      <c r="F1870" t="s">
        <v>165</v>
      </c>
      <c r="G1870" t="s">
        <v>126</v>
      </c>
      <c r="H1870" t="s">
        <v>433</v>
      </c>
      <c r="I1870" t="s">
        <v>32</v>
      </c>
      <c r="J1870" t="s">
        <v>534</v>
      </c>
      <c r="K1870">
        <f t="shared" ref="K1870" si="5892">SUMPRODUCT(($C$7:$C$18=$C1870)*($D$6:$H$6=$D1870)*($D$7:$H$18))</f>
        <v>1</v>
      </c>
      <c r="L1870">
        <f t="shared" ref="L1870" si="5893">SUMPRODUCT(($C$19:$C$23=$D1870)*($I$6:$O$6=$E1870)*($I$19:$O$23))</f>
        <v>1</v>
      </c>
      <c r="M1870">
        <f t="shared" ref="M1870" si="5894">SUMPRODUCT(($C$24:$C$30=$E1870)*($P$6:$AI$6=$F1870)*($P$24:$AI$30))</f>
        <v>0</v>
      </c>
      <c r="N1870">
        <f t="shared" ref="N1870" si="5895">SUMPRODUCT(($C$31:$C$50=$F1870)*($AJ$6:$AM$6=$G1870)*($AJ$31:$AM$50))</f>
        <v>1</v>
      </c>
      <c r="O1870">
        <f t="shared" ref="O1870" si="5896">K1870+L1870+M1870+N1870</f>
        <v>3</v>
      </c>
      <c r="P1870" t="str">
        <f t="shared" ref="P1870" si="5897">CONCATENATE(C1870,"-",J1870)</f>
        <v>Medium centralized electrolysis-Regulatory coverage</v>
      </c>
      <c r="Q1870" t="str">
        <f t="shared" ref="Q1870" si="5898">CONCATENATE(D1870,"-",J1870)</f>
        <v>Central gas storage-Regulatory coverage</v>
      </c>
      <c r="R1870" t="str">
        <f t="shared" ref="R1870" si="5899">CONCATENATE(E1870,"-",J1870)</f>
        <v>Methanation-Regulatory coverage</v>
      </c>
      <c r="S1870" t="str">
        <f t="shared" ref="S1870" si="5900">CONCATENATE(F1870,"-",J1870)</f>
        <v>Prime power natural gas fuel cell-Regulatory coverage</v>
      </c>
      <c r="T1870">
        <f ca="1">VLOOKUP($P1870,'TA database'!$I$8:$J$79,2,FALSE)</f>
        <v>100</v>
      </c>
      <c r="U1870">
        <f ca="1">VLOOKUP($Q1870,'TA database'!$I$86:$J$105,2,FALSE)</f>
        <v>80</v>
      </c>
      <c r="V1870">
        <f ca="1">VLOOKUP($R1870,'TA database'!$I$112:$J$139,2,FALSE)</f>
        <v>80</v>
      </c>
      <c r="W1870">
        <f>IFERROR(VLOOKUP($S1870,'TA database'!$I$146:$J$193,2,FALSE),0)</f>
        <v>0</v>
      </c>
      <c r="X1870">
        <f ca="1">IFERROR(VLOOKUP($S1870,'TA database'!$I$200:$J$271,2,FALSE),0)</f>
        <v>100</v>
      </c>
      <c r="Y1870">
        <f t="shared" ref="Y1870" ca="1" si="5901">IF($W1870=0,SUM($T1870:$V1870,$X1870)/4,SUM($T1870:$W1870)/4)</f>
        <v>90</v>
      </c>
      <c r="Z1870" t="str">
        <f t="shared" ref="Z1870" si="5902">CONCATENATE(AG1870,"   →   ",AH1870,"   →   ",AI1870,"   →   ",AJ1870)</f>
        <v>ELCTRLYZ_MED_C   →   C_GAS_STRG   →   METHANATION   →   NG_FC_PWR</v>
      </c>
      <c r="AA1870" t="str">
        <f t="shared" ref="AA1870" si="5903">G1870</f>
        <v>Onsite / Back-up power</v>
      </c>
      <c r="AB1870" t="str">
        <f t="shared" ref="AB1870" si="5904">J1870</f>
        <v>Regulatory coverage</v>
      </c>
      <c r="AC1870">
        <f t="shared" ref="AC1870" ca="1" si="5905">Y1870</f>
        <v>90</v>
      </c>
      <c r="AD1870">
        <v>1811</v>
      </c>
      <c r="AE1870" t="str">
        <f>IF(AND(ISNUMBER(SEARCH(O1870,4)),ISNUMBER(SEARCH('(4) FCH pathway assessment'!$B$16,AB1870)),ISNUMBER(SEARCH('(4) FCH pathway assessment'!$B$10,AA1870))),AD1870,"")</f>
        <v/>
      </c>
      <c r="AF1870" t="str">
        <f t="shared" si="5807"/>
        <v/>
      </c>
      <c r="AG1870" t="str">
        <f>VLOOKUP(C1870,Assumptions!$B$116:$C$162,2,FALSE)</f>
        <v>ELCTRLYZ_MED_C</v>
      </c>
      <c r="AH1870" t="str">
        <f>VLOOKUP(D1870,Assumptions!$B$116:$C$162,2,FALSE)</f>
        <v>C_GAS_STRG</v>
      </c>
      <c r="AI1870" t="str">
        <f>VLOOKUP(E1870,Assumptions!$B$116:$C$162,2,FALSE)</f>
        <v>METHANATION</v>
      </c>
      <c r="AJ1870" t="str">
        <f>VLOOKUP(F1870,Assumptions!$B$116:$C$162,2,FALSE)</f>
        <v>NG_FC_PWR</v>
      </c>
    </row>
    <row r="1871" spans="2:36" x14ac:dyDescent="0.25">
      <c r="B1871" t="s">
        <v>127</v>
      </c>
      <c r="C1871" t="s">
        <v>57</v>
      </c>
      <c r="D1871" t="s">
        <v>62</v>
      </c>
      <c r="E1871" t="s">
        <v>65</v>
      </c>
      <c r="F1871" t="s">
        <v>165</v>
      </c>
      <c r="G1871" t="s">
        <v>126</v>
      </c>
      <c r="H1871" t="s">
        <v>433</v>
      </c>
      <c r="I1871" t="s">
        <v>32</v>
      </c>
      <c r="J1871" t="s">
        <v>534</v>
      </c>
      <c r="K1871">
        <f t="shared" ref="K1871:K1872" si="5906">SUMPRODUCT(($C$7:$C$18=$C1871)*($D$6:$H$6=$D1871)*($D$7:$H$18))</f>
        <v>1</v>
      </c>
      <c r="L1871">
        <f t="shared" ref="L1871:L1872" si="5907">SUMPRODUCT(($C$19:$C$23=$D1871)*($I$6:$O$6=$E1871)*($I$19:$O$23))</f>
        <v>0</v>
      </c>
      <c r="M1871">
        <f t="shared" ref="M1871:M1872" si="5908">SUMPRODUCT(($C$24:$C$30=$E1871)*($P$6:$AI$6=$F1871)*($P$24:$AI$30))</f>
        <v>0</v>
      </c>
      <c r="N1871">
        <f t="shared" ref="N1871:N1872" si="5909">SUMPRODUCT(($C$31:$C$50=$F1871)*($AJ$6:$AM$6=$G1871)*($AJ$31:$AM$50))</f>
        <v>1</v>
      </c>
      <c r="O1871">
        <f t="shared" ref="O1871:O1872" si="5910">K1871+L1871+M1871+N1871</f>
        <v>2</v>
      </c>
      <c r="P1871" t="str">
        <f t="shared" ref="P1871:P1872" si="5911">CONCATENATE(C1871,"-",J1871)</f>
        <v>Large centralized natural gas steam reforming-Regulatory coverage</v>
      </c>
      <c r="Q1871" t="str">
        <f t="shared" ref="Q1871:Q1872" si="5912">CONCATENATE(D1871,"-",J1871)</f>
        <v>Underground storage-Regulatory coverage</v>
      </c>
      <c r="R1871" t="str">
        <f t="shared" ref="R1871:R1872" si="5913">CONCATENATE(E1871,"-",J1871)</f>
        <v>Methanation-Regulatory coverage</v>
      </c>
      <c r="S1871" t="str">
        <f t="shared" ref="S1871:S1872" si="5914">CONCATENATE(F1871,"-",J1871)</f>
        <v>Prime power natural gas fuel cell-Regulatory coverage</v>
      </c>
      <c r="T1871">
        <f ca="1">VLOOKUP($P1871,'TA database'!$I$8:$J$79,2,FALSE)</f>
        <v>100</v>
      </c>
      <c r="U1871">
        <f ca="1">VLOOKUP($Q1871,'TA database'!$I$86:$J$105,2,FALSE)</f>
        <v>0</v>
      </c>
      <c r="V1871">
        <f ca="1">VLOOKUP($R1871,'TA database'!$I$112:$J$139,2,FALSE)</f>
        <v>80</v>
      </c>
      <c r="W1871">
        <f>IFERROR(VLOOKUP($S1871,'TA database'!$I$146:$J$193,2,FALSE),0)</f>
        <v>0</v>
      </c>
      <c r="X1871">
        <f ca="1">IFERROR(VLOOKUP($S1871,'TA database'!$I$200:$J$271,2,FALSE),0)</f>
        <v>100</v>
      </c>
      <c r="Y1871">
        <f t="shared" ref="Y1871" ca="1" si="5915">IF($W1871=0,SUM($T1871:$V1871,$X1871)/4,SUM($T1871:$W1871)/4)</f>
        <v>70</v>
      </c>
      <c r="Z1871" t="str">
        <f t="shared" ref="Z1871:Z1872" si="5916">CONCATENATE(AG1871,"   →   ",AH1871,"   →   ",AI1871,"   →   ",AJ1871)</f>
        <v>NG_SR_LRG_C   →   C_UNDRGRND_STRG   →   METHANATION   →   NG_FC_PWR</v>
      </c>
      <c r="AA1871" t="str">
        <f t="shared" ref="AA1871:AA1872" si="5917">G1871</f>
        <v>Onsite / Back-up power</v>
      </c>
      <c r="AB1871" t="str">
        <f t="shared" ref="AB1871:AB1872" si="5918">J1871</f>
        <v>Regulatory coverage</v>
      </c>
      <c r="AC1871">
        <f t="shared" ref="AC1871:AC1872" ca="1" si="5919">Y1871</f>
        <v>70</v>
      </c>
      <c r="AD1871">
        <v>1812</v>
      </c>
      <c r="AE1871" t="str">
        <f>IF(AND(ISNUMBER(SEARCH(O1871,4)),ISNUMBER(SEARCH('(4) FCH pathway assessment'!$B$16,AB1871)),ISNUMBER(SEARCH('(4) FCH pathway assessment'!$B$10,AA1871))),AD1871,"")</f>
        <v/>
      </c>
      <c r="AF1871" t="str">
        <f t="shared" si="5807"/>
        <v/>
      </c>
      <c r="AG1871" t="str">
        <f>VLOOKUP(C1871,Assumptions!$B$116:$C$162,2,FALSE)</f>
        <v>NG_SR_LRG_C</v>
      </c>
      <c r="AH1871" t="str">
        <f>VLOOKUP(D1871,Assumptions!$B$116:$C$162,2,FALSE)</f>
        <v>C_UNDRGRND_STRG</v>
      </c>
      <c r="AI1871" t="str">
        <f>VLOOKUP(E1871,Assumptions!$B$116:$C$162,2,FALSE)</f>
        <v>METHANATION</v>
      </c>
      <c r="AJ1871" t="str">
        <f>VLOOKUP(F1871,Assumptions!$B$116:$C$162,2,FALSE)</f>
        <v>NG_FC_PWR</v>
      </c>
    </row>
    <row r="1872" spans="2:36" x14ac:dyDescent="0.25">
      <c r="B1872" t="s">
        <v>127</v>
      </c>
      <c r="C1872" t="s">
        <v>58</v>
      </c>
      <c r="D1872" t="s">
        <v>155</v>
      </c>
      <c r="E1872" t="s">
        <v>65</v>
      </c>
      <c r="F1872" t="s">
        <v>165</v>
      </c>
      <c r="G1872" t="s">
        <v>126</v>
      </c>
      <c r="H1872" t="s">
        <v>433</v>
      </c>
      <c r="I1872" t="s">
        <v>32</v>
      </c>
      <c r="J1872" t="s">
        <v>534</v>
      </c>
      <c r="K1872">
        <f t="shared" si="5906"/>
        <v>1</v>
      </c>
      <c r="L1872">
        <f t="shared" si="5907"/>
        <v>1</v>
      </c>
      <c r="M1872">
        <f t="shared" si="5908"/>
        <v>0</v>
      </c>
      <c r="N1872">
        <f t="shared" si="5909"/>
        <v>1</v>
      </c>
      <c r="O1872">
        <f t="shared" si="5910"/>
        <v>3</v>
      </c>
      <c r="P1872" t="str">
        <f t="shared" si="5911"/>
        <v>Small centralized natural gas steam reforming-Regulatory coverage</v>
      </c>
      <c r="Q1872" t="str">
        <f t="shared" si="5912"/>
        <v>Central gas storage-Regulatory coverage</v>
      </c>
      <c r="R1872" t="str">
        <f t="shared" si="5913"/>
        <v>Methanation-Regulatory coverage</v>
      </c>
      <c r="S1872" t="str">
        <f t="shared" si="5914"/>
        <v>Prime power natural gas fuel cell-Regulatory coverage</v>
      </c>
      <c r="T1872">
        <f ca="1">VLOOKUP($P1872,'TA database'!$I$8:$J$79,2,FALSE)</f>
        <v>100</v>
      </c>
      <c r="U1872">
        <f ca="1">VLOOKUP($Q1872,'TA database'!$I$86:$J$105,2,FALSE)</f>
        <v>80</v>
      </c>
      <c r="V1872">
        <f ca="1">VLOOKUP($R1872,'TA database'!$I$112:$J$139,2,FALSE)</f>
        <v>80</v>
      </c>
      <c r="W1872">
        <f>IFERROR(VLOOKUP($S1872,'TA database'!$I$146:$J$193,2,FALSE),0)</f>
        <v>0</v>
      </c>
      <c r="X1872">
        <f ca="1">IFERROR(VLOOKUP($S1872,'TA database'!$I$200:$J$271,2,FALSE),0)</f>
        <v>100</v>
      </c>
      <c r="Y1872">
        <f t="shared" ref="Y1872" ca="1" si="5920">IF($W1872=0,SUM($T1872:$V1872,$X1872)/4,SUM($T1872:$W1872)/4)</f>
        <v>90</v>
      </c>
      <c r="Z1872" t="str">
        <f t="shared" si="5916"/>
        <v>NG_SR_SML_C   →   C_GAS_STRG   →   METHANATION   →   NG_FC_PWR</v>
      </c>
      <c r="AA1872" t="str">
        <f t="shared" si="5917"/>
        <v>Onsite / Back-up power</v>
      </c>
      <c r="AB1872" t="str">
        <f t="shared" si="5918"/>
        <v>Regulatory coverage</v>
      </c>
      <c r="AC1872">
        <f t="shared" ca="1" si="5919"/>
        <v>90</v>
      </c>
      <c r="AD1872">
        <v>1813</v>
      </c>
      <c r="AE1872" t="str">
        <f>IF(AND(ISNUMBER(SEARCH(O1872,4)),ISNUMBER(SEARCH('(4) FCH pathway assessment'!$B$16,AB1872)),ISNUMBER(SEARCH('(4) FCH pathway assessment'!$B$10,AA1872))),AD1872,"")</f>
        <v/>
      </c>
      <c r="AF1872" t="str">
        <f t="shared" si="5807"/>
        <v/>
      </c>
      <c r="AG1872" t="str">
        <f>VLOOKUP(C1872,Assumptions!$B$116:$C$162,2,FALSE)</f>
        <v>NG_SR_SML_C</v>
      </c>
      <c r="AH1872" t="str">
        <f>VLOOKUP(D1872,Assumptions!$B$116:$C$162,2,FALSE)</f>
        <v>C_GAS_STRG</v>
      </c>
      <c r="AI1872" t="str">
        <f>VLOOKUP(E1872,Assumptions!$B$116:$C$162,2,FALSE)</f>
        <v>METHANATION</v>
      </c>
      <c r="AJ1872" t="str">
        <f>VLOOKUP(F1872,Assumptions!$B$116:$C$162,2,FALSE)</f>
        <v>NG_FC_PWR</v>
      </c>
    </row>
    <row r="1873" spans="2:36" x14ac:dyDescent="0.25">
      <c r="B1873" t="s">
        <v>127</v>
      </c>
      <c r="C1873" t="s">
        <v>174</v>
      </c>
      <c r="D1873" s="61" t="s">
        <v>177</v>
      </c>
      <c r="E1873" t="s">
        <v>180</v>
      </c>
      <c r="F1873" t="s">
        <v>165</v>
      </c>
      <c r="G1873" t="s">
        <v>126</v>
      </c>
      <c r="H1873" t="s">
        <v>433</v>
      </c>
      <c r="I1873" t="s">
        <v>32</v>
      </c>
      <c r="J1873" t="s">
        <v>534</v>
      </c>
      <c r="K1873">
        <f t="shared" ref="K1873" si="5921">SUMPRODUCT(($C$7:$C$18=$C1873)*($D$6:$H$6=$D1873)*($D$7:$H$18))</f>
        <v>1</v>
      </c>
      <c r="L1873">
        <f t="shared" ref="L1873" si="5922">SUMPRODUCT(($C$19:$C$23=$D1873)*($I$6:$O$6=$E1873)*($I$19:$O$23))</f>
        <v>1</v>
      </c>
      <c r="M1873">
        <f t="shared" ref="M1873" si="5923">SUMPRODUCT(($C$24:$C$30=$E1873)*($P$6:$AI$6=$F1873)*($P$24:$AI$30))</f>
        <v>1</v>
      </c>
      <c r="N1873">
        <f t="shared" ref="N1873" si="5924">SUMPRODUCT(($C$31:$C$50=$F1873)*($AJ$6:$AM$6=$G1873)*($AJ$31:$AM$50))</f>
        <v>1</v>
      </c>
      <c r="O1873">
        <f t="shared" ref="O1873" si="5925">K1873+L1873+M1873+N1873</f>
        <v>4</v>
      </c>
      <c r="P1873" t="str">
        <f t="shared" ref="P1873" si="5926">CONCATENATE(C1873,"-",J1873)</f>
        <v>Natural gas production-Regulatory coverage</v>
      </c>
      <c r="Q1873" t="str">
        <f t="shared" ref="Q1873" si="5927">CONCATENATE(D1873,"-",J1873)</f>
        <v>Natural gas storage-Regulatory coverage</v>
      </c>
      <c r="R1873" t="str">
        <f t="shared" ref="R1873" si="5928">CONCATENATE(E1873,"-",J1873)</f>
        <v>Natural gas transport-Regulatory coverage</v>
      </c>
      <c r="S1873" t="str">
        <f t="shared" ref="S1873" si="5929">CONCATENATE(F1873,"-",J1873)</f>
        <v>Prime power natural gas fuel cell-Regulatory coverage</v>
      </c>
      <c r="T1873">
        <f ca="1">VLOOKUP($P1873,'TA database'!$I$8:$J$79,2,FALSE)</f>
        <v>100</v>
      </c>
      <c r="U1873">
        <f ca="1">VLOOKUP($Q1873,'TA database'!$I$86:$J$105,2,FALSE)</f>
        <v>100</v>
      </c>
      <c r="V1873">
        <f ca="1">VLOOKUP($R1873,'TA database'!$I$112:$J$139,2,FALSE)</f>
        <v>100</v>
      </c>
      <c r="W1873">
        <f>IFERROR(VLOOKUP($S1873,'TA database'!$I$146:$J$193,2,FALSE),0)</f>
        <v>0</v>
      </c>
      <c r="X1873">
        <f ca="1">IFERROR(VLOOKUP($S1873,'TA database'!$I$200:$J$271,2,FALSE),0)</f>
        <v>100</v>
      </c>
      <c r="Y1873">
        <f t="shared" ref="Y1873:Y1881" ca="1" si="5930">IF($W1873=0,SUM($T1873:$V1873,$X1873)/4,SUM($T1873:$W1873)/4)</f>
        <v>100</v>
      </c>
      <c r="Z1873" t="str">
        <f t="shared" ref="Z1873" si="5931">CONCATENATE(AG1873,"   →   ",AH1873,"   →   ",AI1873,"   →   ",AJ1873)</f>
        <v>[NG_PROD]   →   [NG_STRG]   →   [NG_TRNSP]   →   NG_FC_PWR</v>
      </c>
      <c r="AA1873" t="str">
        <f t="shared" ref="AA1873" si="5932">G1873</f>
        <v>Onsite / Back-up power</v>
      </c>
      <c r="AB1873" t="str">
        <f t="shared" ref="AB1873" si="5933">J1873</f>
        <v>Regulatory coverage</v>
      </c>
      <c r="AC1873">
        <f t="shared" ref="AC1873" ca="1" si="5934">Y1873</f>
        <v>100</v>
      </c>
      <c r="AD1873">
        <v>1814</v>
      </c>
      <c r="AE1873" t="str">
        <f>IF(AND(ISNUMBER(SEARCH(O1873,4)),ISNUMBER(SEARCH('(4) FCH pathway assessment'!$B$16,AB1873)),ISNUMBER(SEARCH('(4) FCH pathway assessment'!$B$10,AA1873))),AD1873,"")</f>
        <v/>
      </c>
      <c r="AF1873" t="str">
        <f t="shared" si="5807"/>
        <v/>
      </c>
      <c r="AG1873" t="str">
        <f>VLOOKUP(C1873,Assumptions!$B$116:$C$162,2,FALSE)</f>
        <v>[NG_PROD]</v>
      </c>
      <c r="AH1873" t="str">
        <f>VLOOKUP(D1873,Assumptions!$B$116:$C$162,2,FALSE)</f>
        <v>[NG_STRG]</v>
      </c>
      <c r="AI1873" t="str">
        <f>VLOOKUP(E1873,Assumptions!$B$116:$C$162,2,FALSE)</f>
        <v>[NG_TRNSP]</v>
      </c>
      <c r="AJ1873" t="str">
        <f>VLOOKUP(F1873,Assumptions!$B$116:$C$162,2,FALSE)</f>
        <v>NG_FC_PWR</v>
      </c>
    </row>
    <row r="1874" spans="2:36" x14ac:dyDescent="0.25">
      <c r="B1874" t="s">
        <v>117</v>
      </c>
      <c r="C1874" t="s">
        <v>53</v>
      </c>
      <c r="D1874" t="s">
        <v>155</v>
      </c>
      <c r="E1874" t="s">
        <v>157</v>
      </c>
      <c r="F1874" t="s">
        <v>552</v>
      </c>
      <c r="G1874" t="s">
        <v>132</v>
      </c>
      <c r="H1874" t="s">
        <v>434</v>
      </c>
      <c r="I1874" t="s">
        <v>32</v>
      </c>
      <c r="J1874" t="s">
        <v>534</v>
      </c>
      <c r="K1874">
        <f t="shared" ref="K1874:K1881" si="5935">SUMPRODUCT(($C$7:$C$18=$C1874)*($D$6:$H$6=$D1874)*($D$7:$H$18))</f>
        <v>0</v>
      </c>
      <c r="L1874">
        <f t="shared" ref="L1874:L1881" si="5936">SUMPRODUCT(($C$19:$C$23=$D1874)*($I$6:$O$6=$E1874)*($I$19:$O$23))</f>
        <v>1</v>
      </c>
      <c r="M1874">
        <f t="shared" ref="M1874:M1881" si="5937">SUMPRODUCT(($C$24:$C$30=$E1874)*($P$6:$AI$6=$F1874)*($P$24:$AI$30))</f>
        <v>0</v>
      </c>
      <c r="N1874">
        <f t="shared" ref="N1874:N1881" si="5938">SUMPRODUCT(($C$31:$C$50=$F1874)*($AJ$6:$AM$6=$G1874)*($AJ$31:$AM$50))</f>
        <v>1</v>
      </c>
      <c r="O1874">
        <f t="shared" ref="O1874:O1881" si="5939">K1874+L1874+M1874+N1874</f>
        <v>2</v>
      </c>
      <c r="P1874" t="str">
        <f t="shared" ref="P1874:P1881" si="5940">CONCATENATE(C1874,"-",J1874)</f>
        <v>Medium centralized biomass gasification-Regulatory coverage</v>
      </c>
      <c r="Q1874" t="str">
        <f t="shared" ref="Q1874:Q1881" si="5941">CONCATENATE(D1874,"-",J1874)</f>
        <v>Central gas storage-Regulatory coverage</v>
      </c>
      <c r="R1874" t="str">
        <f t="shared" ref="R1874:R1881" si="5942">CONCATENATE(E1874,"-",J1874)</f>
        <v>Blending in natural gas pipeline-Regulatory coverage</v>
      </c>
      <c r="S1874" t="str">
        <f t="shared" ref="S1874:S1881" si="5943">CONCATENATE(F1874,"-",J1874)</f>
        <v>District-CHP with H2 fuel cell (heat)-Regulatory coverage</v>
      </c>
      <c r="T1874">
        <f ca="1">VLOOKUP($P1874,'TA database'!$I$8:$J$79,2,FALSE)</f>
        <v>100</v>
      </c>
      <c r="U1874">
        <f ca="1">VLOOKUP($Q1874,'TA database'!$I$86:$J$105,2,FALSE)</f>
        <v>80</v>
      </c>
      <c r="V1874">
        <f ca="1">VLOOKUP($R1874,'TA database'!$I$112:$J$139,2,FALSE)</f>
        <v>100</v>
      </c>
      <c r="W1874">
        <f ca="1">IFERROR(VLOOKUP($S1874,'TA database'!$I$146:$J$193,2,FALSE),0)</f>
        <v>100</v>
      </c>
      <c r="X1874">
        <f>IFERROR(VLOOKUP($S1874,'TA database'!$I$200:$J$271,2,FALSE),0)</f>
        <v>0</v>
      </c>
      <c r="Y1874">
        <f t="shared" ca="1" si="5930"/>
        <v>95</v>
      </c>
      <c r="Z1874" t="str">
        <f t="shared" ref="Z1874:Z1881" si="5944">CONCATENATE(AG1874,"   →   ",AH1874,"   →   ",AI1874,"   →   ",AJ1874)</f>
        <v>BIO_GSF_MED_C   →   C_GAS_STRG   →   H2_BLND_NG_P   →   H2_FC_DCHP_HEAT</v>
      </c>
      <c r="AA1874" t="str">
        <f t="shared" ref="AA1874:AA1881" si="5945">G1874</f>
        <v>Building heat</v>
      </c>
      <c r="AB1874" t="str">
        <f t="shared" ref="AB1874:AB1881" si="5946">J1874</f>
        <v>Regulatory coverage</v>
      </c>
      <c r="AC1874">
        <f t="shared" ref="AC1874:AC1881" ca="1" si="5947">Y1874</f>
        <v>95</v>
      </c>
      <c r="AD1874">
        <v>1815</v>
      </c>
      <c r="AE1874" t="str">
        <f>IF(AND(ISNUMBER(SEARCH(O1874,4)),ISNUMBER(SEARCH('(4) FCH pathway assessment'!$B$16,AB1874)),ISNUMBER(SEARCH('(4) FCH pathway assessment'!$B$10,AA1874))),AD1874,"")</f>
        <v/>
      </c>
      <c r="AF1874" t="str">
        <f t="shared" si="5807"/>
        <v/>
      </c>
      <c r="AG1874" t="str">
        <f>VLOOKUP(C1874,Assumptions!$B$116:$C$162,2,FALSE)</f>
        <v>BIO_GSF_MED_C</v>
      </c>
      <c r="AH1874" t="str">
        <f>VLOOKUP(D1874,Assumptions!$B$116:$C$162,2,FALSE)</f>
        <v>C_GAS_STRG</v>
      </c>
      <c r="AI1874" t="str">
        <f>VLOOKUP(E1874,Assumptions!$B$116:$C$162,2,FALSE)</f>
        <v>H2_BLND_NG_P</v>
      </c>
      <c r="AJ1874" t="str">
        <f>VLOOKUP(F1874,Assumptions!$B$116:$C$162,2,FALSE)</f>
        <v>H2_FC_DCHP_HEAT</v>
      </c>
    </row>
    <row r="1875" spans="2:36" x14ac:dyDescent="0.25">
      <c r="B1875" t="s">
        <v>117</v>
      </c>
      <c r="C1875" t="s">
        <v>53</v>
      </c>
      <c r="D1875" t="s">
        <v>155</v>
      </c>
      <c r="E1875" t="s">
        <v>122</v>
      </c>
      <c r="F1875" t="s">
        <v>552</v>
      </c>
      <c r="G1875" t="s">
        <v>132</v>
      </c>
      <c r="H1875" t="s">
        <v>434</v>
      </c>
      <c r="I1875" t="s">
        <v>32</v>
      </c>
      <c r="J1875" t="s">
        <v>534</v>
      </c>
      <c r="K1875">
        <f t="shared" si="5935"/>
        <v>0</v>
      </c>
      <c r="L1875">
        <f t="shared" si="5936"/>
        <v>1</v>
      </c>
      <c r="M1875">
        <f t="shared" si="5937"/>
        <v>1</v>
      </c>
      <c r="N1875">
        <f t="shared" si="5938"/>
        <v>1</v>
      </c>
      <c r="O1875">
        <f t="shared" si="5939"/>
        <v>3</v>
      </c>
      <c r="P1875" t="str">
        <f t="shared" si="5940"/>
        <v>Medium centralized biomass gasification-Regulatory coverage</v>
      </c>
      <c r="Q1875" t="str">
        <f t="shared" si="5941"/>
        <v>Central gas storage-Regulatory coverage</v>
      </c>
      <c r="R1875" t="str">
        <f t="shared" si="5942"/>
        <v>Hydrogen transmission &amp; distribution pipeline-Regulatory coverage</v>
      </c>
      <c r="S1875" t="str">
        <f t="shared" si="5943"/>
        <v>District-CHP with H2 fuel cell (heat)-Regulatory coverage</v>
      </c>
      <c r="T1875">
        <f ca="1">VLOOKUP($P1875,'TA database'!$I$8:$J$79,2,FALSE)</f>
        <v>100</v>
      </c>
      <c r="U1875">
        <f ca="1">VLOOKUP($Q1875,'TA database'!$I$86:$J$105,2,FALSE)</f>
        <v>80</v>
      </c>
      <c r="V1875">
        <f ca="1">VLOOKUP($R1875,'TA database'!$I$112:$J$139,2,FALSE)</f>
        <v>40</v>
      </c>
      <c r="W1875">
        <f ca="1">IFERROR(VLOOKUP($S1875,'TA database'!$I$146:$J$193,2,FALSE),0)</f>
        <v>100</v>
      </c>
      <c r="X1875">
        <f>IFERROR(VLOOKUP($S1875,'TA database'!$I$200:$J$271,2,FALSE),0)</f>
        <v>0</v>
      </c>
      <c r="Y1875">
        <f t="shared" ca="1" si="5930"/>
        <v>80</v>
      </c>
      <c r="Z1875" t="str">
        <f t="shared" si="5944"/>
        <v>BIO_GSF_MED_C   →   C_GAS_STRG   →   H2_T&amp;D_P   →   H2_FC_DCHP_HEAT</v>
      </c>
      <c r="AA1875" t="str">
        <f t="shared" si="5945"/>
        <v>Building heat</v>
      </c>
      <c r="AB1875" t="str">
        <f t="shared" si="5946"/>
        <v>Regulatory coverage</v>
      </c>
      <c r="AC1875">
        <f t="shared" ca="1" si="5947"/>
        <v>80</v>
      </c>
      <c r="AD1875">
        <v>1816</v>
      </c>
      <c r="AE1875" t="str">
        <f>IF(AND(ISNUMBER(SEARCH(O1875,4)),ISNUMBER(SEARCH('(4) FCH pathway assessment'!$B$16,AB1875)),ISNUMBER(SEARCH('(4) FCH pathway assessment'!$B$10,AA1875))),AD1875,"")</f>
        <v/>
      </c>
      <c r="AF1875" t="str">
        <f t="shared" si="5807"/>
        <v/>
      </c>
      <c r="AG1875" t="str">
        <f>VLOOKUP(C1875,Assumptions!$B$116:$C$162,2,FALSE)</f>
        <v>BIO_GSF_MED_C</v>
      </c>
      <c r="AH1875" t="str">
        <f>VLOOKUP(D1875,Assumptions!$B$116:$C$162,2,FALSE)</f>
        <v>C_GAS_STRG</v>
      </c>
      <c r="AI1875" t="str">
        <f>VLOOKUP(E1875,Assumptions!$B$116:$C$162,2,FALSE)</f>
        <v>H2_T&amp;D_P</v>
      </c>
      <c r="AJ1875" t="str">
        <f>VLOOKUP(F1875,Assumptions!$B$116:$C$162,2,FALSE)</f>
        <v>H2_FC_DCHP_HEAT</v>
      </c>
    </row>
    <row r="1876" spans="2:36" x14ac:dyDescent="0.25">
      <c r="B1876" t="s">
        <v>117</v>
      </c>
      <c r="C1876" t="s">
        <v>53</v>
      </c>
      <c r="D1876" t="s">
        <v>155</v>
      </c>
      <c r="E1876" t="s">
        <v>116</v>
      </c>
      <c r="F1876" t="s">
        <v>552</v>
      </c>
      <c r="G1876" t="s">
        <v>132</v>
      </c>
      <c r="H1876" t="s">
        <v>434</v>
      </c>
      <c r="I1876" t="s">
        <v>32</v>
      </c>
      <c r="J1876" t="s">
        <v>534</v>
      </c>
      <c r="K1876">
        <f t="shared" si="5935"/>
        <v>0</v>
      </c>
      <c r="L1876">
        <f t="shared" si="5936"/>
        <v>1</v>
      </c>
      <c r="M1876">
        <f t="shared" si="5937"/>
        <v>1</v>
      </c>
      <c r="N1876">
        <f t="shared" si="5938"/>
        <v>1</v>
      </c>
      <c r="O1876">
        <f t="shared" si="5939"/>
        <v>3</v>
      </c>
      <c r="P1876" t="str">
        <f t="shared" si="5940"/>
        <v>Medium centralized biomass gasification-Regulatory coverage</v>
      </c>
      <c r="Q1876" t="str">
        <f t="shared" si="5941"/>
        <v>Central gas storage-Regulatory coverage</v>
      </c>
      <c r="R1876" t="str">
        <f t="shared" si="5942"/>
        <v>Liquid hydrogen truck-Regulatory coverage</v>
      </c>
      <c r="S1876" t="str">
        <f t="shared" si="5943"/>
        <v>District-CHP with H2 fuel cell (heat)-Regulatory coverage</v>
      </c>
      <c r="T1876">
        <f ca="1">VLOOKUP($P1876,'TA database'!$I$8:$J$79,2,FALSE)</f>
        <v>100</v>
      </c>
      <c r="U1876">
        <f ca="1">VLOOKUP($Q1876,'TA database'!$I$86:$J$105,2,FALSE)</f>
        <v>80</v>
      </c>
      <c r="V1876">
        <f ca="1">VLOOKUP($R1876,'TA database'!$I$112:$J$139,2,FALSE)</f>
        <v>40</v>
      </c>
      <c r="W1876">
        <f ca="1">IFERROR(VLOOKUP($S1876,'TA database'!$I$146:$J$193,2,FALSE),0)</f>
        <v>100</v>
      </c>
      <c r="X1876">
        <f>IFERROR(VLOOKUP($S1876,'TA database'!$I$200:$J$271,2,FALSE),0)</f>
        <v>0</v>
      </c>
      <c r="Y1876">
        <f t="shared" ca="1" si="5930"/>
        <v>80</v>
      </c>
      <c r="Z1876" t="str">
        <f t="shared" si="5944"/>
        <v>BIO_GSF_MED_C   →   C_GAS_STRG   →   LQ_TRUCK   →   H2_FC_DCHP_HEAT</v>
      </c>
      <c r="AA1876" t="str">
        <f t="shared" si="5945"/>
        <v>Building heat</v>
      </c>
      <c r="AB1876" t="str">
        <f t="shared" si="5946"/>
        <v>Regulatory coverage</v>
      </c>
      <c r="AC1876">
        <f t="shared" ca="1" si="5947"/>
        <v>80</v>
      </c>
      <c r="AD1876">
        <v>1817</v>
      </c>
      <c r="AE1876" t="str">
        <f>IF(AND(ISNUMBER(SEARCH(O1876,4)),ISNUMBER(SEARCH('(4) FCH pathway assessment'!$B$16,AB1876)),ISNUMBER(SEARCH('(4) FCH pathway assessment'!$B$10,AA1876))),AD1876,"")</f>
        <v/>
      </c>
      <c r="AF1876" t="str">
        <f t="shared" si="5807"/>
        <v/>
      </c>
      <c r="AG1876" t="str">
        <f>VLOOKUP(C1876,Assumptions!$B$116:$C$162,2,FALSE)</f>
        <v>BIO_GSF_MED_C</v>
      </c>
      <c r="AH1876" t="str">
        <f>VLOOKUP(D1876,Assumptions!$B$116:$C$162,2,FALSE)</f>
        <v>C_GAS_STRG</v>
      </c>
      <c r="AI1876" t="str">
        <f>VLOOKUP(E1876,Assumptions!$B$116:$C$162,2,FALSE)</f>
        <v>LQ_TRUCK</v>
      </c>
      <c r="AJ1876" t="str">
        <f>VLOOKUP(F1876,Assumptions!$B$116:$C$162,2,FALSE)</f>
        <v>H2_FC_DCHP_HEAT</v>
      </c>
    </row>
    <row r="1877" spans="2:36" x14ac:dyDescent="0.25">
      <c r="B1877" t="s">
        <v>117</v>
      </c>
      <c r="C1877" t="s">
        <v>53</v>
      </c>
      <c r="D1877" t="s">
        <v>155</v>
      </c>
      <c r="E1877" t="s">
        <v>66</v>
      </c>
      <c r="F1877" t="s">
        <v>552</v>
      </c>
      <c r="G1877" t="s">
        <v>132</v>
      </c>
      <c r="H1877" t="s">
        <v>434</v>
      </c>
      <c r="I1877" t="s">
        <v>32</v>
      </c>
      <c r="J1877" t="s">
        <v>534</v>
      </c>
      <c r="K1877">
        <f t="shared" si="5935"/>
        <v>0</v>
      </c>
      <c r="L1877">
        <f t="shared" si="5936"/>
        <v>1</v>
      </c>
      <c r="M1877">
        <f t="shared" si="5937"/>
        <v>1</v>
      </c>
      <c r="N1877">
        <f t="shared" si="5938"/>
        <v>1</v>
      </c>
      <c r="O1877">
        <f t="shared" si="5939"/>
        <v>3</v>
      </c>
      <c r="P1877" t="str">
        <f t="shared" si="5940"/>
        <v>Medium centralized biomass gasification-Regulatory coverage</v>
      </c>
      <c r="Q1877" t="str">
        <f t="shared" si="5941"/>
        <v>Central gas storage-Regulatory coverage</v>
      </c>
      <c r="R1877" t="str">
        <f t="shared" si="5942"/>
        <v>Onsite-Regulatory coverage</v>
      </c>
      <c r="S1877" t="str">
        <f t="shared" si="5943"/>
        <v>District-CHP with H2 fuel cell (heat)-Regulatory coverage</v>
      </c>
      <c r="T1877">
        <f ca="1">VLOOKUP($P1877,'TA database'!$I$8:$J$79,2,FALSE)</f>
        <v>100</v>
      </c>
      <c r="U1877">
        <f ca="1">VLOOKUP($Q1877,'TA database'!$I$86:$J$105,2,FALSE)</f>
        <v>80</v>
      </c>
      <c r="V1877">
        <f ca="1">VLOOKUP($R1877,'TA database'!$I$112:$J$139,2,FALSE)</f>
        <v>100</v>
      </c>
      <c r="W1877">
        <f ca="1">IFERROR(VLOOKUP($S1877,'TA database'!$I$146:$J$193,2,FALSE),0)</f>
        <v>100</v>
      </c>
      <c r="X1877">
        <f>IFERROR(VLOOKUP($S1877,'TA database'!$I$200:$J$271,2,FALSE),0)</f>
        <v>0</v>
      </c>
      <c r="Y1877">
        <f t="shared" ca="1" si="5930"/>
        <v>95</v>
      </c>
      <c r="Z1877" t="str">
        <f t="shared" si="5944"/>
        <v>BIO_GSF_MED_C   →   C_GAS_STRG   →   ONSITE_USE   →   H2_FC_DCHP_HEAT</v>
      </c>
      <c r="AA1877" t="str">
        <f t="shared" si="5945"/>
        <v>Building heat</v>
      </c>
      <c r="AB1877" t="str">
        <f t="shared" si="5946"/>
        <v>Regulatory coverage</v>
      </c>
      <c r="AC1877">
        <f t="shared" ca="1" si="5947"/>
        <v>95</v>
      </c>
      <c r="AD1877">
        <v>1818</v>
      </c>
      <c r="AE1877" t="str">
        <f>IF(AND(ISNUMBER(SEARCH(O1877,4)),ISNUMBER(SEARCH('(4) FCH pathway assessment'!$B$16,AB1877)),ISNUMBER(SEARCH('(4) FCH pathway assessment'!$B$10,AA1877))),AD1877,"")</f>
        <v/>
      </c>
      <c r="AF1877" t="str">
        <f t="shared" si="5807"/>
        <v/>
      </c>
      <c r="AG1877" t="str">
        <f>VLOOKUP(C1877,Assumptions!$B$116:$C$162,2,FALSE)</f>
        <v>BIO_GSF_MED_C</v>
      </c>
      <c r="AH1877" t="str">
        <f>VLOOKUP(D1877,Assumptions!$B$116:$C$162,2,FALSE)</f>
        <v>C_GAS_STRG</v>
      </c>
      <c r="AI1877" t="str">
        <f>VLOOKUP(E1877,Assumptions!$B$116:$C$162,2,FALSE)</f>
        <v>ONSITE_USE</v>
      </c>
      <c r="AJ1877" t="str">
        <f>VLOOKUP(F1877,Assumptions!$B$116:$C$162,2,FALSE)</f>
        <v>H2_FC_DCHP_HEAT</v>
      </c>
    </row>
    <row r="1878" spans="2:36" x14ac:dyDescent="0.25">
      <c r="B1878" t="s">
        <v>117</v>
      </c>
      <c r="C1878" t="s">
        <v>54</v>
      </c>
      <c r="D1878" t="s">
        <v>155</v>
      </c>
      <c r="E1878" t="s">
        <v>157</v>
      </c>
      <c r="F1878" t="s">
        <v>552</v>
      </c>
      <c r="G1878" t="s">
        <v>132</v>
      </c>
      <c r="H1878" t="s">
        <v>434</v>
      </c>
      <c r="I1878" t="s">
        <v>32</v>
      </c>
      <c r="J1878" t="s">
        <v>534</v>
      </c>
      <c r="K1878">
        <f t="shared" si="5935"/>
        <v>0</v>
      </c>
      <c r="L1878">
        <f t="shared" si="5936"/>
        <v>1</v>
      </c>
      <c r="M1878">
        <f t="shared" si="5937"/>
        <v>0</v>
      </c>
      <c r="N1878">
        <f t="shared" si="5938"/>
        <v>1</v>
      </c>
      <c r="O1878">
        <f t="shared" si="5939"/>
        <v>2</v>
      </c>
      <c r="P1878" t="str">
        <f t="shared" si="5940"/>
        <v>Medium centralized biomass gasification w/ CCS-Regulatory coverage</v>
      </c>
      <c r="Q1878" t="str">
        <f t="shared" si="5941"/>
        <v>Central gas storage-Regulatory coverage</v>
      </c>
      <c r="R1878" t="str">
        <f t="shared" si="5942"/>
        <v>Blending in natural gas pipeline-Regulatory coverage</v>
      </c>
      <c r="S1878" t="str">
        <f t="shared" si="5943"/>
        <v>District-CHP with H2 fuel cell (heat)-Regulatory coverage</v>
      </c>
      <c r="T1878">
        <f ca="1">VLOOKUP($P1878,'TA database'!$I$8:$J$79,2,FALSE)</f>
        <v>80</v>
      </c>
      <c r="U1878">
        <f ca="1">VLOOKUP($Q1878,'TA database'!$I$86:$J$105,2,FALSE)</f>
        <v>80</v>
      </c>
      <c r="V1878">
        <f ca="1">VLOOKUP($R1878,'TA database'!$I$112:$J$139,2,FALSE)</f>
        <v>100</v>
      </c>
      <c r="W1878">
        <f ca="1">IFERROR(VLOOKUP($S1878,'TA database'!$I$146:$J$193,2,FALSE),0)</f>
        <v>100</v>
      </c>
      <c r="X1878">
        <f>IFERROR(VLOOKUP($S1878,'TA database'!$I$200:$J$271,2,FALSE),0)</f>
        <v>0</v>
      </c>
      <c r="Y1878">
        <f t="shared" ca="1" si="5930"/>
        <v>90</v>
      </c>
      <c r="Z1878" t="str">
        <f t="shared" si="5944"/>
        <v>BIO_GSF_CCS_MED_C   →   C_GAS_STRG   →   H2_BLND_NG_P   →   H2_FC_DCHP_HEAT</v>
      </c>
      <c r="AA1878" t="str">
        <f t="shared" si="5945"/>
        <v>Building heat</v>
      </c>
      <c r="AB1878" t="str">
        <f t="shared" si="5946"/>
        <v>Regulatory coverage</v>
      </c>
      <c r="AC1878">
        <f t="shared" ca="1" si="5947"/>
        <v>90</v>
      </c>
      <c r="AD1878">
        <v>1819</v>
      </c>
      <c r="AE1878" t="str">
        <f>IF(AND(ISNUMBER(SEARCH(O1878,4)),ISNUMBER(SEARCH('(4) FCH pathway assessment'!$B$16,AB1878)),ISNUMBER(SEARCH('(4) FCH pathway assessment'!$B$10,AA1878))),AD1878,"")</f>
        <v/>
      </c>
      <c r="AF1878" t="str">
        <f t="shared" si="5807"/>
        <v/>
      </c>
      <c r="AG1878" t="str">
        <f>VLOOKUP(C1878,Assumptions!$B$116:$C$162,2,FALSE)</f>
        <v>BIO_GSF_CCS_MED_C</v>
      </c>
      <c r="AH1878" t="str">
        <f>VLOOKUP(D1878,Assumptions!$B$116:$C$162,2,FALSE)</f>
        <v>C_GAS_STRG</v>
      </c>
      <c r="AI1878" t="str">
        <f>VLOOKUP(E1878,Assumptions!$B$116:$C$162,2,FALSE)</f>
        <v>H2_BLND_NG_P</v>
      </c>
      <c r="AJ1878" t="str">
        <f>VLOOKUP(F1878,Assumptions!$B$116:$C$162,2,FALSE)</f>
        <v>H2_FC_DCHP_HEAT</v>
      </c>
    </row>
    <row r="1879" spans="2:36" x14ac:dyDescent="0.25">
      <c r="B1879" t="s">
        <v>117</v>
      </c>
      <c r="C1879" t="s">
        <v>54</v>
      </c>
      <c r="D1879" t="s">
        <v>155</v>
      </c>
      <c r="E1879" t="s">
        <v>122</v>
      </c>
      <c r="F1879" t="s">
        <v>552</v>
      </c>
      <c r="G1879" t="s">
        <v>132</v>
      </c>
      <c r="H1879" t="s">
        <v>434</v>
      </c>
      <c r="I1879" t="s">
        <v>32</v>
      </c>
      <c r="J1879" t="s">
        <v>534</v>
      </c>
      <c r="K1879">
        <f t="shared" si="5935"/>
        <v>0</v>
      </c>
      <c r="L1879">
        <f t="shared" si="5936"/>
        <v>1</v>
      </c>
      <c r="M1879">
        <f t="shared" si="5937"/>
        <v>1</v>
      </c>
      <c r="N1879">
        <f t="shared" si="5938"/>
        <v>1</v>
      </c>
      <c r="O1879">
        <f t="shared" si="5939"/>
        <v>3</v>
      </c>
      <c r="P1879" t="str">
        <f t="shared" si="5940"/>
        <v>Medium centralized biomass gasification w/ CCS-Regulatory coverage</v>
      </c>
      <c r="Q1879" t="str">
        <f t="shared" si="5941"/>
        <v>Central gas storage-Regulatory coverage</v>
      </c>
      <c r="R1879" t="str">
        <f t="shared" si="5942"/>
        <v>Hydrogen transmission &amp; distribution pipeline-Regulatory coverage</v>
      </c>
      <c r="S1879" t="str">
        <f t="shared" si="5943"/>
        <v>District-CHP with H2 fuel cell (heat)-Regulatory coverage</v>
      </c>
      <c r="T1879">
        <f ca="1">VLOOKUP($P1879,'TA database'!$I$8:$J$79,2,FALSE)</f>
        <v>80</v>
      </c>
      <c r="U1879">
        <f ca="1">VLOOKUP($Q1879,'TA database'!$I$86:$J$105,2,FALSE)</f>
        <v>80</v>
      </c>
      <c r="V1879">
        <f ca="1">VLOOKUP($R1879,'TA database'!$I$112:$J$139,2,FALSE)</f>
        <v>40</v>
      </c>
      <c r="W1879">
        <f ca="1">IFERROR(VLOOKUP($S1879,'TA database'!$I$146:$J$193,2,FALSE),0)</f>
        <v>100</v>
      </c>
      <c r="X1879">
        <f>IFERROR(VLOOKUP($S1879,'TA database'!$I$200:$J$271,2,FALSE),0)</f>
        <v>0</v>
      </c>
      <c r="Y1879">
        <f t="shared" ca="1" si="5930"/>
        <v>75</v>
      </c>
      <c r="Z1879" t="str">
        <f t="shared" si="5944"/>
        <v>BIO_GSF_CCS_MED_C   →   C_GAS_STRG   →   H2_T&amp;D_P   →   H2_FC_DCHP_HEAT</v>
      </c>
      <c r="AA1879" t="str">
        <f t="shared" si="5945"/>
        <v>Building heat</v>
      </c>
      <c r="AB1879" t="str">
        <f t="shared" si="5946"/>
        <v>Regulatory coverage</v>
      </c>
      <c r="AC1879">
        <f t="shared" ca="1" si="5947"/>
        <v>75</v>
      </c>
      <c r="AD1879">
        <v>1820</v>
      </c>
      <c r="AE1879" t="str">
        <f>IF(AND(ISNUMBER(SEARCH(O1879,4)),ISNUMBER(SEARCH('(4) FCH pathway assessment'!$B$16,AB1879)),ISNUMBER(SEARCH('(4) FCH pathway assessment'!$B$10,AA1879))),AD1879,"")</f>
        <v/>
      </c>
      <c r="AF1879" t="str">
        <f t="shared" si="5807"/>
        <v/>
      </c>
      <c r="AG1879" t="str">
        <f>VLOOKUP(C1879,Assumptions!$B$116:$C$162,2,FALSE)</f>
        <v>BIO_GSF_CCS_MED_C</v>
      </c>
      <c r="AH1879" t="str">
        <f>VLOOKUP(D1879,Assumptions!$B$116:$C$162,2,FALSE)</f>
        <v>C_GAS_STRG</v>
      </c>
      <c r="AI1879" t="str">
        <f>VLOOKUP(E1879,Assumptions!$B$116:$C$162,2,FALSE)</f>
        <v>H2_T&amp;D_P</v>
      </c>
      <c r="AJ1879" t="str">
        <f>VLOOKUP(F1879,Assumptions!$B$116:$C$162,2,FALSE)</f>
        <v>H2_FC_DCHP_HEAT</v>
      </c>
    </row>
    <row r="1880" spans="2:36" x14ac:dyDescent="0.25">
      <c r="B1880" t="s">
        <v>117</v>
      </c>
      <c r="C1880" t="s">
        <v>54</v>
      </c>
      <c r="D1880" t="s">
        <v>155</v>
      </c>
      <c r="E1880" t="s">
        <v>116</v>
      </c>
      <c r="F1880" t="s">
        <v>552</v>
      </c>
      <c r="G1880" t="s">
        <v>132</v>
      </c>
      <c r="H1880" t="s">
        <v>434</v>
      </c>
      <c r="I1880" t="s">
        <v>32</v>
      </c>
      <c r="J1880" t="s">
        <v>534</v>
      </c>
      <c r="K1880">
        <f t="shared" si="5935"/>
        <v>0</v>
      </c>
      <c r="L1880">
        <f t="shared" si="5936"/>
        <v>1</v>
      </c>
      <c r="M1880">
        <f t="shared" si="5937"/>
        <v>1</v>
      </c>
      <c r="N1880">
        <f t="shared" si="5938"/>
        <v>1</v>
      </c>
      <c r="O1880">
        <f t="shared" si="5939"/>
        <v>3</v>
      </c>
      <c r="P1880" t="str">
        <f t="shared" si="5940"/>
        <v>Medium centralized biomass gasification w/ CCS-Regulatory coverage</v>
      </c>
      <c r="Q1880" t="str">
        <f t="shared" si="5941"/>
        <v>Central gas storage-Regulatory coverage</v>
      </c>
      <c r="R1880" t="str">
        <f t="shared" si="5942"/>
        <v>Liquid hydrogen truck-Regulatory coverage</v>
      </c>
      <c r="S1880" t="str">
        <f t="shared" si="5943"/>
        <v>District-CHP with H2 fuel cell (heat)-Regulatory coverage</v>
      </c>
      <c r="T1880">
        <f ca="1">VLOOKUP($P1880,'TA database'!$I$8:$J$79,2,FALSE)</f>
        <v>80</v>
      </c>
      <c r="U1880">
        <f ca="1">VLOOKUP($Q1880,'TA database'!$I$86:$J$105,2,FALSE)</f>
        <v>80</v>
      </c>
      <c r="V1880">
        <f ca="1">VLOOKUP($R1880,'TA database'!$I$112:$J$139,2,FALSE)</f>
        <v>40</v>
      </c>
      <c r="W1880">
        <f ca="1">IFERROR(VLOOKUP($S1880,'TA database'!$I$146:$J$193,2,FALSE),0)</f>
        <v>100</v>
      </c>
      <c r="X1880">
        <f>IFERROR(VLOOKUP($S1880,'TA database'!$I$200:$J$271,2,FALSE),0)</f>
        <v>0</v>
      </c>
      <c r="Y1880">
        <f t="shared" ca="1" si="5930"/>
        <v>75</v>
      </c>
      <c r="Z1880" t="str">
        <f t="shared" si="5944"/>
        <v>BIO_GSF_CCS_MED_C   →   C_GAS_STRG   →   LQ_TRUCK   →   H2_FC_DCHP_HEAT</v>
      </c>
      <c r="AA1880" t="str">
        <f t="shared" si="5945"/>
        <v>Building heat</v>
      </c>
      <c r="AB1880" t="str">
        <f t="shared" si="5946"/>
        <v>Regulatory coverage</v>
      </c>
      <c r="AC1880">
        <f t="shared" ca="1" si="5947"/>
        <v>75</v>
      </c>
      <c r="AD1880">
        <v>1821</v>
      </c>
      <c r="AE1880" t="str">
        <f>IF(AND(ISNUMBER(SEARCH(O1880,4)),ISNUMBER(SEARCH('(4) FCH pathway assessment'!$B$16,AB1880)),ISNUMBER(SEARCH('(4) FCH pathway assessment'!$B$10,AA1880))),AD1880,"")</f>
        <v/>
      </c>
      <c r="AF1880" t="str">
        <f t="shared" si="5807"/>
        <v/>
      </c>
      <c r="AG1880" t="str">
        <f>VLOOKUP(C1880,Assumptions!$B$116:$C$162,2,FALSE)</f>
        <v>BIO_GSF_CCS_MED_C</v>
      </c>
      <c r="AH1880" t="str">
        <f>VLOOKUP(D1880,Assumptions!$B$116:$C$162,2,FALSE)</f>
        <v>C_GAS_STRG</v>
      </c>
      <c r="AI1880" t="str">
        <f>VLOOKUP(E1880,Assumptions!$B$116:$C$162,2,FALSE)</f>
        <v>LQ_TRUCK</v>
      </c>
      <c r="AJ1880" t="str">
        <f>VLOOKUP(F1880,Assumptions!$B$116:$C$162,2,FALSE)</f>
        <v>H2_FC_DCHP_HEAT</v>
      </c>
    </row>
    <row r="1881" spans="2:36" x14ac:dyDescent="0.25">
      <c r="B1881" t="s">
        <v>117</v>
      </c>
      <c r="C1881" t="s">
        <v>54</v>
      </c>
      <c r="D1881" t="s">
        <v>155</v>
      </c>
      <c r="E1881" t="s">
        <v>66</v>
      </c>
      <c r="F1881" t="s">
        <v>552</v>
      </c>
      <c r="G1881" t="s">
        <v>132</v>
      </c>
      <c r="H1881" t="s">
        <v>434</v>
      </c>
      <c r="I1881" t="s">
        <v>32</v>
      </c>
      <c r="J1881" t="s">
        <v>534</v>
      </c>
      <c r="K1881">
        <f t="shared" si="5935"/>
        <v>0</v>
      </c>
      <c r="L1881">
        <f t="shared" si="5936"/>
        <v>1</v>
      </c>
      <c r="M1881">
        <f t="shared" si="5937"/>
        <v>1</v>
      </c>
      <c r="N1881">
        <f t="shared" si="5938"/>
        <v>1</v>
      </c>
      <c r="O1881">
        <f t="shared" si="5939"/>
        <v>3</v>
      </c>
      <c r="P1881" t="str">
        <f t="shared" si="5940"/>
        <v>Medium centralized biomass gasification w/ CCS-Regulatory coverage</v>
      </c>
      <c r="Q1881" t="str">
        <f t="shared" si="5941"/>
        <v>Central gas storage-Regulatory coverage</v>
      </c>
      <c r="R1881" t="str">
        <f t="shared" si="5942"/>
        <v>Onsite-Regulatory coverage</v>
      </c>
      <c r="S1881" t="str">
        <f t="shared" si="5943"/>
        <v>District-CHP with H2 fuel cell (heat)-Regulatory coverage</v>
      </c>
      <c r="T1881">
        <f ca="1">VLOOKUP($P1881,'TA database'!$I$8:$J$79,2,FALSE)</f>
        <v>80</v>
      </c>
      <c r="U1881">
        <f ca="1">VLOOKUP($Q1881,'TA database'!$I$86:$J$105,2,FALSE)</f>
        <v>80</v>
      </c>
      <c r="V1881">
        <f ca="1">VLOOKUP($R1881,'TA database'!$I$112:$J$139,2,FALSE)</f>
        <v>100</v>
      </c>
      <c r="W1881">
        <f ca="1">IFERROR(VLOOKUP($S1881,'TA database'!$I$146:$J$193,2,FALSE),0)</f>
        <v>100</v>
      </c>
      <c r="X1881">
        <f>IFERROR(VLOOKUP($S1881,'TA database'!$I$200:$J$271,2,FALSE),0)</f>
        <v>0</v>
      </c>
      <c r="Y1881">
        <f t="shared" ca="1" si="5930"/>
        <v>90</v>
      </c>
      <c r="Z1881" t="str">
        <f t="shared" si="5944"/>
        <v>BIO_GSF_CCS_MED_C   →   C_GAS_STRG   →   ONSITE_USE   →   H2_FC_DCHP_HEAT</v>
      </c>
      <c r="AA1881" t="str">
        <f t="shared" si="5945"/>
        <v>Building heat</v>
      </c>
      <c r="AB1881" t="str">
        <f t="shared" si="5946"/>
        <v>Regulatory coverage</v>
      </c>
      <c r="AC1881">
        <f t="shared" ca="1" si="5947"/>
        <v>90</v>
      </c>
      <c r="AD1881">
        <v>1822</v>
      </c>
      <c r="AE1881" t="str">
        <f>IF(AND(ISNUMBER(SEARCH(O1881,4)),ISNUMBER(SEARCH('(4) FCH pathway assessment'!$B$16,AB1881)),ISNUMBER(SEARCH('(4) FCH pathway assessment'!$B$10,AA1881))),AD1881,"")</f>
        <v/>
      </c>
      <c r="AF1881" t="str">
        <f t="shared" si="5807"/>
        <v/>
      </c>
      <c r="AG1881" t="str">
        <f>VLOOKUP(C1881,Assumptions!$B$116:$C$162,2,FALSE)</f>
        <v>BIO_GSF_CCS_MED_C</v>
      </c>
      <c r="AH1881" t="str">
        <f>VLOOKUP(D1881,Assumptions!$B$116:$C$162,2,FALSE)</f>
        <v>C_GAS_STRG</v>
      </c>
      <c r="AI1881" t="str">
        <f>VLOOKUP(E1881,Assumptions!$B$116:$C$162,2,FALSE)</f>
        <v>ONSITE_USE</v>
      </c>
      <c r="AJ1881" t="str">
        <f>VLOOKUP(F1881,Assumptions!$B$116:$C$162,2,FALSE)</f>
        <v>H2_FC_DCHP_HEAT</v>
      </c>
    </row>
    <row r="1882" spans="2:36" x14ac:dyDescent="0.25">
      <c r="B1882" t="s">
        <v>117</v>
      </c>
      <c r="C1882" t="s">
        <v>55</v>
      </c>
      <c r="D1882" s="60" t="s">
        <v>130</v>
      </c>
      <c r="E1882" t="s">
        <v>66</v>
      </c>
      <c r="F1882" t="s">
        <v>552</v>
      </c>
      <c r="G1882" t="s">
        <v>132</v>
      </c>
      <c r="H1882" t="s">
        <v>434</v>
      </c>
      <c r="I1882" t="s">
        <v>32</v>
      </c>
      <c r="J1882" t="s">
        <v>534</v>
      </c>
      <c r="K1882">
        <f t="shared" ref="K1882:K1887" si="5948">SUMPRODUCT(($C$7:$C$18=$C1882)*($D$6:$H$6=$D1882)*($D$7:$H$18))</f>
        <v>0</v>
      </c>
      <c r="L1882">
        <f t="shared" ref="L1882:L1887" si="5949">SUMPRODUCT(($C$19:$C$23=$D1882)*($I$6:$O$6=$E1882)*($I$19:$O$23))</f>
        <v>1</v>
      </c>
      <c r="M1882">
        <f t="shared" ref="M1882:M1887" si="5950">SUMPRODUCT(($C$24:$C$30=$E1882)*($P$6:$AI$6=$F1882)*($P$24:$AI$30))</f>
        <v>1</v>
      </c>
      <c r="N1882">
        <f t="shared" ref="N1882:N1887" si="5951">SUMPRODUCT(($C$31:$C$50=$F1882)*($AJ$6:$AM$6=$G1882)*($AJ$31:$AM$50))</f>
        <v>1</v>
      </c>
      <c r="O1882">
        <f t="shared" ref="O1882:O1887" si="5952">K1882+L1882+M1882+N1882</f>
        <v>3</v>
      </c>
      <c r="P1882" t="str">
        <f t="shared" ref="P1882:P1887" si="5953">CONCATENATE(C1882,"-",J1882)</f>
        <v>Small decentralized biomass gasification-Regulatory coverage</v>
      </c>
      <c r="Q1882" t="str">
        <f t="shared" ref="Q1882:Q1887" si="5954">CONCATENATE(D1882,"-",J1882)</f>
        <v>Distributed gas storage-Regulatory coverage</v>
      </c>
      <c r="R1882" t="str">
        <f t="shared" ref="R1882:R1887" si="5955">CONCATENATE(E1882,"-",J1882)</f>
        <v>Onsite-Regulatory coverage</v>
      </c>
      <c r="S1882" t="str">
        <f t="shared" ref="S1882:S1887" si="5956">CONCATENATE(F1882,"-",J1882)</f>
        <v>District-CHP with H2 fuel cell (heat)-Regulatory coverage</v>
      </c>
      <c r="T1882">
        <f ca="1">VLOOKUP($P1882,'TA database'!$I$8:$J$79,2,FALSE)</f>
        <v>100</v>
      </c>
      <c r="U1882">
        <f ca="1">VLOOKUP($Q1882,'TA database'!$I$86:$J$105,2,FALSE)</f>
        <v>100</v>
      </c>
      <c r="V1882">
        <f ca="1">VLOOKUP($R1882,'TA database'!$I$112:$J$139,2,FALSE)</f>
        <v>100</v>
      </c>
      <c r="W1882">
        <f ca="1">IFERROR(VLOOKUP($S1882,'TA database'!$I$146:$J$193,2,FALSE),0)</f>
        <v>100</v>
      </c>
      <c r="X1882">
        <f>IFERROR(VLOOKUP($S1882,'TA database'!$I$200:$J$271,2,FALSE),0)</f>
        <v>0</v>
      </c>
      <c r="Y1882">
        <f t="shared" ref="Y1882:Y1886" ca="1" si="5957">IF($W1882=0,SUM($T1882:$V1882,$X1882)/4,SUM($T1882:$W1882)/4)</f>
        <v>100</v>
      </c>
      <c r="Z1882" t="str">
        <f t="shared" ref="Z1882:Z1887" si="5958">CONCATENATE(AG1882,"   →   ",AH1882,"   →   ",AI1882,"   →   ",AJ1882)</f>
        <v>BIO_GSF_SML_D   →   D_GAS_STRG   →   ONSITE_USE   →   H2_FC_DCHP_HEAT</v>
      </c>
      <c r="AA1882" t="str">
        <f t="shared" ref="AA1882:AA1887" si="5959">G1882</f>
        <v>Building heat</v>
      </c>
      <c r="AB1882" t="str">
        <f t="shared" ref="AB1882:AB1887" si="5960">J1882</f>
        <v>Regulatory coverage</v>
      </c>
      <c r="AC1882">
        <f t="shared" ref="AC1882:AC1887" ca="1" si="5961">Y1882</f>
        <v>100</v>
      </c>
      <c r="AD1882">
        <v>1823</v>
      </c>
      <c r="AE1882" t="str">
        <f>IF(AND(ISNUMBER(SEARCH(O1882,4)),ISNUMBER(SEARCH('(4) FCH pathway assessment'!$B$16,AB1882)),ISNUMBER(SEARCH('(4) FCH pathway assessment'!$B$10,AA1882))),AD1882,"")</f>
        <v/>
      </c>
      <c r="AF1882" t="str">
        <f t="shared" si="5807"/>
        <v/>
      </c>
      <c r="AG1882" t="str">
        <f>VLOOKUP(C1882,Assumptions!$B$116:$C$162,2,FALSE)</f>
        <v>BIO_GSF_SML_D</v>
      </c>
      <c r="AH1882" t="str">
        <f>VLOOKUP(D1882,Assumptions!$B$116:$C$162,2,FALSE)</f>
        <v>D_GAS_STRG</v>
      </c>
      <c r="AI1882" t="str">
        <f>VLOOKUP(E1882,Assumptions!$B$116:$C$162,2,FALSE)</f>
        <v>ONSITE_USE</v>
      </c>
      <c r="AJ1882" t="str">
        <f>VLOOKUP(F1882,Assumptions!$B$116:$C$162,2,FALSE)</f>
        <v>H2_FC_DCHP_HEAT</v>
      </c>
    </row>
    <row r="1883" spans="2:36" x14ac:dyDescent="0.25">
      <c r="B1883" t="s">
        <v>117</v>
      </c>
      <c r="C1883" t="s">
        <v>56</v>
      </c>
      <c r="D1883" t="s">
        <v>62</v>
      </c>
      <c r="E1883" t="s">
        <v>157</v>
      </c>
      <c r="F1883" t="s">
        <v>552</v>
      </c>
      <c r="G1883" t="s">
        <v>132</v>
      </c>
      <c r="H1883" t="s">
        <v>434</v>
      </c>
      <c r="I1883" t="s">
        <v>32</v>
      </c>
      <c r="J1883" t="s">
        <v>534</v>
      </c>
      <c r="K1883">
        <f t="shared" si="5948"/>
        <v>0</v>
      </c>
      <c r="L1883">
        <f t="shared" si="5949"/>
        <v>0</v>
      </c>
      <c r="M1883">
        <f t="shared" si="5950"/>
        <v>0</v>
      </c>
      <c r="N1883">
        <f t="shared" si="5951"/>
        <v>1</v>
      </c>
      <c r="O1883">
        <f t="shared" si="5952"/>
        <v>1</v>
      </c>
      <c r="P1883" t="str">
        <f t="shared" si="5953"/>
        <v>Large centralized biomass steam reforming -Regulatory coverage</v>
      </c>
      <c r="Q1883" t="str">
        <f t="shared" si="5954"/>
        <v>Underground storage-Regulatory coverage</v>
      </c>
      <c r="R1883" t="str">
        <f t="shared" si="5955"/>
        <v>Blending in natural gas pipeline-Regulatory coverage</v>
      </c>
      <c r="S1883" t="str">
        <f t="shared" si="5956"/>
        <v>District-CHP with H2 fuel cell (heat)-Regulatory coverage</v>
      </c>
      <c r="T1883">
        <f ca="1">VLOOKUP($P1883,'TA database'!$I$8:$J$79,2,FALSE)</f>
        <v>100</v>
      </c>
      <c r="U1883">
        <f ca="1">VLOOKUP($Q1883,'TA database'!$I$86:$J$105,2,FALSE)</f>
        <v>0</v>
      </c>
      <c r="V1883">
        <f ca="1">VLOOKUP($R1883,'TA database'!$I$112:$J$139,2,FALSE)</f>
        <v>100</v>
      </c>
      <c r="W1883">
        <f ca="1">IFERROR(VLOOKUP($S1883,'TA database'!$I$146:$J$193,2,FALSE),0)</f>
        <v>100</v>
      </c>
      <c r="X1883">
        <f>IFERROR(VLOOKUP($S1883,'TA database'!$I$200:$J$271,2,FALSE),0)</f>
        <v>0</v>
      </c>
      <c r="Y1883">
        <f t="shared" ca="1" si="5957"/>
        <v>75</v>
      </c>
      <c r="Z1883" t="str">
        <f t="shared" si="5958"/>
        <v>BIO_SR_LRG_C   →   C_UNDRGRND_STRG   →   H2_BLND_NG_P   →   H2_FC_DCHP_HEAT</v>
      </c>
      <c r="AA1883" t="str">
        <f t="shared" si="5959"/>
        <v>Building heat</v>
      </c>
      <c r="AB1883" t="str">
        <f t="shared" si="5960"/>
        <v>Regulatory coverage</v>
      </c>
      <c r="AC1883">
        <f t="shared" ca="1" si="5961"/>
        <v>75</v>
      </c>
      <c r="AD1883">
        <v>1824</v>
      </c>
      <c r="AE1883" t="str">
        <f>IF(AND(ISNUMBER(SEARCH(O1883,4)),ISNUMBER(SEARCH('(4) FCH pathway assessment'!$B$16,AB1883)),ISNUMBER(SEARCH('(4) FCH pathway assessment'!$B$10,AA1883))),AD1883,"")</f>
        <v/>
      </c>
      <c r="AF1883" t="str">
        <f t="shared" si="5807"/>
        <v/>
      </c>
      <c r="AG1883" t="str">
        <f>VLOOKUP(C1883,Assumptions!$B$116:$C$162,2,FALSE)</f>
        <v>BIO_SR_LRG_C</v>
      </c>
      <c r="AH1883" t="str">
        <f>VLOOKUP(D1883,Assumptions!$B$116:$C$162,2,FALSE)</f>
        <v>C_UNDRGRND_STRG</v>
      </c>
      <c r="AI1883" t="str">
        <f>VLOOKUP(E1883,Assumptions!$B$116:$C$162,2,FALSE)</f>
        <v>H2_BLND_NG_P</v>
      </c>
      <c r="AJ1883" t="str">
        <f>VLOOKUP(F1883,Assumptions!$B$116:$C$162,2,FALSE)</f>
        <v>H2_FC_DCHP_HEAT</v>
      </c>
    </row>
    <row r="1884" spans="2:36" x14ac:dyDescent="0.25">
      <c r="B1884" t="s">
        <v>117</v>
      </c>
      <c r="C1884" t="s">
        <v>56</v>
      </c>
      <c r="D1884" t="s">
        <v>62</v>
      </c>
      <c r="E1884" t="s">
        <v>122</v>
      </c>
      <c r="F1884" t="s">
        <v>552</v>
      </c>
      <c r="G1884" t="s">
        <v>132</v>
      </c>
      <c r="H1884" t="s">
        <v>434</v>
      </c>
      <c r="I1884" t="s">
        <v>32</v>
      </c>
      <c r="J1884" t="s">
        <v>534</v>
      </c>
      <c r="K1884">
        <f t="shared" si="5948"/>
        <v>0</v>
      </c>
      <c r="L1884">
        <f t="shared" si="5949"/>
        <v>0</v>
      </c>
      <c r="M1884">
        <f t="shared" si="5950"/>
        <v>1</v>
      </c>
      <c r="N1884">
        <f t="shared" si="5951"/>
        <v>1</v>
      </c>
      <c r="O1884">
        <f t="shared" si="5952"/>
        <v>2</v>
      </c>
      <c r="P1884" t="str">
        <f t="shared" si="5953"/>
        <v>Large centralized biomass steam reforming -Regulatory coverage</v>
      </c>
      <c r="Q1884" t="str">
        <f t="shared" si="5954"/>
        <v>Underground storage-Regulatory coverage</v>
      </c>
      <c r="R1884" t="str">
        <f t="shared" si="5955"/>
        <v>Hydrogen transmission &amp; distribution pipeline-Regulatory coverage</v>
      </c>
      <c r="S1884" t="str">
        <f t="shared" si="5956"/>
        <v>District-CHP with H2 fuel cell (heat)-Regulatory coverage</v>
      </c>
      <c r="T1884">
        <f ca="1">VLOOKUP($P1884,'TA database'!$I$8:$J$79,2,FALSE)</f>
        <v>100</v>
      </c>
      <c r="U1884">
        <f ca="1">VLOOKUP($Q1884,'TA database'!$I$86:$J$105,2,FALSE)</f>
        <v>0</v>
      </c>
      <c r="V1884">
        <f ca="1">VLOOKUP($R1884,'TA database'!$I$112:$J$139,2,FALSE)</f>
        <v>40</v>
      </c>
      <c r="W1884">
        <f ca="1">IFERROR(VLOOKUP($S1884,'TA database'!$I$146:$J$193,2,FALSE),0)</f>
        <v>100</v>
      </c>
      <c r="X1884">
        <f>IFERROR(VLOOKUP($S1884,'TA database'!$I$200:$J$271,2,FALSE),0)</f>
        <v>0</v>
      </c>
      <c r="Y1884">
        <f t="shared" ca="1" si="5957"/>
        <v>60</v>
      </c>
      <c r="Z1884" t="str">
        <f t="shared" si="5958"/>
        <v>BIO_SR_LRG_C   →   C_UNDRGRND_STRG   →   H2_T&amp;D_P   →   H2_FC_DCHP_HEAT</v>
      </c>
      <c r="AA1884" t="str">
        <f t="shared" si="5959"/>
        <v>Building heat</v>
      </c>
      <c r="AB1884" t="str">
        <f t="shared" si="5960"/>
        <v>Regulatory coverage</v>
      </c>
      <c r="AC1884">
        <f t="shared" ca="1" si="5961"/>
        <v>60</v>
      </c>
      <c r="AD1884">
        <v>1825</v>
      </c>
      <c r="AE1884" t="str">
        <f>IF(AND(ISNUMBER(SEARCH(O1884,4)),ISNUMBER(SEARCH('(4) FCH pathway assessment'!$B$16,AB1884)),ISNUMBER(SEARCH('(4) FCH pathway assessment'!$B$10,AA1884))),AD1884,"")</f>
        <v/>
      </c>
      <c r="AF1884" t="str">
        <f t="shared" si="5807"/>
        <v/>
      </c>
      <c r="AG1884" t="str">
        <f>VLOOKUP(C1884,Assumptions!$B$116:$C$162,2,FALSE)</f>
        <v>BIO_SR_LRG_C</v>
      </c>
      <c r="AH1884" t="str">
        <f>VLOOKUP(D1884,Assumptions!$B$116:$C$162,2,FALSE)</f>
        <v>C_UNDRGRND_STRG</v>
      </c>
      <c r="AI1884" t="str">
        <f>VLOOKUP(E1884,Assumptions!$B$116:$C$162,2,FALSE)</f>
        <v>H2_T&amp;D_P</v>
      </c>
      <c r="AJ1884" t="str">
        <f>VLOOKUP(F1884,Assumptions!$B$116:$C$162,2,FALSE)</f>
        <v>H2_FC_DCHP_HEAT</v>
      </c>
    </row>
    <row r="1885" spans="2:36" x14ac:dyDescent="0.25">
      <c r="B1885" t="s">
        <v>117</v>
      </c>
      <c r="C1885" t="s">
        <v>56</v>
      </c>
      <c r="D1885" t="s">
        <v>62</v>
      </c>
      <c r="E1885" t="s">
        <v>116</v>
      </c>
      <c r="F1885" t="s">
        <v>552</v>
      </c>
      <c r="G1885" t="s">
        <v>132</v>
      </c>
      <c r="H1885" t="s">
        <v>434</v>
      </c>
      <c r="I1885" t="s">
        <v>32</v>
      </c>
      <c r="J1885" t="s">
        <v>534</v>
      </c>
      <c r="K1885">
        <f t="shared" si="5948"/>
        <v>0</v>
      </c>
      <c r="L1885">
        <f t="shared" si="5949"/>
        <v>0</v>
      </c>
      <c r="M1885">
        <f t="shared" si="5950"/>
        <v>1</v>
      </c>
      <c r="N1885">
        <f t="shared" si="5951"/>
        <v>1</v>
      </c>
      <c r="O1885">
        <f t="shared" si="5952"/>
        <v>2</v>
      </c>
      <c r="P1885" t="str">
        <f t="shared" si="5953"/>
        <v>Large centralized biomass steam reforming -Regulatory coverage</v>
      </c>
      <c r="Q1885" t="str">
        <f t="shared" si="5954"/>
        <v>Underground storage-Regulatory coverage</v>
      </c>
      <c r="R1885" t="str">
        <f t="shared" si="5955"/>
        <v>Liquid hydrogen truck-Regulatory coverage</v>
      </c>
      <c r="S1885" t="str">
        <f t="shared" si="5956"/>
        <v>District-CHP with H2 fuel cell (heat)-Regulatory coverage</v>
      </c>
      <c r="T1885">
        <f ca="1">VLOOKUP($P1885,'TA database'!$I$8:$J$79,2,FALSE)</f>
        <v>100</v>
      </c>
      <c r="U1885">
        <f ca="1">VLOOKUP($Q1885,'TA database'!$I$86:$J$105,2,FALSE)</f>
        <v>0</v>
      </c>
      <c r="V1885">
        <f ca="1">VLOOKUP($R1885,'TA database'!$I$112:$J$139,2,FALSE)</f>
        <v>40</v>
      </c>
      <c r="W1885">
        <f ca="1">IFERROR(VLOOKUP($S1885,'TA database'!$I$146:$J$193,2,FALSE),0)</f>
        <v>100</v>
      </c>
      <c r="X1885">
        <f>IFERROR(VLOOKUP($S1885,'TA database'!$I$200:$J$271,2,FALSE),0)</f>
        <v>0</v>
      </c>
      <c r="Y1885">
        <f t="shared" ca="1" si="5957"/>
        <v>60</v>
      </c>
      <c r="Z1885" t="str">
        <f t="shared" si="5958"/>
        <v>BIO_SR_LRG_C   →   C_UNDRGRND_STRG   →   LQ_TRUCK   →   H2_FC_DCHP_HEAT</v>
      </c>
      <c r="AA1885" t="str">
        <f t="shared" si="5959"/>
        <v>Building heat</v>
      </c>
      <c r="AB1885" t="str">
        <f t="shared" si="5960"/>
        <v>Regulatory coverage</v>
      </c>
      <c r="AC1885">
        <f t="shared" ca="1" si="5961"/>
        <v>60</v>
      </c>
      <c r="AD1885">
        <v>1826</v>
      </c>
      <c r="AE1885" t="str">
        <f>IF(AND(ISNUMBER(SEARCH(O1885,4)),ISNUMBER(SEARCH('(4) FCH pathway assessment'!$B$16,AB1885)),ISNUMBER(SEARCH('(4) FCH pathway assessment'!$B$10,AA1885))),AD1885,"")</f>
        <v/>
      </c>
      <c r="AF1885" t="str">
        <f t="shared" si="5807"/>
        <v/>
      </c>
      <c r="AG1885" t="str">
        <f>VLOOKUP(C1885,Assumptions!$B$116:$C$162,2,FALSE)</f>
        <v>BIO_SR_LRG_C</v>
      </c>
      <c r="AH1885" t="str">
        <f>VLOOKUP(D1885,Assumptions!$B$116:$C$162,2,FALSE)</f>
        <v>C_UNDRGRND_STRG</v>
      </c>
      <c r="AI1885" t="str">
        <f>VLOOKUP(E1885,Assumptions!$B$116:$C$162,2,FALSE)</f>
        <v>LQ_TRUCK</v>
      </c>
      <c r="AJ1885" t="str">
        <f>VLOOKUP(F1885,Assumptions!$B$116:$C$162,2,FALSE)</f>
        <v>H2_FC_DCHP_HEAT</v>
      </c>
    </row>
    <row r="1886" spans="2:36" x14ac:dyDescent="0.25">
      <c r="B1886" t="s">
        <v>117</v>
      </c>
      <c r="C1886" t="s">
        <v>56</v>
      </c>
      <c r="D1886" t="s">
        <v>62</v>
      </c>
      <c r="E1886" t="s">
        <v>66</v>
      </c>
      <c r="F1886" t="s">
        <v>552</v>
      </c>
      <c r="G1886" t="s">
        <v>132</v>
      </c>
      <c r="H1886" t="s">
        <v>434</v>
      </c>
      <c r="I1886" t="s">
        <v>32</v>
      </c>
      <c r="J1886" t="s">
        <v>534</v>
      </c>
      <c r="K1886">
        <f t="shared" si="5948"/>
        <v>0</v>
      </c>
      <c r="L1886">
        <f t="shared" si="5949"/>
        <v>0</v>
      </c>
      <c r="M1886">
        <f t="shared" si="5950"/>
        <v>1</v>
      </c>
      <c r="N1886">
        <f t="shared" si="5951"/>
        <v>1</v>
      </c>
      <c r="O1886">
        <f t="shared" si="5952"/>
        <v>2</v>
      </c>
      <c r="P1886" t="str">
        <f t="shared" si="5953"/>
        <v>Large centralized biomass steam reforming -Regulatory coverage</v>
      </c>
      <c r="Q1886" t="str">
        <f t="shared" si="5954"/>
        <v>Underground storage-Regulatory coverage</v>
      </c>
      <c r="R1886" t="str">
        <f t="shared" si="5955"/>
        <v>Onsite-Regulatory coverage</v>
      </c>
      <c r="S1886" t="str">
        <f t="shared" si="5956"/>
        <v>District-CHP with H2 fuel cell (heat)-Regulatory coverage</v>
      </c>
      <c r="T1886">
        <f ca="1">VLOOKUP($P1886,'TA database'!$I$8:$J$79,2,FALSE)</f>
        <v>100</v>
      </c>
      <c r="U1886">
        <f ca="1">VLOOKUP($Q1886,'TA database'!$I$86:$J$105,2,FALSE)</f>
        <v>0</v>
      </c>
      <c r="V1886">
        <f ca="1">VLOOKUP($R1886,'TA database'!$I$112:$J$139,2,FALSE)</f>
        <v>100</v>
      </c>
      <c r="W1886">
        <f ca="1">IFERROR(VLOOKUP($S1886,'TA database'!$I$146:$J$193,2,FALSE),0)</f>
        <v>100</v>
      </c>
      <c r="X1886">
        <f>IFERROR(VLOOKUP($S1886,'TA database'!$I$200:$J$271,2,FALSE),0)</f>
        <v>0</v>
      </c>
      <c r="Y1886">
        <f t="shared" ca="1" si="5957"/>
        <v>75</v>
      </c>
      <c r="Z1886" t="str">
        <f t="shared" si="5958"/>
        <v>BIO_SR_LRG_C   →   C_UNDRGRND_STRG   →   ONSITE_USE   →   H2_FC_DCHP_HEAT</v>
      </c>
      <c r="AA1886" t="str">
        <f t="shared" si="5959"/>
        <v>Building heat</v>
      </c>
      <c r="AB1886" t="str">
        <f t="shared" si="5960"/>
        <v>Regulatory coverage</v>
      </c>
      <c r="AC1886">
        <f t="shared" ca="1" si="5961"/>
        <v>75</v>
      </c>
      <c r="AD1886">
        <v>1827</v>
      </c>
      <c r="AE1886" t="str">
        <f>IF(AND(ISNUMBER(SEARCH(O1886,4)),ISNUMBER(SEARCH('(4) FCH pathway assessment'!$B$16,AB1886)),ISNUMBER(SEARCH('(4) FCH pathway assessment'!$B$10,AA1886))),AD1886,"")</f>
        <v/>
      </c>
      <c r="AF1886" t="str">
        <f t="shared" si="5807"/>
        <v/>
      </c>
      <c r="AG1886" t="str">
        <f>VLOOKUP(C1886,Assumptions!$B$116:$C$162,2,FALSE)</f>
        <v>BIO_SR_LRG_C</v>
      </c>
      <c r="AH1886" t="str">
        <f>VLOOKUP(D1886,Assumptions!$B$116:$C$162,2,FALSE)</f>
        <v>C_UNDRGRND_STRG</v>
      </c>
      <c r="AI1886" t="str">
        <f>VLOOKUP(E1886,Assumptions!$B$116:$C$162,2,FALSE)</f>
        <v>ONSITE_USE</v>
      </c>
      <c r="AJ1886" t="str">
        <f>VLOOKUP(F1886,Assumptions!$B$116:$C$162,2,FALSE)</f>
        <v>H2_FC_DCHP_HEAT</v>
      </c>
    </row>
    <row r="1887" spans="2:36" x14ac:dyDescent="0.25">
      <c r="B1887" t="s">
        <v>117</v>
      </c>
      <c r="C1887" t="s">
        <v>56</v>
      </c>
      <c r="D1887" s="61" t="s">
        <v>63</v>
      </c>
      <c r="E1887" t="s">
        <v>122</v>
      </c>
      <c r="F1887" t="s">
        <v>552</v>
      </c>
      <c r="G1887" t="s">
        <v>132</v>
      </c>
      <c r="H1887" t="s">
        <v>434</v>
      </c>
      <c r="I1887" t="s">
        <v>32</v>
      </c>
      <c r="J1887" t="s">
        <v>534</v>
      </c>
      <c r="K1887">
        <f t="shared" si="5948"/>
        <v>0</v>
      </c>
      <c r="L1887">
        <f t="shared" si="5949"/>
        <v>1</v>
      </c>
      <c r="M1887">
        <f t="shared" si="5950"/>
        <v>1</v>
      </c>
      <c r="N1887">
        <f t="shared" si="5951"/>
        <v>1</v>
      </c>
      <c r="O1887">
        <f t="shared" si="5952"/>
        <v>3</v>
      </c>
      <c r="P1887" t="str">
        <f t="shared" si="5953"/>
        <v>Large centralized biomass steam reforming -Regulatory coverage</v>
      </c>
      <c r="Q1887" t="str">
        <f t="shared" si="5954"/>
        <v>No storage-Regulatory coverage</v>
      </c>
      <c r="R1887" t="str">
        <f t="shared" si="5955"/>
        <v>Hydrogen transmission &amp; distribution pipeline-Regulatory coverage</v>
      </c>
      <c r="S1887" t="str">
        <f t="shared" si="5956"/>
        <v>District-CHP with H2 fuel cell (heat)-Regulatory coverage</v>
      </c>
      <c r="T1887">
        <f ca="1">VLOOKUP($P1887,'TA database'!$I$8:$J$79,2,FALSE)</f>
        <v>100</v>
      </c>
      <c r="U1887">
        <f ca="1">VLOOKUP($Q1887,'TA database'!$I$86:$J$105,2,FALSE)</f>
        <v>100</v>
      </c>
      <c r="V1887">
        <f ca="1">VLOOKUP($R1887,'TA database'!$I$112:$J$139,2,FALSE)</f>
        <v>40</v>
      </c>
      <c r="W1887">
        <f ca="1">IFERROR(VLOOKUP($S1887,'TA database'!$I$146:$J$193,2,FALSE),0)</f>
        <v>100</v>
      </c>
      <c r="X1887">
        <f>IFERROR(VLOOKUP($S1887,'TA database'!$I$200:$J$271,2,FALSE),0)</f>
        <v>0</v>
      </c>
      <c r="Y1887">
        <f t="shared" ref="Y1887:Y1899" ca="1" si="5962">IF($W1887=0,SUM($T1887:$V1887,$X1887)/4,SUM($T1887:$W1887)/4)</f>
        <v>85</v>
      </c>
      <c r="Z1887" t="str">
        <f t="shared" si="5958"/>
        <v>BIO_SR_LRG_C   →   NO_STRG   →   H2_T&amp;D_P   →   H2_FC_DCHP_HEAT</v>
      </c>
      <c r="AA1887" t="str">
        <f t="shared" si="5959"/>
        <v>Building heat</v>
      </c>
      <c r="AB1887" t="str">
        <f t="shared" si="5960"/>
        <v>Regulatory coverage</v>
      </c>
      <c r="AC1887">
        <f t="shared" ca="1" si="5961"/>
        <v>85</v>
      </c>
      <c r="AD1887">
        <v>1828</v>
      </c>
      <c r="AE1887" t="str">
        <f>IF(AND(ISNUMBER(SEARCH(O1887,4)),ISNUMBER(SEARCH('(4) FCH pathway assessment'!$B$16,AB1887)),ISNUMBER(SEARCH('(4) FCH pathway assessment'!$B$10,AA1887))),AD1887,"")</f>
        <v/>
      </c>
      <c r="AF1887" t="str">
        <f t="shared" si="5807"/>
        <v/>
      </c>
      <c r="AG1887" t="str">
        <f>VLOOKUP(C1887,Assumptions!$B$116:$C$162,2,FALSE)</f>
        <v>BIO_SR_LRG_C</v>
      </c>
      <c r="AH1887" t="str">
        <f>VLOOKUP(D1887,Assumptions!$B$116:$C$162,2,FALSE)</f>
        <v>NO_STRG</v>
      </c>
      <c r="AI1887" t="str">
        <f>VLOOKUP(E1887,Assumptions!$B$116:$C$162,2,FALSE)</f>
        <v>H2_T&amp;D_P</v>
      </c>
      <c r="AJ1887" t="str">
        <f>VLOOKUP(F1887,Assumptions!$B$116:$C$162,2,FALSE)</f>
        <v>H2_FC_DCHP_HEAT</v>
      </c>
    </row>
    <row r="1888" spans="2:36" x14ac:dyDescent="0.25">
      <c r="B1888" t="s">
        <v>112</v>
      </c>
      <c r="C1888" t="s">
        <v>49</v>
      </c>
      <c r="D1888" t="s">
        <v>62</v>
      </c>
      <c r="E1888" t="s">
        <v>157</v>
      </c>
      <c r="F1888" t="s">
        <v>552</v>
      </c>
      <c r="G1888" t="s">
        <v>132</v>
      </c>
      <c r="H1888" t="s">
        <v>434</v>
      </c>
      <c r="I1888" t="s">
        <v>32</v>
      </c>
      <c r="J1888" t="s">
        <v>534</v>
      </c>
      <c r="K1888">
        <f t="shared" ref="K1888:K1899" si="5963">SUMPRODUCT(($C$7:$C$18=$C1888)*($D$6:$H$6=$D1888)*($D$7:$H$18))</f>
        <v>1</v>
      </c>
      <c r="L1888">
        <f t="shared" ref="L1888:L1899" si="5964">SUMPRODUCT(($C$19:$C$23=$D1888)*($I$6:$O$6=$E1888)*($I$19:$O$23))</f>
        <v>0</v>
      </c>
      <c r="M1888">
        <f t="shared" ref="M1888:M1899" si="5965">SUMPRODUCT(($C$24:$C$30=$E1888)*($P$6:$AI$6=$F1888)*($P$24:$AI$30))</f>
        <v>0</v>
      </c>
      <c r="N1888">
        <f t="shared" ref="N1888:N1899" si="5966">SUMPRODUCT(($C$31:$C$50=$F1888)*($AJ$6:$AM$6=$G1888)*($AJ$31:$AM$50))</f>
        <v>1</v>
      </c>
      <c r="O1888">
        <f t="shared" ref="O1888:O1899" si="5967">K1888+L1888+M1888+N1888</f>
        <v>2</v>
      </c>
      <c r="P1888" t="str">
        <f t="shared" ref="P1888:P1899" si="5968">CONCATENATE(C1888,"-",J1888)</f>
        <v>Large centralized electrolysis-Regulatory coverage</v>
      </c>
      <c r="Q1888" t="str">
        <f t="shared" ref="Q1888:Q1899" si="5969">CONCATENATE(D1888,"-",J1888)</f>
        <v>Underground storage-Regulatory coverage</v>
      </c>
      <c r="R1888" t="str">
        <f t="shared" ref="R1888:R1899" si="5970">CONCATENATE(E1888,"-",J1888)</f>
        <v>Blending in natural gas pipeline-Regulatory coverage</v>
      </c>
      <c r="S1888" t="str">
        <f t="shared" ref="S1888:S1899" si="5971">CONCATENATE(F1888,"-",J1888)</f>
        <v>District-CHP with H2 fuel cell (heat)-Regulatory coverage</v>
      </c>
      <c r="T1888">
        <f ca="1">VLOOKUP($P1888,'TA database'!$I$8:$J$79,2,FALSE)</f>
        <v>100</v>
      </c>
      <c r="U1888">
        <f ca="1">VLOOKUP($Q1888,'TA database'!$I$86:$J$105,2,FALSE)</f>
        <v>0</v>
      </c>
      <c r="V1888">
        <f ca="1">VLOOKUP($R1888,'TA database'!$I$112:$J$139,2,FALSE)</f>
        <v>100</v>
      </c>
      <c r="W1888">
        <f ca="1">IFERROR(VLOOKUP($S1888,'TA database'!$I$146:$J$193,2,FALSE),0)</f>
        <v>100</v>
      </c>
      <c r="X1888">
        <f>IFERROR(VLOOKUP($S1888,'TA database'!$I$200:$J$271,2,FALSE),0)</f>
        <v>0</v>
      </c>
      <c r="Y1888">
        <f t="shared" ca="1" si="5962"/>
        <v>75</v>
      </c>
      <c r="Z1888" t="str">
        <f t="shared" ref="Z1888:Z1899" si="5972">CONCATENATE(AG1888,"   →   ",AH1888,"   →   ",AI1888,"   →   ",AJ1888)</f>
        <v>ELCTRLYZ_LRG_C   →   C_UNDRGRND_STRG   →   H2_BLND_NG_P   →   H2_FC_DCHP_HEAT</v>
      </c>
      <c r="AA1888" t="str">
        <f t="shared" ref="AA1888:AA1899" si="5973">G1888</f>
        <v>Building heat</v>
      </c>
      <c r="AB1888" t="str">
        <f t="shared" ref="AB1888:AB1899" si="5974">J1888</f>
        <v>Regulatory coverage</v>
      </c>
      <c r="AC1888">
        <f t="shared" ref="AC1888:AC1899" ca="1" si="5975">Y1888</f>
        <v>75</v>
      </c>
      <c r="AD1888">
        <v>1829</v>
      </c>
      <c r="AE1888" t="str">
        <f>IF(AND(ISNUMBER(SEARCH(O1888,4)),ISNUMBER(SEARCH('(4) FCH pathway assessment'!$B$16,AB1888)),ISNUMBER(SEARCH('(4) FCH pathway assessment'!$B$10,AA1888))),AD1888,"")</f>
        <v/>
      </c>
      <c r="AF1888" t="str">
        <f t="shared" si="5807"/>
        <v/>
      </c>
      <c r="AG1888" t="str">
        <f>VLOOKUP(C1888,Assumptions!$B$116:$C$162,2,FALSE)</f>
        <v>ELCTRLYZ_LRG_C</v>
      </c>
      <c r="AH1888" t="str">
        <f>VLOOKUP(D1888,Assumptions!$B$116:$C$162,2,FALSE)</f>
        <v>C_UNDRGRND_STRG</v>
      </c>
      <c r="AI1888" t="str">
        <f>VLOOKUP(E1888,Assumptions!$B$116:$C$162,2,FALSE)</f>
        <v>H2_BLND_NG_P</v>
      </c>
      <c r="AJ1888" t="str">
        <f>VLOOKUP(F1888,Assumptions!$B$116:$C$162,2,FALSE)</f>
        <v>H2_FC_DCHP_HEAT</v>
      </c>
    </row>
    <row r="1889" spans="2:36" x14ac:dyDescent="0.25">
      <c r="B1889" t="s">
        <v>112</v>
      </c>
      <c r="C1889" t="s">
        <v>49</v>
      </c>
      <c r="D1889" t="s">
        <v>62</v>
      </c>
      <c r="E1889" t="s">
        <v>122</v>
      </c>
      <c r="F1889" t="s">
        <v>552</v>
      </c>
      <c r="G1889" t="s">
        <v>132</v>
      </c>
      <c r="H1889" t="s">
        <v>434</v>
      </c>
      <c r="I1889" t="s">
        <v>32</v>
      </c>
      <c r="J1889" t="s">
        <v>534</v>
      </c>
      <c r="K1889">
        <f t="shared" si="5963"/>
        <v>1</v>
      </c>
      <c r="L1889">
        <f t="shared" si="5964"/>
        <v>0</v>
      </c>
      <c r="M1889">
        <f t="shared" si="5965"/>
        <v>1</v>
      </c>
      <c r="N1889">
        <f t="shared" si="5966"/>
        <v>1</v>
      </c>
      <c r="O1889">
        <f t="shared" si="5967"/>
        <v>3</v>
      </c>
      <c r="P1889" t="str">
        <f t="shared" si="5968"/>
        <v>Large centralized electrolysis-Regulatory coverage</v>
      </c>
      <c r="Q1889" t="str">
        <f t="shared" si="5969"/>
        <v>Underground storage-Regulatory coverage</v>
      </c>
      <c r="R1889" t="str">
        <f t="shared" si="5970"/>
        <v>Hydrogen transmission &amp; distribution pipeline-Regulatory coverage</v>
      </c>
      <c r="S1889" t="str">
        <f t="shared" si="5971"/>
        <v>District-CHP with H2 fuel cell (heat)-Regulatory coverage</v>
      </c>
      <c r="T1889">
        <f ca="1">VLOOKUP($P1889,'TA database'!$I$8:$J$79,2,FALSE)</f>
        <v>100</v>
      </c>
      <c r="U1889">
        <f ca="1">VLOOKUP($Q1889,'TA database'!$I$86:$J$105,2,FALSE)</f>
        <v>0</v>
      </c>
      <c r="V1889">
        <f ca="1">VLOOKUP($R1889,'TA database'!$I$112:$J$139,2,FALSE)</f>
        <v>40</v>
      </c>
      <c r="W1889">
        <f ca="1">IFERROR(VLOOKUP($S1889,'TA database'!$I$146:$J$193,2,FALSE),0)</f>
        <v>100</v>
      </c>
      <c r="X1889">
        <f>IFERROR(VLOOKUP($S1889,'TA database'!$I$200:$J$271,2,FALSE),0)</f>
        <v>0</v>
      </c>
      <c r="Y1889">
        <f t="shared" ca="1" si="5962"/>
        <v>60</v>
      </c>
      <c r="Z1889" t="str">
        <f t="shared" si="5972"/>
        <v>ELCTRLYZ_LRG_C   →   C_UNDRGRND_STRG   →   H2_T&amp;D_P   →   H2_FC_DCHP_HEAT</v>
      </c>
      <c r="AA1889" t="str">
        <f t="shared" si="5973"/>
        <v>Building heat</v>
      </c>
      <c r="AB1889" t="str">
        <f t="shared" si="5974"/>
        <v>Regulatory coverage</v>
      </c>
      <c r="AC1889">
        <f t="shared" ca="1" si="5975"/>
        <v>60</v>
      </c>
      <c r="AD1889">
        <v>1830</v>
      </c>
      <c r="AE1889" t="str">
        <f>IF(AND(ISNUMBER(SEARCH(O1889,4)),ISNUMBER(SEARCH('(4) FCH pathway assessment'!$B$16,AB1889)),ISNUMBER(SEARCH('(4) FCH pathway assessment'!$B$10,AA1889))),AD1889,"")</f>
        <v/>
      </c>
      <c r="AF1889" t="str">
        <f t="shared" si="5807"/>
        <v/>
      </c>
      <c r="AG1889" t="str">
        <f>VLOOKUP(C1889,Assumptions!$B$116:$C$162,2,FALSE)</f>
        <v>ELCTRLYZ_LRG_C</v>
      </c>
      <c r="AH1889" t="str">
        <f>VLOOKUP(D1889,Assumptions!$B$116:$C$162,2,FALSE)</f>
        <v>C_UNDRGRND_STRG</v>
      </c>
      <c r="AI1889" t="str">
        <f>VLOOKUP(E1889,Assumptions!$B$116:$C$162,2,FALSE)</f>
        <v>H2_T&amp;D_P</v>
      </c>
      <c r="AJ1889" t="str">
        <f>VLOOKUP(F1889,Assumptions!$B$116:$C$162,2,FALSE)</f>
        <v>H2_FC_DCHP_HEAT</v>
      </c>
    </row>
    <row r="1890" spans="2:36" x14ac:dyDescent="0.25">
      <c r="B1890" t="s">
        <v>112</v>
      </c>
      <c r="C1890" t="s">
        <v>49</v>
      </c>
      <c r="D1890" t="s">
        <v>62</v>
      </c>
      <c r="E1890" t="s">
        <v>116</v>
      </c>
      <c r="F1890" t="s">
        <v>552</v>
      </c>
      <c r="G1890" t="s">
        <v>132</v>
      </c>
      <c r="H1890" t="s">
        <v>434</v>
      </c>
      <c r="I1890" t="s">
        <v>32</v>
      </c>
      <c r="J1890" t="s">
        <v>534</v>
      </c>
      <c r="K1890">
        <f t="shared" si="5963"/>
        <v>1</v>
      </c>
      <c r="L1890">
        <f t="shared" si="5964"/>
        <v>0</v>
      </c>
      <c r="M1890">
        <f t="shared" si="5965"/>
        <v>1</v>
      </c>
      <c r="N1890">
        <f t="shared" si="5966"/>
        <v>1</v>
      </c>
      <c r="O1890">
        <f t="shared" si="5967"/>
        <v>3</v>
      </c>
      <c r="P1890" t="str">
        <f t="shared" si="5968"/>
        <v>Large centralized electrolysis-Regulatory coverage</v>
      </c>
      <c r="Q1890" t="str">
        <f t="shared" si="5969"/>
        <v>Underground storage-Regulatory coverage</v>
      </c>
      <c r="R1890" t="str">
        <f t="shared" si="5970"/>
        <v>Liquid hydrogen truck-Regulatory coverage</v>
      </c>
      <c r="S1890" t="str">
        <f t="shared" si="5971"/>
        <v>District-CHP with H2 fuel cell (heat)-Regulatory coverage</v>
      </c>
      <c r="T1890">
        <f ca="1">VLOOKUP($P1890,'TA database'!$I$8:$J$79,2,FALSE)</f>
        <v>100</v>
      </c>
      <c r="U1890">
        <f ca="1">VLOOKUP($Q1890,'TA database'!$I$86:$J$105,2,FALSE)</f>
        <v>0</v>
      </c>
      <c r="V1890">
        <f ca="1">VLOOKUP($R1890,'TA database'!$I$112:$J$139,2,FALSE)</f>
        <v>40</v>
      </c>
      <c r="W1890">
        <f ca="1">IFERROR(VLOOKUP($S1890,'TA database'!$I$146:$J$193,2,FALSE),0)</f>
        <v>100</v>
      </c>
      <c r="X1890">
        <f>IFERROR(VLOOKUP($S1890,'TA database'!$I$200:$J$271,2,FALSE),0)</f>
        <v>0</v>
      </c>
      <c r="Y1890">
        <f t="shared" ca="1" si="5962"/>
        <v>60</v>
      </c>
      <c r="Z1890" t="str">
        <f t="shared" si="5972"/>
        <v>ELCTRLYZ_LRG_C   →   C_UNDRGRND_STRG   →   LQ_TRUCK   →   H2_FC_DCHP_HEAT</v>
      </c>
      <c r="AA1890" t="str">
        <f t="shared" si="5973"/>
        <v>Building heat</v>
      </c>
      <c r="AB1890" t="str">
        <f t="shared" si="5974"/>
        <v>Regulatory coverage</v>
      </c>
      <c r="AC1890">
        <f t="shared" ca="1" si="5975"/>
        <v>60</v>
      </c>
      <c r="AD1890">
        <v>1831</v>
      </c>
      <c r="AE1890" t="str">
        <f>IF(AND(ISNUMBER(SEARCH(O1890,4)),ISNUMBER(SEARCH('(4) FCH pathway assessment'!$B$16,AB1890)),ISNUMBER(SEARCH('(4) FCH pathway assessment'!$B$10,AA1890))),AD1890,"")</f>
        <v/>
      </c>
      <c r="AF1890" t="str">
        <f t="shared" si="5807"/>
        <v/>
      </c>
      <c r="AG1890" t="str">
        <f>VLOOKUP(C1890,Assumptions!$B$116:$C$162,2,FALSE)</f>
        <v>ELCTRLYZ_LRG_C</v>
      </c>
      <c r="AH1890" t="str">
        <f>VLOOKUP(D1890,Assumptions!$B$116:$C$162,2,FALSE)</f>
        <v>C_UNDRGRND_STRG</v>
      </c>
      <c r="AI1890" t="str">
        <f>VLOOKUP(E1890,Assumptions!$B$116:$C$162,2,FALSE)</f>
        <v>LQ_TRUCK</v>
      </c>
      <c r="AJ1890" t="str">
        <f>VLOOKUP(F1890,Assumptions!$B$116:$C$162,2,FALSE)</f>
        <v>H2_FC_DCHP_HEAT</v>
      </c>
    </row>
    <row r="1891" spans="2:36" x14ac:dyDescent="0.25">
      <c r="B1891" t="s">
        <v>112</v>
      </c>
      <c r="C1891" t="s">
        <v>49</v>
      </c>
      <c r="D1891" t="s">
        <v>62</v>
      </c>
      <c r="E1891" t="s">
        <v>66</v>
      </c>
      <c r="F1891" t="s">
        <v>552</v>
      </c>
      <c r="G1891" t="s">
        <v>132</v>
      </c>
      <c r="H1891" t="s">
        <v>434</v>
      </c>
      <c r="I1891" t="s">
        <v>32</v>
      </c>
      <c r="J1891" t="s">
        <v>534</v>
      </c>
      <c r="K1891">
        <f t="shared" si="5963"/>
        <v>1</v>
      </c>
      <c r="L1891">
        <f t="shared" si="5964"/>
        <v>0</v>
      </c>
      <c r="M1891">
        <f t="shared" si="5965"/>
        <v>1</v>
      </c>
      <c r="N1891">
        <f t="shared" si="5966"/>
        <v>1</v>
      </c>
      <c r="O1891">
        <f t="shared" si="5967"/>
        <v>3</v>
      </c>
      <c r="P1891" t="str">
        <f t="shared" si="5968"/>
        <v>Large centralized electrolysis-Regulatory coverage</v>
      </c>
      <c r="Q1891" t="str">
        <f t="shared" si="5969"/>
        <v>Underground storage-Regulatory coverage</v>
      </c>
      <c r="R1891" t="str">
        <f t="shared" si="5970"/>
        <v>Onsite-Regulatory coverage</v>
      </c>
      <c r="S1891" t="str">
        <f t="shared" si="5971"/>
        <v>District-CHP with H2 fuel cell (heat)-Regulatory coverage</v>
      </c>
      <c r="T1891">
        <f ca="1">VLOOKUP($P1891,'TA database'!$I$8:$J$79,2,FALSE)</f>
        <v>100</v>
      </c>
      <c r="U1891">
        <f ca="1">VLOOKUP($Q1891,'TA database'!$I$86:$J$105,2,FALSE)</f>
        <v>0</v>
      </c>
      <c r="V1891">
        <f ca="1">VLOOKUP($R1891,'TA database'!$I$112:$J$139,2,FALSE)</f>
        <v>100</v>
      </c>
      <c r="W1891">
        <f ca="1">IFERROR(VLOOKUP($S1891,'TA database'!$I$146:$J$193,2,FALSE),0)</f>
        <v>100</v>
      </c>
      <c r="X1891">
        <f>IFERROR(VLOOKUP($S1891,'TA database'!$I$200:$J$271,2,FALSE),0)</f>
        <v>0</v>
      </c>
      <c r="Y1891">
        <f t="shared" ca="1" si="5962"/>
        <v>75</v>
      </c>
      <c r="Z1891" t="str">
        <f t="shared" si="5972"/>
        <v>ELCTRLYZ_LRG_C   →   C_UNDRGRND_STRG   →   ONSITE_USE   →   H2_FC_DCHP_HEAT</v>
      </c>
      <c r="AA1891" t="str">
        <f t="shared" si="5973"/>
        <v>Building heat</v>
      </c>
      <c r="AB1891" t="str">
        <f t="shared" si="5974"/>
        <v>Regulatory coverage</v>
      </c>
      <c r="AC1891">
        <f t="shared" ca="1" si="5975"/>
        <v>75</v>
      </c>
      <c r="AD1891">
        <v>1832</v>
      </c>
      <c r="AE1891" t="str">
        <f>IF(AND(ISNUMBER(SEARCH(O1891,4)),ISNUMBER(SEARCH('(4) FCH pathway assessment'!$B$16,AB1891)),ISNUMBER(SEARCH('(4) FCH pathway assessment'!$B$10,AA1891))),AD1891,"")</f>
        <v/>
      </c>
      <c r="AF1891" t="str">
        <f t="shared" si="5807"/>
        <v/>
      </c>
      <c r="AG1891" t="str">
        <f>VLOOKUP(C1891,Assumptions!$B$116:$C$162,2,FALSE)</f>
        <v>ELCTRLYZ_LRG_C</v>
      </c>
      <c r="AH1891" t="str">
        <f>VLOOKUP(D1891,Assumptions!$B$116:$C$162,2,FALSE)</f>
        <v>C_UNDRGRND_STRG</v>
      </c>
      <c r="AI1891" t="str">
        <f>VLOOKUP(E1891,Assumptions!$B$116:$C$162,2,FALSE)</f>
        <v>ONSITE_USE</v>
      </c>
      <c r="AJ1891" t="str">
        <f>VLOOKUP(F1891,Assumptions!$B$116:$C$162,2,FALSE)</f>
        <v>H2_FC_DCHP_HEAT</v>
      </c>
    </row>
    <row r="1892" spans="2:36" x14ac:dyDescent="0.25">
      <c r="B1892" t="s">
        <v>112</v>
      </c>
      <c r="C1892" t="s">
        <v>49</v>
      </c>
      <c r="D1892" t="s">
        <v>155</v>
      </c>
      <c r="E1892" t="s">
        <v>157</v>
      </c>
      <c r="F1892" t="s">
        <v>552</v>
      </c>
      <c r="G1892" t="s">
        <v>132</v>
      </c>
      <c r="H1892" t="s">
        <v>434</v>
      </c>
      <c r="I1892" t="s">
        <v>32</v>
      </c>
      <c r="J1892" t="s">
        <v>534</v>
      </c>
      <c r="K1892">
        <f t="shared" si="5963"/>
        <v>1</v>
      </c>
      <c r="L1892">
        <f t="shared" si="5964"/>
        <v>1</v>
      </c>
      <c r="M1892">
        <f t="shared" si="5965"/>
        <v>0</v>
      </c>
      <c r="N1892">
        <f t="shared" si="5966"/>
        <v>1</v>
      </c>
      <c r="O1892">
        <f t="shared" si="5967"/>
        <v>3</v>
      </c>
      <c r="P1892" t="str">
        <f t="shared" si="5968"/>
        <v>Large centralized electrolysis-Regulatory coverage</v>
      </c>
      <c r="Q1892" t="str">
        <f t="shared" si="5969"/>
        <v>Central gas storage-Regulatory coverage</v>
      </c>
      <c r="R1892" t="str">
        <f t="shared" si="5970"/>
        <v>Blending in natural gas pipeline-Regulatory coverage</v>
      </c>
      <c r="S1892" t="str">
        <f t="shared" si="5971"/>
        <v>District-CHP with H2 fuel cell (heat)-Regulatory coverage</v>
      </c>
      <c r="T1892">
        <f ca="1">VLOOKUP($P1892,'TA database'!$I$8:$J$79,2,FALSE)</f>
        <v>100</v>
      </c>
      <c r="U1892">
        <f ca="1">VLOOKUP($Q1892,'TA database'!$I$86:$J$105,2,FALSE)</f>
        <v>80</v>
      </c>
      <c r="V1892">
        <f ca="1">VLOOKUP($R1892,'TA database'!$I$112:$J$139,2,FALSE)</f>
        <v>100</v>
      </c>
      <c r="W1892">
        <f ca="1">IFERROR(VLOOKUP($S1892,'TA database'!$I$146:$J$193,2,FALSE),0)</f>
        <v>100</v>
      </c>
      <c r="X1892">
        <f>IFERROR(VLOOKUP($S1892,'TA database'!$I$200:$J$271,2,FALSE),0)</f>
        <v>0</v>
      </c>
      <c r="Y1892">
        <f t="shared" ca="1" si="5962"/>
        <v>95</v>
      </c>
      <c r="Z1892" t="str">
        <f t="shared" si="5972"/>
        <v>ELCTRLYZ_LRG_C   →   C_GAS_STRG   →   H2_BLND_NG_P   →   H2_FC_DCHP_HEAT</v>
      </c>
      <c r="AA1892" t="str">
        <f t="shared" si="5973"/>
        <v>Building heat</v>
      </c>
      <c r="AB1892" t="str">
        <f t="shared" si="5974"/>
        <v>Regulatory coverage</v>
      </c>
      <c r="AC1892">
        <f t="shared" ca="1" si="5975"/>
        <v>95</v>
      </c>
      <c r="AD1892">
        <v>1833</v>
      </c>
      <c r="AE1892" t="str">
        <f>IF(AND(ISNUMBER(SEARCH(O1892,4)),ISNUMBER(SEARCH('(4) FCH pathway assessment'!$B$16,AB1892)),ISNUMBER(SEARCH('(4) FCH pathway assessment'!$B$10,AA1892))),AD1892,"")</f>
        <v/>
      </c>
      <c r="AF1892" t="str">
        <f t="shared" si="5807"/>
        <v/>
      </c>
      <c r="AG1892" t="str">
        <f>VLOOKUP(C1892,Assumptions!$B$116:$C$162,2,FALSE)</f>
        <v>ELCTRLYZ_LRG_C</v>
      </c>
      <c r="AH1892" t="str">
        <f>VLOOKUP(D1892,Assumptions!$B$116:$C$162,2,FALSE)</f>
        <v>C_GAS_STRG</v>
      </c>
      <c r="AI1892" t="str">
        <f>VLOOKUP(E1892,Assumptions!$B$116:$C$162,2,FALSE)</f>
        <v>H2_BLND_NG_P</v>
      </c>
      <c r="AJ1892" t="str">
        <f>VLOOKUP(F1892,Assumptions!$B$116:$C$162,2,FALSE)</f>
        <v>H2_FC_DCHP_HEAT</v>
      </c>
    </row>
    <row r="1893" spans="2:36" x14ac:dyDescent="0.25">
      <c r="B1893" t="s">
        <v>112</v>
      </c>
      <c r="C1893" t="s">
        <v>49</v>
      </c>
      <c r="D1893" t="s">
        <v>155</v>
      </c>
      <c r="E1893" t="s">
        <v>122</v>
      </c>
      <c r="F1893" t="s">
        <v>552</v>
      </c>
      <c r="G1893" t="s">
        <v>132</v>
      </c>
      <c r="H1893" t="s">
        <v>434</v>
      </c>
      <c r="I1893" t="s">
        <v>32</v>
      </c>
      <c r="J1893" t="s">
        <v>534</v>
      </c>
      <c r="K1893">
        <f t="shared" si="5963"/>
        <v>1</v>
      </c>
      <c r="L1893">
        <f t="shared" si="5964"/>
        <v>1</v>
      </c>
      <c r="M1893">
        <f t="shared" si="5965"/>
        <v>1</v>
      </c>
      <c r="N1893">
        <f t="shared" si="5966"/>
        <v>1</v>
      </c>
      <c r="O1893">
        <f t="shared" si="5967"/>
        <v>4</v>
      </c>
      <c r="P1893" t="str">
        <f t="shared" si="5968"/>
        <v>Large centralized electrolysis-Regulatory coverage</v>
      </c>
      <c r="Q1893" t="str">
        <f t="shared" si="5969"/>
        <v>Central gas storage-Regulatory coverage</v>
      </c>
      <c r="R1893" t="str">
        <f t="shared" si="5970"/>
        <v>Hydrogen transmission &amp; distribution pipeline-Regulatory coverage</v>
      </c>
      <c r="S1893" t="str">
        <f t="shared" si="5971"/>
        <v>District-CHP with H2 fuel cell (heat)-Regulatory coverage</v>
      </c>
      <c r="T1893">
        <f ca="1">VLOOKUP($P1893,'TA database'!$I$8:$J$79,2,FALSE)</f>
        <v>100</v>
      </c>
      <c r="U1893">
        <f ca="1">VLOOKUP($Q1893,'TA database'!$I$86:$J$105,2,FALSE)</f>
        <v>80</v>
      </c>
      <c r="V1893">
        <f ca="1">VLOOKUP($R1893,'TA database'!$I$112:$J$139,2,FALSE)</f>
        <v>40</v>
      </c>
      <c r="W1893">
        <f ca="1">IFERROR(VLOOKUP($S1893,'TA database'!$I$146:$J$193,2,FALSE),0)</f>
        <v>100</v>
      </c>
      <c r="X1893">
        <f>IFERROR(VLOOKUP($S1893,'TA database'!$I$200:$J$271,2,FALSE),0)</f>
        <v>0</v>
      </c>
      <c r="Y1893">
        <f t="shared" ca="1" si="5962"/>
        <v>80</v>
      </c>
      <c r="Z1893" t="str">
        <f t="shared" si="5972"/>
        <v>ELCTRLYZ_LRG_C   →   C_GAS_STRG   →   H2_T&amp;D_P   →   H2_FC_DCHP_HEAT</v>
      </c>
      <c r="AA1893" t="str">
        <f t="shared" si="5973"/>
        <v>Building heat</v>
      </c>
      <c r="AB1893" t="str">
        <f t="shared" si="5974"/>
        <v>Regulatory coverage</v>
      </c>
      <c r="AC1893">
        <f t="shared" ca="1" si="5975"/>
        <v>80</v>
      </c>
      <c r="AD1893">
        <v>1834</v>
      </c>
      <c r="AE1893" t="str">
        <f>IF(AND(ISNUMBER(SEARCH(O1893,4)),ISNUMBER(SEARCH('(4) FCH pathway assessment'!$B$16,AB1893)),ISNUMBER(SEARCH('(4) FCH pathway assessment'!$B$10,AA1893))),AD1893,"")</f>
        <v/>
      </c>
      <c r="AF1893" t="str">
        <f t="shared" si="5807"/>
        <v/>
      </c>
      <c r="AG1893" t="str">
        <f>VLOOKUP(C1893,Assumptions!$B$116:$C$162,2,FALSE)</f>
        <v>ELCTRLYZ_LRG_C</v>
      </c>
      <c r="AH1893" t="str">
        <f>VLOOKUP(D1893,Assumptions!$B$116:$C$162,2,FALSE)</f>
        <v>C_GAS_STRG</v>
      </c>
      <c r="AI1893" t="str">
        <f>VLOOKUP(E1893,Assumptions!$B$116:$C$162,2,FALSE)</f>
        <v>H2_T&amp;D_P</v>
      </c>
      <c r="AJ1893" t="str">
        <f>VLOOKUP(F1893,Assumptions!$B$116:$C$162,2,FALSE)</f>
        <v>H2_FC_DCHP_HEAT</v>
      </c>
    </row>
    <row r="1894" spans="2:36" x14ac:dyDescent="0.25">
      <c r="B1894" t="s">
        <v>112</v>
      </c>
      <c r="C1894" t="s">
        <v>49</v>
      </c>
      <c r="D1894" t="s">
        <v>155</v>
      </c>
      <c r="E1894" t="s">
        <v>116</v>
      </c>
      <c r="F1894" t="s">
        <v>552</v>
      </c>
      <c r="G1894" t="s">
        <v>132</v>
      </c>
      <c r="H1894" t="s">
        <v>434</v>
      </c>
      <c r="I1894" t="s">
        <v>32</v>
      </c>
      <c r="J1894" t="s">
        <v>534</v>
      </c>
      <c r="K1894">
        <f t="shared" si="5963"/>
        <v>1</v>
      </c>
      <c r="L1894">
        <f t="shared" si="5964"/>
        <v>1</v>
      </c>
      <c r="M1894">
        <f t="shared" si="5965"/>
        <v>1</v>
      </c>
      <c r="N1894">
        <f t="shared" si="5966"/>
        <v>1</v>
      </c>
      <c r="O1894">
        <f t="shared" si="5967"/>
        <v>4</v>
      </c>
      <c r="P1894" t="str">
        <f t="shared" si="5968"/>
        <v>Large centralized electrolysis-Regulatory coverage</v>
      </c>
      <c r="Q1894" t="str">
        <f t="shared" si="5969"/>
        <v>Central gas storage-Regulatory coverage</v>
      </c>
      <c r="R1894" t="str">
        <f t="shared" si="5970"/>
        <v>Liquid hydrogen truck-Regulatory coverage</v>
      </c>
      <c r="S1894" t="str">
        <f t="shared" si="5971"/>
        <v>District-CHP with H2 fuel cell (heat)-Regulatory coverage</v>
      </c>
      <c r="T1894">
        <f ca="1">VLOOKUP($P1894,'TA database'!$I$8:$J$79,2,FALSE)</f>
        <v>100</v>
      </c>
      <c r="U1894">
        <f ca="1">VLOOKUP($Q1894,'TA database'!$I$86:$J$105,2,FALSE)</f>
        <v>80</v>
      </c>
      <c r="V1894">
        <f ca="1">VLOOKUP($R1894,'TA database'!$I$112:$J$139,2,FALSE)</f>
        <v>40</v>
      </c>
      <c r="W1894">
        <f ca="1">IFERROR(VLOOKUP($S1894,'TA database'!$I$146:$J$193,2,FALSE),0)</f>
        <v>100</v>
      </c>
      <c r="X1894">
        <f>IFERROR(VLOOKUP($S1894,'TA database'!$I$200:$J$271,2,FALSE),0)</f>
        <v>0</v>
      </c>
      <c r="Y1894">
        <f t="shared" ca="1" si="5962"/>
        <v>80</v>
      </c>
      <c r="Z1894" t="str">
        <f t="shared" si="5972"/>
        <v>ELCTRLYZ_LRG_C   →   C_GAS_STRG   →   LQ_TRUCK   →   H2_FC_DCHP_HEAT</v>
      </c>
      <c r="AA1894" t="str">
        <f t="shared" si="5973"/>
        <v>Building heat</v>
      </c>
      <c r="AB1894" t="str">
        <f t="shared" si="5974"/>
        <v>Regulatory coverage</v>
      </c>
      <c r="AC1894">
        <f t="shared" ca="1" si="5975"/>
        <v>80</v>
      </c>
      <c r="AD1894">
        <v>1835</v>
      </c>
      <c r="AE1894" t="str">
        <f>IF(AND(ISNUMBER(SEARCH(O1894,4)),ISNUMBER(SEARCH('(4) FCH pathway assessment'!$B$16,AB1894)),ISNUMBER(SEARCH('(4) FCH pathway assessment'!$B$10,AA1894))),AD1894,"")</f>
        <v/>
      </c>
      <c r="AF1894" t="str">
        <f t="shared" si="5807"/>
        <v/>
      </c>
      <c r="AG1894" t="str">
        <f>VLOOKUP(C1894,Assumptions!$B$116:$C$162,2,FALSE)</f>
        <v>ELCTRLYZ_LRG_C</v>
      </c>
      <c r="AH1894" t="str">
        <f>VLOOKUP(D1894,Assumptions!$B$116:$C$162,2,FALSE)</f>
        <v>C_GAS_STRG</v>
      </c>
      <c r="AI1894" t="str">
        <f>VLOOKUP(E1894,Assumptions!$B$116:$C$162,2,FALSE)</f>
        <v>LQ_TRUCK</v>
      </c>
      <c r="AJ1894" t="str">
        <f>VLOOKUP(F1894,Assumptions!$B$116:$C$162,2,FALSE)</f>
        <v>H2_FC_DCHP_HEAT</v>
      </c>
    </row>
    <row r="1895" spans="2:36" x14ac:dyDescent="0.25">
      <c r="B1895" t="s">
        <v>112</v>
      </c>
      <c r="C1895" t="s">
        <v>49</v>
      </c>
      <c r="D1895" t="s">
        <v>155</v>
      </c>
      <c r="E1895" t="s">
        <v>66</v>
      </c>
      <c r="F1895" t="s">
        <v>552</v>
      </c>
      <c r="G1895" t="s">
        <v>132</v>
      </c>
      <c r="H1895" t="s">
        <v>434</v>
      </c>
      <c r="I1895" t="s">
        <v>32</v>
      </c>
      <c r="J1895" t="s">
        <v>534</v>
      </c>
      <c r="K1895">
        <f t="shared" si="5963"/>
        <v>1</v>
      </c>
      <c r="L1895">
        <f t="shared" si="5964"/>
        <v>1</v>
      </c>
      <c r="M1895">
        <f t="shared" si="5965"/>
        <v>1</v>
      </c>
      <c r="N1895">
        <f t="shared" si="5966"/>
        <v>1</v>
      </c>
      <c r="O1895">
        <f t="shared" si="5967"/>
        <v>4</v>
      </c>
      <c r="P1895" t="str">
        <f t="shared" si="5968"/>
        <v>Large centralized electrolysis-Regulatory coverage</v>
      </c>
      <c r="Q1895" t="str">
        <f t="shared" si="5969"/>
        <v>Central gas storage-Regulatory coverage</v>
      </c>
      <c r="R1895" t="str">
        <f t="shared" si="5970"/>
        <v>Onsite-Regulatory coverage</v>
      </c>
      <c r="S1895" t="str">
        <f t="shared" si="5971"/>
        <v>District-CHP with H2 fuel cell (heat)-Regulatory coverage</v>
      </c>
      <c r="T1895">
        <f ca="1">VLOOKUP($P1895,'TA database'!$I$8:$J$79,2,FALSE)</f>
        <v>100</v>
      </c>
      <c r="U1895">
        <f ca="1">VLOOKUP($Q1895,'TA database'!$I$86:$J$105,2,FALSE)</f>
        <v>80</v>
      </c>
      <c r="V1895">
        <f ca="1">VLOOKUP($R1895,'TA database'!$I$112:$J$139,2,FALSE)</f>
        <v>100</v>
      </c>
      <c r="W1895">
        <f ca="1">IFERROR(VLOOKUP($S1895,'TA database'!$I$146:$J$193,2,FALSE),0)</f>
        <v>100</v>
      </c>
      <c r="X1895">
        <f>IFERROR(VLOOKUP($S1895,'TA database'!$I$200:$J$271,2,FALSE),0)</f>
        <v>0</v>
      </c>
      <c r="Y1895">
        <f t="shared" ca="1" si="5962"/>
        <v>95</v>
      </c>
      <c r="Z1895" t="str">
        <f t="shared" si="5972"/>
        <v>ELCTRLYZ_LRG_C   →   C_GAS_STRG   →   ONSITE_USE   →   H2_FC_DCHP_HEAT</v>
      </c>
      <c r="AA1895" t="str">
        <f t="shared" si="5973"/>
        <v>Building heat</v>
      </c>
      <c r="AB1895" t="str">
        <f t="shared" si="5974"/>
        <v>Regulatory coverage</v>
      </c>
      <c r="AC1895">
        <f t="shared" ca="1" si="5975"/>
        <v>95</v>
      </c>
      <c r="AD1895">
        <v>1836</v>
      </c>
      <c r="AE1895" t="str">
        <f>IF(AND(ISNUMBER(SEARCH(O1895,4)),ISNUMBER(SEARCH('(4) FCH pathway assessment'!$B$16,AB1895)),ISNUMBER(SEARCH('(4) FCH pathway assessment'!$B$10,AA1895))),AD1895,"")</f>
        <v/>
      </c>
      <c r="AF1895" t="str">
        <f t="shared" si="5807"/>
        <v/>
      </c>
      <c r="AG1895" t="str">
        <f>VLOOKUP(C1895,Assumptions!$B$116:$C$162,2,FALSE)</f>
        <v>ELCTRLYZ_LRG_C</v>
      </c>
      <c r="AH1895" t="str">
        <f>VLOOKUP(D1895,Assumptions!$B$116:$C$162,2,FALSE)</f>
        <v>C_GAS_STRG</v>
      </c>
      <c r="AI1895" t="str">
        <f>VLOOKUP(E1895,Assumptions!$B$116:$C$162,2,FALSE)</f>
        <v>ONSITE_USE</v>
      </c>
      <c r="AJ1895" t="str">
        <f>VLOOKUP(F1895,Assumptions!$B$116:$C$162,2,FALSE)</f>
        <v>H2_FC_DCHP_HEAT</v>
      </c>
    </row>
    <row r="1896" spans="2:36" x14ac:dyDescent="0.25">
      <c r="B1896" t="s">
        <v>112</v>
      </c>
      <c r="C1896" t="s">
        <v>51</v>
      </c>
      <c r="D1896" t="s">
        <v>155</v>
      </c>
      <c r="E1896" t="s">
        <v>157</v>
      </c>
      <c r="F1896" t="s">
        <v>552</v>
      </c>
      <c r="G1896" t="s">
        <v>132</v>
      </c>
      <c r="H1896" t="s">
        <v>434</v>
      </c>
      <c r="I1896" t="s">
        <v>32</v>
      </c>
      <c r="J1896" t="s">
        <v>534</v>
      </c>
      <c r="K1896">
        <f t="shared" si="5963"/>
        <v>1</v>
      </c>
      <c r="L1896">
        <f t="shared" si="5964"/>
        <v>1</v>
      </c>
      <c r="M1896">
        <f t="shared" si="5965"/>
        <v>0</v>
      </c>
      <c r="N1896">
        <f t="shared" si="5966"/>
        <v>1</v>
      </c>
      <c r="O1896">
        <f t="shared" si="5967"/>
        <v>3</v>
      </c>
      <c r="P1896" t="str">
        <f t="shared" si="5968"/>
        <v>Medium centralized electrolysis-Regulatory coverage</v>
      </c>
      <c r="Q1896" t="str">
        <f t="shared" si="5969"/>
        <v>Central gas storage-Regulatory coverage</v>
      </c>
      <c r="R1896" t="str">
        <f t="shared" si="5970"/>
        <v>Blending in natural gas pipeline-Regulatory coverage</v>
      </c>
      <c r="S1896" t="str">
        <f t="shared" si="5971"/>
        <v>District-CHP with H2 fuel cell (heat)-Regulatory coverage</v>
      </c>
      <c r="T1896">
        <f ca="1">VLOOKUP($P1896,'TA database'!$I$8:$J$79,2,FALSE)</f>
        <v>100</v>
      </c>
      <c r="U1896">
        <f ca="1">VLOOKUP($Q1896,'TA database'!$I$86:$J$105,2,FALSE)</f>
        <v>80</v>
      </c>
      <c r="V1896">
        <f ca="1">VLOOKUP($R1896,'TA database'!$I$112:$J$139,2,FALSE)</f>
        <v>100</v>
      </c>
      <c r="W1896">
        <f ca="1">IFERROR(VLOOKUP($S1896,'TA database'!$I$146:$J$193,2,FALSE),0)</f>
        <v>100</v>
      </c>
      <c r="X1896">
        <f>IFERROR(VLOOKUP($S1896,'TA database'!$I$200:$J$271,2,FALSE),0)</f>
        <v>0</v>
      </c>
      <c r="Y1896">
        <f t="shared" ca="1" si="5962"/>
        <v>95</v>
      </c>
      <c r="Z1896" t="str">
        <f t="shared" si="5972"/>
        <v>ELCTRLYZ_MED_C   →   C_GAS_STRG   →   H2_BLND_NG_P   →   H2_FC_DCHP_HEAT</v>
      </c>
      <c r="AA1896" t="str">
        <f t="shared" si="5973"/>
        <v>Building heat</v>
      </c>
      <c r="AB1896" t="str">
        <f t="shared" si="5974"/>
        <v>Regulatory coverage</v>
      </c>
      <c r="AC1896">
        <f t="shared" ca="1" si="5975"/>
        <v>95</v>
      </c>
      <c r="AD1896">
        <v>1837</v>
      </c>
      <c r="AE1896" t="str">
        <f>IF(AND(ISNUMBER(SEARCH(O1896,4)),ISNUMBER(SEARCH('(4) FCH pathway assessment'!$B$16,AB1896)),ISNUMBER(SEARCH('(4) FCH pathway assessment'!$B$10,AA1896))),AD1896,"")</f>
        <v/>
      </c>
      <c r="AF1896" t="str">
        <f t="shared" si="5807"/>
        <v/>
      </c>
      <c r="AG1896" t="str">
        <f>VLOOKUP(C1896,Assumptions!$B$116:$C$162,2,FALSE)</f>
        <v>ELCTRLYZ_MED_C</v>
      </c>
      <c r="AH1896" t="str">
        <f>VLOOKUP(D1896,Assumptions!$B$116:$C$162,2,FALSE)</f>
        <v>C_GAS_STRG</v>
      </c>
      <c r="AI1896" t="str">
        <f>VLOOKUP(E1896,Assumptions!$B$116:$C$162,2,FALSE)</f>
        <v>H2_BLND_NG_P</v>
      </c>
      <c r="AJ1896" t="str">
        <f>VLOOKUP(F1896,Assumptions!$B$116:$C$162,2,FALSE)</f>
        <v>H2_FC_DCHP_HEAT</v>
      </c>
    </row>
    <row r="1897" spans="2:36" x14ac:dyDescent="0.25">
      <c r="B1897" t="s">
        <v>112</v>
      </c>
      <c r="C1897" t="s">
        <v>51</v>
      </c>
      <c r="D1897" t="s">
        <v>155</v>
      </c>
      <c r="E1897" t="s">
        <v>122</v>
      </c>
      <c r="F1897" t="s">
        <v>552</v>
      </c>
      <c r="G1897" t="s">
        <v>132</v>
      </c>
      <c r="H1897" t="s">
        <v>434</v>
      </c>
      <c r="I1897" t="s">
        <v>32</v>
      </c>
      <c r="J1897" t="s">
        <v>534</v>
      </c>
      <c r="K1897">
        <f t="shared" si="5963"/>
        <v>1</v>
      </c>
      <c r="L1897">
        <f t="shared" si="5964"/>
        <v>1</v>
      </c>
      <c r="M1897">
        <f t="shared" si="5965"/>
        <v>1</v>
      </c>
      <c r="N1897">
        <f t="shared" si="5966"/>
        <v>1</v>
      </c>
      <c r="O1897">
        <f t="shared" si="5967"/>
        <v>4</v>
      </c>
      <c r="P1897" t="str">
        <f t="shared" si="5968"/>
        <v>Medium centralized electrolysis-Regulatory coverage</v>
      </c>
      <c r="Q1897" t="str">
        <f t="shared" si="5969"/>
        <v>Central gas storage-Regulatory coverage</v>
      </c>
      <c r="R1897" t="str">
        <f t="shared" si="5970"/>
        <v>Hydrogen transmission &amp; distribution pipeline-Regulatory coverage</v>
      </c>
      <c r="S1897" t="str">
        <f t="shared" si="5971"/>
        <v>District-CHP with H2 fuel cell (heat)-Regulatory coverage</v>
      </c>
      <c r="T1897">
        <f ca="1">VLOOKUP($P1897,'TA database'!$I$8:$J$79,2,FALSE)</f>
        <v>100</v>
      </c>
      <c r="U1897">
        <f ca="1">VLOOKUP($Q1897,'TA database'!$I$86:$J$105,2,FALSE)</f>
        <v>80</v>
      </c>
      <c r="V1897">
        <f ca="1">VLOOKUP($R1897,'TA database'!$I$112:$J$139,2,FALSE)</f>
        <v>40</v>
      </c>
      <c r="W1897">
        <f ca="1">IFERROR(VLOOKUP($S1897,'TA database'!$I$146:$J$193,2,FALSE),0)</f>
        <v>100</v>
      </c>
      <c r="X1897">
        <f>IFERROR(VLOOKUP($S1897,'TA database'!$I$200:$J$271,2,FALSE),0)</f>
        <v>0</v>
      </c>
      <c r="Y1897">
        <f t="shared" ca="1" si="5962"/>
        <v>80</v>
      </c>
      <c r="Z1897" t="str">
        <f t="shared" si="5972"/>
        <v>ELCTRLYZ_MED_C   →   C_GAS_STRG   →   H2_T&amp;D_P   →   H2_FC_DCHP_HEAT</v>
      </c>
      <c r="AA1897" t="str">
        <f t="shared" si="5973"/>
        <v>Building heat</v>
      </c>
      <c r="AB1897" t="str">
        <f t="shared" si="5974"/>
        <v>Regulatory coverage</v>
      </c>
      <c r="AC1897">
        <f t="shared" ca="1" si="5975"/>
        <v>80</v>
      </c>
      <c r="AD1897">
        <v>1838</v>
      </c>
      <c r="AE1897" t="str">
        <f>IF(AND(ISNUMBER(SEARCH(O1897,4)),ISNUMBER(SEARCH('(4) FCH pathway assessment'!$B$16,AB1897)),ISNUMBER(SEARCH('(4) FCH pathway assessment'!$B$10,AA1897))),AD1897,"")</f>
        <v/>
      </c>
      <c r="AF1897" t="str">
        <f t="shared" si="5807"/>
        <v/>
      </c>
      <c r="AG1897" t="str">
        <f>VLOOKUP(C1897,Assumptions!$B$116:$C$162,2,FALSE)</f>
        <v>ELCTRLYZ_MED_C</v>
      </c>
      <c r="AH1897" t="str">
        <f>VLOOKUP(D1897,Assumptions!$B$116:$C$162,2,FALSE)</f>
        <v>C_GAS_STRG</v>
      </c>
      <c r="AI1897" t="str">
        <f>VLOOKUP(E1897,Assumptions!$B$116:$C$162,2,FALSE)</f>
        <v>H2_T&amp;D_P</v>
      </c>
      <c r="AJ1897" t="str">
        <f>VLOOKUP(F1897,Assumptions!$B$116:$C$162,2,FALSE)</f>
        <v>H2_FC_DCHP_HEAT</v>
      </c>
    </row>
    <row r="1898" spans="2:36" x14ac:dyDescent="0.25">
      <c r="B1898" t="s">
        <v>112</v>
      </c>
      <c r="C1898" t="s">
        <v>51</v>
      </c>
      <c r="D1898" t="s">
        <v>155</v>
      </c>
      <c r="E1898" t="s">
        <v>116</v>
      </c>
      <c r="F1898" t="s">
        <v>552</v>
      </c>
      <c r="G1898" t="s">
        <v>132</v>
      </c>
      <c r="H1898" t="s">
        <v>434</v>
      </c>
      <c r="I1898" t="s">
        <v>32</v>
      </c>
      <c r="J1898" t="s">
        <v>534</v>
      </c>
      <c r="K1898">
        <f t="shared" si="5963"/>
        <v>1</v>
      </c>
      <c r="L1898">
        <f t="shared" si="5964"/>
        <v>1</v>
      </c>
      <c r="M1898">
        <f t="shared" si="5965"/>
        <v>1</v>
      </c>
      <c r="N1898">
        <f t="shared" si="5966"/>
        <v>1</v>
      </c>
      <c r="O1898">
        <f t="shared" si="5967"/>
        <v>4</v>
      </c>
      <c r="P1898" t="str">
        <f t="shared" si="5968"/>
        <v>Medium centralized electrolysis-Regulatory coverage</v>
      </c>
      <c r="Q1898" t="str">
        <f t="shared" si="5969"/>
        <v>Central gas storage-Regulatory coverage</v>
      </c>
      <c r="R1898" t="str">
        <f t="shared" si="5970"/>
        <v>Liquid hydrogen truck-Regulatory coverage</v>
      </c>
      <c r="S1898" t="str">
        <f t="shared" si="5971"/>
        <v>District-CHP with H2 fuel cell (heat)-Regulatory coverage</v>
      </c>
      <c r="T1898">
        <f ca="1">VLOOKUP($P1898,'TA database'!$I$8:$J$79,2,FALSE)</f>
        <v>100</v>
      </c>
      <c r="U1898">
        <f ca="1">VLOOKUP($Q1898,'TA database'!$I$86:$J$105,2,FALSE)</f>
        <v>80</v>
      </c>
      <c r="V1898">
        <f ca="1">VLOOKUP($R1898,'TA database'!$I$112:$J$139,2,FALSE)</f>
        <v>40</v>
      </c>
      <c r="W1898">
        <f ca="1">IFERROR(VLOOKUP($S1898,'TA database'!$I$146:$J$193,2,FALSE),0)</f>
        <v>100</v>
      </c>
      <c r="X1898">
        <f>IFERROR(VLOOKUP($S1898,'TA database'!$I$200:$J$271,2,FALSE),0)</f>
        <v>0</v>
      </c>
      <c r="Y1898">
        <f t="shared" ca="1" si="5962"/>
        <v>80</v>
      </c>
      <c r="Z1898" t="str">
        <f t="shared" si="5972"/>
        <v>ELCTRLYZ_MED_C   →   C_GAS_STRG   →   LQ_TRUCK   →   H2_FC_DCHP_HEAT</v>
      </c>
      <c r="AA1898" t="str">
        <f t="shared" si="5973"/>
        <v>Building heat</v>
      </c>
      <c r="AB1898" t="str">
        <f t="shared" si="5974"/>
        <v>Regulatory coverage</v>
      </c>
      <c r="AC1898">
        <f t="shared" ca="1" si="5975"/>
        <v>80</v>
      </c>
      <c r="AD1898">
        <v>1839</v>
      </c>
      <c r="AE1898" t="str">
        <f>IF(AND(ISNUMBER(SEARCH(O1898,4)),ISNUMBER(SEARCH('(4) FCH pathway assessment'!$B$16,AB1898)),ISNUMBER(SEARCH('(4) FCH pathway assessment'!$B$10,AA1898))),AD1898,"")</f>
        <v/>
      </c>
      <c r="AF1898" t="str">
        <f t="shared" si="5807"/>
        <v/>
      </c>
      <c r="AG1898" t="str">
        <f>VLOOKUP(C1898,Assumptions!$B$116:$C$162,2,FALSE)</f>
        <v>ELCTRLYZ_MED_C</v>
      </c>
      <c r="AH1898" t="str">
        <f>VLOOKUP(D1898,Assumptions!$B$116:$C$162,2,FALSE)</f>
        <v>C_GAS_STRG</v>
      </c>
      <c r="AI1898" t="str">
        <f>VLOOKUP(E1898,Assumptions!$B$116:$C$162,2,FALSE)</f>
        <v>LQ_TRUCK</v>
      </c>
      <c r="AJ1898" t="str">
        <f>VLOOKUP(F1898,Assumptions!$B$116:$C$162,2,FALSE)</f>
        <v>H2_FC_DCHP_HEAT</v>
      </c>
    </row>
    <row r="1899" spans="2:36" x14ac:dyDescent="0.25">
      <c r="B1899" t="s">
        <v>112</v>
      </c>
      <c r="C1899" t="s">
        <v>51</v>
      </c>
      <c r="D1899" t="s">
        <v>155</v>
      </c>
      <c r="E1899" t="s">
        <v>66</v>
      </c>
      <c r="F1899" t="s">
        <v>552</v>
      </c>
      <c r="G1899" t="s">
        <v>132</v>
      </c>
      <c r="H1899" t="s">
        <v>434</v>
      </c>
      <c r="I1899" t="s">
        <v>32</v>
      </c>
      <c r="J1899" t="s">
        <v>534</v>
      </c>
      <c r="K1899">
        <f t="shared" si="5963"/>
        <v>1</v>
      </c>
      <c r="L1899">
        <f t="shared" si="5964"/>
        <v>1</v>
      </c>
      <c r="M1899">
        <f t="shared" si="5965"/>
        <v>1</v>
      </c>
      <c r="N1899">
        <f t="shared" si="5966"/>
        <v>1</v>
      </c>
      <c r="O1899">
        <f t="shared" si="5967"/>
        <v>4</v>
      </c>
      <c r="P1899" t="str">
        <f t="shared" si="5968"/>
        <v>Medium centralized electrolysis-Regulatory coverage</v>
      </c>
      <c r="Q1899" t="str">
        <f t="shared" si="5969"/>
        <v>Central gas storage-Regulatory coverage</v>
      </c>
      <c r="R1899" t="str">
        <f t="shared" si="5970"/>
        <v>Onsite-Regulatory coverage</v>
      </c>
      <c r="S1899" t="str">
        <f t="shared" si="5971"/>
        <v>District-CHP with H2 fuel cell (heat)-Regulatory coverage</v>
      </c>
      <c r="T1899">
        <f ca="1">VLOOKUP($P1899,'TA database'!$I$8:$J$79,2,FALSE)</f>
        <v>100</v>
      </c>
      <c r="U1899">
        <f ca="1">VLOOKUP($Q1899,'TA database'!$I$86:$J$105,2,FALSE)</f>
        <v>80</v>
      </c>
      <c r="V1899">
        <f ca="1">VLOOKUP($R1899,'TA database'!$I$112:$J$139,2,FALSE)</f>
        <v>100</v>
      </c>
      <c r="W1899">
        <f ca="1">IFERROR(VLOOKUP($S1899,'TA database'!$I$146:$J$193,2,FALSE),0)</f>
        <v>100</v>
      </c>
      <c r="X1899">
        <f>IFERROR(VLOOKUP($S1899,'TA database'!$I$200:$J$271,2,FALSE),0)</f>
        <v>0</v>
      </c>
      <c r="Y1899">
        <f t="shared" ca="1" si="5962"/>
        <v>95</v>
      </c>
      <c r="Z1899" t="str">
        <f t="shared" si="5972"/>
        <v>ELCTRLYZ_MED_C   →   C_GAS_STRG   →   ONSITE_USE   →   H2_FC_DCHP_HEAT</v>
      </c>
      <c r="AA1899" t="str">
        <f t="shared" si="5973"/>
        <v>Building heat</v>
      </c>
      <c r="AB1899" t="str">
        <f t="shared" si="5974"/>
        <v>Regulatory coverage</v>
      </c>
      <c r="AC1899">
        <f t="shared" ca="1" si="5975"/>
        <v>95</v>
      </c>
      <c r="AD1899">
        <v>1840</v>
      </c>
      <c r="AE1899" t="str">
        <f>IF(AND(ISNUMBER(SEARCH(O1899,4)),ISNUMBER(SEARCH('(4) FCH pathway assessment'!$B$16,AB1899)),ISNUMBER(SEARCH('(4) FCH pathway assessment'!$B$10,AA1899))),AD1899,"")</f>
        <v/>
      </c>
      <c r="AF1899" t="str">
        <f t="shared" si="5807"/>
        <v/>
      </c>
      <c r="AG1899" t="str">
        <f>VLOOKUP(C1899,Assumptions!$B$116:$C$162,2,FALSE)</f>
        <v>ELCTRLYZ_MED_C</v>
      </c>
      <c r="AH1899" t="str">
        <f>VLOOKUP(D1899,Assumptions!$B$116:$C$162,2,FALSE)</f>
        <v>C_GAS_STRG</v>
      </c>
      <c r="AI1899" t="str">
        <f>VLOOKUP(E1899,Assumptions!$B$116:$C$162,2,FALSE)</f>
        <v>ONSITE_USE</v>
      </c>
      <c r="AJ1899" t="str">
        <f>VLOOKUP(F1899,Assumptions!$B$116:$C$162,2,FALSE)</f>
        <v>H2_FC_DCHP_HEAT</v>
      </c>
    </row>
    <row r="1900" spans="2:36" x14ac:dyDescent="0.25">
      <c r="B1900" t="s">
        <v>112</v>
      </c>
      <c r="C1900" t="s">
        <v>52</v>
      </c>
      <c r="D1900" s="60" t="s">
        <v>130</v>
      </c>
      <c r="E1900" t="s">
        <v>66</v>
      </c>
      <c r="F1900" t="s">
        <v>552</v>
      </c>
      <c r="G1900" t="s">
        <v>132</v>
      </c>
      <c r="H1900" t="s">
        <v>434</v>
      </c>
      <c r="I1900" t="s">
        <v>32</v>
      </c>
      <c r="J1900" t="s">
        <v>534</v>
      </c>
      <c r="K1900">
        <f t="shared" ref="K1900:K1904" si="5976">SUMPRODUCT(($C$7:$C$18=$C1900)*($D$6:$H$6=$D1900)*($D$7:$H$18))</f>
        <v>1</v>
      </c>
      <c r="L1900">
        <f t="shared" ref="L1900:L1904" si="5977">SUMPRODUCT(($C$19:$C$23=$D1900)*($I$6:$O$6=$E1900)*($I$19:$O$23))</f>
        <v>1</v>
      </c>
      <c r="M1900">
        <f t="shared" ref="M1900:M1904" si="5978">SUMPRODUCT(($C$24:$C$30=$E1900)*($P$6:$AI$6=$F1900)*($P$24:$AI$30))</f>
        <v>1</v>
      </c>
      <c r="N1900">
        <f t="shared" ref="N1900:N1904" si="5979">SUMPRODUCT(($C$31:$C$50=$F1900)*($AJ$6:$AM$6=$G1900)*($AJ$31:$AM$50))</f>
        <v>1</v>
      </c>
      <c r="O1900">
        <f t="shared" ref="O1900:O1904" si="5980">K1900+L1900+M1900+N1900</f>
        <v>4</v>
      </c>
      <c r="P1900" t="str">
        <f t="shared" ref="P1900:P1904" si="5981">CONCATENATE(C1900,"-",J1900)</f>
        <v>Small decentralized electrolysis-Regulatory coverage</v>
      </c>
      <c r="Q1900" t="str">
        <f t="shared" ref="Q1900:Q1904" si="5982">CONCATENATE(D1900,"-",J1900)</f>
        <v>Distributed gas storage-Regulatory coverage</v>
      </c>
      <c r="R1900" t="str">
        <f t="shared" ref="R1900:R1904" si="5983">CONCATENATE(E1900,"-",J1900)</f>
        <v>Onsite-Regulatory coverage</v>
      </c>
      <c r="S1900" t="str">
        <f t="shared" ref="S1900:S1904" si="5984">CONCATENATE(F1900,"-",J1900)</f>
        <v>District-CHP with H2 fuel cell (heat)-Regulatory coverage</v>
      </c>
      <c r="T1900">
        <f ca="1">VLOOKUP($P1900,'TA database'!$I$8:$J$79,2,FALSE)</f>
        <v>100</v>
      </c>
      <c r="U1900">
        <f ca="1">VLOOKUP($Q1900,'TA database'!$I$86:$J$105,2,FALSE)</f>
        <v>100</v>
      </c>
      <c r="V1900">
        <f ca="1">VLOOKUP($R1900,'TA database'!$I$112:$J$139,2,FALSE)</f>
        <v>100</v>
      </c>
      <c r="W1900">
        <f ca="1">IFERROR(VLOOKUP($S1900,'TA database'!$I$146:$J$193,2,FALSE),0)</f>
        <v>100</v>
      </c>
      <c r="X1900">
        <f>IFERROR(VLOOKUP($S1900,'TA database'!$I$200:$J$271,2,FALSE),0)</f>
        <v>0</v>
      </c>
      <c r="Y1900">
        <f t="shared" ref="Y1900:Y1904" ca="1" si="5985">IF($W1900=0,SUM($T1900:$V1900,$X1900)/4,SUM($T1900:$W1900)/4)</f>
        <v>100</v>
      </c>
      <c r="Z1900" t="str">
        <f t="shared" ref="Z1900:Z1904" si="5986">CONCATENATE(AG1900,"   →   ",AH1900,"   →   ",AI1900,"   →   ",AJ1900)</f>
        <v>ELCTRLYZ_SML_D   →   D_GAS_STRG   →   ONSITE_USE   →   H2_FC_DCHP_HEAT</v>
      </c>
      <c r="AA1900" t="str">
        <f t="shared" ref="AA1900:AA1904" si="5987">G1900</f>
        <v>Building heat</v>
      </c>
      <c r="AB1900" t="str">
        <f t="shared" ref="AB1900:AB1904" si="5988">J1900</f>
        <v>Regulatory coverage</v>
      </c>
      <c r="AC1900">
        <f t="shared" ref="AC1900:AC1904" ca="1" si="5989">Y1900</f>
        <v>100</v>
      </c>
      <c r="AD1900">
        <v>1841</v>
      </c>
      <c r="AE1900" t="str">
        <f>IF(AND(ISNUMBER(SEARCH(O1900,4)),ISNUMBER(SEARCH('(4) FCH pathway assessment'!$B$16,AB1900)),ISNUMBER(SEARCH('(4) FCH pathway assessment'!$B$10,AA1900))),AD1900,"")</f>
        <v/>
      </c>
      <c r="AF1900" t="str">
        <f t="shared" si="5807"/>
        <v/>
      </c>
      <c r="AG1900" t="str">
        <f>VLOOKUP(C1900,Assumptions!$B$116:$C$162,2,FALSE)</f>
        <v>ELCTRLYZ_SML_D</v>
      </c>
      <c r="AH1900" t="str">
        <f>VLOOKUP(D1900,Assumptions!$B$116:$C$162,2,FALSE)</f>
        <v>D_GAS_STRG</v>
      </c>
      <c r="AI1900" t="str">
        <f>VLOOKUP(E1900,Assumptions!$B$116:$C$162,2,FALSE)</f>
        <v>ONSITE_USE</v>
      </c>
      <c r="AJ1900" t="str">
        <f>VLOOKUP(F1900,Assumptions!$B$116:$C$162,2,FALSE)</f>
        <v>H2_FC_DCHP_HEAT</v>
      </c>
    </row>
    <row r="1901" spans="2:36" x14ac:dyDescent="0.25">
      <c r="B1901" t="s">
        <v>127</v>
      </c>
      <c r="C1901" t="s">
        <v>57</v>
      </c>
      <c r="D1901" t="s">
        <v>62</v>
      </c>
      <c r="E1901" t="s">
        <v>157</v>
      </c>
      <c r="F1901" t="s">
        <v>552</v>
      </c>
      <c r="G1901" t="s">
        <v>132</v>
      </c>
      <c r="H1901" t="s">
        <v>434</v>
      </c>
      <c r="I1901" t="s">
        <v>32</v>
      </c>
      <c r="J1901" t="s">
        <v>534</v>
      </c>
      <c r="K1901">
        <f t="shared" si="5976"/>
        <v>1</v>
      </c>
      <c r="L1901">
        <f t="shared" si="5977"/>
        <v>0</v>
      </c>
      <c r="M1901">
        <f t="shared" si="5978"/>
        <v>0</v>
      </c>
      <c r="N1901">
        <f t="shared" si="5979"/>
        <v>1</v>
      </c>
      <c r="O1901">
        <f t="shared" si="5980"/>
        <v>2</v>
      </c>
      <c r="P1901" t="str">
        <f t="shared" si="5981"/>
        <v>Large centralized natural gas steam reforming-Regulatory coverage</v>
      </c>
      <c r="Q1901" t="str">
        <f t="shared" si="5982"/>
        <v>Underground storage-Regulatory coverage</v>
      </c>
      <c r="R1901" t="str">
        <f t="shared" si="5983"/>
        <v>Blending in natural gas pipeline-Regulatory coverage</v>
      </c>
      <c r="S1901" t="str">
        <f t="shared" si="5984"/>
        <v>District-CHP with H2 fuel cell (heat)-Regulatory coverage</v>
      </c>
      <c r="T1901">
        <f ca="1">VLOOKUP($P1901,'TA database'!$I$8:$J$79,2,FALSE)</f>
        <v>100</v>
      </c>
      <c r="U1901">
        <f ca="1">VLOOKUP($Q1901,'TA database'!$I$86:$J$105,2,FALSE)</f>
        <v>0</v>
      </c>
      <c r="V1901">
        <f ca="1">VLOOKUP($R1901,'TA database'!$I$112:$J$139,2,FALSE)</f>
        <v>100</v>
      </c>
      <c r="W1901">
        <f ca="1">IFERROR(VLOOKUP($S1901,'TA database'!$I$146:$J$193,2,FALSE),0)</f>
        <v>100</v>
      </c>
      <c r="X1901">
        <f>IFERROR(VLOOKUP($S1901,'TA database'!$I$200:$J$271,2,FALSE),0)</f>
        <v>0</v>
      </c>
      <c r="Y1901">
        <f t="shared" ca="1" si="5985"/>
        <v>75</v>
      </c>
      <c r="Z1901" t="str">
        <f t="shared" si="5986"/>
        <v>NG_SR_LRG_C   →   C_UNDRGRND_STRG   →   H2_BLND_NG_P   →   H2_FC_DCHP_HEAT</v>
      </c>
      <c r="AA1901" t="str">
        <f t="shared" si="5987"/>
        <v>Building heat</v>
      </c>
      <c r="AB1901" t="str">
        <f t="shared" si="5988"/>
        <v>Regulatory coverage</v>
      </c>
      <c r="AC1901">
        <f t="shared" ca="1" si="5989"/>
        <v>75</v>
      </c>
      <c r="AD1901">
        <v>1842</v>
      </c>
      <c r="AE1901" t="str">
        <f>IF(AND(ISNUMBER(SEARCH(O1901,4)),ISNUMBER(SEARCH('(4) FCH pathway assessment'!$B$16,AB1901)),ISNUMBER(SEARCH('(4) FCH pathway assessment'!$B$10,AA1901))),AD1901,"")</f>
        <v/>
      </c>
      <c r="AF1901" t="str">
        <f t="shared" si="5807"/>
        <v/>
      </c>
      <c r="AG1901" t="str">
        <f>VLOOKUP(C1901,Assumptions!$B$116:$C$162,2,FALSE)</f>
        <v>NG_SR_LRG_C</v>
      </c>
      <c r="AH1901" t="str">
        <f>VLOOKUP(D1901,Assumptions!$B$116:$C$162,2,FALSE)</f>
        <v>C_UNDRGRND_STRG</v>
      </c>
      <c r="AI1901" t="str">
        <f>VLOOKUP(E1901,Assumptions!$B$116:$C$162,2,FALSE)</f>
        <v>H2_BLND_NG_P</v>
      </c>
      <c r="AJ1901" t="str">
        <f>VLOOKUP(F1901,Assumptions!$B$116:$C$162,2,FALSE)</f>
        <v>H2_FC_DCHP_HEAT</v>
      </c>
    </row>
    <row r="1902" spans="2:36" x14ac:dyDescent="0.25">
      <c r="B1902" t="s">
        <v>127</v>
      </c>
      <c r="C1902" t="s">
        <v>57</v>
      </c>
      <c r="D1902" t="s">
        <v>62</v>
      </c>
      <c r="E1902" t="s">
        <v>122</v>
      </c>
      <c r="F1902" t="s">
        <v>552</v>
      </c>
      <c r="G1902" t="s">
        <v>132</v>
      </c>
      <c r="H1902" t="s">
        <v>434</v>
      </c>
      <c r="I1902" t="s">
        <v>32</v>
      </c>
      <c r="J1902" t="s">
        <v>534</v>
      </c>
      <c r="K1902">
        <f t="shared" si="5976"/>
        <v>1</v>
      </c>
      <c r="L1902">
        <f t="shared" si="5977"/>
        <v>0</v>
      </c>
      <c r="M1902">
        <f t="shared" si="5978"/>
        <v>1</v>
      </c>
      <c r="N1902">
        <f t="shared" si="5979"/>
        <v>1</v>
      </c>
      <c r="O1902">
        <f t="shared" si="5980"/>
        <v>3</v>
      </c>
      <c r="P1902" t="str">
        <f t="shared" si="5981"/>
        <v>Large centralized natural gas steam reforming-Regulatory coverage</v>
      </c>
      <c r="Q1902" t="str">
        <f t="shared" si="5982"/>
        <v>Underground storage-Regulatory coverage</v>
      </c>
      <c r="R1902" t="str">
        <f t="shared" si="5983"/>
        <v>Hydrogen transmission &amp; distribution pipeline-Regulatory coverage</v>
      </c>
      <c r="S1902" t="str">
        <f t="shared" si="5984"/>
        <v>District-CHP with H2 fuel cell (heat)-Regulatory coverage</v>
      </c>
      <c r="T1902">
        <f ca="1">VLOOKUP($P1902,'TA database'!$I$8:$J$79,2,FALSE)</f>
        <v>100</v>
      </c>
      <c r="U1902">
        <f ca="1">VLOOKUP($Q1902,'TA database'!$I$86:$J$105,2,FALSE)</f>
        <v>0</v>
      </c>
      <c r="V1902">
        <f ca="1">VLOOKUP($R1902,'TA database'!$I$112:$J$139,2,FALSE)</f>
        <v>40</v>
      </c>
      <c r="W1902">
        <f ca="1">IFERROR(VLOOKUP($S1902,'TA database'!$I$146:$J$193,2,FALSE),0)</f>
        <v>100</v>
      </c>
      <c r="X1902">
        <f>IFERROR(VLOOKUP($S1902,'TA database'!$I$200:$J$271,2,FALSE),0)</f>
        <v>0</v>
      </c>
      <c r="Y1902">
        <f t="shared" ca="1" si="5985"/>
        <v>60</v>
      </c>
      <c r="Z1902" t="str">
        <f t="shared" si="5986"/>
        <v>NG_SR_LRG_C   →   C_UNDRGRND_STRG   →   H2_T&amp;D_P   →   H2_FC_DCHP_HEAT</v>
      </c>
      <c r="AA1902" t="str">
        <f t="shared" si="5987"/>
        <v>Building heat</v>
      </c>
      <c r="AB1902" t="str">
        <f t="shared" si="5988"/>
        <v>Regulatory coverage</v>
      </c>
      <c r="AC1902">
        <f t="shared" ca="1" si="5989"/>
        <v>60</v>
      </c>
      <c r="AD1902">
        <v>1843</v>
      </c>
      <c r="AE1902" t="str">
        <f>IF(AND(ISNUMBER(SEARCH(O1902,4)),ISNUMBER(SEARCH('(4) FCH pathway assessment'!$B$16,AB1902)),ISNUMBER(SEARCH('(4) FCH pathway assessment'!$B$10,AA1902))),AD1902,"")</f>
        <v/>
      </c>
      <c r="AF1902" t="str">
        <f t="shared" si="5807"/>
        <v/>
      </c>
      <c r="AG1902" t="str">
        <f>VLOOKUP(C1902,Assumptions!$B$116:$C$162,2,FALSE)</f>
        <v>NG_SR_LRG_C</v>
      </c>
      <c r="AH1902" t="str">
        <f>VLOOKUP(D1902,Assumptions!$B$116:$C$162,2,FALSE)</f>
        <v>C_UNDRGRND_STRG</v>
      </c>
      <c r="AI1902" t="str">
        <f>VLOOKUP(E1902,Assumptions!$B$116:$C$162,2,FALSE)</f>
        <v>H2_T&amp;D_P</v>
      </c>
      <c r="AJ1902" t="str">
        <f>VLOOKUP(F1902,Assumptions!$B$116:$C$162,2,FALSE)</f>
        <v>H2_FC_DCHP_HEAT</v>
      </c>
    </row>
    <row r="1903" spans="2:36" x14ac:dyDescent="0.25">
      <c r="B1903" t="s">
        <v>127</v>
      </c>
      <c r="C1903" t="s">
        <v>57</v>
      </c>
      <c r="D1903" t="s">
        <v>62</v>
      </c>
      <c r="E1903" t="s">
        <v>116</v>
      </c>
      <c r="F1903" t="s">
        <v>552</v>
      </c>
      <c r="G1903" t="s">
        <v>132</v>
      </c>
      <c r="H1903" t="s">
        <v>434</v>
      </c>
      <c r="I1903" t="s">
        <v>32</v>
      </c>
      <c r="J1903" t="s">
        <v>534</v>
      </c>
      <c r="K1903">
        <f t="shared" si="5976"/>
        <v>1</v>
      </c>
      <c r="L1903">
        <f t="shared" si="5977"/>
        <v>0</v>
      </c>
      <c r="M1903">
        <f t="shared" si="5978"/>
        <v>1</v>
      </c>
      <c r="N1903">
        <f t="shared" si="5979"/>
        <v>1</v>
      </c>
      <c r="O1903">
        <f t="shared" si="5980"/>
        <v>3</v>
      </c>
      <c r="P1903" t="str">
        <f t="shared" si="5981"/>
        <v>Large centralized natural gas steam reforming-Regulatory coverage</v>
      </c>
      <c r="Q1903" t="str">
        <f t="shared" si="5982"/>
        <v>Underground storage-Regulatory coverage</v>
      </c>
      <c r="R1903" t="str">
        <f t="shared" si="5983"/>
        <v>Liquid hydrogen truck-Regulatory coverage</v>
      </c>
      <c r="S1903" t="str">
        <f t="shared" si="5984"/>
        <v>District-CHP with H2 fuel cell (heat)-Regulatory coverage</v>
      </c>
      <c r="T1903">
        <f ca="1">VLOOKUP($P1903,'TA database'!$I$8:$J$79,2,FALSE)</f>
        <v>100</v>
      </c>
      <c r="U1903">
        <f ca="1">VLOOKUP($Q1903,'TA database'!$I$86:$J$105,2,FALSE)</f>
        <v>0</v>
      </c>
      <c r="V1903">
        <f ca="1">VLOOKUP($R1903,'TA database'!$I$112:$J$139,2,FALSE)</f>
        <v>40</v>
      </c>
      <c r="W1903">
        <f ca="1">IFERROR(VLOOKUP($S1903,'TA database'!$I$146:$J$193,2,FALSE),0)</f>
        <v>100</v>
      </c>
      <c r="X1903">
        <f>IFERROR(VLOOKUP($S1903,'TA database'!$I$200:$J$271,2,FALSE),0)</f>
        <v>0</v>
      </c>
      <c r="Y1903">
        <f t="shared" ca="1" si="5985"/>
        <v>60</v>
      </c>
      <c r="Z1903" t="str">
        <f t="shared" si="5986"/>
        <v>NG_SR_LRG_C   →   C_UNDRGRND_STRG   →   LQ_TRUCK   →   H2_FC_DCHP_HEAT</v>
      </c>
      <c r="AA1903" t="str">
        <f t="shared" si="5987"/>
        <v>Building heat</v>
      </c>
      <c r="AB1903" t="str">
        <f t="shared" si="5988"/>
        <v>Regulatory coverage</v>
      </c>
      <c r="AC1903">
        <f t="shared" ca="1" si="5989"/>
        <v>60</v>
      </c>
      <c r="AD1903">
        <v>1844</v>
      </c>
      <c r="AE1903" t="str">
        <f>IF(AND(ISNUMBER(SEARCH(O1903,4)),ISNUMBER(SEARCH('(4) FCH pathway assessment'!$B$16,AB1903)),ISNUMBER(SEARCH('(4) FCH pathway assessment'!$B$10,AA1903))),AD1903,"")</f>
        <v/>
      </c>
      <c r="AF1903" t="str">
        <f t="shared" si="5807"/>
        <v/>
      </c>
      <c r="AG1903" t="str">
        <f>VLOOKUP(C1903,Assumptions!$B$116:$C$162,2,FALSE)</f>
        <v>NG_SR_LRG_C</v>
      </c>
      <c r="AH1903" t="str">
        <f>VLOOKUP(D1903,Assumptions!$B$116:$C$162,2,FALSE)</f>
        <v>C_UNDRGRND_STRG</v>
      </c>
      <c r="AI1903" t="str">
        <f>VLOOKUP(E1903,Assumptions!$B$116:$C$162,2,FALSE)</f>
        <v>LQ_TRUCK</v>
      </c>
      <c r="AJ1903" t="str">
        <f>VLOOKUP(F1903,Assumptions!$B$116:$C$162,2,FALSE)</f>
        <v>H2_FC_DCHP_HEAT</v>
      </c>
    </row>
    <row r="1904" spans="2:36" x14ac:dyDescent="0.25">
      <c r="B1904" t="s">
        <v>127</v>
      </c>
      <c r="C1904" t="s">
        <v>57</v>
      </c>
      <c r="D1904" t="s">
        <v>62</v>
      </c>
      <c r="E1904" t="s">
        <v>66</v>
      </c>
      <c r="F1904" t="s">
        <v>552</v>
      </c>
      <c r="G1904" t="s">
        <v>132</v>
      </c>
      <c r="H1904" t="s">
        <v>434</v>
      </c>
      <c r="I1904" t="s">
        <v>32</v>
      </c>
      <c r="J1904" t="s">
        <v>534</v>
      </c>
      <c r="K1904">
        <f t="shared" si="5976"/>
        <v>1</v>
      </c>
      <c r="L1904">
        <f t="shared" si="5977"/>
        <v>0</v>
      </c>
      <c r="M1904">
        <f t="shared" si="5978"/>
        <v>1</v>
      </c>
      <c r="N1904">
        <f t="shared" si="5979"/>
        <v>1</v>
      </c>
      <c r="O1904">
        <f t="shared" si="5980"/>
        <v>3</v>
      </c>
      <c r="P1904" t="str">
        <f t="shared" si="5981"/>
        <v>Large centralized natural gas steam reforming-Regulatory coverage</v>
      </c>
      <c r="Q1904" t="str">
        <f t="shared" si="5982"/>
        <v>Underground storage-Regulatory coverage</v>
      </c>
      <c r="R1904" t="str">
        <f t="shared" si="5983"/>
        <v>Onsite-Regulatory coverage</v>
      </c>
      <c r="S1904" t="str">
        <f t="shared" si="5984"/>
        <v>District-CHP with H2 fuel cell (heat)-Regulatory coverage</v>
      </c>
      <c r="T1904">
        <f ca="1">VLOOKUP($P1904,'TA database'!$I$8:$J$79,2,FALSE)</f>
        <v>100</v>
      </c>
      <c r="U1904">
        <f ca="1">VLOOKUP($Q1904,'TA database'!$I$86:$J$105,2,FALSE)</f>
        <v>0</v>
      </c>
      <c r="V1904">
        <f ca="1">VLOOKUP($R1904,'TA database'!$I$112:$J$139,2,FALSE)</f>
        <v>100</v>
      </c>
      <c r="W1904">
        <f ca="1">IFERROR(VLOOKUP($S1904,'TA database'!$I$146:$J$193,2,FALSE),0)</f>
        <v>100</v>
      </c>
      <c r="X1904">
        <f>IFERROR(VLOOKUP($S1904,'TA database'!$I$200:$J$271,2,FALSE),0)</f>
        <v>0</v>
      </c>
      <c r="Y1904">
        <f t="shared" ca="1" si="5985"/>
        <v>75</v>
      </c>
      <c r="Z1904" t="str">
        <f t="shared" si="5986"/>
        <v>NG_SR_LRG_C   →   C_UNDRGRND_STRG   →   ONSITE_USE   →   H2_FC_DCHP_HEAT</v>
      </c>
      <c r="AA1904" t="str">
        <f t="shared" si="5987"/>
        <v>Building heat</v>
      </c>
      <c r="AB1904" t="str">
        <f t="shared" si="5988"/>
        <v>Regulatory coverage</v>
      </c>
      <c r="AC1904">
        <f t="shared" ca="1" si="5989"/>
        <v>75</v>
      </c>
      <c r="AD1904">
        <v>1845</v>
      </c>
      <c r="AE1904" t="str">
        <f>IF(AND(ISNUMBER(SEARCH(O1904,4)),ISNUMBER(SEARCH('(4) FCH pathway assessment'!$B$16,AB1904)),ISNUMBER(SEARCH('(4) FCH pathway assessment'!$B$10,AA1904))),AD1904,"")</f>
        <v/>
      </c>
      <c r="AF1904" t="str">
        <f t="shared" si="5807"/>
        <v/>
      </c>
      <c r="AG1904" t="str">
        <f>VLOOKUP(C1904,Assumptions!$B$116:$C$162,2,FALSE)</f>
        <v>NG_SR_LRG_C</v>
      </c>
      <c r="AH1904" t="str">
        <f>VLOOKUP(D1904,Assumptions!$B$116:$C$162,2,FALSE)</f>
        <v>C_UNDRGRND_STRG</v>
      </c>
      <c r="AI1904" t="str">
        <f>VLOOKUP(E1904,Assumptions!$B$116:$C$162,2,FALSE)</f>
        <v>ONSITE_USE</v>
      </c>
      <c r="AJ1904" t="str">
        <f>VLOOKUP(F1904,Assumptions!$B$116:$C$162,2,FALSE)</f>
        <v>H2_FC_DCHP_HEAT</v>
      </c>
    </row>
    <row r="1905" spans="2:36" x14ac:dyDescent="0.25">
      <c r="B1905" t="s">
        <v>127</v>
      </c>
      <c r="C1905" t="s">
        <v>57</v>
      </c>
      <c r="D1905" s="61" t="s">
        <v>63</v>
      </c>
      <c r="E1905" t="s">
        <v>122</v>
      </c>
      <c r="F1905" t="s">
        <v>552</v>
      </c>
      <c r="G1905" t="s">
        <v>132</v>
      </c>
      <c r="H1905" t="s">
        <v>434</v>
      </c>
      <c r="I1905" t="s">
        <v>32</v>
      </c>
      <c r="J1905" t="s">
        <v>534</v>
      </c>
      <c r="K1905">
        <f t="shared" ref="K1905:K1909" si="5990">SUMPRODUCT(($C$7:$C$18=$C1905)*($D$6:$H$6=$D1905)*($D$7:$H$18))</f>
        <v>1</v>
      </c>
      <c r="L1905">
        <f t="shared" ref="L1905:L1909" si="5991">SUMPRODUCT(($C$19:$C$23=$D1905)*($I$6:$O$6=$E1905)*($I$19:$O$23))</f>
        <v>1</v>
      </c>
      <c r="M1905">
        <f t="shared" ref="M1905:M1909" si="5992">SUMPRODUCT(($C$24:$C$30=$E1905)*($P$6:$AI$6=$F1905)*($P$24:$AI$30))</f>
        <v>1</v>
      </c>
      <c r="N1905">
        <f t="shared" ref="N1905:N1909" si="5993">SUMPRODUCT(($C$31:$C$50=$F1905)*($AJ$6:$AM$6=$G1905)*($AJ$31:$AM$50))</f>
        <v>1</v>
      </c>
      <c r="O1905">
        <f t="shared" ref="O1905:O1909" si="5994">K1905+L1905+M1905+N1905</f>
        <v>4</v>
      </c>
      <c r="P1905" t="str">
        <f t="shared" ref="P1905:P1909" si="5995">CONCATENATE(C1905,"-",J1905)</f>
        <v>Large centralized natural gas steam reforming-Regulatory coverage</v>
      </c>
      <c r="Q1905" t="str">
        <f t="shared" ref="Q1905:Q1909" si="5996">CONCATENATE(D1905,"-",J1905)</f>
        <v>No storage-Regulatory coverage</v>
      </c>
      <c r="R1905" t="str">
        <f t="shared" ref="R1905:R1909" si="5997">CONCATENATE(E1905,"-",J1905)</f>
        <v>Hydrogen transmission &amp; distribution pipeline-Regulatory coverage</v>
      </c>
      <c r="S1905" t="str">
        <f t="shared" ref="S1905:S1909" si="5998">CONCATENATE(F1905,"-",J1905)</f>
        <v>District-CHP with H2 fuel cell (heat)-Regulatory coverage</v>
      </c>
      <c r="T1905">
        <f ca="1">VLOOKUP($P1905,'TA database'!$I$8:$J$79,2,FALSE)</f>
        <v>100</v>
      </c>
      <c r="U1905">
        <f ca="1">VLOOKUP($Q1905,'TA database'!$I$86:$J$105,2,FALSE)</f>
        <v>100</v>
      </c>
      <c r="V1905">
        <f ca="1">VLOOKUP($R1905,'TA database'!$I$112:$J$139,2,FALSE)</f>
        <v>40</v>
      </c>
      <c r="W1905">
        <f ca="1">IFERROR(VLOOKUP($S1905,'TA database'!$I$146:$J$193,2,FALSE),0)</f>
        <v>100</v>
      </c>
      <c r="X1905">
        <f>IFERROR(VLOOKUP($S1905,'TA database'!$I$200:$J$271,2,FALSE),0)</f>
        <v>0</v>
      </c>
      <c r="Y1905">
        <f t="shared" ref="Y1905:Y1909" ca="1" si="5999">IF($W1905=0,SUM($T1905:$V1905,$X1905)/4,SUM($T1905:$W1905)/4)</f>
        <v>85</v>
      </c>
      <c r="Z1905" t="str">
        <f t="shared" ref="Z1905:Z1909" si="6000">CONCATENATE(AG1905,"   →   ",AH1905,"   →   ",AI1905,"   →   ",AJ1905)</f>
        <v>NG_SR_LRG_C   →   NO_STRG   →   H2_T&amp;D_P   →   H2_FC_DCHP_HEAT</v>
      </c>
      <c r="AA1905" t="str">
        <f t="shared" ref="AA1905:AA1909" si="6001">G1905</f>
        <v>Building heat</v>
      </c>
      <c r="AB1905" t="str">
        <f t="shared" ref="AB1905:AB1909" si="6002">J1905</f>
        <v>Regulatory coverage</v>
      </c>
      <c r="AC1905">
        <f t="shared" ref="AC1905:AC1909" ca="1" si="6003">Y1905</f>
        <v>85</v>
      </c>
      <c r="AD1905">
        <v>1846</v>
      </c>
      <c r="AE1905" t="str">
        <f>IF(AND(ISNUMBER(SEARCH(O1905,4)),ISNUMBER(SEARCH('(4) FCH pathway assessment'!$B$16,AB1905)),ISNUMBER(SEARCH('(4) FCH pathway assessment'!$B$10,AA1905))),AD1905,"")</f>
        <v/>
      </c>
      <c r="AF1905" t="str">
        <f t="shared" si="5807"/>
        <v/>
      </c>
      <c r="AG1905" t="str">
        <f>VLOOKUP(C1905,Assumptions!$B$116:$C$162,2,FALSE)</f>
        <v>NG_SR_LRG_C</v>
      </c>
      <c r="AH1905" t="str">
        <f>VLOOKUP(D1905,Assumptions!$B$116:$C$162,2,FALSE)</f>
        <v>NO_STRG</v>
      </c>
      <c r="AI1905" t="str">
        <f>VLOOKUP(E1905,Assumptions!$B$116:$C$162,2,FALSE)</f>
        <v>H2_T&amp;D_P</v>
      </c>
      <c r="AJ1905" t="str">
        <f>VLOOKUP(F1905,Assumptions!$B$116:$C$162,2,FALSE)</f>
        <v>H2_FC_DCHP_HEAT</v>
      </c>
    </row>
    <row r="1906" spans="2:36" x14ac:dyDescent="0.25">
      <c r="B1906" t="s">
        <v>127</v>
      </c>
      <c r="C1906" t="s">
        <v>58</v>
      </c>
      <c r="D1906" t="s">
        <v>155</v>
      </c>
      <c r="E1906" t="s">
        <v>157</v>
      </c>
      <c r="F1906" t="s">
        <v>552</v>
      </c>
      <c r="G1906" t="s">
        <v>132</v>
      </c>
      <c r="H1906" t="s">
        <v>434</v>
      </c>
      <c r="I1906" t="s">
        <v>32</v>
      </c>
      <c r="J1906" t="s">
        <v>534</v>
      </c>
      <c r="K1906">
        <f t="shared" si="5990"/>
        <v>1</v>
      </c>
      <c r="L1906">
        <f t="shared" si="5991"/>
        <v>1</v>
      </c>
      <c r="M1906">
        <f t="shared" si="5992"/>
        <v>0</v>
      </c>
      <c r="N1906">
        <f t="shared" si="5993"/>
        <v>1</v>
      </c>
      <c r="O1906">
        <f t="shared" si="5994"/>
        <v>3</v>
      </c>
      <c r="P1906" t="str">
        <f t="shared" si="5995"/>
        <v>Small centralized natural gas steam reforming-Regulatory coverage</v>
      </c>
      <c r="Q1906" t="str">
        <f t="shared" si="5996"/>
        <v>Central gas storage-Regulatory coverage</v>
      </c>
      <c r="R1906" t="str">
        <f t="shared" si="5997"/>
        <v>Blending in natural gas pipeline-Regulatory coverage</v>
      </c>
      <c r="S1906" t="str">
        <f t="shared" si="5998"/>
        <v>District-CHP with H2 fuel cell (heat)-Regulatory coverage</v>
      </c>
      <c r="T1906">
        <f ca="1">VLOOKUP($P1906,'TA database'!$I$8:$J$79,2,FALSE)</f>
        <v>100</v>
      </c>
      <c r="U1906">
        <f ca="1">VLOOKUP($Q1906,'TA database'!$I$86:$J$105,2,FALSE)</f>
        <v>80</v>
      </c>
      <c r="V1906">
        <f ca="1">VLOOKUP($R1906,'TA database'!$I$112:$J$139,2,FALSE)</f>
        <v>100</v>
      </c>
      <c r="W1906">
        <f ca="1">IFERROR(VLOOKUP($S1906,'TA database'!$I$146:$J$193,2,FALSE),0)</f>
        <v>100</v>
      </c>
      <c r="X1906">
        <f>IFERROR(VLOOKUP($S1906,'TA database'!$I$200:$J$271,2,FALSE),0)</f>
        <v>0</v>
      </c>
      <c r="Y1906">
        <f t="shared" ca="1" si="5999"/>
        <v>95</v>
      </c>
      <c r="Z1906" t="str">
        <f t="shared" si="6000"/>
        <v>NG_SR_SML_C   →   C_GAS_STRG   →   H2_BLND_NG_P   →   H2_FC_DCHP_HEAT</v>
      </c>
      <c r="AA1906" t="str">
        <f t="shared" si="6001"/>
        <v>Building heat</v>
      </c>
      <c r="AB1906" t="str">
        <f t="shared" si="6002"/>
        <v>Regulatory coverage</v>
      </c>
      <c r="AC1906">
        <f t="shared" ca="1" si="6003"/>
        <v>95</v>
      </c>
      <c r="AD1906">
        <v>1847</v>
      </c>
      <c r="AE1906" t="str">
        <f>IF(AND(ISNUMBER(SEARCH(O1906,4)),ISNUMBER(SEARCH('(4) FCH pathway assessment'!$B$16,AB1906)),ISNUMBER(SEARCH('(4) FCH pathway assessment'!$B$10,AA1906))),AD1906,"")</f>
        <v/>
      </c>
      <c r="AF1906" t="str">
        <f t="shared" si="5807"/>
        <v/>
      </c>
      <c r="AG1906" t="str">
        <f>VLOOKUP(C1906,Assumptions!$B$116:$C$162,2,FALSE)</f>
        <v>NG_SR_SML_C</v>
      </c>
      <c r="AH1906" t="str">
        <f>VLOOKUP(D1906,Assumptions!$B$116:$C$162,2,FALSE)</f>
        <v>C_GAS_STRG</v>
      </c>
      <c r="AI1906" t="str">
        <f>VLOOKUP(E1906,Assumptions!$B$116:$C$162,2,FALSE)</f>
        <v>H2_BLND_NG_P</v>
      </c>
      <c r="AJ1906" t="str">
        <f>VLOOKUP(F1906,Assumptions!$B$116:$C$162,2,FALSE)</f>
        <v>H2_FC_DCHP_HEAT</v>
      </c>
    </row>
    <row r="1907" spans="2:36" x14ac:dyDescent="0.25">
      <c r="B1907" t="s">
        <v>127</v>
      </c>
      <c r="C1907" t="s">
        <v>58</v>
      </c>
      <c r="D1907" t="s">
        <v>155</v>
      </c>
      <c r="E1907" t="s">
        <v>122</v>
      </c>
      <c r="F1907" t="s">
        <v>552</v>
      </c>
      <c r="G1907" t="s">
        <v>132</v>
      </c>
      <c r="H1907" t="s">
        <v>434</v>
      </c>
      <c r="I1907" t="s">
        <v>32</v>
      </c>
      <c r="J1907" t="s">
        <v>534</v>
      </c>
      <c r="K1907">
        <f t="shared" si="5990"/>
        <v>1</v>
      </c>
      <c r="L1907">
        <f t="shared" si="5991"/>
        <v>1</v>
      </c>
      <c r="M1907">
        <f t="shared" si="5992"/>
        <v>1</v>
      </c>
      <c r="N1907">
        <f t="shared" si="5993"/>
        <v>1</v>
      </c>
      <c r="O1907">
        <f t="shared" si="5994"/>
        <v>4</v>
      </c>
      <c r="P1907" t="str">
        <f t="shared" si="5995"/>
        <v>Small centralized natural gas steam reforming-Regulatory coverage</v>
      </c>
      <c r="Q1907" t="str">
        <f t="shared" si="5996"/>
        <v>Central gas storage-Regulatory coverage</v>
      </c>
      <c r="R1907" t="str">
        <f t="shared" si="5997"/>
        <v>Hydrogen transmission &amp; distribution pipeline-Regulatory coverage</v>
      </c>
      <c r="S1907" t="str">
        <f t="shared" si="5998"/>
        <v>District-CHP with H2 fuel cell (heat)-Regulatory coverage</v>
      </c>
      <c r="T1907">
        <f ca="1">VLOOKUP($P1907,'TA database'!$I$8:$J$79,2,FALSE)</f>
        <v>100</v>
      </c>
      <c r="U1907">
        <f ca="1">VLOOKUP($Q1907,'TA database'!$I$86:$J$105,2,FALSE)</f>
        <v>80</v>
      </c>
      <c r="V1907">
        <f ca="1">VLOOKUP($R1907,'TA database'!$I$112:$J$139,2,FALSE)</f>
        <v>40</v>
      </c>
      <c r="W1907">
        <f ca="1">IFERROR(VLOOKUP($S1907,'TA database'!$I$146:$J$193,2,FALSE),0)</f>
        <v>100</v>
      </c>
      <c r="X1907">
        <f>IFERROR(VLOOKUP($S1907,'TA database'!$I$200:$J$271,2,FALSE),0)</f>
        <v>0</v>
      </c>
      <c r="Y1907">
        <f t="shared" ca="1" si="5999"/>
        <v>80</v>
      </c>
      <c r="Z1907" t="str">
        <f t="shared" si="6000"/>
        <v>NG_SR_SML_C   →   C_GAS_STRG   →   H2_T&amp;D_P   →   H2_FC_DCHP_HEAT</v>
      </c>
      <c r="AA1907" t="str">
        <f t="shared" si="6001"/>
        <v>Building heat</v>
      </c>
      <c r="AB1907" t="str">
        <f t="shared" si="6002"/>
        <v>Regulatory coverage</v>
      </c>
      <c r="AC1907">
        <f t="shared" ca="1" si="6003"/>
        <v>80</v>
      </c>
      <c r="AD1907">
        <v>1848</v>
      </c>
      <c r="AE1907" t="str">
        <f>IF(AND(ISNUMBER(SEARCH(O1907,4)),ISNUMBER(SEARCH('(4) FCH pathway assessment'!$B$16,AB1907)),ISNUMBER(SEARCH('(4) FCH pathway assessment'!$B$10,AA1907))),AD1907,"")</f>
        <v/>
      </c>
      <c r="AF1907" t="str">
        <f t="shared" si="5807"/>
        <v/>
      </c>
      <c r="AG1907" t="str">
        <f>VLOOKUP(C1907,Assumptions!$B$116:$C$162,2,FALSE)</f>
        <v>NG_SR_SML_C</v>
      </c>
      <c r="AH1907" t="str">
        <f>VLOOKUP(D1907,Assumptions!$B$116:$C$162,2,FALSE)</f>
        <v>C_GAS_STRG</v>
      </c>
      <c r="AI1907" t="str">
        <f>VLOOKUP(E1907,Assumptions!$B$116:$C$162,2,FALSE)</f>
        <v>H2_T&amp;D_P</v>
      </c>
      <c r="AJ1907" t="str">
        <f>VLOOKUP(F1907,Assumptions!$B$116:$C$162,2,FALSE)</f>
        <v>H2_FC_DCHP_HEAT</v>
      </c>
    </row>
    <row r="1908" spans="2:36" x14ac:dyDescent="0.25">
      <c r="B1908" t="s">
        <v>127</v>
      </c>
      <c r="C1908" t="s">
        <v>58</v>
      </c>
      <c r="D1908" t="s">
        <v>155</v>
      </c>
      <c r="E1908" t="s">
        <v>116</v>
      </c>
      <c r="F1908" t="s">
        <v>552</v>
      </c>
      <c r="G1908" t="s">
        <v>132</v>
      </c>
      <c r="H1908" t="s">
        <v>434</v>
      </c>
      <c r="I1908" t="s">
        <v>32</v>
      </c>
      <c r="J1908" t="s">
        <v>534</v>
      </c>
      <c r="K1908">
        <f t="shared" si="5990"/>
        <v>1</v>
      </c>
      <c r="L1908">
        <f t="shared" si="5991"/>
        <v>1</v>
      </c>
      <c r="M1908">
        <f t="shared" si="5992"/>
        <v>1</v>
      </c>
      <c r="N1908">
        <f t="shared" si="5993"/>
        <v>1</v>
      </c>
      <c r="O1908">
        <f t="shared" si="5994"/>
        <v>4</v>
      </c>
      <c r="P1908" t="str">
        <f t="shared" si="5995"/>
        <v>Small centralized natural gas steam reforming-Regulatory coverage</v>
      </c>
      <c r="Q1908" t="str">
        <f t="shared" si="5996"/>
        <v>Central gas storage-Regulatory coverage</v>
      </c>
      <c r="R1908" t="str">
        <f t="shared" si="5997"/>
        <v>Liquid hydrogen truck-Regulatory coverage</v>
      </c>
      <c r="S1908" t="str">
        <f t="shared" si="5998"/>
        <v>District-CHP with H2 fuel cell (heat)-Regulatory coverage</v>
      </c>
      <c r="T1908">
        <f ca="1">VLOOKUP($P1908,'TA database'!$I$8:$J$79,2,FALSE)</f>
        <v>100</v>
      </c>
      <c r="U1908">
        <f ca="1">VLOOKUP($Q1908,'TA database'!$I$86:$J$105,2,FALSE)</f>
        <v>80</v>
      </c>
      <c r="V1908">
        <f ca="1">VLOOKUP($R1908,'TA database'!$I$112:$J$139,2,FALSE)</f>
        <v>40</v>
      </c>
      <c r="W1908">
        <f ca="1">IFERROR(VLOOKUP($S1908,'TA database'!$I$146:$J$193,2,FALSE),0)</f>
        <v>100</v>
      </c>
      <c r="X1908">
        <f>IFERROR(VLOOKUP($S1908,'TA database'!$I$200:$J$271,2,FALSE),0)</f>
        <v>0</v>
      </c>
      <c r="Y1908">
        <f t="shared" ca="1" si="5999"/>
        <v>80</v>
      </c>
      <c r="Z1908" t="str">
        <f t="shared" si="6000"/>
        <v>NG_SR_SML_C   →   C_GAS_STRG   →   LQ_TRUCK   →   H2_FC_DCHP_HEAT</v>
      </c>
      <c r="AA1908" t="str">
        <f t="shared" si="6001"/>
        <v>Building heat</v>
      </c>
      <c r="AB1908" t="str">
        <f t="shared" si="6002"/>
        <v>Regulatory coverage</v>
      </c>
      <c r="AC1908">
        <f t="shared" ca="1" si="6003"/>
        <v>80</v>
      </c>
      <c r="AD1908">
        <v>1849</v>
      </c>
      <c r="AE1908" t="str">
        <f>IF(AND(ISNUMBER(SEARCH(O1908,4)),ISNUMBER(SEARCH('(4) FCH pathway assessment'!$B$16,AB1908)),ISNUMBER(SEARCH('(4) FCH pathway assessment'!$B$10,AA1908))),AD1908,"")</f>
        <v/>
      </c>
      <c r="AF1908" t="str">
        <f t="shared" si="5807"/>
        <v/>
      </c>
      <c r="AG1908" t="str">
        <f>VLOOKUP(C1908,Assumptions!$B$116:$C$162,2,FALSE)</f>
        <v>NG_SR_SML_C</v>
      </c>
      <c r="AH1908" t="str">
        <f>VLOOKUP(D1908,Assumptions!$B$116:$C$162,2,FALSE)</f>
        <v>C_GAS_STRG</v>
      </c>
      <c r="AI1908" t="str">
        <f>VLOOKUP(E1908,Assumptions!$B$116:$C$162,2,FALSE)</f>
        <v>LQ_TRUCK</v>
      </c>
      <c r="AJ1908" t="str">
        <f>VLOOKUP(F1908,Assumptions!$B$116:$C$162,2,FALSE)</f>
        <v>H2_FC_DCHP_HEAT</v>
      </c>
    </row>
    <row r="1909" spans="2:36" x14ac:dyDescent="0.25">
      <c r="B1909" t="s">
        <v>127</v>
      </c>
      <c r="C1909" t="s">
        <v>58</v>
      </c>
      <c r="D1909" t="s">
        <v>155</v>
      </c>
      <c r="E1909" t="s">
        <v>66</v>
      </c>
      <c r="F1909" t="s">
        <v>552</v>
      </c>
      <c r="G1909" t="s">
        <v>132</v>
      </c>
      <c r="H1909" t="s">
        <v>434</v>
      </c>
      <c r="I1909" t="s">
        <v>32</v>
      </c>
      <c r="J1909" t="s">
        <v>534</v>
      </c>
      <c r="K1909">
        <f t="shared" si="5990"/>
        <v>1</v>
      </c>
      <c r="L1909">
        <f t="shared" si="5991"/>
        <v>1</v>
      </c>
      <c r="M1909">
        <f t="shared" si="5992"/>
        <v>1</v>
      </c>
      <c r="N1909">
        <f t="shared" si="5993"/>
        <v>1</v>
      </c>
      <c r="O1909">
        <f t="shared" si="5994"/>
        <v>4</v>
      </c>
      <c r="P1909" t="str">
        <f t="shared" si="5995"/>
        <v>Small centralized natural gas steam reforming-Regulatory coverage</v>
      </c>
      <c r="Q1909" t="str">
        <f t="shared" si="5996"/>
        <v>Central gas storage-Regulatory coverage</v>
      </c>
      <c r="R1909" t="str">
        <f t="shared" si="5997"/>
        <v>Onsite-Regulatory coverage</v>
      </c>
      <c r="S1909" t="str">
        <f t="shared" si="5998"/>
        <v>District-CHP with H2 fuel cell (heat)-Regulatory coverage</v>
      </c>
      <c r="T1909">
        <f ca="1">VLOOKUP($P1909,'TA database'!$I$8:$J$79,2,FALSE)</f>
        <v>100</v>
      </c>
      <c r="U1909">
        <f ca="1">VLOOKUP($Q1909,'TA database'!$I$86:$J$105,2,FALSE)</f>
        <v>80</v>
      </c>
      <c r="V1909">
        <f ca="1">VLOOKUP($R1909,'TA database'!$I$112:$J$139,2,FALSE)</f>
        <v>100</v>
      </c>
      <c r="W1909">
        <f ca="1">IFERROR(VLOOKUP($S1909,'TA database'!$I$146:$J$193,2,FALSE),0)</f>
        <v>100</v>
      </c>
      <c r="X1909">
        <f>IFERROR(VLOOKUP($S1909,'TA database'!$I$200:$J$271,2,FALSE),0)</f>
        <v>0</v>
      </c>
      <c r="Y1909">
        <f t="shared" ca="1" si="5999"/>
        <v>95</v>
      </c>
      <c r="Z1909" t="str">
        <f t="shared" si="6000"/>
        <v>NG_SR_SML_C   →   C_GAS_STRG   →   ONSITE_USE   →   H2_FC_DCHP_HEAT</v>
      </c>
      <c r="AA1909" t="str">
        <f t="shared" si="6001"/>
        <v>Building heat</v>
      </c>
      <c r="AB1909" t="str">
        <f t="shared" si="6002"/>
        <v>Regulatory coverage</v>
      </c>
      <c r="AC1909">
        <f t="shared" ca="1" si="6003"/>
        <v>95</v>
      </c>
      <c r="AD1909">
        <v>1850</v>
      </c>
      <c r="AE1909" t="str">
        <f>IF(AND(ISNUMBER(SEARCH(O1909,4)),ISNUMBER(SEARCH('(4) FCH pathway assessment'!$B$16,AB1909)),ISNUMBER(SEARCH('(4) FCH pathway assessment'!$B$10,AA1909))),AD1909,"")</f>
        <v/>
      </c>
      <c r="AF1909" t="str">
        <f t="shared" si="5807"/>
        <v/>
      </c>
      <c r="AG1909" t="str">
        <f>VLOOKUP(C1909,Assumptions!$B$116:$C$162,2,FALSE)</f>
        <v>NG_SR_SML_C</v>
      </c>
      <c r="AH1909" t="str">
        <f>VLOOKUP(D1909,Assumptions!$B$116:$C$162,2,FALSE)</f>
        <v>C_GAS_STRG</v>
      </c>
      <c r="AI1909" t="str">
        <f>VLOOKUP(E1909,Assumptions!$B$116:$C$162,2,FALSE)</f>
        <v>ONSITE_USE</v>
      </c>
      <c r="AJ1909" t="str">
        <f>VLOOKUP(F1909,Assumptions!$B$116:$C$162,2,FALSE)</f>
        <v>H2_FC_DCHP_HEAT</v>
      </c>
    </row>
    <row r="1910" spans="2:36" x14ac:dyDescent="0.25">
      <c r="B1910" t="s">
        <v>127</v>
      </c>
      <c r="C1910" t="s">
        <v>59</v>
      </c>
      <c r="D1910" s="60" t="s">
        <v>130</v>
      </c>
      <c r="E1910" t="s">
        <v>66</v>
      </c>
      <c r="F1910" t="s">
        <v>552</v>
      </c>
      <c r="G1910" t="s">
        <v>132</v>
      </c>
      <c r="H1910" t="s">
        <v>434</v>
      </c>
      <c r="I1910" t="s">
        <v>32</v>
      </c>
      <c r="J1910" t="s">
        <v>534</v>
      </c>
      <c r="K1910">
        <f t="shared" ref="K1910:K1911" si="6004">SUMPRODUCT(($C$7:$C$18=$C1910)*($D$6:$H$6=$D1910)*($D$7:$H$18))</f>
        <v>1</v>
      </c>
      <c r="L1910">
        <f t="shared" ref="L1910:L1911" si="6005">SUMPRODUCT(($C$19:$C$23=$D1910)*($I$6:$O$6=$E1910)*($I$19:$O$23))</f>
        <v>1</v>
      </c>
      <c r="M1910">
        <f t="shared" ref="M1910:M1911" si="6006">SUMPRODUCT(($C$24:$C$30=$E1910)*($P$6:$AI$6=$F1910)*($P$24:$AI$30))</f>
        <v>1</v>
      </c>
      <c r="N1910">
        <f t="shared" ref="N1910:N1911" si="6007">SUMPRODUCT(($C$31:$C$50=$F1910)*($AJ$6:$AM$6=$G1910)*($AJ$31:$AM$50))</f>
        <v>1</v>
      </c>
      <c r="O1910">
        <f t="shared" ref="O1910:O1911" si="6008">K1910+L1910+M1910+N1910</f>
        <v>4</v>
      </c>
      <c r="P1910" t="str">
        <f t="shared" ref="P1910:P1911" si="6009">CONCATENATE(C1910,"-",J1910)</f>
        <v>Medium decentralized natural gas steam reforming-Regulatory coverage</v>
      </c>
      <c r="Q1910" t="str">
        <f t="shared" ref="Q1910:Q1911" si="6010">CONCATENATE(D1910,"-",J1910)</f>
        <v>Distributed gas storage-Regulatory coverage</v>
      </c>
      <c r="R1910" t="str">
        <f t="shared" ref="R1910:R1911" si="6011">CONCATENATE(E1910,"-",J1910)</f>
        <v>Onsite-Regulatory coverage</v>
      </c>
      <c r="S1910" t="str">
        <f t="shared" ref="S1910:S1911" si="6012">CONCATENATE(F1910,"-",J1910)</f>
        <v>District-CHP with H2 fuel cell (heat)-Regulatory coverage</v>
      </c>
      <c r="T1910">
        <f ca="1">VLOOKUP($P1910,'TA database'!$I$8:$J$79,2,FALSE)</f>
        <v>100</v>
      </c>
      <c r="U1910">
        <f ca="1">VLOOKUP($Q1910,'TA database'!$I$86:$J$105,2,FALSE)</f>
        <v>100</v>
      </c>
      <c r="V1910">
        <f ca="1">VLOOKUP($R1910,'TA database'!$I$112:$J$139,2,FALSE)</f>
        <v>100</v>
      </c>
      <c r="W1910">
        <f ca="1">IFERROR(VLOOKUP($S1910,'TA database'!$I$146:$J$193,2,FALSE),0)</f>
        <v>100</v>
      </c>
      <c r="X1910">
        <f>IFERROR(VLOOKUP($S1910,'TA database'!$I$200:$J$271,2,FALSE),0)</f>
        <v>0</v>
      </c>
      <c r="Y1910">
        <f t="shared" ref="Y1910:Y1911" ca="1" si="6013">IF($W1910=0,SUM($T1910:$V1910,$X1910)/4,SUM($T1910:$W1910)/4)</f>
        <v>100</v>
      </c>
      <c r="Z1910" t="str">
        <f t="shared" ref="Z1910:Z1911" si="6014">CONCATENATE(AG1910,"   →   ",AH1910,"   →   ",AI1910,"   →   ",AJ1910)</f>
        <v>NG_SR_MED_D   →   D_GAS_STRG   →   ONSITE_USE   →   H2_FC_DCHP_HEAT</v>
      </c>
      <c r="AA1910" t="str">
        <f t="shared" ref="AA1910:AA1911" si="6015">G1910</f>
        <v>Building heat</v>
      </c>
      <c r="AB1910" t="str">
        <f t="shared" ref="AB1910:AB1911" si="6016">J1910</f>
        <v>Regulatory coverage</v>
      </c>
      <c r="AC1910">
        <f t="shared" ref="AC1910:AC1911" ca="1" si="6017">Y1910</f>
        <v>100</v>
      </c>
      <c r="AD1910">
        <v>1851</v>
      </c>
      <c r="AE1910" t="str">
        <f>IF(AND(ISNUMBER(SEARCH(O1910,4)),ISNUMBER(SEARCH('(4) FCH pathway assessment'!$B$16,AB1910)),ISNUMBER(SEARCH('(4) FCH pathway assessment'!$B$10,AA1910))),AD1910,"")</f>
        <v/>
      </c>
      <c r="AF1910" t="str">
        <f t="shared" si="5807"/>
        <v/>
      </c>
      <c r="AG1910" t="str">
        <f>VLOOKUP(C1910,Assumptions!$B$116:$C$162,2,FALSE)</f>
        <v>NG_SR_MED_D</v>
      </c>
      <c r="AH1910" t="str">
        <f>VLOOKUP(D1910,Assumptions!$B$116:$C$162,2,FALSE)</f>
        <v>D_GAS_STRG</v>
      </c>
      <c r="AI1910" t="str">
        <f>VLOOKUP(E1910,Assumptions!$B$116:$C$162,2,FALSE)</f>
        <v>ONSITE_USE</v>
      </c>
      <c r="AJ1910" t="str">
        <f>VLOOKUP(F1910,Assumptions!$B$116:$C$162,2,FALSE)</f>
        <v>H2_FC_DCHP_HEAT</v>
      </c>
    </row>
    <row r="1911" spans="2:36" x14ac:dyDescent="0.25">
      <c r="B1911" t="s">
        <v>127</v>
      </c>
      <c r="C1911" t="s">
        <v>60</v>
      </c>
      <c r="D1911" s="60" t="s">
        <v>130</v>
      </c>
      <c r="E1911" t="s">
        <v>66</v>
      </c>
      <c r="F1911" t="s">
        <v>552</v>
      </c>
      <c r="G1911" t="s">
        <v>132</v>
      </c>
      <c r="H1911" t="s">
        <v>434</v>
      </c>
      <c r="I1911" t="s">
        <v>32</v>
      </c>
      <c r="J1911" t="s">
        <v>534</v>
      </c>
      <c r="K1911">
        <f t="shared" si="6004"/>
        <v>1</v>
      </c>
      <c r="L1911">
        <f t="shared" si="6005"/>
        <v>1</v>
      </c>
      <c r="M1911">
        <f t="shared" si="6006"/>
        <v>1</v>
      </c>
      <c r="N1911">
        <f t="shared" si="6007"/>
        <v>1</v>
      </c>
      <c r="O1911">
        <f t="shared" si="6008"/>
        <v>4</v>
      </c>
      <c r="P1911" t="str">
        <f t="shared" si="6009"/>
        <v>Small decentralized natural gas steam reforming-Regulatory coverage</v>
      </c>
      <c r="Q1911" t="str">
        <f t="shared" si="6010"/>
        <v>Distributed gas storage-Regulatory coverage</v>
      </c>
      <c r="R1911" t="str">
        <f t="shared" si="6011"/>
        <v>Onsite-Regulatory coverage</v>
      </c>
      <c r="S1911" t="str">
        <f t="shared" si="6012"/>
        <v>District-CHP with H2 fuel cell (heat)-Regulatory coverage</v>
      </c>
      <c r="T1911">
        <f ca="1">VLOOKUP($P1911,'TA database'!$I$8:$J$79,2,FALSE)</f>
        <v>100</v>
      </c>
      <c r="U1911">
        <f ca="1">VLOOKUP($Q1911,'TA database'!$I$86:$J$105,2,FALSE)</f>
        <v>100</v>
      </c>
      <c r="V1911">
        <f ca="1">VLOOKUP($R1911,'TA database'!$I$112:$J$139,2,FALSE)</f>
        <v>100</v>
      </c>
      <c r="W1911">
        <f ca="1">IFERROR(VLOOKUP($S1911,'TA database'!$I$146:$J$193,2,FALSE),0)</f>
        <v>100</v>
      </c>
      <c r="X1911">
        <f>IFERROR(VLOOKUP($S1911,'TA database'!$I$200:$J$271,2,FALSE),0)</f>
        <v>0</v>
      </c>
      <c r="Y1911">
        <f t="shared" ca="1" si="6013"/>
        <v>100</v>
      </c>
      <c r="Z1911" t="str">
        <f t="shared" si="6014"/>
        <v>NG_SR_SML_D   →   D_GAS_STRG   →   ONSITE_USE   →   H2_FC_DCHP_HEAT</v>
      </c>
      <c r="AA1911" t="str">
        <f t="shared" si="6015"/>
        <v>Building heat</v>
      </c>
      <c r="AB1911" t="str">
        <f t="shared" si="6016"/>
        <v>Regulatory coverage</v>
      </c>
      <c r="AC1911">
        <f t="shared" ca="1" si="6017"/>
        <v>100</v>
      </c>
      <c r="AD1911">
        <v>1852</v>
      </c>
      <c r="AE1911" t="str">
        <f>IF(AND(ISNUMBER(SEARCH(O1911,4)),ISNUMBER(SEARCH('(4) FCH pathway assessment'!$B$16,AB1911)),ISNUMBER(SEARCH('(4) FCH pathway assessment'!$B$10,AA1911))),AD1911,"")</f>
        <v/>
      </c>
      <c r="AF1911" t="str">
        <f t="shared" si="5807"/>
        <v/>
      </c>
      <c r="AG1911" t="str">
        <f>VLOOKUP(C1911,Assumptions!$B$116:$C$162,2,FALSE)</f>
        <v>NG_SR_SML_D</v>
      </c>
      <c r="AH1911" t="str">
        <f>VLOOKUP(D1911,Assumptions!$B$116:$C$162,2,FALSE)</f>
        <v>D_GAS_STRG</v>
      </c>
      <c r="AI1911" t="str">
        <f>VLOOKUP(E1911,Assumptions!$B$116:$C$162,2,FALSE)</f>
        <v>ONSITE_USE</v>
      </c>
      <c r="AJ1911" t="str">
        <f>VLOOKUP(F1911,Assumptions!$B$116:$C$162,2,FALSE)</f>
        <v>H2_FC_DCHP_HEAT</v>
      </c>
    </row>
    <row r="1912" spans="2:36" x14ac:dyDescent="0.25">
      <c r="B1912" t="s">
        <v>117</v>
      </c>
      <c r="C1912" t="s">
        <v>53</v>
      </c>
      <c r="D1912" t="s">
        <v>155</v>
      </c>
      <c r="E1912" t="s">
        <v>157</v>
      </c>
      <c r="F1912" t="s">
        <v>543</v>
      </c>
      <c r="G1912" t="s">
        <v>132</v>
      </c>
      <c r="H1912" t="s">
        <v>434</v>
      </c>
      <c r="I1912" t="s">
        <v>32</v>
      </c>
      <c r="J1912" t="s">
        <v>534</v>
      </c>
      <c r="K1912">
        <f t="shared" ref="K1912:K1915" si="6018">SUMPRODUCT(($C$7:$C$18=$C1912)*($D$6:$H$6=$D1912)*($D$7:$H$18))</f>
        <v>0</v>
      </c>
      <c r="L1912">
        <f t="shared" ref="L1912:L1915" si="6019">SUMPRODUCT(($C$19:$C$23=$D1912)*($I$6:$O$6=$E1912)*($I$19:$O$23))</f>
        <v>1</v>
      </c>
      <c r="M1912">
        <f t="shared" ref="M1912:M1915" si="6020">SUMPRODUCT(($C$24:$C$30=$E1912)*($P$6:$AI$6=$F1912)*($P$24:$AI$30))</f>
        <v>0</v>
      </c>
      <c r="N1912">
        <f t="shared" ref="N1912:N1915" si="6021">SUMPRODUCT(($C$31:$C$50=$F1912)*($AJ$6:$AM$6=$G1912)*($AJ$31:$AM$50))</f>
        <v>0</v>
      </c>
      <c r="O1912">
        <f t="shared" ref="O1912:O1915" si="6022">K1912+L1912+M1912+N1912</f>
        <v>1</v>
      </c>
      <c r="P1912" t="str">
        <f t="shared" ref="P1912:P1915" si="6023">CONCATENATE(C1912,"-",J1912)</f>
        <v>Medium centralized biomass gasification-Regulatory coverage</v>
      </c>
      <c r="Q1912" t="str">
        <f t="shared" ref="Q1912:Q1915" si="6024">CONCATENATE(D1912,"-",J1912)</f>
        <v>Central gas storage-Regulatory coverage</v>
      </c>
      <c r="R1912" t="str">
        <f t="shared" ref="R1912:R1915" si="6025">CONCATENATE(E1912,"-",J1912)</f>
        <v>Blending in natural gas pipeline-Regulatory coverage</v>
      </c>
      <c r="S1912" t="str">
        <f t="shared" ref="S1912:S1915" si="6026">CONCATENATE(F1912,"-",J1912)</f>
        <v>Micro-CHP with H2 fuel cell (heat)-Regulatory coverage</v>
      </c>
      <c r="T1912">
        <f ca="1">VLOOKUP($P1912,'TA database'!$I$8:$J$79,2,FALSE)</f>
        <v>100</v>
      </c>
      <c r="U1912">
        <f ca="1">VLOOKUP($Q1912,'TA database'!$I$86:$J$105,2,FALSE)</f>
        <v>80</v>
      </c>
      <c r="V1912">
        <f ca="1">VLOOKUP($R1912,'TA database'!$I$112:$J$139,2,FALSE)</f>
        <v>100</v>
      </c>
      <c r="W1912">
        <f ca="1">IFERROR(VLOOKUP($S1912,'TA database'!$I$146:$J$193,2,FALSE),0)</f>
        <v>100</v>
      </c>
      <c r="X1912">
        <f>IFERROR(VLOOKUP($S1912,'TA database'!$I$200:$J$271,2,FALSE),0)</f>
        <v>0</v>
      </c>
      <c r="Y1912">
        <f t="shared" ref="Y1912:Y1915" ca="1" si="6027">IF($W1912=0,SUM($T1912:$V1912,$X1912)/4,SUM($T1912:$W1912)/4)</f>
        <v>95</v>
      </c>
      <c r="Z1912" t="str">
        <f t="shared" ref="Z1912:Z1915" si="6028">CONCATENATE(AG1912,"   →   ",AH1912,"   →   ",AI1912,"   →   ",AJ1912)</f>
        <v>BIO_GSF_MED_C   →   C_GAS_STRG   →   H2_BLND_NG_P   →   H2_FC_mCHP_HEAT</v>
      </c>
      <c r="AA1912" t="str">
        <f t="shared" ref="AA1912:AA1915" si="6029">G1912</f>
        <v>Building heat</v>
      </c>
      <c r="AB1912" t="str">
        <f t="shared" ref="AB1912:AB1915" si="6030">J1912</f>
        <v>Regulatory coverage</v>
      </c>
      <c r="AC1912">
        <f t="shared" ref="AC1912:AC1915" ca="1" si="6031">Y1912</f>
        <v>95</v>
      </c>
      <c r="AD1912">
        <v>1853</v>
      </c>
      <c r="AE1912" t="str">
        <f>IF(AND(ISNUMBER(SEARCH(O1912,4)),ISNUMBER(SEARCH('(4) FCH pathway assessment'!$B$16,AB1912)),ISNUMBER(SEARCH('(4) FCH pathway assessment'!$B$10,AA1912))),AD1912,"")</f>
        <v/>
      </c>
      <c r="AF1912" t="str">
        <f t="shared" si="5807"/>
        <v/>
      </c>
      <c r="AG1912" t="str">
        <f>VLOOKUP(C1912,Assumptions!$B$116:$C$162,2,FALSE)</f>
        <v>BIO_GSF_MED_C</v>
      </c>
      <c r="AH1912" t="str">
        <f>VLOOKUP(D1912,Assumptions!$B$116:$C$162,2,FALSE)</f>
        <v>C_GAS_STRG</v>
      </c>
      <c r="AI1912" t="str">
        <f>VLOOKUP(E1912,Assumptions!$B$116:$C$162,2,FALSE)</f>
        <v>H2_BLND_NG_P</v>
      </c>
      <c r="AJ1912" t="str">
        <f>VLOOKUP(F1912,Assumptions!$B$116:$C$162,2,FALSE)</f>
        <v>H2_FC_mCHP_HEAT</v>
      </c>
    </row>
    <row r="1913" spans="2:36" x14ac:dyDescent="0.25">
      <c r="B1913" t="s">
        <v>117</v>
      </c>
      <c r="C1913" t="s">
        <v>53</v>
      </c>
      <c r="D1913" t="s">
        <v>155</v>
      </c>
      <c r="E1913" t="s">
        <v>122</v>
      </c>
      <c r="F1913" t="s">
        <v>543</v>
      </c>
      <c r="G1913" t="s">
        <v>132</v>
      </c>
      <c r="H1913" t="s">
        <v>434</v>
      </c>
      <c r="I1913" t="s">
        <v>32</v>
      </c>
      <c r="J1913" t="s">
        <v>534</v>
      </c>
      <c r="K1913">
        <f t="shared" si="6018"/>
        <v>0</v>
      </c>
      <c r="L1913">
        <f t="shared" si="6019"/>
        <v>1</v>
      </c>
      <c r="M1913">
        <f t="shared" si="6020"/>
        <v>1</v>
      </c>
      <c r="N1913">
        <f t="shared" si="6021"/>
        <v>0</v>
      </c>
      <c r="O1913">
        <f t="shared" si="6022"/>
        <v>2</v>
      </c>
      <c r="P1913" t="str">
        <f t="shared" si="6023"/>
        <v>Medium centralized biomass gasification-Regulatory coverage</v>
      </c>
      <c r="Q1913" t="str">
        <f t="shared" si="6024"/>
        <v>Central gas storage-Regulatory coverage</v>
      </c>
      <c r="R1913" t="str">
        <f t="shared" si="6025"/>
        <v>Hydrogen transmission &amp; distribution pipeline-Regulatory coverage</v>
      </c>
      <c r="S1913" t="str">
        <f t="shared" si="6026"/>
        <v>Micro-CHP with H2 fuel cell (heat)-Regulatory coverage</v>
      </c>
      <c r="T1913">
        <f ca="1">VLOOKUP($P1913,'TA database'!$I$8:$J$79,2,FALSE)</f>
        <v>100</v>
      </c>
      <c r="U1913">
        <f ca="1">VLOOKUP($Q1913,'TA database'!$I$86:$J$105,2,FALSE)</f>
        <v>80</v>
      </c>
      <c r="V1913">
        <f ca="1">VLOOKUP($R1913,'TA database'!$I$112:$J$139,2,FALSE)</f>
        <v>40</v>
      </c>
      <c r="W1913">
        <f ca="1">IFERROR(VLOOKUP($S1913,'TA database'!$I$146:$J$193,2,FALSE),0)</f>
        <v>100</v>
      </c>
      <c r="X1913">
        <f>IFERROR(VLOOKUP($S1913,'TA database'!$I$200:$J$271,2,FALSE),0)</f>
        <v>0</v>
      </c>
      <c r="Y1913">
        <f t="shared" ca="1" si="6027"/>
        <v>80</v>
      </c>
      <c r="Z1913" t="str">
        <f t="shared" si="6028"/>
        <v>BIO_GSF_MED_C   →   C_GAS_STRG   →   H2_T&amp;D_P   →   H2_FC_mCHP_HEAT</v>
      </c>
      <c r="AA1913" t="str">
        <f t="shared" si="6029"/>
        <v>Building heat</v>
      </c>
      <c r="AB1913" t="str">
        <f t="shared" si="6030"/>
        <v>Regulatory coverage</v>
      </c>
      <c r="AC1913">
        <f t="shared" ca="1" si="6031"/>
        <v>80</v>
      </c>
      <c r="AD1913">
        <v>1854</v>
      </c>
      <c r="AE1913" t="str">
        <f>IF(AND(ISNUMBER(SEARCH(O1913,4)),ISNUMBER(SEARCH('(4) FCH pathway assessment'!$B$16,AB1913)),ISNUMBER(SEARCH('(4) FCH pathway assessment'!$B$10,AA1913))),AD1913,"")</f>
        <v/>
      </c>
      <c r="AF1913" t="str">
        <f t="shared" si="5807"/>
        <v/>
      </c>
      <c r="AG1913" t="str">
        <f>VLOOKUP(C1913,Assumptions!$B$116:$C$162,2,FALSE)</f>
        <v>BIO_GSF_MED_C</v>
      </c>
      <c r="AH1913" t="str">
        <f>VLOOKUP(D1913,Assumptions!$B$116:$C$162,2,FALSE)</f>
        <v>C_GAS_STRG</v>
      </c>
      <c r="AI1913" t="str">
        <f>VLOOKUP(E1913,Assumptions!$B$116:$C$162,2,FALSE)</f>
        <v>H2_T&amp;D_P</v>
      </c>
      <c r="AJ1913" t="str">
        <f>VLOOKUP(F1913,Assumptions!$B$116:$C$162,2,FALSE)</f>
        <v>H2_FC_mCHP_HEAT</v>
      </c>
    </row>
    <row r="1914" spans="2:36" x14ac:dyDescent="0.25">
      <c r="B1914" t="s">
        <v>117</v>
      </c>
      <c r="C1914" t="s">
        <v>54</v>
      </c>
      <c r="D1914" t="s">
        <v>155</v>
      </c>
      <c r="E1914" t="s">
        <v>157</v>
      </c>
      <c r="F1914" t="s">
        <v>543</v>
      </c>
      <c r="G1914" t="s">
        <v>132</v>
      </c>
      <c r="H1914" t="s">
        <v>434</v>
      </c>
      <c r="I1914" t="s">
        <v>32</v>
      </c>
      <c r="J1914" t="s">
        <v>534</v>
      </c>
      <c r="K1914">
        <f t="shared" si="6018"/>
        <v>0</v>
      </c>
      <c r="L1914">
        <f t="shared" si="6019"/>
        <v>1</v>
      </c>
      <c r="M1914">
        <f t="shared" si="6020"/>
        <v>0</v>
      </c>
      <c r="N1914">
        <f t="shared" si="6021"/>
        <v>0</v>
      </c>
      <c r="O1914">
        <f t="shared" si="6022"/>
        <v>1</v>
      </c>
      <c r="P1914" t="str">
        <f t="shared" si="6023"/>
        <v>Medium centralized biomass gasification w/ CCS-Regulatory coverage</v>
      </c>
      <c r="Q1914" t="str">
        <f t="shared" si="6024"/>
        <v>Central gas storage-Regulatory coverage</v>
      </c>
      <c r="R1914" t="str">
        <f t="shared" si="6025"/>
        <v>Blending in natural gas pipeline-Regulatory coverage</v>
      </c>
      <c r="S1914" t="str">
        <f t="shared" si="6026"/>
        <v>Micro-CHP with H2 fuel cell (heat)-Regulatory coverage</v>
      </c>
      <c r="T1914">
        <f ca="1">VLOOKUP($P1914,'TA database'!$I$8:$J$79,2,FALSE)</f>
        <v>80</v>
      </c>
      <c r="U1914">
        <f ca="1">VLOOKUP($Q1914,'TA database'!$I$86:$J$105,2,FALSE)</f>
        <v>80</v>
      </c>
      <c r="V1914">
        <f ca="1">VLOOKUP($R1914,'TA database'!$I$112:$J$139,2,FALSE)</f>
        <v>100</v>
      </c>
      <c r="W1914">
        <f ca="1">IFERROR(VLOOKUP($S1914,'TA database'!$I$146:$J$193,2,FALSE),0)</f>
        <v>100</v>
      </c>
      <c r="X1914">
        <f>IFERROR(VLOOKUP($S1914,'TA database'!$I$200:$J$271,2,FALSE),0)</f>
        <v>0</v>
      </c>
      <c r="Y1914">
        <f t="shared" ca="1" si="6027"/>
        <v>90</v>
      </c>
      <c r="Z1914" t="str">
        <f t="shared" si="6028"/>
        <v>BIO_GSF_CCS_MED_C   →   C_GAS_STRG   →   H2_BLND_NG_P   →   H2_FC_mCHP_HEAT</v>
      </c>
      <c r="AA1914" t="str">
        <f t="shared" si="6029"/>
        <v>Building heat</v>
      </c>
      <c r="AB1914" t="str">
        <f t="shared" si="6030"/>
        <v>Regulatory coverage</v>
      </c>
      <c r="AC1914">
        <f t="shared" ca="1" si="6031"/>
        <v>90</v>
      </c>
      <c r="AD1914">
        <v>1855</v>
      </c>
      <c r="AE1914" t="str">
        <f>IF(AND(ISNUMBER(SEARCH(O1914,4)),ISNUMBER(SEARCH('(4) FCH pathway assessment'!$B$16,AB1914)),ISNUMBER(SEARCH('(4) FCH pathway assessment'!$B$10,AA1914))),AD1914,"")</f>
        <v/>
      </c>
      <c r="AF1914" t="str">
        <f t="shared" si="5807"/>
        <v/>
      </c>
      <c r="AG1914" t="str">
        <f>VLOOKUP(C1914,Assumptions!$B$116:$C$162,2,FALSE)</f>
        <v>BIO_GSF_CCS_MED_C</v>
      </c>
      <c r="AH1914" t="str">
        <f>VLOOKUP(D1914,Assumptions!$B$116:$C$162,2,FALSE)</f>
        <v>C_GAS_STRG</v>
      </c>
      <c r="AI1914" t="str">
        <f>VLOOKUP(E1914,Assumptions!$B$116:$C$162,2,FALSE)</f>
        <v>H2_BLND_NG_P</v>
      </c>
      <c r="AJ1914" t="str">
        <f>VLOOKUP(F1914,Assumptions!$B$116:$C$162,2,FALSE)</f>
        <v>H2_FC_mCHP_HEAT</v>
      </c>
    </row>
    <row r="1915" spans="2:36" x14ac:dyDescent="0.25">
      <c r="B1915" t="s">
        <v>117</v>
      </c>
      <c r="C1915" t="s">
        <v>54</v>
      </c>
      <c r="D1915" t="s">
        <v>155</v>
      </c>
      <c r="E1915" t="s">
        <v>122</v>
      </c>
      <c r="F1915" t="s">
        <v>543</v>
      </c>
      <c r="G1915" t="s">
        <v>132</v>
      </c>
      <c r="H1915" t="s">
        <v>434</v>
      </c>
      <c r="I1915" t="s">
        <v>32</v>
      </c>
      <c r="J1915" t="s">
        <v>534</v>
      </c>
      <c r="K1915">
        <f t="shared" si="6018"/>
        <v>0</v>
      </c>
      <c r="L1915">
        <f t="shared" si="6019"/>
        <v>1</v>
      </c>
      <c r="M1915">
        <f t="shared" si="6020"/>
        <v>1</v>
      </c>
      <c r="N1915">
        <f t="shared" si="6021"/>
        <v>0</v>
      </c>
      <c r="O1915">
        <f t="shared" si="6022"/>
        <v>2</v>
      </c>
      <c r="P1915" t="str">
        <f t="shared" si="6023"/>
        <v>Medium centralized biomass gasification w/ CCS-Regulatory coverage</v>
      </c>
      <c r="Q1915" t="str">
        <f t="shared" si="6024"/>
        <v>Central gas storage-Regulatory coverage</v>
      </c>
      <c r="R1915" t="str">
        <f t="shared" si="6025"/>
        <v>Hydrogen transmission &amp; distribution pipeline-Regulatory coverage</v>
      </c>
      <c r="S1915" t="str">
        <f t="shared" si="6026"/>
        <v>Micro-CHP with H2 fuel cell (heat)-Regulatory coverage</v>
      </c>
      <c r="T1915">
        <f ca="1">VLOOKUP($P1915,'TA database'!$I$8:$J$79,2,FALSE)</f>
        <v>80</v>
      </c>
      <c r="U1915">
        <f ca="1">VLOOKUP($Q1915,'TA database'!$I$86:$J$105,2,FALSE)</f>
        <v>80</v>
      </c>
      <c r="V1915">
        <f ca="1">VLOOKUP($R1915,'TA database'!$I$112:$J$139,2,FALSE)</f>
        <v>40</v>
      </c>
      <c r="W1915">
        <f ca="1">IFERROR(VLOOKUP($S1915,'TA database'!$I$146:$J$193,2,FALSE),0)</f>
        <v>100</v>
      </c>
      <c r="X1915">
        <f>IFERROR(VLOOKUP($S1915,'TA database'!$I$200:$J$271,2,FALSE),0)</f>
        <v>0</v>
      </c>
      <c r="Y1915">
        <f t="shared" ca="1" si="6027"/>
        <v>75</v>
      </c>
      <c r="Z1915" t="str">
        <f t="shared" si="6028"/>
        <v>BIO_GSF_CCS_MED_C   →   C_GAS_STRG   →   H2_T&amp;D_P   →   H2_FC_mCHP_HEAT</v>
      </c>
      <c r="AA1915" t="str">
        <f t="shared" si="6029"/>
        <v>Building heat</v>
      </c>
      <c r="AB1915" t="str">
        <f t="shared" si="6030"/>
        <v>Regulatory coverage</v>
      </c>
      <c r="AC1915">
        <f t="shared" ca="1" si="6031"/>
        <v>75</v>
      </c>
      <c r="AD1915">
        <v>1856</v>
      </c>
      <c r="AE1915" t="str">
        <f>IF(AND(ISNUMBER(SEARCH(O1915,4)),ISNUMBER(SEARCH('(4) FCH pathway assessment'!$B$16,AB1915)),ISNUMBER(SEARCH('(4) FCH pathway assessment'!$B$10,AA1915))),AD1915,"")</f>
        <v/>
      </c>
      <c r="AF1915" t="str">
        <f t="shared" si="5807"/>
        <v/>
      </c>
      <c r="AG1915" t="str">
        <f>VLOOKUP(C1915,Assumptions!$B$116:$C$162,2,FALSE)</f>
        <v>BIO_GSF_CCS_MED_C</v>
      </c>
      <c r="AH1915" t="str">
        <f>VLOOKUP(D1915,Assumptions!$B$116:$C$162,2,FALSE)</f>
        <v>C_GAS_STRG</v>
      </c>
      <c r="AI1915" t="str">
        <f>VLOOKUP(E1915,Assumptions!$B$116:$C$162,2,FALSE)</f>
        <v>H2_T&amp;D_P</v>
      </c>
      <c r="AJ1915" t="str">
        <f>VLOOKUP(F1915,Assumptions!$B$116:$C$162,2,FALSE)</f>
        <v>H2_FC_mCHP_HEAT</v>
      </c>
    </row>
    <row r="1916" spans="2:36" x14ac:dyDescent="0.25">
      <c r="B1916" t="s">
        <v>117</v>
      </c>
      <c r="C1916" t="s">
        <v>55</v>
      </c>
      <c r="D1916" s="60" t="s">
        <v>130</v>
      </c>
      <c r="E1916" t="s">
        <v>128</v>
      </c>
      <c r="F1916" t="s">
        <v>543</v>
      </c>
      <c r="G1916" t="s">
        <v>132</v>
      </c>
      <c r="H1916" t="s">
        <v>434</v>
      </c>
      <c r="I1916" t="s">
        <v>32</v>
      </c>
      <c r="J1916" t="s">
        <v>534</v>
      </c>
      <c r="K1916">
        <f t="shared" ref="K1916:K1918" si="6032">SUMPRODUCT(($C$7:$C$18=$C1916)*($D$6:$H$6=$D1916)*($D$7:$H$18))</f>
        <v>0</v>
      </c>
      <c r="L1916">
        <f t="shared" ref="L1916:L1918" si="6033">SUMPRODUCT(($C$19:$C$23=$D1916)*($I$6:$O$6=$E1916)*($I$19:$O$23))</f>
        <v>1</v>
      </c>
      <c r="M1916">
        <f t="shared" ref="M1916:M1918" si="6034">SUMPRODUCT(($C$24:$C$30=$E1916)*($P$6:$AI$6=$F1916)*($P$24:$AI$30))</f>
        <v>1</v>
      </c>
      <c r="N1916">
        <f t="shared" ref="N1916:N1918" si="6035">SUMPRODUCT(($C$31:$C$50=$F1916)*($AJ$6:$AM$6=$G1916)*($AJ$31:$AM$50))</f>
        <v>0</v>
      </c>
      <c r="O1916">
        <f t="shared" ref="O1916:O1918" si="6036">K1916+L1916+M1916+N1916</f>
        <v>2</v>
      </c>
      <c r="P1916" t="str">
        <f t="shared" ref="P1916:P1918" si="6037">CONCATENATE(C1916,"-",J1916)</f>
        <v>Small decentralized biomass gasification-Regulatory coverage</v>
      </c>
      <c r="Q1916" t="str">
        <f t="shared" ref="Q1916:Q1918" si="6038">CONCATENATE(D1916,"-",J1916)</f>
        <v>Distributed gas storage-Regulatory coverage</v>
      </c>
      <c r="R1916" t="str">
        <f t="shared" ref="R1916:R1918" si="6039">CONCATENATE(E1916,"-",J1916)</f>
        <v>Hydrogen distribution pipeline-Regulatory coverage</v>
      </c>
      <c r="S1916" t="str">
        <f t="shared" ref="S1916:S1918" si="6040">CONCATENATE(F1916,"-",J1916)</f>
        <v>Micro-CHP with H2 fuel cell (heat)-Regulatory coverage</v>
      </c>
      <c r="T1916">
        <f ca="1">VLOOKUP($P1916,'TA database'!$I$8:$J$79,2,FALSE)</f>
        <v>100</v>
      </c>
      <c r="U1916">
        <f ca="1">VLOOKUP($Q1916,'TA database'!$I$86:$J$105,2,FALSE)</f>
        <v>100</v>
      </c>
      <c r="V1916">
        <f ca="1">VLOOKUP($R1916,'TA database'!$I$112:$J$139,2,FALSE)</f>
        <v>40</v>
      </c>
      <c r="W1916">
        <f ca="1">IFERROR(VLOOKUP($S1916,'TA database'!$I$146:$J$193,2,FALSE),0)</f>
        <v>100</v>
      </c>
      <c r="X1916">
        <f>IFERROR(VLOOKUP($S1916,'TA database'!$I$200:$J$271,2,FALSE),0)</f>
        <v>0</v>
      </c>
      <c r="Y1916">
        <f t="shared" ref="Y1916:Y1918" ca="1" si="6041">IF($W1916=0,SUM($T1916:$V1916,$X1916)/4,SUM($T1916:$W1916)/4)</f>
        <v>85</v>
      </c>
      <c r="Z1916" t="str">
        <f t="shared" ref="Z1916:Z1918" si="6042">CONCATENATE(AG1916,"   →   ",AH1916,"   →   ",AI1916,"   →   ",AJ1916)</f>
        <v>BIO_GSF_SML_D   →   D_GAS_STRG   →   H2_DSTRB_P   →   H2_FC_mCHP_HEAT</v>
      </c>
      <c r="AA1916" t="str">
        <f t="shared" ref="AA1916:AA1918" si="6043">G1916</f>
        <v>Building heat</v>
      </c>
      <c r="AB1916" t="str">
        <f t="shared" ref="AB1916:AB1918" si="6044">J1916</f>
        <v>Regulatory coverage</v>
      </c>
      <c r="AC1916">
        <f t="shared" ref="AC1916:AC1918" ca="1" si="6045">Y1916</f>
        <v>85</v>
      </c>
      <c r="AD1916">
        <v>1857</v>
      </c>
      <c r="AE1916" t="str">
        <f>IF(AND(ISNUMBER(SEARCH(O1916,4)),ISNUMBER(SEARCH('(4) FCH pathway assessment'!$B$16,AB1916)),ISNUMBER(SEARCH('(4) FCH pathway assessment'!$B$10,AA1916))),AD1916,"")</f>
        <v/>
      </c>
      <c r="AF1916" t="str">
        <f t="shared" ref="AF1916:AF1979" si="6046">IFERROR(SMALL($AE$60:$AE$1991,AD1916),"")</f>
        <v/>
      </c>
      <c r="AG1916" t="str">
        <f>VLOOKUP(C1916,Assumptions!$B$116:$C$162,2,FALSE)</f>
        <v>BIO_GSF_SML_D</v>
      </c>
      <c r="AH1916" t="str">
        <f>VLOOKUP(D1916,Assumptions!$B$116:$C$162,2,FALSE)</f>
        <v>D_GAS_STRG</v>
      </c>
      <c r="AI1916" t="str">
        <f>VLOOKUP(E1916,Assumptions!$B$116:$C$162,2,FALSE)</f>
        <v>H2_DSTRB_P</v>
      </c>
      <c r="AJ1916" t="str">
        <f>VLOOKUP(F1916,Assumptions!$B$116:$C$162,2,FALSE)</f>
        <v>H2_FC_mCHP_HEAT</v>
      </c>
    </row>
    <row r="1917" spans="2:36" x14ac:dyDescent="0.25">
      <c r="B1917" t="s">
        <v>117</v>
      </c>
      <c r="C1917" t="s">
        <v>56</v>
      </c>
      <c r="D1917" t="s">
        <v>62</v>
      </c>
      <c r="E1917" t="s">
        <v>157</v>
      </c>
      <c r="F1917" t="s">
        <v>543</v>
      </c>
      <c r="G1917" t="s">
        <v>132</v>
      </c>
      <c r="H1917" t="s">
        <v>434</v>
      </c>
      <c r="I1917" t="s">
        <v>32</v>
      </c>
      <c r="J1917" t="s">
        <v>534</v>
      </c>
      <c r="K1917">
        <f t="shared" si="6032"/>
        <v>0</v>
      </c>
      <c r="L1917">
        <f t="shared" si="6033"/>
        <v>0</v>
      </c>
      <c r="M1917">
        <f t="shared" si="6034"/>
        <v>0</v>
      </c>
      <c r="N1917">
        <f t="shared" si="6035"/>
        <v>0</v>
      </c>
      <c r="O1917">
        <f t="shared" si="6036"/>
        <v>0</v>
      </c>
      <c r="P1917" t="str">
        <f t="shared" si="6037"/>
        <v>Large centralized biomass steam reforming -Regulatory coverage</v>
      </c>
      <c r="Q1917" t="str">
        <f t="shared" si="6038"/>
        <v>Underground storage-Regulatory coverage</v>
      </c>
      <c r="R1917" t="str">
        <f t="shared" si="6039"/>
        <v>Blending in natural gas pipeline-Regulatory coverage</v>
      </c>
      <c r="S1917" t="str">
        <f t="shared" si="6040"/>
        <v>Micro-CHP with H2 fuel cell (heat)-Regulatory coverage</v>
      </c>
      <c r="T1917">
        <f ca="1">VLOOKUP($P1917,'TA database'!$I$8:$J$79,2,FALSE)</f>
        <v>100</v>
      </c>
      <c r="U1917">
        <f ca="1">VLOOKUP($Q1917,'TA database'!$I$86:$J$105,2,FALSE)</f>
        <v>0</v>
      </c>
      <c r="V1917">
        <f ca="1">VLOOKUP($R1917,'TA database'!$I$112:$J$139,2,FALSE)</f>
        <v>100</v>
      </c>
      <c r="W1917">
        <f ca="1">IFERROR(VLOOKUP($S1917,'TA database'!$I$146:$J$193,2,FALSE),0)</f>
        <v>100</v>
      </c>
      <c r="X1917">
        <f>IFERROR(VLOOKUP($S1917,'TA database'!$I$200:$J$271,2,FALSE),0)</f>
        <v>0</v>
      </c>
      <c r="Y1917">
        <f t="shared" ca="1" si="6041"/>
        <v>75</v>
      </c>
      <c r="Z1917" t="str">
        <f t="shared" si="6042"/>
        <v>BIO_SR_LRG_C   →   C_UNDRGRND_STRG   →   H2_BLND_NG_P   →   H2_FC_mCHP_HEAT</v>
      </c>
      <c r="AA1917" t="str">
        <f t="shared" si="6043"/>
        <v>Building heat</v>
      </c>
      <c r="AB1917" t="str">
        <f t="shared" si="6044"/>
        <v>Regulatory coverage</v>
      </c>
      <c r="AC1917">
        <f t="shared" ca="1" si="6045"/>
        <v>75</v>
      </c>
      <c r="AD1917">
        <v>1858</v>
      </c>
      <c r="AE1917" t="str">
        <f>IF(AND(ISNUMBER(SEARCH(O1917,4)),ISNUMBER(SEARCH('(4) FCH pathway assessment'!$B$16,AB1917)),ISNUMBER(SEARCH('(4) FCH pathway assessment'!$B$10,AA1917))),AD1917,"")</f>
        <v/>
      </c>
      <c r="AF1917" t="str">
        <f t="shared" si="6046"/>
        <v/>
      </c>
      <c r="AG1917" t="str">
        <f>VLOOKUP(C1917,Assumptions!$B$116:$C$162,2,FALSE)</f>
        <v>BIO_SR_LRG_C</v>
      </c>
      <c r="AH1917" t="str">
        <f>VLOOKUP(D1917,Assumptions!$B$116:$C$162,2,FALSE)</f>
        <v>C_UNDRGRND_STRG</v>
      </c>
      <c r="AI1917" t="str">
        <f>VLOOKUP(E1917,Assumptions!$B$116:$C$162,2,FALSE)</f>
        <v>H2_BLND_NG_P</v>
      </c>
      <c r="AJ1917" t="str">
        <f>VLOOKUP(F1917,Assumptions!$B$116:$C$162,2,FALSE)</f>
        <v>H2_FC_mCHP_HEAT</v>
      </c>
    </row>
    <row r="1918" spans="2:36" x14ac:dyDescent="0.25">
      <c r="B1918" t="s">
        <v>117</v>
      </c>
      <c r="C1918" t="s">
        <v>56</v>
      </c>
      <c r="D1918" t="s">
        <v>62</v>
      </c>
      <c r="E1918" t="s">
        <v>122</v>
      </c>
      <c r="F1918" t="s">
        <v>543</v>
      </c>
      <c r="G1918" t="s">
        <v>132</v>
      </c>
      <c r="H1918" t="s">
        <v>434</v>
      </c>
      <c r="I1918" t="s">
        <v>32</v>
      </c>
      <c r="J1918" t="s">
        <v>534</v>
      </c>
      <c r="K1918">
        <f t="shared" si="6032"/>
        <v>0</v>
      </c>
      <c r="L1918">
        <f t="shared" si="6033"/>
        <v>0</v>
      </c>
      <c r="M1918">
        <f t="shared" si="6034"/>
        <v>1</v>
      </c>
      <c r="N1918">
        <f t="shared" si="6035"/>
        <v>0</v>
      </c>
      <c r="O1918">
        <f t="shared" si="6036"/>
        <v>1</v>
      </c>
      <c r="P1918" t="str">
        <f t="shared" si="6037"/>
        <v>Large centralized biomass steam reforming -Regulatory coverage</v>
      </c>
      <c r="Q1918" t="str">
        <f t="shared" si="6038"/>
        <v>Underground storage-Regulatory coverage</v>
      </c>
      <c r="R1918" t="str">
        <f t="shared" si="6039"/>
        <v>Hydrogen transmission &amp; distribution pipeline-Regulatory coverage</v>
      </c>
      <c r="S1918" t="str">
        <f t="shared" si="6040"/>
        <v>Micro-CHP with H2 fuel cell (heat)-Regulatory coverage</v>
      </c>
      <c r="T1918">
        <f ca="1">VLOOKUP($P1918,'TA database'!$I$8:$J$79,2,FALSE)</f>
        <v>100</v>
      </c>
      <c r="U1918">
        <f ca="1">VLOOKUP($Q1918,'TA database'!$I$86:$J$105,2,FALSE)</f>
        <v>0</v>
      </c>
      <c r="V1918">
        <f ca="1">VLOOKUP($R1918,'TA database'!$I$112:$J$139,2,FALSE)</f>
        <v>40</v>
      </c>
      <c r="W1918">
        <f ca="1">IFERROR(VLOOKUP($S1918,'TA database'!$I$146:$J$193,2,FALSE),0)</f>
        <v>100</v>
      </c>
      <c r="X1918">
        <f>IFERROR(VLOOKUP($S1918,'TA database'!$I$200:$J$271,2,FALSE),0)</f>
        <v>0</v>
      </c>
      <c r="Y1918">
        <f t="shared" ca="1" si="6041"/>
        <v>60</v>
      </c>
      <c r="Z1918" t="str">
        <f t="shared" si="6042"/>
        <v>BIO_SR_LRG_C   →   C_UNDRGRND_STRG   →   H2_T&amp;D_P   →   H2_FC_mCHP_HEAT</v>
      </c>
      <c r="AA1918" t="str">
        <f t="shared" si="6043"/>
        <v>Building heat</v>
      </c>
      <c r="AB1918" t="str">
        <f t="shared" si="6044"/>
        <v>Regulatory coverage</v>
      </c>
      <c r="AC1918">
        <f t="shared" ca="1" si="6045"/>
        <v>60</v>
      </c>
      <c r="AD1918">
        <v>1859</v>
      </c>
      <c r="AE1918" t="str">
        <f>IF(AND(ISNUMBER(SEARCH(O1918,4)),ISNUMBER(SEARCH('(4) FCH pathway assessment'!$B$16,AB1918)),ISNUMBER(SEARCH('(4) FCH pathway assessment'!$B$10,AA1918))),AD1918,"")</f>
        <v/>
      </c>
      <c r="AF1918" t="str">
        <f t="shared" si="6046"/>
        <v/>
      </c>
      <c r="AG1918" t="str">
        <f>VLOOKUP(C1918,Assumptions!$B$116:$C$162,2,FALSE)</f>
        <v>BIO_SR_LRG_C</v>
      </c>
      <c r="AH1918" t="str">
        <f>VLOOKUP(D1918,Assumptions!$B$116:$C$162,2,FALSE)</f>
        <v>C_UNDRGRND_STRG</v>
      </c>
      <c r="AI1918" t="str">
        <f>VLOOKUP(E1918,Assumptions!$B$116:$C$162,2,FALSE)</f>
        <v>H2_T&amp;D_P</v>
      </c>
      <c r="AJ1918" t="str">
        <f>VLOOKUP(F1918,Assumptions!$B$116:$C$162,2,FALSE)</f>
        <v>H2_FC_mCHP_HEAT</v>
      </c>
    </row>
    <row r="1919" spans="2:36" x14ac:dyDescent="0.25">
      <c r="B1919" t="s">
        <v>117</v>
      </c>
      <c r="C1919" t="s">
        <v>56</v>
      </c>
      <c r="D1919" s="61" t="s">
        <v>63</v>
      </c>
      <c r="E1919" t="s">
        <v>122</v>
      </c>
      <c r="F1919" t="s">
        <v>543</v>
      </c>
      <c r="G1919" t="s">
        <v>132</v>
      </c>
      <c r="H1919" t="s">
        <v>434</v>
      </c>
      <c r="I1919" t="s">
        <v>32</v>
      </c>
      <c r="J1919" t="s">
        <v>534</v>
      </c>
      <c r="K1919">
        <f t="shared" ref="K1919:K1925" si="6047">SUMPRODUCT(($C$7:$C$18=$C1919)*($D$6:$H$6=$D1919)*($D$7:$H$18))</f>
        <v>0</v>
      </c>
      <c r="L1919">
        <f t="shared" ref="L1919:L1925" si="6048">SUMPRODUCT(($C$19:$C$23=$D1919)*($I$6:$O$6=$E1919)*($I$19:$O$23))</f>
        <v>1</v>
      </c>
      <c r="M1919">
        <f t="shared" ref="M1919:M1925" si="6049">SUMPRODUCT(($C$24:$C$30=$E1919)*($P$6:$AI$6=$F1919)*($P$24:$AI$30))</f>
        <v>1</v>
      </c>
      <c r="N1919">
        <f t="shared" ref="N1919:N1925" si="6050">SUMPRODUCT(($C$31:$C$50=$F1919)*($AJ$6:$AM$6=$G1919)*($AJ$31:$AM$50))</f>
        <v>0</v>
      </c>
      <c r="O1919">
        <f t="shared" ref="O1919:O1925" si="6051">K1919+L1919+M1919+N1919</f>
        <v>2</v>
      </c>
      <c r="P1919" t="str">
        <f t="shared" ref="P1919:P1925" si="6052">CONCATENATE(C1919,"-",J1919)</f>
        <v>Large centralized biomass steam reforming -Regulatory coverage</v>
      </c>
      <c r="Q1919" t="str">
        <f t="shared" ref="Q1919:Q1925" si="6053">CONCATENATE(D1919,"-",J1919)</f>
        <v>No storage-Regulatory coverage</v>
      </c>
      <c r="R1919" t="str">
        <f t="shared" ref="R1919:R1925" si="6054">CONCATENATE(E1919,"-",J1919)</f>
        <v>Hydrogen transmission &amp; distribution pipeline-Regulatory coverage</v>
      </c>
      <c r="S1919" t="str">
        <f t="shared" ref="S1919:S1925" si="6055">CONCATENATE(F1919,"-",J1919)</f>
        <v>Micro-CHP with H2 fuel cell (heat)-Regulatory coverage</v>
      </c>
      <c r="T1919">
        <f ca="1">VLOOKUP($P1919,'TA database'!$I$8:$J$79,2,FALSE)</f>
        <v>100</v>
      </c>
      <c r="U1919">
        <f ca="1">VLOOKUP($Q1919,'TA database'!$I$86:$J$105,2,FALSE)</f>
        <v>100</v>
      </c>
      <c r="V1919">
        <f ca="1">VLOOKUP($R1919,'TA database'!$I$112:$J$139,2,FALSE)</f>
        <v>40</v>
      </c>
      <c r="W1919">
        <f ca="1">IFERROR(VLOOKUP($S1919,'TA database'!$I$146:$J$193,2,FALSE),0)</f>
        <v>100</v>
      </c>
      <c r="X1919">
        <f>IFERROR(VLOOKUP($S1919,'TA database'!$I$200:$J$271,2,FALSE),0)</f>
        <v>0</v>
      </c>
      <c r="Y1919">
        <f t="shared" ref="Y1919:Y1923" ca="1" si="6056">IF($W1919=0,SUM($T1919:$V1919,$X1919)/4,SUM($T1919:$W1919)/4)</f>
        <v>85</v>
      </c>
      <c r="Z1919" t="str">
        <f t="shared" ref="Z1919:Z1925" si="6057">CONCATENATE(AG1919,"   →   ",AH1919,"   →   ",AI1919,"   →   ",AJ1919)</f>
        <v>BIO_SR_LRG_C   →   NO_STRG   →   H2_T&amp;D_P   →   H2_FC_mCHP_HEAT</v>
      </c>
      <c r="AA1919" t="str">
        <f t="shared" ref="AA1919:AA1925" si="6058">G1919</f>
        <v>Building heat</v>
      </c>
      <c r="AB1919" t="str">
        <f t="shared" ref="AB1919:AB1925" si="6059">J1919</f>
        <v>Regulatory coverage</v>
      </c>
      <c r="AC1919">
        <f t="shared" ref="AC1919:AC1925" ca="1" si="6060">Y1919</f>
        <v>85</v>
      </c>
      <c r="AD1919">
        <v>1860</v>
      </c>
      <c r="AE1919" t="str">
        <f>IF(AND(ISNUMBER(SEARCH(O1919,4)),ISNUMBER(SEARCH('(4) FCH pathway assessment'!$B$16,AB1919)),ISNUMBER(SEARCH('(4) FCH pathway assessment'!$B$10,AA1919))),AD1919,"")</f>
        <v/>
      </c>
      <c r="AF1919" t="str">
        <f t="shared" si="6046"/>
        <v/>
      </c>
      <c r="AG1919" t="str">
        <f>VLOOKUP(C1919,Assumptions!$B$116:$C$162,2,FALSE)</f>
        <v>BIO_SR_LRG_C</v>
      </c>
      <c r="AH1919" t="str">
        <f>VLOOKUP(D1919,Assumptions!$B$116:$C$162,2,FALSE)</f>
        <v>NO_STRG</v>
      </c>
      <c r="AI1919" t="str">
        <f>VLOOKUP(E1919,Assumptions!$B$116:$C$162,2,FALSE)</f>
        <v>H2_T&amp;D_P</v>
      </c>
      <c r="AJ1919" t="str">
        <f>VLOOKUP(F1919,Assumptions!$B$116:$C$162,2,FALSE)</f>
        <v>H2_FC_mCHP_HEAT</v>
      </c>
    </row>
    <row r="1920" spans="2:36" x14ac:dyDescent="0.25">
      <c r="B1920" t="s">
        <v>112</v>
      </c>
      <c r="C1920" t="s">
        <v>49</v>
      </c>
      <c r="D1920" t="s">
        <v>62</v>
      </c>
      <c r="E1920" t="s">
        <v>157</v>
      </c>
      <c r="F1920" t="s">
        <v>543</v>
      </c>
      <c r="G1920" t="s">
        <v>132</v>
      </c>
      <c r="H1920" t="s">
        <v>434</v>
      </c>
      <c r="I1920" t="s">
        <v>32</v>
      </c>
      <c r="J1920" t="s">
        <v>534</v>
      </c>
      <c r="K1920">
        <f t="shared" si="6047"/>
        <v>1</v>
      </c>
      <c r="L1920">
        <f t="shared" si="6048"/>
        <v>0</v>
      </c>
      <c r="M1920">
        <f t="shared" si="6049"/>
        <v>0</v>
      </c>
      <c r="N1920">
        <f t="shared" si="6050"/>
        <v>0</v>
      </c>
      <c r="O1920">
        <f t="shared" si="6051"/>
        <v>1</v>
      </c>
      <c r="P1920" t="str">
        <f t="shared" si="6052"/>
        <v>Large centralized electrolysis-Regulatory coverage</v>
      </c>
      <c r="Q1920" t="str">
        <f t="shared" si="6053"/>
        <v>Underground storage-Regulatory coverage</v>
      </c>
      <c r="R1920" t="str">
        <f t="shared" si="6054"/>
        <v>Blending in natural gas pipeline-Regulatory coverage</v>
      </c>
      <c r="S1920" t="str">
        <f t="shared" si="6055"/>
        <v>Micro-CHP with H2 fuel cell (heat)-Regulatory coverage</v>
      </c>
      <c r="T1920">
        <f ca="1">VLOOKUP($P1920,'TA database'!$I$8:$J$79,2,FALSE)</f>
        <v>100</v>
      </c>
      <c r="U1920">
        <f ca="1">VLOOKUP($Q1920,'TA database'!$I$86:$J$105,2,FALSE)</f>
        <v>0</v>
      </c>
      <c r="V1920">
        <f ca="1">VLOOKUP($R1920,'TA database'!$I$112:$J$139,2,FALSE)</f>
        <v>100</v>
      </c>
      <c r="W1920">
        <f ca="1">IFERROR(VLOOKUP($S1920,'TA database'!$I$146:$J$193,2,FALSE),0)</f>
        <v>100</v>
      </c>
      <c r="X1920">
        <f>IFERROR(VLOOKUP($S1920,'TA database'!$I$200:$J$271,2,FALSE),0)</f>
        <v>0</v>
      </c>
      <c r="Y1920">
        <f t="shared" ca="1" si="6056"/>
        <v>75</v>
      </c>
      <c r="Z1920" t="str">
        <f t="shared" si="6057"/>
        <v>ELCTRLYZ_LRG_C   →   C_UNDRGRND_STRG   →   H2_BLND_NG_P   →   H2_FC_mCHP_HEAT</v>
      </c>
      <c r="AA1920" t="str">
        <f t="shared" si="6058"/>
        <v>Building heat</v>
      </c>
      <c r="AB1920" t="str">
        <f t="shared" si="6059"/>
        <v>Regulatory coverage</v>
      </c>
      <c r="AC1920">
        <f t="shared" ca="1" si="6060"/>
        <v>75</v>
      </c>
      <c r="AD1920">
        <v>1861</v>
      </c>
      <c r="AE1920" t="str">
        <f>IF(AND(ISNUMBER(SEARCH(O1920,4)),ISNUMBER(SEARCH('(4) FCH pathway assessment'!$B$16,AB1920)),ISNUMBER(SEARCH('(4) FCH pathway assessment'!$B$10,AA1920))),AD1920,"")</f>
        <v/>
      </c>
      <c r="AF1920" t="str">
        <f t="shared" si="6046"/>
        <v/>
      </c>
      <c r="AG1920" t="str">
        <f>VLOOKUP(C1920,Assumptions!$B$116:$C$162,2,FALSE)</f>
        <v>ELCTRLYZ_LRG_C</v>
      </c>
      <c r="AH1920" t="str">
        <f>VLOOKUP(D1920,Assumptions!$B$116:$C$162,2,FALSE)</f>
        <v>C_UNDRGRND_STRG</v>
      </c>
      <c r="AI1920" t="str">
        <f>VLOOKUP(E1920,Assumptions!$B$116:$C$162,2,FALSE)</f>
        <v>H2_BLND_NG_P</v>
      </c>
      <c r="AJ1920" t="str">
        <f>VLOOKUP(F1920,Assumptions!$B$116:$C$162,2,FALSE)</f>
        <v>H2_FC_mCHP_HEAT</v>
      </c>
    </row>
    <row r="1921" spans="2:36" x14ac:dyDescent="0.25">
      <c r="B1921" t="s">
        <v>112</v>
      </c>
      <c r="C1921" t="s">
        <v>49</v>
      </c>
      <c r="D1921" t="s">
        <v>62</v>
      </c>
      <c r="E1921" t="s">
        <v>122</v>
      </c>
      <c r="F1921" t="s">
        <v>543</v>
      </c>
      <c r="G1921" t="s">
        <v>132</v>
      </c>
      <c r="H1921" t="s">
        <v>434</v>
      </c>
      <c r="I1921" t="s">
        <v>32</v>
      </c>
      <c r="J1921" t="s">
        <v>534</v>
      </c>
      <c r="K1921">
        <f t="shared" si="6047"/>
        <v>1</v>
      </c>
      <c r="L1921">
        <f t="shared" si="6048"/>
        <v>0</v>
      </c>
      <c r="M1921">
        <f t="shared" si="6049"/>
        <v>1</v>
      </c>
      <c r="N1921">
        <f t="shared" si="6050"/>
        <v>0</v>
      </c>
      <c r="O1921">
        <f t="shared" si="6051"/>
        <v>2</v>
      </c>
      <c r="P1921" t="str">
        <f t="shared" si="6052"/>
        <v>Large centralized electrolysis-Regulatory coverage</v>
      </c>
      <c r="Q1921" t="str">
        <f t="shared" si="6053"/>
        <v>Underground storage-Regulatory coverage</v>
      </c>
      <c r="R1921" t="str">
        <f t="shared" si="6054"/>
        <v>Hydrogen transmission &amp; distribution pipeline-Regulatory coverage</v>
      </c>
      <c r="S1921" t="str">
        <f t="shared" si="6055"/>
        <v>Micro-CHP with H2 fuel cell (heat)-Regulatory coverage</v>
      </c>
      <c r="T1921">
        <f ca="1">VLOOKUP($P1921,'TA database'!$I$8:$J$79,2,FALSE)</f>
        <v>100</v>
      </c>
      <c r="U1921">
        <f ca="1">VLOOKUP($Q1921,'TA database'!$I$86:$J$105,2,FALSE)</f>
        <v>0</v>
      </c>
      <c r="V1921">
        <f ca="1">VLOOKUP($R1921,'TA database'!$I$112:$J$139,2,FALSE)</f>
        <v>40</v>
      </c>
      <c r="W1921">
        <f ca="1">IFERROR(VLOOKUP($S1921,'TA database'!$I$146:$J$193,2,FALSE),0)</f>
        <v>100</v>
      </c>
      <c r="X1921">
        <f>IFERROR(VLOOKUP($S1921,'TA database'!$I$200:$J$271,2,FALSE),0)</f>
        <v>0</v>
      </c>
      <c r="Y1921">
        <f t="shared" ca="1" si="6056"/>
        <v>60</v>
      </c>
      <c r="Z1921" t="str">
        <f t="shared" si="6057"/>
        <v>ELCTRLYZ_LRG_C   →   C_UNDRGRND_STRG   →   H2_T&amp;D_P   →   H2_FC_mCHP_HEAT</v>
      </c>
      <c r="AA1921" t="str">
        <f t="shared" si="6058"/>
        <v>Building heat</v>
      </c>
      <c r="AB1921" t="str">
        <f t="shared" si="6059"/>
        <v>Regulatory coverage</v>
      </c>
      <c r="AC1921">
        <f t="shared" ca="1" si="6060"/>
        <v>60</v>
      </c>
      <c r="AD1921">
        <v>1862</v>
      </c>
      <c r="AE1921" t="str">
        <f>IF(AND(ISNUMBER(SEARCH(O1921,4)),ISNUMBER(SEARCH('(4) FCH pathway assessment'!$B$16,AB1921)),ISNUMBER(SEARCH('(4) FCH pathway assessment'!$B$10,AA1921))),AD1921,"")</f>
        <v/>
      </c>
      <c r="AF1921" t="str">
        <f t="shared" si="6046"/>
        <v/>
      </c>
      <c r="AG1921" t="str">
        <f>VLOOKUP(C1921,Assumptions!$B$116:$C$162,2,FALSE)</f>
        <v>ELCTRLYZ_LRG_C</v>
      </c>
      <c r="AH1921" t="str">
        <f>VLOOKUP(D1921,Assumptions!$B$116:$C$162,2,FALSE)</f>
        <v>C_UNDRGRND_STRG</v>
      </c>
      <c r="AI1921" t="str">
        <f>VLOOKUP(E1921,Assumptions!$B$116:$C$162,2,FALSE)</f>
        <v>H2_T&amp;D_P</v>
      </c>
      <c r="AJ1921" t="str">
        <f>VLOOKUP(F1921,Assumptions!$B$116:$C$162,2,FALSE)</f>
        <v>H2_FC_mCHP_HEAT</v>
      </c>
    </row>
    <row r="1922" spans="2:36" x14ac:dyDescent="0.25">
      <c r="B1922" t="s">
        <v>112</v>
      </c>
      <c r="C1922" t="s">
        <v>49</v>
      </c>
      <c r="D1922" t="s">
        <v>155</v>
      </c>
      <c r="E1922" t="s">
        <v>157</v>
      </c>
      <c r="F1922" t="s">
        <v>543</v>
      </c>
      <c r="G1922" t="s">
        <v>132</v>
      </c>
      <c r="H1922" t="s">
        <v>434</v>
      </c>
      <c r="I1922" t="s">
        <v>32</v>
      </c>
      <c r="J1922" t="s">
        <v>534</v>
      </c>
      <c r="K1922">
        <f t="shared" si="6047"/>
        <v>1</v>
      </c>
      <c r="L1922">
        <f t="shared" si="6048"/>
        <v>1</v>
      </c>
      <c r="M1922">
        <f t="shared" si="6049"/>
        <v>0</v>
      </c>
      <c r="N1922">
        <f t="shared" si="6050"/>
        <v>0</v>
      </c>
      <c r="O1922">
        <f t="shared" si="6051"/>
        <v>2</v>
      </c>
      <c r="P1922" t="str">
        <f t="shared" si="6052"/>
        <v>Large centralized electrolysis-Regulatory coverage</v>
      </c>
      <c r="Q1922" t="str">
        <f t="shared" si="6053"/>
        <v>Central gas storage-Regulatory coverage</v>
      </c>
      <c r="R1922" t="str">
        <f t="shared" si="6054"/>
        <v>Blending in natural gas pipeline-Regulatory coverage</v>
      </c>
      <c r="S1922" t="str">
        <f t="shared" si="6055"/>
        <v>Micro-CHP with H2 fuel cell (heat)-Regulatory coverage</v>
      </c>
      <c r="T1922">
        <f ca="1">VLOOKUP($P1922,'TA database'!$I$8:$J$79,2,FALSE)</f>
        <v>100</v>
      </c>
      <c r="U1922">
        <f ca="1">VLOOKUP($Q1922,'TA database'!$I$86:$J$105,2,FALSE)</f>
        <v>80</v>
      </c>
      <c r="V1922">
        <f ca="1">VLOOKUP($R1922,'TA database'!$I$112:$J$139,2,FALSE)</f>
        <v>100</v>
      </c>
      <c r="W1922">
        <f ca="1">IFERROR(VLOOKUP($S1922,'TA database'!$I$146:$J$193,2,FALSE),0)</f>
        <v>100</v>
      </c>
      <c r="X1922">
        <f>IFERROR(VLOOKUP($S1922,'TA database'!$I$200:$J$271,2,FALSE),0)</f>
        <v>0</v>
      </c>
      <c r="Y1922">
        <f t="shared" ca="1" si="6056"/>
        <v>95</v>
      </c>
      <c r="Z1922" t="str">
        <f t="shared" si="6057"/>
        <v>ELCTRLYZ_LRG_C   →   C_GAS_STRG   →   H2_BLND_NG_P   →   H2_FC_mCHP_HEAT</v>
      </c>
      <c r="AA1922" t="str">
        <f t="shared" si="6058"/>
        <v>Building heat</v>
      </c>
      <c r="AB1922" t="str">
        <f t="shared" si="6059"/>
        <v>Regulatory coverage</v>
      </c>
      <c r="AC1922">
        <f t="shared" ca="1" si="6060"/>
        <v>95</v>
      </c>
      <c r="AD1922">
        <v>1863</v>
      </c>
      <c r="AE1922" t="str">
        <f>IF(AND(ISNUMBER(SEARCH(O1922,4)),ISNUMBER(SEARCH('(4) FCH pathway assessment'!$B$16,AB1922)),ISNUMBER(SEARCH('(4) FCH pathway assessment'!$B$10,AA1922))),AD1922,"")</f>
        <v/>
      </c>
      <c r="AF1922" t="str">
        <f t="shared" si="6046"/>
        <v/>
      </c>
      <c r="AG1922" t="str">
        <f>VLOOKUP(C1922,Assumptions!$B$116:$C$162,2,FALSE)</f>
        <v>ELCTRLYZ_LRG_C</v>
      </c>
      <c r="AH1922" t="str">
        <f>VLOOKUP(D1922,Assumptions!$B$116:$C$162,2,FALSE)</f>
        <v>C_GAS_STRG</v>
      </c>
      <c r="AI1922" t="str">
        <f>VLOOKUP(E1922,Assumptions!$B$116:$C$162,2,FALSE)</f>
        <v>H2_BLND_NG_P</v>
      </c>
      <c r="AJ1922" t="str">
        <f>VLOOKUP(F1922,Assumptions!$B$116:$C$162,2,FALSE)</f>
        <v>H2_FC_mCHP_HEAT</v>
      </c>
    </row>
    <row r="1923" spans="2:36" x14ac:dyDescent="0.25">
      <c r="B1923" t="s">
        <v>112</v>
      </c>
      <c r="C1923" t="s">
        <v>49</v>
      </c>
      <c r="D1923" t="s">
        <v>155</v>
      </c>
      <c r="E1923" t="s">
        <v>122</v>
      </c>
      <c r="F1923" t="s">
        <v>543</v>
      </c>
      <c r="G1923" t="s">
        <v>132</v>
      </c>
      <c r="H1923" t="s">
        <v>434</v>
      </c>
      <c r="I1923" t="s">
        <v>32</v>
      </c>
      <c r="J1923" t="s">
        <v>534</v>
      </c>
      <c r="K1923">
        <f t="shared" si="6047"/>
        <v>1</v>
      </c>
      <c r="L1923">
        <f t="shared" si="6048"/>
        <v>1</v>
      </c>
      <c r="M1923">
        <f t="shared" si="6049"/>
        <v>1</v>
      </c>
      <c r="N1923">
        <f t="shared" si="6050"/>
        <v>0</v>
      </c>
      <c r="O1923">
        <f t="shared" si="6051"/>
        <v>3</v>
      </c>
      <c r="P1923" t="str">
        <f t="shared" si="6052"/>
        <v>Large centralized electrolysis-Regulatory coverage</v>
      </c>
      <c r="Q1923" t="str">
        <f t="shared" si="6053"/>
        <v>Central gas storage-Regulatory coverage</v>
      </c>
      <c r="R1923" t="str">
        <f t="shared" si="6054"/>
        <v>Hydrogen transmission &amp; distribution pipeline-Regulatory coverage</v>
      </c>
      <c r="S1923" t="str">
        <f t="shared" si="6055"/>
        <v>Micro-CHP with H2 fuel cell (heat)-Regulatory coverage</v>
      </c>
      <c r="T1923">
        <f ca="1">VLOOKUP($P1923,'TA database'!$I$8:$J$79,2,FALSE)</f>
        <v>100</v>
      </c>
      <c r="U1923">
        <f ca="1">VLOOKUP($Q1923,'TA database'!$I$86:$J$105,2,FALSE)</f>
        <v>80</v>
      </c>
      <c r="V1923">
        <f ca="1">VLOOKUP($R1923,'TA database'!$I$112:$J$139,2,FALSE)</f>
        <v>40</v>
      </c>
      <c r="W1923">
        <f ca="1">IFERROR(VLOOKUP($S1923,'TA database'!$I$146:$J$193,2,FALSE),0)</f>
        <v>100</v>
      </c>
      <c r="X1923">
        <f>IFERROR(VLOOKUP($S1923,'TA database'!$I$200:$J$271,2,FALSE),0)</f>
        <v>0</v>
      </c>
      <c r="Y1923">
        <f t="shared" ca="1" si="6056"/>
        <v>80</v>
      </c>
      <c r="Z1923" t="str">
        <f t="shared" si="6057"/>
        <v>ELCTRLYZ_LRG_C   →   C_GAS_STRG   →   H2_T&amp;D_P   →   H2_FC_mCHP_HEAT</v>
      </c>
      <c r="AA1923" t="str">
        <f t="shared" si="6058"/>
        <v>Building heat</v>
      </c>
      <c r="AB1923" t="str">
        <f t="shared" si="6059"/>
        <v>Regulatory coverage</v>
      </c>
      <c r="AC1923">
        <f t="shared" ca="1" si="6060"/>
        <v>80</v>
      </c>
      <c r="AD1923">
        <v>1864</v>
      </c>
      <c r="AE1923" t="str">
        <f>IF(AND(ISNUMBER(SEARCH(O1923,4)),ISNUMBER(SEARCH('(4) FCH pathway assessment'!$B$16,AB1923)),ISNUMBER(SEARCH('(4) FCH pathway assessment'!$B$10,AA1923))),AD1923,"")</f>
        <v/>
      </c>
      <c r="AF1923" t="str">
        <f t="shared" si="6046"/>
        <v/>
      </c>
      <c r="AG1923" t="str">
        <f>VLOOKUP(C1923,Assumptions!$B$116:$C$162,2,FALSE)</f>
        <v>ELCTRLYZ_LRG_C</v>
      </c>
      <c r="AH1923" t="str">
        <f>VLOOKUP(D1923,Assumptions!$B$116:$C$162,2,FALSE)</f>
        <v>C_GAS_STRG</v>
      </c>
      <c r="AI1923" t="str">
        <f>VLOOKUP(E1923,Assumptions!$B$116:$C$162,2,FALSE)</f>
        <v>H2_T&amp;D_P</v>
      </c>
      <c r="AJ1923" t="str">
        <f>VLOOKUP(F1923,Assumptions!$B$116:$C$162,2,FALSE)</f>
        <v>H2_FC_mCHP_HEAT</v>
      </c>
    </row>
    <row r="1924" spans="2:36" x14ac:dyDescent="0.25">
      <c r="B1924" t="s">
        <v>112</v>
      </c>
      <c r="C1924" t="s">
        <v>51</v>
      </c>
      <c r="D1924" t="s">
        <v>155</v>
      </c>
      <c r="E1924" t="s">
        <v>157</v>
      </c>
      <c r="F1924" t="s">
        <v>543</v>
      </c>
      <c r="G1924" t="s">
        <v>132</v>
      </c>
      <c r="H1924" t="s">
        <v>434</v>
      </c>
      <c r="I1924" t="s">
        <v>32</v>
      </c>
      <c r="J1924" t="s">
        <v>534</v>
      </c>
      <c r="K1924">
        <f t="shared" si="6047"/>
        <v>1</v>
      </c>
      <c r="L1924">
        <f t="shared" si="6048"/>
        <v>1</v>
      </c>
      <c r="M1924">
        <f t="shared" si="6049"/>
        <v>0</v>
      </c>
      <c r="N1924">
        <f t="shared" si="6050"/>
        <v>0</v>
      </c>
      <c r="O1924">
        <f t="shared" si="6051"/>
        <v>2</v>
      </c>
      <c r="P1924" t="str">
        <f t="shared" si="6052"/>
        <v>Medium centralized electrolysis-Regulatory coverage</v>
      </c>
      <c r="Q1924" t="str">
        <f t="shared" si="6053"/>
        <v>Central gas storage-Regulatory coverage</v>
      </c>
      <c r="R1924" t="str">
        <f t="shared" si="6054"/>
        <v>Blending in natural gas pipeline-Regulatory coverage</v>
      </c>
      <c r="S1924" t="str">
        <f t="shared" si="6055"/>
        <v>Micro-CHP with H2 fuel cell (heat)-Regulatory coverage</v>
      </c>
      <c r="T1924">
        <f ca="1">VLOOKUP($P1924,'TA database'!$I$8:$J$79,2,FALSE)</f>
        <v>100</v>
      </c>
      <c r="U1924">
        <f ca="1">VLOOKUP($Q1924,'TA database'!$I$86:$J$105,2,FALSE)</f>
        <v>80</v>
      </c>
      <c r="V1924">
        <f ca="1">VLOOKUP($R1924,'TA database'!$I$112:$J$139,2,FALSE)</f>
        <v>100</v>
      </c>
      <c r="W1924">
        <f ca="1">IFERROR(VLOOKUP($S1924,'TA database'!$I$146:$J$193,2,FALSE),0)</f>
        <v>100</v>
      </c>
      <c r="X1924">
        <f>IFERROR(VLOOKUP($S1924,'TA database'!$I$200:$J$271,2,FALSE),0)</f>
        <v>0</v>
      </c>
      <c r="Y1924">
        <f t="shared" ref="Y1924:Y1926" ca="1" si="6061">IF($W1924=0,SUM($T1924:$V1924,$X1924)/4,SUM($T1924:$W1924)/4)</f>
        <v>95</v>
      </c>
      <c r="Z1924" t="str">
        <f t="shared" si="6057"/>
        <v>ELCTRLYZ_MED_C   →   C_GAS_STRG   →   H2_BLND_NG_P   →   H2_FC_mCHP_HEAT</v>
      </c>
      <c r="AA1924" t="str">
        <f t="shared" si="6058"/>
        <v>Building heat</v>
      </c>
      <c r="AB1924" t="str">
        <f t="shared" si="6059"/>
        <v>Regulatory coverage</v>
      </c>
      <c r="AC1924">
        <f t="shared" ca="1" si="6060"/>
        <v>95</v>
      </c>
      <c r="AD1924">
        <v>1865</v>
      </c>
      <c r="AE1924" t="str">
        <f>IF(AND(ISNUMBER(SEARCH(O1924,4)),ISNUMBER(SEARCH('(4) FCH pathway assessment'!$B$16,AB1924)),ISNUMBER(SEARCH('(4) FCH pathway assessment'!$B$10,AA1924))),AD1924,"")</f>
        <v/>
      </c>
      <c r="AF1924" t="str">
        <f t="shared" si="6046"/>
        <v/>
      </c>
      <c r="AG1924" t="str">
        <f>VLOOKUP(C1924,Assumptions!$B$116:$C$162,2,FALSE)</f>
        <v>ELCTRLYZ_MED_C</v>
      </c>
      <c r="AH1924" t="str">
        <f>VLOOKUP(D1924,Assumptions!$B$116:$C$162,2,FALSE)</f>
        <v>C_GAS_STRG</v>
      </c>
      <c r="AI1924" t="str">
        <f>VLOOKUP(E1924,Assumptions!$B$116:$C$162,2,FALSE)</f>
        <v>H2_BLND_NG_P</v>
      </c>
      <c r="AJ1924" t="str">
        <f>VLOOKUP(F1924,Assumptions!$B$116:$C$162,2,FALSE)</f>
        <v>H2_FC_mCHP_HEAT</v>
      </c>
    </row>
    <row r="1925" spans="2:36" x14ac:dyDescent="0.25">
      <c r="B1925" t="s">
        <v>112</v>
      </c>
      <c r="C1925" t="s">
        <v>51</v>
      </c>
      <c r="D1925" t="s">
        <v>155</v>
      </c>
      <c r="E1925" t="s">
        <v>122</v>
      </c>
      <c r="F1925" t="s">
        <v>543</v>
      </c>
      <c r="G1925" t="s">
        <v>132</v>
      </c>
      <c r="H1925" t="s">
        <v>434</v>
      </c>
      <c r="I1925" t="s">
        <v>32</v>
      </c>
      <c r="J1925" t="s">
        <v>534</v>
      </c>
      <c r="K1925">
        <f t="shared" si="6047"/>
        <v>1</v>
      </c>
      <c r="L1925">
        <f t="shared" si="6048"/>
        <v>1</v>
      </c>
      <c r="M1925">
        <f t="shared" si="6049"/>
        <v>1</v>
      </c>
      <c r="N1925">
        <f t="shared" si="6050"/>
        <v>0</v>
      </c>
      <c r="O1925">
        <f t="shared" si="6051"/>
        <v>3</v>
      </c>
      <c r="P1925" t="str">
        <f t="shared" si="6052"/>
        <v>Medium centralized electrolysis-Regulatory coverage</v>
      </c>
      <c r="Q1925" t="str">
        <f t="shared" si="6053"/>
        <v>Central gas storage-Regulatory coverage</v>
      </c>
      <c r="R1925" t="str">
        <f t="shared" si="6054"/>
        <v>Hydrogen transmission &amp; distribution pipeline-Regulatory coverage</v>
      </c>
      <c r="S1925" t="str">
        <f t="shared" si="6055"/>
        <v>Micro-CHP with H2 fuel cell (heat)-Regulatory coverage</v>
      </c>
      <c r="T1925">
        <f ca="1">VLOOKUP($P1925,'TA database'!$I$8:$J$79,2,FALSE)</f>
        <v>100</v>
      </c>
      <c r="U1925">
        <f ca="1">VLOOKUP($Q1925,'TA database'!$I$86:$J$105,2,FALSE)</f>
        <v>80</v>
      </c>
      <c r="V1925">
        <f ca="1">VLOOKUP($R1925,'TA database'!$I$112:$J$139,2,FALSE)</f>
        <v>40</v>
      </c>
      <c r="W1925">
        <f ca="1">IFERROR(VLOOKUP($S1925,'TA database'!$I$146:$J$193,2,FALSE),0)</f>
        <v>100</v>
      </c>
      <c r="X1925">
        <f>IFERROR(VLOOKUP($S1925,'TA database'!$I$200:$J$271,2,FALSE),0)</f>
        <v>0</v>
      </c>
      <c r="Y1925">
        <f t="shared" ca="1" si="6061"/>
        <v>80</v>
      </c>
      <c r="Z1925" t="str">
        <f t="shared" si="6057"/>
        <v>ELCTRLYZ_MED_C   →   C_GAS_STRG   →   H2_T&amp;D_P   →   H2_FC_mCHP_HEAT</v>
      </c>
      <c r="AA1925" t="str">
        <f t="shared" si="6058"/>
        <v>Building heat</v>
      </c>
      <c r="AB1925" t="str">
        <f t="shared" si="6059"/>
        <v>Regulatory coverage</v>
      </c>
      <c r="AC1925">
        <f t="shared" ca="1" si="6060"/>
        <v>80</v>
      </c>
      <c r="AD1925">
        <v>1866</v>
      </c>
      <c r="AE1925" t="str">
        <f>IF(AND(ISNUMBER(SEARCH(O1925,4)),ISNUMBER(SEARCH('(4) FCH pathway assessment'!$B$16,AB1925)),ISNUMBER(SEARCH('(4) FCH pathway assessment'!$B$10,AA1925))),AD1925,"")</f>
        <v/>
      </c>
      <c r="AF1925" t="str">
        <f t="shared" si="6046"/>
        <v/>
      </c>
      <c r="AG1925" t="str">
        <f>VLOOKUP(C1925,Assumptions!$B$116:$C$162,2,FALSE)</f>
        <v>ELCTRLYZ_MED_C</v>
      </c>
      <c r="AH1925" t="str">
        <f>VLOOKUP(D1925,Assumptions!$B$116:$C$162,2,FALSE)</f>
        <v>C_GAS_STRG</v>
      </c>
      <c r="AI1925" t="str">
        <f>VLOOKUP(E1925,Assumptions!$B$116:$C$162,2,FALSE)</f>
        <v>H2_T&amp;D_P</v>
      </c>
      <c r="AJ1925" t="str">
        <f>VLOOKUP(F1925,Assumptions!$B$116:$C$162,2,FALSE)</f>
        <v>H2_FC_mCHP_HEAT</v>
      </c>
    </row>
    <row r="1926" spans="2:36" x14ac:dyDescent="0.25">
      <c r="B1926" t="s">
        <v>112</v>
      </c>
      <c r="C1926" t="s">
        <v>52</v>
      </c>
      <c r="D1926" s="60" t="s">
        <v>130</v>
      </c>
      <c r="E1926" t="s">
        <v>128</v>
      </c>
      <c r="F1926" t="s">
        <v>543</v>
      </c>
      <c r="G1926" t="s">
        <v>132</v>
      </c>
      <c r="H1926" t="s">
        <v>434</v>
      </c>
      <c r="I1926" t="s">
        <v>32</v>
      </c>
      <c r="J1926" t="s">
        <v>534</v>
      </c>
      <c r="K1926">
        <f t="shared" ref="K1926:K1928" si="6062">SUMPRODUCT(($C$7:$C$18=$C1926)*($D$6:$H$6=$D1926)*($D$7:$H$18))</f>
        <v>1</v>
      </c>
      <c r="L1926">
        <f t="shared" ref="L1926:L1928" si="6063">SUMPRODUCT(($C$19:$C$23=$D1926)*($I$6:$O$6=$E1926)*($I$19:$O$23))</f>
        <v>1</v>
      </c>
      <c r="M1926">
        <f t="shared" ref="M1926:M1928" si="6064">SUMPRODUCT(($C$24:$C$30=$E1926)*($P$6:$AI$6=$F1926)*($P$24:$AI$30))</f>
        <v>1</v>
      </c>
      <c r="N1926">
        <f t="shared" ref="N1926:N1928" si="6065">SUMPRODUCT(($C$31:$C$50=$F1926)*($AJ$6:$AM$6=$G1926)*($AJ$31:$AM$50))</f>
        <v>0</v>
      </c>
      <c r="O1926">
        <f t="shared" ref="O1926:O1928" si="6066">K1926+L1926+M1926+N1926</f>
        <v>3</v>
      </c>
      <c r="P1926" t="str">
        <f t="shared" ref="P1926:P1928" si="6067">CONCATENATE(C1926,"-",J1926)</f>
        <v>Small decentralized electrolysis-Regulatory coverage</v>
      </c>
      <c r="Q1926" t="str">
        <f t="shared" ref="Q1926:Q1928" si="6068">CONCATENATE(D1926,"-",J1926)</f>
        <v>Distributed gas storage-Regulatory coverage</v>
      </c>
      <c r="R1926" t="str">
        <f t="shared" ref="R1926:R1928" si="6069">CONCATENATE(E1926,"-",J1926)</f>
        <v>Hydrogen distribution pipeline-Regulatory coverage</v>
      </c>
      <c r="S1926" t="str">
        <f t="shared" ref="S1926:S1928" si="6070">CONCATENATE(F1926,"-",J1926)</f>
        <v>Micro-CHP with H2 fuel cell (heat)-Regulatory coverage</v>
      </c>
      <c r="T1926">
        <f ca="1">VLOOKUP($P1926,'TA database'!$I$8:$J$79,2,FALSE)</f>
        <v>100</v>
      </c>
      <c r="U1926">
        <f ca="1">VLOOKUP($Q1926,'TA database'!$I$86:$J$105,2,FALSE)</f>
        <v>100</v>
      </c>
      <c r="V1926">
        <f ca="1">VLOOKUP($R1926,'TA database'!$I$112:$J$139,2,FALSE)</f>
        <v>40</v>
      </c>
      <c r="W1926">
        <f ca="1">IFERROR(VLOOKUP($S1926,'TA database'!$I$146:$J$193,2,FALSE),0)</f>
        <v>100</v>
      </c>
      <c r="X1926">
        <f>IFERROR(VLOOKUP($S1926,'TA database'!$I$200:$J$271,2,FALSE),0)</f>
        <v>0</v>
      </c>
      <c r="Y1926">
        <f t="shared" ca="1" si="6061"/>
        <v>85</v>
      </c>
      <c r="Z1926" t="str">
        <f t="shared" ref="Z1926:Z1928" si="6071">CONCATENATE(AG1926,"   →   ",AH1926,"   →   ",AI1926,"   →   ",AJ1926)</f>
        <v>ELCTRLYZ_SML_D   →   D_GAS_STRG   →   H2_DSTRB_P   →   H2_FC_mCHP_HEAT</v>
      </c>
      <c r="AA1926" t="str">
        <f t="shared" ref="AA1926:AA1928" si="6072">G1926</f>
        <v>Building heat</v>
      </c>
      <c r="AB1926" t="str">
        <f t="shared" ref="AB1926:AB1928" si="6073">J1926</f>
        <v>Regulatory coverage</v>
      </c>
      <c r="AC1926">
        <f t="shared" ref="AC1926:AC1928" ca="1" si="6074">Y1926</f>
        <v>85</v>
      </c>
      <c r="AD1926">
        <v>1867</v>
      </c>
      <c r="AE1926" t="str">
        <f>IF(AND(ISNUMBER(SEARCH(O1926,4)),ISNUMBER(SEARCH('(4) FCH pathway assessment'!$B$16,AB1926)),ISNUMBER(SEARCH('(4) FCH pathway assessment'!$B$10,AA1926))),AD1926,"")</f>
        <v/>
      </c>
      <c r="AF1926" t="str">
        <f t="shared" si="6046"/>
        <v/>
      </c>
      <c r="AG1926" t="str">
        <f>VLOOKUP(C1926,Assumptions!$B$116:$C$162,2,FALSE)</f>
        <v>ELCTRLYZ_SML_D</v>
      </c>
      <c r="AH1926" t="str">
        <f>VLOOKUP(D1926,Assumptions!$B$116:$C$162,2,FALSE)</f>
        <v>D_GAS_STRG</v>
      </c>
      <c r="AI1926" t="str">
        <f>VLOOKUP(E1926,Assumptions!$B$116:$C$162,2,FALSE)</f>
        <v>H2_DSTRB_P</v>
      </c>
      <c r="AJ1926" t="str">
        <f>VLOOKUP(F1926,Assumptions!$B$116:$C$162,2,FALSE)</f>
        <v>H2_FC_mCHP_HEAT</v>
      </c>
    </row>
    <row r="1927" spans="2:36" x14ac:dyDescent="0.25">
      <c r="B1927" t="s">
        <v>127</v>
      </c>
      <c r="C1927" t="s">
        <v>57</v>
      </c>
      <c r="D1927" t="s">
        <v>62</v>
      </c>
      <c r="E1927" t="s">
        <v>157</v>
      </c>
      <c r="F1927" t="s">
        <v>543</v>
      </c>
      <c r="G1927" t="s">
        <v>132</v>
      </c>
      <c r="H1927" t="s">
        <v>434</v>
      </c>
      <c r="I1927" t="s">
        <v>32</v>
      </c>
      <c r="J1927" t="s">
        <v>534</v>
      </c>
      <c r="K1927">
        <f t="shared" si="6062"/>
        <v>1</v>
      </c>
      <c r="L1927">
        <f t="shared" si="6063"/>
        <v>0</v>
      </c>
      <c r="M1927">
        <f t="shared" si="6064"/>
        <v>0</v>
      </c>
      <c r="N1927">
        <f t="shared" si="6065"/>
        <v>0</v>
      </c>
      <c r="O1927">
        <f t="shared" si="6066"/>
        <v>1</v>
      </c>
      <c r="P1927" t="str">
        <f t="shared" si="6067"/>
        <v>Large centralized natural gas steam reforming-Regulatory coverage</v>
      </c>
      <c r="Q1927" t="str">
        <f t="shared" si="6068"/>
        <v>Underground storage-Regulatory coverage</v>
      </c>
      <c r="R1927" t="str">
        <f t="shared" si="6069"/>
        <v>Blending in natural gas pipeline-Regulatory coverage</v>
      </c>
      <c r="S1927" t="str">
        <f t="shared" si="6070"/>
        <v>Micro-CHP with H2 fuel cell (heat)-Regulatory coverage</v>
      </c>
      <c r="T1927">
        <f ca="1">VLOOKUP($P1927,'TA database'!$I$8:$J$79,2,FALSE)</f>
        <v>100</v>
      </c>
      <c r="U1927">
        <f ca="1">VLOOKUP($Q1927,'TA database'!$I$86:$J$105,2,FALSE)</f>
        <v>0</v>
      </c>
      <c r="V1927">
        <f ca="1">VLOOKUP($R1927,'TA database'!$I$112:$J$139,2,FALSE)</f>
        <v>100</v>
      </c>
      <c r="W1927">
        <f ca="1">IFERROR(VLOOKUP($S1927,'TA database'!$I$146:$J$193,2,FALSE),0)</f>
        <v>100</v>
      </c>
      <c r="X1927">
        <f>IFERROR(VLOOKUP($S1927,'TA database'!$I$200:$J$271,2,FALSE),0)</f>
        <v>0</v>
      </c>
      <c r="Y1927">
        <f t="shared" ref="Y1927:Y1931" ca="1" si="6075">IF($W1927=0,SUM($T1927:$V1927,$X1927)/4,SUM($T1927:$W1927)/4)</f>
        <v>75</v>
      </c>
      <c r="Z1927" t="str">
        <f t="shared" si="6071"/>
        <v>NG_SR_LRG_C   →   C_UNDRGRND_STRG   →   H2_BLND_NG_P   →   H2_FC_mCHP_HEAT</v>
      </c>
      <c r="AA1927" t="str">
        <f t="shared" si="6072"/>
        <v>Building heat</v>
      </c>
      <c r="AB1927" t="str">
        <f t="shared" si="6073"/>
        <v>Regulatory coverage</v>
      </c>
      <c r="AC1927">
        <f t="shared" ca="1" si="6074"/>
        <v>75</v>
      </c>
      <c r="AD1927">
        <v>1868</v>
      </c>
      <c r="AE1927" t="str">
        <f>IF(AND(ISNUMBER(SEARCH(O1927,4)),ISNUMBER(SEARCH('(4) FCH pathway assessment'!$B$16,AB1927)),ISNUMBER(SEARCH('(4) FCH pathway assessment'!$B$10,AA1927))),AD1927,"")</f>
        <v/>
      </c>
      <c r="AF1927" t="str">
        <f t="shared" si="6046"/>
        <v/>
      </c>
      <c r="AG1927" t="str">
        <f>VLOOKUP(C1927,Assumptions!$B$116:$C$162,2,FALSE)</f>
        <v>NG_SR_LRG_C</v>
      </c>
      <c r="AH1927" t="str">
        <f>VLOOKUP(D1927,Assumptions!$B$116:$C$162,2,FALSE)</f>
        <v>C_UNDRGRND_STRG</v>
      </c>
      <c r="AI1927" t="str">
        <f>VLOOKUP(E1927,Assumptions!$B$116:$C$162,2,FALSE)</f>
        <v>H2_BLND_NG_P</v>
      </c>
      <c r="AJ1927" t="str">
        <f>VLOOKUP(F1927,Assumptions!$B$116:$C$162,2,FALSE)</f>
        <v>H2_FC_mCHP_HEAT</v>
      </c>
    </row>
    <row r="1928" spans="2:36" x14ac:dyDescent="0.25">
      <c r="B1928" t="s">
        <v>127</v>
      </c>
      <c r="C1928" t="s">
        <v>57</v>
      </c>
      <c r="D1928" t="s">
        <v>62</v>
      </c>
      <c r="E1928" t="s">
        <v>122</v>
      </c>
      <c r="F1928" t="s">
        <v>543</v>
      </c>
      <c r="G1928" t="s">
        <v>132</v>
      </c>
      <c r="H1928" t="s">
        <v>434</v>
      </c>
      <c r="I1928" t="s">
        <v>32</v>
      </c>
      <c r="J1928" t="s">
        <v>534</v>
      </c>
      <c r="K1928">
        <f t="shared" si="6062"/>
        <v>1</v>
      </c>
      <c r="L1928">
        <f t="shared" si="6063"/>
        <v>0</v>
      </c>
      <c r="M1928">
        <f t="shared" si="6064"/>
        <v>1</v>
      </c>
      <c r="N1928">
        <f t="shared" si="6065"/>
        <v>0</v>
      </c>
      <c r="O1928">
        <f t="shared" si="6066"/>
        <v>2</v>
      </c>
      <c r="P1928" t="str">
        <f t="shared" si="6067"/>
        <v>Large centralized natural gas steam reforming-Regulatory coverage</v>
      </c>
      <c r="Q1928" t="str">
        <f t="shared" si="6068"/>
        <v>Underground storage-Regulatory coverage</v>
      </c>
      <c r="R1928" t="str">
        <f t="shared" si="6069"/>
        <v>Hydrogen transmission &amp; distribution pipeline-Regulatory coverage</v>
      </c>
      <c r="S1928" t="str">
        <f t="shared" si="6070"/>
        <v>Micro-CHP with H2 fuel cell (heat)-Regulatory coverage</v>
      </c>
      <c r="T1928">
        <f ca="1">VLOOKUP($P1928,'TA database'!$I$8:$J$79,2,FALSE)</f>
        <v>100</v>
      </c>
      <c r="U1928">
        <f ca="1">VLOOKUP($Q1928,'TA database'!$I$86:$J$105,2,FALSE)</f>
        <v>0</v>
      </c>
      <c r="V1928">
        <f ca="1">VLOOKUP($R1928,'TA database'!$I$112:$J$139,2,FALSE)</f>
        <v>40</v>
      </c>
      <c r="W1928">
        <f ca="1">IFERROR(VLOOKUP($S1928,'TA database'!$I$146:$J$193,2,FALSE),0)</f>
        <v>100</v>
      </c>
      <c r="X1928">
        <f>IFERROR(VLOOKUP($S1928,'TA database'!$I$200:$J$271,2,FALSE),0)</f>
        <v>0</v>
      </c>
      <c r="Y1928">
        <f t="shared" ca="1" si="6075"/>
        <v>60</v>
      </c>
      <c r="Z1928" t="str">
        <f t="shared" si="6071"/>
        <v>NG_SR_LRG_C   →   C_UNDRGRND_STRG   →   H2_T&amp;D_P   →   H2_FC_mCHP_HEAT</v>
      </c>
      <c r="AA1928" t="str">
        <f t="shared" si="6072"/>
        <v>Building heat</v>
      </c>
      <c r="AB1928" t="str">
        <f t="shared" si="6073"/>
        <v>Regulatory coverage</v>
      </c>
      <c r="AC1928">
        <f t="shared" ca="1" si="6074"/>
        <v>60</v>
      </c>
      <c r="AD1928">
        <v>1869</v>
      </c>
      <c r="AE1928" t="str">
        <f>IF(AND(ISNUMBER(SEARCH(O1928,4)),ISNUMBER(SEARCH('(4) FCH pathway assessment'!$B$16,AB1928)),ISNUMBER(SEARCH('(4) FCH pathway assessment'!$B$10,AA1928))),AD1928,"")</f>
        <v/>
      </c>
      <c r="AF1928" t="str">
        <f t="shared" si="6046"/>
        <v/>
      </c>
      <c r="AG1928" t="str">
        <f>VLOOKUP(C1928,Assumptions!$B$116:$C$162,2,FALSE)</f>
        <v>NG_SR_LRG_C</v>
      </c>
      <c r="AH1928" t="str">
        <f>VLOOKUP(D1928,Assumptions!$B$116:$C$162,2,FALSE)</f>
        <v>C_UNDRGRND_STRG</v>
      </c>
      <c r="AI1928" t="str">
        <f>VLOOKUP(E1928,Assumptions!$B$116:$C$162,2,FALSE)</f>
        <v>H2_T&amp;D_P</v>
      </c>
      <c r="AJ1928" t="str">
        <f>VLOOKUP(F1928,Assumptions!$B$116:$C$162,2,FALSE)</f>
        <v>H2_FC_mCHP_HEAT</v>
      </c>
    </row>
    <row r="1929" spans="2:36" x14ac:dyDescent="0.25">
      <c r="B1929" t="s">
        <v>127</v>
      </c>
      <c r="C1929" t="s">
        <v>57</v>
      </c>
      <c r="D1929" s="61" t="s">
        <v>63</v>
      </c>
      <c r="E1929" t="s">
        <v>122</v>
      </c>
      <c r="F1929" t="s">
        <v>543</v>
      </c>
      <c r="G1929" t="s">
        <v>132</v>
      </c>
      <c r="H1929" t="s">
        <v>434</v>
      </c>
      <c r="I1929" t="s">
        <v>32</v>
      </c>
      <c r="J1929" t="s">
        <v>534</v>
      </c>
      <c r="K1929">
        <f t="shared" ref="K1929:K1931" si="6076">SUMPRODUCT(($C$7:$C$18=$C1929)*($D$6:$H$6=$D1929)*($D$7:$H$18))</f>
        <v>1</v>
      </c>
      <c r="L1929">
        <f t="shared" ref="L1929:L1931" si="6077">SUMPRODUCT(($C$19:$C$23=$D1929)*($I$6:$O$6=$E1929)*($I$19:$O$23))</f>
        <v>1</v>
      </c>
      <c r="M1929">
        <f t="shared" ref="M1929:M1931" si="6078">SUMPRODUCT(($C$24:$C$30=$E1929)*($P$6:$AI$6=$F1929)*($P$24:$AI$30))</f>
        <v>1</v>
      </c>
      <c r="N1929">
        <f t="shared" ref="N1929:N1931" si="6079">SUMPRODUCT(($C$31:$C$50=$F1929)*($AJ$6:$AM$6=$G1929)*($AJ$31:$AM$50))</f>
        <v>0</v>
      </c>
      <c r="O1929">
        <f t="shared" ref="O1929:O1931" si="6080">K1929+L1929+M1929+N1929</f>
        <v>3</v>
      </c>
      <c r="P1929" t="str">
        <f t="shared" ref="P1929:P1931" si="6081">CONCATENATE(C1929,"-",J1929)</f>
        <v>Large centralized natural gas steam reforming-Regulatory coverage</v>
      </c>
      <c r="Q1929" t="str">
        <f t="shared" ref="Q1929:Q1931" si="6082">CONCATENATE(D1929,"-",J1929)</f>
        <v>No storage-Regulatory coverage</v>
      </c>
      <c r="R1929" t="str">
        <f t="shared" ref="R1929:R1931" si="6083">CONCATENATE(E1929,"-",J1929)</f>
        <v>Hydrogen transmission &amp; distribution pipeline-Regulatory coverage</v>
      </c>
      <c r="S1929" t="str">
        <f t="shared" ref="S1929:S1931" si="6084">CONCATENATE(F1929,"-",J1929)</f>
        <v>Micro-CHP with H2 fuel cell (heat)-Regulatory coverage</v>
      </c>
      <c r="T1929">
        <f ca="1">VLOOKUP($P1929,'TA database'!$I$8:$J$79,2,FALSE)</f>
        <v>100</v>
      </c>
      <c r="U1929">
        <f ca="1">VLOOKUP($Q1929,'TA database'!$I$86:$J$105,2,FALSE)</f>
        <v>100</v>
      </c>
      <c r="V1929">
        <f ca="1">VLOOKUP($R1929,'TA database'!$I$112:$J$139,2,FALSE)</f>
        <v>40</v>
      </c>
      <c r="W1929">
        <f ca="1">IFERROR(VLOOKUP($S1929,'TA database'!$I$146:$J$193,2,FALSE),0)</f>
        <v>100</v>
      </c>
      <c r="X1929">
        <f>IFERROR(VLOOKUP($S1929,'TA database'!$I$200:$J$271,2,FALSE),0)</f>
        <v>0</v>
      </c>
      <c r="Y1929">
        <f t="shared" ca="1" si="6075"/>
        <v>85</v>
      </c>
      <c r="Z1929" t="str">
        <f t="shared" ref="Z1929:Z1931" si="6085">CONCATENATE(AG1929,"   →   ",AH1929,"   →   ",AI1929,"   →   ",AJ1929)</f>
        <v>NG_SR_LRG_C   →   NO_STRG   →   H2_T&amp;D_P   →   H2_FC_mCHP_HEAT</v>
      </c>
      <c r="AA1929" t="str">
        <f t="shared" ref="AA1929:AA1931" si="6086">G1929</f>
        <v>Building heat</v>
      </c>
      <c r="AB1929" t="str">
        <f t="shared" ref="AB1929:AB1931" si="6087">J1929</f>
        <v>Regulatory coverage</v>
      </c>
      <c r="AC1929">
        <f t="shared" ref="AC1929:AC1931" ca="1" si="6088">Y1929</f>
        <v>85</v>
      </c>
      <c r="AD1929">
        <v>1870</v>
      </c>
      <c r="AE1929" t="str">
        <f>IF(AND(ISNUMBER(SEARCH(O1929,4)),ISNUMBER(SEARCH('(4) FCH pathway assessment'!$B$16,AB1929)),ISNUMBER(SEARCH('(4) FCH pathway assessment'!$B$10,AA1929))),AD1929,"")</f>
        <v/>
      </c>
      <c r="AF1929" t="str">
        <f t="shared" si="6046"/>
        <v/>
      </c>
      <c r="AG1929" t="str">
        <f>VLOOKUP(C1929,Assumptions!$B$116:$C$162,2,FALSE)</f>
        <v>NG_SR_LRG_C</v>
      </c>
      <c r="AH1929" t="str">
        <f>VLOOKUP(D1929,Assumptions!$B$116:$C$162,2,FALSE)</f>
        <v>NO_STRG</v>
      </c>
      <c r="AI1929" t="str">
        <f>VLOOKUP(E1929,Assumptions!$B$116:$C$162,2,FALSE)</f>
        <v>H2_T&amp;D_P</v>
      </c>
      <c r="AJ1929" t="str">
        <f>VLOOKUP(F1929,Assumptions!$B$116:$C$162,2,FALSE)</f>
        <v>H2_FC_mCHP_HEAT</v>
      </c>
    </row>
    <row r="1930" spans="2:36" x14ac:dyDescent="0.25">
      <c r="B1930" t="s">
        <v>127</v>
      </c>
      <c r="C1930" t="s">
        <v>58</v>
      </c>
      <c r="D1930" t="s">
        <v>155</v>
      </c>
      <c r="E1930" t="s">
        <v>157</v>
      </c>
      <c r="F1930" t="s">
        <v>543</v>
      </c>
      <c r="G1930" t="s">
        <v>132</v>
      </c>
      <c r="H1930" t="s">
        <v>434</v>
      </c>
      <c r="I1930" t="s">
        <v>32</v>
      </c>
      <c r="J1930" t="s">
        <v>534</v>
      </c>
      <c r="K1930">
        <f t="shared" si="6076"/>
        <v>1</v>
      </c>
      <c r="L1930">
        <f t="shared" si="6077"/>
        <v>1</v>
      </c>
      <c r="M1930">
        <f t="shared" si="6078"/>
        <v>0</v>
      </c>
      <c r="N1930">
        <f t="shared" si="6079"/>
        <v>0</v>
      </c>
      <c r="O1930">
        <f t="shared" si="6080"/>
        <v>2</v>
      </c>
      <c r="P1930" t="str">
        <f t="shared" si="6081"/>
        <v>Small centralized natural gas steam reforming-Regulatory coverage</v>
      </c>
      <c r="Q1930" t="str">
        <f t="shared" si="6082"/>
        <v>Central gas storage-Regulatory coverage</v>
      </c>
      <c r="R1930" t="str">
        <f t="shared" si="6083"/>
        <v>Blending in natural gas pipeline-Regulatory coverage</v>
      </c>
      <c r="S1930" t="str">
        <f t="shared" si="6084"/>
        <v>Micro-CHP with H2 fuel cell (heat)-Regulatory coverage</v>
      </c>
      <c r="T1930">
        <f ca="1">VLOOKUP($P1930,'TA database'!$I$8:$J$79,2,FALSE)</f>
        <v>100</v>
      </c>
      <c r="U1930">
        <f ca="1">VLOOKUP($Q1930,'TA database'!$I$86:$J$105,2,FALSE)</f>
        <v>80</v>
      </c>
      <c r="V1930">
        <f ca="1">VLOOKUP($R1930,'TA database'!$I$112:$J$139,2,FALSE)</f>
        <v>100</v>
      </c>
      <c r="W1930">
        <f ca="1">IFERROR(VLOOKUP($S1930,'TA database'!$I$146:$J$193,2,FALSE),0)</f>
        <v>100</v>
      </c>
      <c r="X1930">
        <f>IFERROR(VLOOKUP($S1930,'TA database'!$I$200:$J$271,2,FALSE),0)</f>
        <v>0</v>
      </c>
      <c r="Y1930">
        <f t="shared" ca="1" si="6075"/>
        <v>95</v>
      </c>
      <c r="Z1930" t="str">
        <f t="shared" si="6085"/>
        <v>NG_SR_SML_C   →   C_GAS_STRG   →   H2_BLND_NG_P   →   H2_FC_mCHP_HEAT</v>
      </c>
      <c r="AA1930" t="str">
        <f t="shared" si="6086"/>
        <v>Building heat</v>
      </c>
      <c r="AB1930" t="str">
        <f t="shared" si="6087"/>
        <v>Regulatory coverage</v>
      </c>
      <c r="AC1930">
        <f t="shared" ca="1" si="6088"/>
        <v>95</v>
      </c>
      <c r="AD1930">
        <v>1871</v>
      </c>
      <c r="AE1930" t="str">
        <f>IF(AND(ISNUMBER(SEARCH(O1930,4)),ISNUMBER(SEARCH('(4) FCH pathway assessment'!$B$16,AB1930)),ISNUMBER(SEARCH('(4) FCH pathway assessment'!$B$10,AA1930))),AD1930,"")</f>
        <v/>
      </c>
      <c r="AF1930" t="str">
        <f t="shared" si="6046"/>
        <v/>
      </c>
      <c r="AG1930" t="str">
        <f>VLOOKUP(C1930,Assumptions!$B$116:$C$162,2,FALSE)</f>
        <v>NG_SR_SML_C</v>
      </c>
      <c r="AH1930" t="str">
        <f>VLOOKUP(D1930,Assumptions!$B$116:$C$162,2,FALSE)</f>
        <v>C_GAS_STRG</v>
      </c>
      <c r="AI1930" t="str">
        <f>VLOOKUP(E1930,Assumptions!$B$116:$C$162,2,FALSE)</f>
        <v>H2_BLND_NG_P</v>
      </c>
      <c r="AJ1930" t="str">
        <f>VLOOKUP(F1930,Assumptions!$B$116:$C$162,2,FALSE)</f>
        <v>H2_FC_mCHP_HEAT</v>
      </c>
    </row>
    <row r="1931" spans="2:36" x14ac:dyDescent="0.25">
      <c r="B1931" t="s">
        <v>127</v>
      </c>
      <c r="C1931" t="s">
        <v>58</v>
      </c>
      <c r="D1931" t="s">
        <v>155</v>
      </c>
      <c r="E1931" t="s">
        <v>122</v>
      </c>
      <c r="F1931" t="s">
        <v>543</v>
      </c>
      <c r="G1931" t="s">
        <v>132</v>
      </c>
      <c r="H1931" t="s">
        <v>434</v>
      </c>
      <c r="I1931" t="s">
        <v>32</v>
      </c>
      <c r="J1931" t="s">
        <v>534</v>
      </c>
      <c r="K1931">
        <f t="shared" si="6076"/>
        <v>1</v>
      </c>
      <c r="L1931">
        <f t="shared" si="6077"/>
        <v>1</v>
      </c>
      <c r="M1931">
        <f t="shared" si="6078"/>
        <v>1</v>
      </c>
      <c r="N1931">
        <f t="shared" si="6079"/>
        <v>0</v>
      </c>
      <c r="O1931">
        <f t="shared" si="6080"/>
        <v>3</v>
      </c>
      <c r="P1931" t="str">
        <f t="shared" si="6081"/>
        <v>Small centralized natural gas steam reforming-Regulatory coverage</v>
      </c>
      <c r="Q1931" t="str">
        <f t="shared" si="6082"/>
        <v>Central gas storage-Regulatory coverage</v>
      </c>
      <c r="R1931" t="str">
        <f t="shared" si="6083"/>
        <v>Hydrogen transmission &amp; distribution pipeline-Regulatory coverage</v>
      </c>
      <c r="S1931" t="str">
        <f t="shared" si="6084"/>
        <v>Micro-CHP with H2 fuel cell (heat)-Regulatory coverage</v>
      </c>
      <c r="T1931">
        <f ca="1">VLOOKUP($P1931,'TA database'!$I$8:$J$79,2,FALSE)</f>
        <v>100</v>
      </c>
      <c r="U1931">
        <f ca="1">VLOOKUP($Q1931,'TA database'!$I$86:$J$105,2,FALSE)</f>
        <v>80</v>
      </c>
      <c r="V1931">
        <f ca="1">VLOOKUP($R1931,'TA database'!$I$112:$J$139,2,FALSE)</f>
        <v>40</v>
      </c>
      <c r="W1931">
        <f ca="1">IFERROR(VLOOKUP($S1931,'TA database'!$I$146:$J$193,2,FALSE),0)</f>
        <v>100</v>
      </c>
      <c r="X1931">
        <f>IFERROR(VLOOKUP($S1931,'TA database'!$I$200:$J$271,2,FALSE),0)</f>
        <v>0</v>
      </c>
      <c r="Y1931">
        <f t="shared" ca="1" si="6075"/>
        <v>80</v>
      </c>
      <c r="Z1931" t="str">
        <f t="shared" si="6085"/>
        <v>NG_SR_SML_C   →   C_GAS_STRG   →   H2_T&amp;D_P   →   H2_FC_mCHP_HEAT</v>
      </c>
      <c r="AA1931" t="str">
        <f t="shared" si="6086"/>
        <v>Building heat</v>
      </c>
      <c r="AB1931" t="str">
        <f t="shared" si="6087"/>
        <v>Regulatory coverage</v>
      </c>
      <c r="AC1931">
        <f t="shared" ca="1" si="6088"/>
        <v>80</v>
      </c>
      <c r="AD1931">
        <v>1872</v>
      </c>
      <c r="AE1931" t="str">
        <f>IF(AND(ISNUMBER(SEARCH(O1931,4)),ISNUMBER(SEARCH('(4) FCH pathway assessment'!$B$16,AB1931)),ISNUMBER(SEARCH('(4) FCH pathway assessment'!$B$10,AA1931))),AD1931,"")</f>
        <v/>
      </c>
      <c r="AF1931" t="str">
        <f t="shared" si="6046"/>
        <v/>
      </c>
      <c r="AG1931" t="str">
        <f>VLOOKUP(C1931,Assumptions!$B$116:$C$162,2,FALSE)</f>
        <v>NG_SR_SML_C</v>
      </c>
      <c r="AH1931" t="str">
        <f>VLOOKUP(D1931,Assumptions!$B$116:$C$162,2,FALSE)</f>
        <v>C_GAS_STRG</v>
      </c>
      <c r="AI1931" t="str">
        <f>VLOOKUP(E1931,Assumptions!$B$116:$C$162,2,FALSE)</f>
        <v>H2_T&amp;D_P</v>
      </c>
      <c r="AJ1931" t="str">
        <f>VLOOKUP(F1931,Assumptions!$B$116:$C$162,2,FALSE)</f>
        <v>H2_FC_mCHP_HEAT</v>
      </c>
    </row>
    <row r="1932" spans="2:36" x14ac:dyDescent="0.25">
      <c r="B1932" t="s">
        <v>127</v>
      </c>
      <c r="C1932" t="s">
        <v>59</v>
      </c>
      <c r="D1932" s="60" t="s">
        <v>130</v>
      </c>
      <c r="E1932" t="s">
        <v>128</v>
      </c>
      <c r="F1932" t="s">
        <v>543</v>
      </c>
      <c r="G1932" t="s">
        <v>132</v>
      </c>
      <c r="H1932" t="s">
        <v>434</v>
      </c>
      <c r="I1932" t="s">
        <v>32</v>
      </c>
      <c r="J1932" t="s">
        <v>534</v>
      </c>
      <c r="K1932">
        <f t="shared" ref="K1932:K1933" si="6089">SUMPRODUCT(($C$7:$C$18=$C1932)*($D$6:$H$6=$D1932)*($D$7:$H$18))</f>
        <v>1</v>
      </c>
      <c r="L1932">
        <f t="shared" ref="L1932:L1933" si="6090">SUMPRODUCT(($C$19:$C$23=$D1932)*($I$6:$O$6=$E1932)*($I$19:$O$23))</f>
        <v>1</v>
      </c>
      <c r="M1932">
        <f t="shared" ref="M1932:M1933" si="6091">SUMPRODUCT(($C$24:$C$30=$E1932)*($P$6:$AI$6=$F1932)*($P$24:$AI$30))</f>
        <v>1</v>
      </c>
      <c r="N1932">
        <f t="shared" ref="N1932:N1933" si="6092">SUMPRODUCT(($C$31:$C$50=$F1932)*($AJ$6:$AM$6=$G1932)*($AJ$31:$AM$50))</f>
        <v>0</v>
      </c>
      <c r="O1932">
        <f t="shared" ref="O1932:O1933" si="6093">K1932+L1932+M1932+N1932</f>
        <v>3</v>
      </c>
      <c r="P1932" t="str">
        <f t="shared" ref="P1932:P1933" si="6094">CONCATENATE(C1932,"-",J1932)</f>
        <v>Medium decentralized natural gas steam reforming-Regulatory coverage</v>
      </c>
      <c r="Q1932" t="str">
        <f t="shared" ref="Q1932:Q1933" si="6095">CONCATENATE(D1932,"-",J1932)</f>
        <v>Distributed gas storage-Regulatory coverage</v>
      </c>
      <c r="R1932" t="str">
        <f t="shared" ref="R1932:R1933" si="6096">CONCATENATE(E1932,"-",J1932)</f>
        <v>Hydrogen distribution pipeline-Regulatory coverage</v>
      </c>
      <c r="S1932" t="str">
        <f t="shared" ref="S1932:S1933" si="6097">CONCATENATE(F1932,"-",J1932)</f>
        <v>Micro-CHP with H2 fuel cell (heat)-Regulatory coverage</v>
      </c>
      <c r="T1932">
        <f ca="1">VLOOKUP($P1932,'TA database'!$I$8:$J$79,2,FALSE)</f>
        <v>100</v>
      </c>
      <c r="U1932">
        <f ca="1">VLOOKUP($Q1932,'TA database'!$I$86:$J$105,2,FALSE)</f>
        <v>100</v>
      </c>
      <c r="V1932">
        <f ca="1">VLOOKUP($R1932,'TA database'!$I$112:$J$139,2,FALSE)</f>
        <v>40</v>
      </c>
      <c r="W1932">
        <f ca="1">IFERROR(VLOOKUP($S1932,'TA database'!$I$146:$J$193,2,FALSE),0)</f>
        <v>100</v>
      </c>
      <c r="X1932">
        <f>IFERROR(VLOOKUP($S1932,'TA database'!$I$200:$J$271,2,FALSE),0)</f>
        <v>0</v>
      </c>
      <c r="Y1932">
        <f t="shared" ref="Y1932:Y1933" ca="1" si="6098">IF($W1932=0,SUM($T1932:$V1932,$X1932)/4,SUM($T1932:$W1932)/4)</f>
        <v>85</v>
      </c>
      <c r="Z1932" t="str">
        <f t="shared" ref="Z1932:Z1933" si="6099">CONCATENATE(AG1932,"   →   ",AH1932,"   →   ",AI1932,"   →   ",AJ1932)</f>
        <v>NG_SR_MED_D   →   D_GAS_STRG   →   H2_DSTRB_P   →   H2_FC_mCHP_HEAT</v>
      </c>
      <c r="AA1932" t="str">
        <f t="shared" ref="AA1932:AA1933" si="6100">G1932</f>
        <v>Building heat</v>
      </c>
      <c r="AB1932" t="str">
        <f t="shared" ref="AB1932:AB1933" si="6101">J1932</f>
        <v>Regulatory coverage</v>
      </c>
      <c r="AC1932">
        <f t="shared" ref="AC1932:AC1933" ca="1" si="6102">Y1932</f>
        <v>85</v>
      </c>
      <c r="AD1932">
        <v>1873</v>
      </c>
      <c r="AE1932" t="str">
        <f>IF(AND(ISNUMBER(SEARCH(O1932,4)),ISNUMBER(SEARCH('(4) FCH pathway assessment'!$B$16,AB1932)),ISNUMBER(SEARCH('(4) FCH pathway assessment'!$B$10,AA1932))),AD1932,"")</f>
        <v/>
      </c>
      <c r="AF1932" t="str">
        <f t="shared" si="6046"/>
        <v/>
      </c>
      <c r="AG1932" t="str">
        <f>VLOOKUP(C1932,Assumptions!$B$116:$C$162,2,FALSE)</f>
        <v>NG_SR_MED_D</v>
      </c>
      <c r="AH1932" t="str">
        <f>VLOOKUP(D1932,Assumptions!$B$116:$C$162,2,FALSE)</f>
        <v>D_GAS_STRG</v>
      </c>
      <c r="AI1932" t="str">
        <f>VLOOKUP(E1932,Assumptions!$B$116:$C$162,2,FALSE)</f>
        <v>H2_DSTRB_P</v>
      </c>
      <c r="AJ1932" t="str">
        <f>VLOOKUP(F1932,Assumptions!$B$116:$C$162,2,FALSE)</f>
        <v>H2_FC_mCHP_HEAT</v>
      </c>
    </row>
    <row r="1933" spans="2:36" x14ac:dyDescent="0.25">
      <c r="B1933" t="s">
        <v>127</v>
      </c>
      <c r="C1933" t="s">
        <v>60</v>
      </c>
      <c r="D1933" s="60" t="s">
        <v>130</v>
      </c>
      <c r="E1933" t="s">
        <v>128</v>
      </c>
      <c r="F1933" t="s">
        <v>543</v>
      </c>
      <c r="G1933" t="s">
        <v>132</v>
      </c>
      <c r="H1933" t="s">
        <v>434</v>
      </c>
      <c r="I1933" t="s">
        <v>32</v>
      </c>
      <c r="J1933" t="s">
        <v>534</v>
      </c>
      <c r="K1933">
        <f t="shared" si="6089"/>
        <v>1</v>
      </c>
      <c r="L1933">
        <f t="shared" si="6090"/>
        <v>1</v>
      </c>
      <c r="M1933">
        <f t="shared" si="6091"/>
        <v>1</v>
      </c>
      <c r="N1933">
        <f t="shared" si="6092"/>
        <v>0</v>
      </c>
      <c r="O1933">
        <f t="shared" si="6093"/>
        <v>3</v>
      </c>
      <c r="P1933" t="str">
        <f t="shared" si="6094"/>
        <v>Small decentralized natural gas steam reforming-Regulatory coverage</v>
      </c>
      <c r="Q1933" t="str">
        <f t="shared" si="6095"/>
        <v>Distributed gas storage-Regulatory coverage</v>
      </c>
      <c r="R1933" t="str">
        <f t="shared" si="6096"/>
        <v>Hydrogen distribution pipeline-Regulatory coverage</v>
      </c>
      <c r="S1933" t="str">
        <f t="shared" si="6097"/>
        <v>Micro-CHP with H2 fuel cell (heat)-Regulatory coverage</v>
      </c>
      <c r="T1933">
        <f ca="1">VLOOKUP($P1933,'TA database'!$I$8:$J$79,2,FALSE)</f>
        <v>100</v>
      </c>
      <c r="U1933">
        <f ca="1">VLOOKUP($Q1933,'TA database'!$I$86:$J$105,2,FALSE)</f>
        <v>100</v>
      </c>
      <c r="V1933">
        <f ca="1">VLOOKUP($R1933,'TA database'!$I$112:$J$139,2,FALSE)</f>
        <v>40</v>
      </c>
      <c r="W1933">
        <f ca="1">IFERROR(VLOOKUP($S1933,'TA database'!$I$146:$J$193,2,FALSE),0)</f>
        <v>100</v>
      </c>
      <c r="X1933">
        <f>IFERROR(VLOOKUP($S1933,'TA database'!$I$200:$J$271,2,FALSE),0)</f>
        <v>0</v>
      </c>
      <c r="Y1933">
        <f t="shared" ca="1" si="6098"/>
        <v>85</v>
      </c>
      <c r="Z1933" t="str">
        <f t="shared" si="6099"/>
        <v>NG_SR_SML_D   →   D_GAS_STRG   →   H2_DSTRB_P   →   H2_FC_mCHP_HEAT</v>
      </c>
      <c r="AA1933" t="str">
        <f t="shared" si="6100"/>
        <v>Building heat</v>
      </c>
      <c r="AB1933" t="str">
        <f t="shared" si="6101"/>
        <v>Regulatory coverage</v>
      </c>
      <c r="AC1933">
        <f t="shared" ca="1" si="6102"/>
        <v>85</v>
      </c>
      <c r="AD1933">
        <v>1874</v>
      </c>
      <c r="AE1933" t="str">
        <f>IF(AND(ISNUMBER(SEARCH(O1933,4)),ISNUMBER(SEARCH('(4) FCH pathway assessment'!$B$16,AB1933)),ISNUMBER(SEARCH('(4) FCH pathway assessment'!$B$10,AA1933))),AD1933,"")</f>
        <v/>
      </c>
      <c r="AF1933" t="str">
        <f t="shared" si="6046"/>
        <v/>
      </c>
      <c r="AG1933" t="str">
        <f>VLOOKUP(C1933,Assumptions!$B$116:$C$162,2,FALSE)</f>
        <v>NG_SR_SML_D</v>
      </c>
      <c r="AH1933" t="str">
        <f>VLOOKUP(D1933,Assumptions!$B$116:$C$162,2,FALSE)</f>
        <v>D_GAS_STRG</v>
      </c>
      <c r="AI1933" t="str">
        <f>VLOOKUP(E1933,Assumptions!$B$116:$C$162,2,FALSE)</f>
        <v>H2_DSTRB_P</v>
      </c>
      <c r="AJ1933" t="str">
        <f>VLOOKUP(F1933,Assumptions!$B$116:$C$162,2,FALSE)</f>
        <v>H2_FC_mCHP_HEAT</v>
      </c>
    </row>
    <row r="1934" spans="2:36" x14ac:dyDescent="0.25">
      <c r="B1934" t="s">
        <v>117</v>
      </c>
      <c r="C1934" t="s">
        <v>53</v>
      </c>
      <c r="D1934" t="s">
        <v>155</v>
      </c>
      <c r="E1934" t="s">
        <v>65</v>
      </c>
      <c r="F1934" t="s">
        <v>553</v>
      </c>
      <c r="G1934" t="s">
        <v>132</v>
      </c>
      <c r="H1934" t="s">
        <v>434</v>
      </c>
      <c r="I1934" t="s">
        <v>32</v>
      </c>
      <c r="J1934" t="s">
        <v>534</v>
      </c>
      <c r="K1934">
        <f t="shared" ref="K1934" si="6103">SUMPRODUCT(($C$7:$C$18=$C1934)*($D$6:$H$6=$D1934)*($D$7:$H$18))</f>
        <v>0</v>
      </c>
      <c r="L1934">
        <f t="shared" ref="L1934" si="6104">SUMPRODUCT(($C$19:$C$23=$D1934)*($I$6:$O$6=$E1934)*($I$19:$O$23))</f>
        <v>1</v>
      </c>
      <c r="M1934">
        <f t="shared" ref="M1934" si="6105">SUMPRODUCT(($C$24:$C$30=$E1934)*($P$6:$AI$6=$F1934)*($P$24:$AI$30))</f>
        <v>0</v>
      </c>
      <c r="N1934">
        <f t="shared" ref="N1934" si="6106">SUMPRODUCT(($C$31:$C$50=$F1934)*($AJ$6:$AM$6=$G1934)*($AJ$31:$AM$50))</f>
        <v>1</v>
      </c>
      <c r="O1934">
        <f t="shared" ref="O1934" si="6107">K1934+L1934+M1934+N1934</f>
        <v>2</v>
      </c>
      <c r="P1934" t="str">
        <f t="shared" ref="P1934" si="6108">CONCATENATE(C1934,"-",J1934)</f>
        <v>Medium centralized biomass gasification-Regulatory coverage</v>
      </c>
      <c r="Q1934" t="str">
        <f t="shared" ref="Q1934" si="6109">CONCATENATE(D1934,"-",J1934)</f>
        <v>Central gas storage-Regulatory coverage</v>
      </c>
      <c r="R1934" t="str">
        <f t="shared" ref="R1934" si="6110">CONCATENATE(E1934,"-",J1934)</f>
        <v>Methanation-Regulatory coverage</v>
      </c>
      <c r="S1934" t="str">
        <f t="shared" ref="S1934" si="6111">CONCATENATE(F1934,"-",J1934)</f>
        <v>Micro-CHP with natural gas fuel cell (heat)-Regulatory coverage</v>
      </c>
      <c r="T1934">
        <f ca="1">VLOOKUP($P1934,'TA database'!$I$8:$J$79,2,FALSE)</f>
        <v>100</v>
      </c>
      <c r="U1934">
        <f ca="1">VLOOKUP($Q1934,'TA database'!$I$86:$J$105,2,FALSE)</f>
        <v>80</v>
      </c>
      <c r="V1934">
        <f ca="1">VLOOKUP($R1934,'TA database'!$I$112:$J$139,2,FALSE)</f>
        <v>80</v>
      </c>
      <c r="W1934">
        <f ca="1">IFERROR(VLOOKUP($S1934,'TA database'!$I$146:$J$193,2,FALSE),0)</f>
        <v>100</v>
      </c>
      <c r="X1934">
        <f>IFERROR(VLOOKUP($S1934,'TA database'!$I$200:$J$271,2,FALSE),0)</f>
        <v>0</v>
      </c>
      <c r="Y1934">
        <f t="shared" ref="Y1934" ca="1" si="6112">IF($W1934=0,SUM($T1934:$V1934,$X1934)/4,SUM($T1934:$W1934)/4)</f>
        <v>90</v>
      </c>
      <c r="Z1934" t="str">
        <f t="shared" ref="Z1934" si="6113">CONCATENATE(AG1934,"   →   ",AH1934,"   →   ",AI1934,"   →   ",AJ1934)</f>
        <v>BIO_GSF_MED_C   →   C_GAS_STRG   →   METHANATION   →   NG_FC_mCHP_HEAT</v>
      </c>
      <c r="AA1934" t="str">
        <f t="shared" ref="AA1934" si="6114">G1934</f>
        <v>Building heat</v>
      </c>
      <c r="AB1934" t="str">
        <f t="shared" ref="AB1934" si="6115">J1934</f>
        <v>Regulatory coverage</v>
      </c>
      <c r="AC1934">
        <f t="shared" ref="AC1934" ca="1" si="6116">Y1934</f>
        <v>90</v>
      </c>
      <c r="AD1934">
        <v>1875</v>
      </c>
      <c r="AE1934" t="str">
        <f>IF(AND(ISNUMBER(SEARCH(O1934,4)),ISNUMBER(SEARCH('(4) FCH pathway assessment'!$B$16,AB1934)),ISNUMBER(SEARCH('(4) FCH pathway assessment'!$B$10,AA1934))),AD1934,"")</f>
        <v/>
      </c>
      <c r="AF1934" t="str">
        <f t="shared" si="6046"/>
        <v/>
      </c>
      <c r="AG1934" t="str">
        <f>VLOOKUP(C1934,Assumptions!$B$116:$C$162,2,FALSE)</f>
        <v>BIO_GSF_MED_C</v>
      </c>
      <c r="AH1934" t="str">
        <f>VLOOKUP(D1934,Assumptions!$B$116:$C$162,2,FALSE)</f>
        <v>C_GAS_STRG</v>
      </c>
      <c r="AI1934" t="str">
        <f>VLOOKUP(E1934,Assumptions!$B$116:$C$162,2,FALSE)</f>
        <v>METHANATION</v>
      </c>
      <c r="AJ1934" t="str">
        <f>VLOOKUP(F1934,Assumptions!$B$116:$C$162,2,FALSE)</f>
        <v>NG_FC_mCHP_HEAT</v>
      </c>
    </row>
    <row r="1935" spans="2:36" x14ac:dyDescent="0.25">
      <c r="B1935" t="s">
        <v>117</v>
      </c>
      <c r="C1935" t="s">
        <v>54</v>
      </c>
      <c r="D1935" t="s">
        <v>155</v>
      </c>
      <c r="E1935" t="s">
        <v>65</v>
      </c>
      <c r="F1935" t="s">
        <v>553</v>
      </c>
      <c r="G1935" t="s">
        <v>132</v>
      </c>
      <c r="H1935" t="s">
        <v>434</v>
      </c>
      <c r="I1935" t="s">
        <v>32</v>
      </c>
      <c r="J1935" t="s">
        <v>534</v>
      </c>
      <c r="K1935">
        <f t="shared" ref="K1935" si="6117">SUMPRODUCT(($C$7:$C$18=$C1935)*($D$6:$H$6=$D1935)*($D$7:$H$18))</f>
        <v>0</v>
      </c>
      <c r="L1935">
        <f t="shared" ref="L1935" si="6118">SUMPRODUCT(($C$19:$C$23=$D1935)*($I$6:$O$6=$E1935)*($I$19:$O$23))</f>
        <v>1</v>
      </c>
      <c r="M1935">
        <f t="shared" ref="M1935" si="6119">SUMPRODUCT(($C$24:$C$30=$E1935)*($P$6:$AI$6=$F1935)*($P$24:$AI$30))</f>
        <v>0</v>
      </c>
      <c r="N1935">
        <f t="shared" ref="N1935" si="6120">SUMPRODUCT(($C$31:$C$50=$F1935)*($AJ$6:$AM$6=$G1935)*($AJ$31:$AM$50))</f>
        <v>1</v>
      </c>
      <c r="O1935">
        <f t="shared" ref="O1935" si="6121">K1935+L1935+M1935+N1935</f>
        <v>2</v>
      </c>
      <c r="P1935" t="str">
        <f t="shared" ref="P1935" si="6122">CONCATENATE(C1935,"-",J1935)</f>
        <v>Medium centralized biomass gasification w/ CCS-Regulatory coverage</v>
      </c>
      <c r="Q1935" t="str">
        <f t="shared" ref="Q1935" si="6123">CONCATENATE(D1935,"-",J1935)</f>
        <v>Central gas storage-Regulatory coverage</v>
      </c>
      <c r="R1935" t="str">
        <f t="shared" ref="R1935" si="6124">CONCATENATE(E1935,"-",J1935)</f>
        <v>Methanation-Regulatory coverage</v>
      </c>
      <c r="S1935" t="str">
        <f t="shared" ref="S1935" si="6125">CONCATENATE(F1935,"-",J1935)</f>
        <v>Micro-CHP with natural gas fuel cell (heat)-Regulatory coverage</v>
      </c>
      <c r="T1935">
        <f ca="1">VLOOKUP($P1935,'TA database'!$I$8:$J$79,2,FALSE)</f>
        <v>80</v>
      </c>
      <c r="U1935">
        <f ca="1">VLOOKUP($Q1935,'TA database'!$I$86:$J$105,2,FALSE)</f>
        <v>80</v>
      </c>
      <c r="V1935">
        <f ca="1">VLOOKUP($R1935,'TA database'!$I$112:$J$139,2,FALSE)</f>
        <v>80</v>
      </c>
      <c r="W1935">
        <f ca="1">IFERROR(VLOOKUP($S1935,'TA database'!$I$146:$J$193,2,FALSE),0)</f>
        <v>100</v>
      </c>
      <c r="X1935">
        <f>IFERROR(VLOOKUP($S1935,'TA database'!$I$200:$J$271,2,FALSE),0)</f>
        <v>0</v>
      </c>
      <c r="Y1935">
        <f t="shared" ref="Y1935" ca="1" si="6126">IF($W1935=0,SUM($T1935:$V1935,$X1935)/4,SUM($T1935:$W1935)/4)</f>
        <v>85</v>
      </c>
      <c r="Z1935" t="str">
        <f t="shared" ref="Z1935" si="6127">CONCATENATE(AG1935,"   →   ",AH1935,"   →   ",AI1935,"   →   ",AJ1935)</f>
        <v>BIO_GSF_CCS_MED_C   →   C_GAS_STRG   →   METHANATION   →   NG_FC_mCHP_HEAT</v>
      </c>
      <c r="AA1935" t="str">
        <f t="shared" ref="AA1935" si="6128">G1935</f>
        <v>Building heat</v>
      </c>
      <c r="AB1935" t="str">
        <f t="shared" ref="AB1935" si="6129">J1935</f>
        <v>Regulatory coverage</v>
      </c>
      <c r="AC1935">
        <f t="shared" ref="AC1935" ca="1" si="6130">Y1935</f>
        <v>85</v>
      </c>
      <c r="AD1935">
        <v>1876</v>
      </c>
      <c r="AE1935" t="str">
        <f>IF(AND(ISNUMBER(SEARCH(O1935,4)),ISNUMBER(SEARCH('(4) FCH pathway assessment'!$B$16,AB1935)),ISNUMBER(SEARCH('(4) FCH pathway assessment'!$B$10,AA1935))),AD1935,"")</f>
        <v/>
      </c>
      <c r="AF1935" t="str">
        <f t="shared" si="6046"/>
        <v/>
      </c>
      <c r="AG1935" t="str">
        <f>VLOOKUP(C1935,Assumptions!$B$116:$C$162,2,FALSE)</f>
        <v>BIO_GSF_CCS_MED_C</v>
      </c>
      <c r="AH1935" t="str">
        <f>VLOOKUP(D1935,Assumptions!$B$116:$C$162,2,FALSE)</f>
        <v>C_GAS_STRG</v>
      </c>
      <c r="AI1935" t="str">
        <f>VLOOKUP(E1935,Assumptions!$B$116:$C$162,2,FALSE)</f>
        <v>METHANATION</v>
      </c>
      <c r="AJ1935" t="str">
        <f>VLOOKUP(F1935,Assumptions!$B$116:$C$162,2,FALSE)</f>
        <v>NG_FC_mCHP_HEAT</v>
      </c>
    </row>
    <row r="1936" spans="2:36" x14ac:dyDescent="0.25">
      <c r="B1936" t="s">
        <v>117</v>
      </c>
      <c r="C1936" t="s">
        <v>56</v>
      </c>
      <c r="D1936" t="s">
        <v>62</v>
      </c>
      <c r="E1936" t="s">
        <v>65</v>
      </c>
      <c r="F1936" t="s">
        <v>553</v>
      </c>
      <c r="G1936" t="s">
        <v>132</v>
      </c>
      <c r="H1936" t="s">
        <v>434</v>
      </c>
      <c r="I1936" t="s">
        <v>32</v>
      </c>
      <c r="J1936" t="s">
        <v>534</v>
      </c>
      <c r="K1936">
        <f t="shared" ref="K1936:K1938" si="6131">SUMPRODUCT(($C$7:$C$18=$C1936)*($D$6:$H$6=$D1936)*($D$7:$H$18))</f>
        <v>0</v>
      </c>
      <c r="L1936">
        <f t="shared" ref="L1936:L1938" si="6132">SUMPRODUCT(($C$19:$C$23=$D1936)*($I$6:$O$6=$E1936)*($I$19:$O$23))</f>
        <v>0</v>
      </c>
      <c r="M1936">
        <f t="shared" ref="M1936:M1938" si="6133">SUMPRODUCT(($C$24:$C$30=$E1936)*($P$6:$AI$6=$F1936)*($P$24:$AI$30))</f>
        <v>0</v>
      </c>
      <c r="N1936">
        <f t="shared" ref="N1936:N1938" si="6134">SUMPRODUCT(($C$31:$C$50=$F1936)*($AJ$6:$AM$6=$G1936)*($AJ$31:$AM$50))</f>
        <v>1</v>
      </c>
      <c r="O1936">
        <f t="shared" ref="O1936:O1938" si="6135">K1936+L1936+M1936+N1936</f>
        <v>1</v>
      </c>
      <c r="P1936" t="str">
        <f t="shared" ref="P1936:P1938" si="6136">CONCATENATE(C1936,"-",J1936)</f>
        <v>Large centralized biomass steam reforming -Regulatory coverage</v>
      </c>
      <c r="Q1936" t="str">
        <f t="shared" ref="Q1936:Q1938" si="6137">CONCATENATE(D1936,"-",J1936)</f>
        <v>Underground storage-Regulatory coverage</v>
      </c>
      <c r="R1936" t="str">
        <f t="shared" ref="R1936:R1938" si="6138">CONCATENATE(E1936,"-",J1936)</f>
        <v>Methanation-Regulatory coverage</v>
      </c>
      <c r="S1936" t="str">
        <f t="shared" ref="S1936:S1938" si="6139">CONCATENATE(F1936,"-",J1936)</f>
        <v>Micro-CHP with natural gas fuel cell (heat)-Regulatory coverage</v>
      </c>
      <c r="T1936">
        <f ca="1">VLOOKUP($P1936,'TA database'!$I$8:$J$79,2,FALSE)</f>
        <v>100</v>
      </c>
      <c r="U1936">
        <f ca="1">VLOOKUP($Q1936,'TA database'!$I$86:$J$105,2,FALSE)</f>
        <v>0</v>
      </c>
      <c r="V1936">
        <f ca="1">VLOOKUP($R1936,'TA database'!$I$112:$J$139,2,FALSE)</f>
        <v>80</v>
      </c>
      <c r="W1936">
        <f ca="1">IFERROR(VLOOKUP($S1936,'TA database'!$I$146:$J$193,2,FALSE),0)</f>
        <v>100</v>
      </c>
      <c r="X1936">
        <f>IFERROR(VLOOKUP($S1936,'TA database'!$I$200:$J$271,2,FALSE),0)</f>
        <v>0</v>
      </c>
      <c r="Y1936">
        <f t="shared" ref="Y1936:Y1937" ca="1" si="6140">IF($W1936=0,SUM($T1936:$V1936,$X1936)/4,SUM($T1936:$W1936)/4)</f>
        <v>70</v>
      </c>
      <c r="Z1936" t="str">
        <f t="shared" ref="Z1936:Z1938" si="6141">CONCATENATE(AG1936,"   →   ",AH1936,"   →   ",AI1936,"   →   ",AJ1936)</f>
        <v>BIO_SR_LRG_C   →   C_UNDRGRND_STRG   →   METHANATION   →   NG_FC_mCHP_HEAT</v>
      </c>
      <c r="AA1936" t="str">
        <f t="shared" ref="AA1936:AA1938" si="6142">G1936</f>
        <v>Building heat</v>
      </c>
      <c r="AB1936" t="str">
        <f t="shared" ref="AB1936:AB1938" si="6143">J1936</f>
        <v>Regulatory coverage</v>
      </c>
      <c r="AC1936">
        <f t="shared" ref="AC1936:AC1938" ca="1" si="6144">Y1936</f>
        <v>70</v>
      </c>
      <c r="AD1936">
        <v>1877</v>
      </c>
      <c r="AE1936" t="str">
        <f>IF(AND(ISNUMBER(SEARCH(O1936,4)),ISNUMBER(SEARCH('(4) FCH pathway assessment'!$B$16,AB1936)),ISNUMBER(SEARCH('(4) FCH pathway assessment'!$B$10,AA1936))),AD1936,"")</f>
        <v/>
      </c>
      <c r="AF1936" t="str">
        <f t="shared" si="6046"/>
        <v/>
      </c>
      <c r="AG1936" t="str">
        <f>VLOOKUP(C1936,Assumptions!$B$116:$C$162,2,FALSE)</f>
        <v>BIO_SR_LRG_C</v>
      </c>
      <c r="AH1936" t="str">
        <f>VLOOKUP(D1936,Assumptions!$B$116:$C$162,2,FALSE)</f>
        <v>C_UNDRGRND_STRG</v>
      </c>
      <c r="AI1936" t="str">
        <f>VLOOKUP(E1936,Assumptions!$B$116:$C$162,2,FALSE)</f>
        <v>METHANATION</v>
      </c>
      <c r="AJ1936" t="str">
        <f>VLOOKUP(F1936,Assumptions!$B$116:$C$162,2,FALSE)</f>
        <v>NG_FC_mCHP_HEAT</v>
      </c>
    </row>
    <row r="1937" spans="2:36" x14ac:dyDescent="0.25">
      <c r="B1937" t="s">
        <v>112</v>
      </c>
      <c r="C1937" t="s">
        <v>49</v>
      </c>
      <c r="D1937" t="s">
        <v>62</v>
      </c>
      <c r="E1937" t="s">
        <v>65</v>
      </c>
      <c r="F1937" t="s">
        <v>553</v>
      </c>
      <c r="G1937" t="s">
        <v>132</v>
      </c>
      <c r="H1937" t="s">
        <v>434</v>
      </c>
      <c r="I1937" t="s">
        <v>32</v>
      </c>
      <c r="J1937" t="s">
        <v>534</v>
      </c>
      <c r="K1937">
        <f t="shared" si="6131"/>
        <v>1</v>
      </c>
      <c r="L1937">
        <f t="shared" si="6132"/>
        <v>0</v>
      </c>
      <c r="M1937">
        <f t="shared" si="6133"/>
        <v>0</v>
      </c>
      <c r="N1937">
        <f t="shared" si="6134"/>
        <v>1</v>
      </c>
      <c r="O1937">
        <f t="shared" si="6135"/>
        <v>2</v>
      </c>
      <c r="P1937" t="str">
        <f t="shared" si="6136"/>
        <v>Large centralized electrolysis-Regulatory coverage</v>
      </c>
      <c r="Q1937" t="str">
        <f t="shared" si="6137"/>
        <v>Underground storage-Regulatory coverage</v>
      </c>
      <c r="R1937" t="str">
        <f t="shared" si="6138"/>
        <v>Methanation-Regulatory coverage</v>
      </c>
      <c r="S1937" t="str">
        <f t="shared" si="6139"/>
        <v>Micro-CHP with natural gas fuel cell (heat)-Regulatory coverage</v>
      </c>
      <c r="T1937">
        <f ca="1">VLOOKUP($P1937,'TA database'!$I$8:$J$79,2,FALSE)</f>
        <v>100</v>
      </c>
      <c r="U1937">
        <f ca="1">VLOOKUP($Q1937,'TA database'!$I$86:$J$105,2,FALSE)</f>
        <v>0</v>
      </c>
      <c r="V1937">
        <f ca="1">VLOOKUP($R1937,'TA database'!$I$112:$J$139,2,FALSE)</f>
        <v>80</v>
      </c>
      <c r="W1937">
        <f ca="1">IFERROR(VLOOKUP($S1937,'TA database'!$I$146:$J$193,2,FALSE),0)</f>
        <v>100</v>
      </c>
      <c r="X1937">
        <f>IFERROR(VLOOKUP($S1937,'TA database'!$I$200:$J$271,2,FALSE),0)</f>
        <v>0</v>
      </c>
      <c r="Y1937">
        <f t="shared" ca="1" si="6140"/>
        <v>70</v>
      </c>
      <c r="Z1937" t="str">
        <f t="shared" si="6141"/>
        <v>ELCTRLYZ_LRG_C   →   C_UNDRGRND_STRG   →   METHANATION   →   NG_FC_mCHP_HEAT</v>
      </c>
      <c r="AA1937" t="str">
        <f t="shared" si="6142"/>
        <v>Building heat</v>
      </c>
      <c r="AB1937" t="str">
        <f t="shared" si="6143"/>
        <v>Regulatory coverage</v>
      </c>
      <c r="AC1937">
        <f t="shared" ca="1" si="6144"/>
        <v>70</v>
      </c>
      <c r="AD1937">
        <v>1878</v>
      </c>
      <c r="AE1937" t="str">
        <f>IF(AND(ISNUMBER(SEARCH(O1937,4)),ISNUMBER(SEARCH('(4) FCH pathway assessment'!$B$16,AB1937)),ISNUMBER(SEARCH('(4) FCH pathway assessment'!$B$10,AA1937))),AD1937,"")</f>
        <v/>
      </c>
      <c r="AF1937" t="str">
        <f t="shared" si="6046"/>
        <v/>
      </c>
      <c r="AG1937" t="str">
        <f>VLOOKUP(C1937,Assumptions!$B$116:$C$162,2,FALSE)</f>
        <v>ELCTRLYZ_LRG_C</v>
      </c>
      <c r="AH1937" t="str">
        <f>VLOOKUP(D1937,Assumptions!$B$116:$C$162,2,FALSE)</f>
        <v>C_UNDRGRND_STRG</v>
      </c>
      <c r="AI1937" t="str">
        <f>VLOOKUP(E1937,Assumptions!$B$116:$C$162,2,FALSE)</f>
        <v>METHANATION</v>
      </c>
      <c r="AJ1937" t="str">
        <f>VLOOKUP(F1937,Assumptions!$B$116:$C$162,2,FALSE)</f>
        <v>NG_FC_mCHP_HEAT</v>
      </c>
    </row>
    <row r="1938" spans="2:36" x14ac:dyDescent="0.25">
      <c r="B1938" t="s">
        <v>112</v>
      </c>
      <c r="C1938" t="s">
        <v>49</v>
      </c>
      <c r="D1938" t="s">
        <v>155</v>
      </c>
      <c r="E1938" t="s">
        <v>65</v>
      </c>
      <c r="F1938" t="s">
        <v>553</v>
      </c>
      <c r="G1938" t="s">
        <v>132</v>
      </c>
      <c r="H1938" t="s">
        <v>434</v>
      </c>
      <c r="I1938" t="s">
        <v>32</v>
      </c>
      <c r="J1938" t="s">
        <v>534</v>
      </c>
      <c r="K1938">
        <f t="shared" si="6131"/>
        <v>1</v>
      </c>
      <c r="L1938">
        <f t="shared" si="6132"/>
        <v>1</v>
      </c>
      <c r="M1938">
        <f t="shared" si="6133"/>
        <v>0</v>
      </c>
      <c r="N1938">
        <f t="shared" si="6134"/>
        <v>1</v>
      </c>
      <c r="O1938">
        <f t="shared" si="6135"/>
        <v>3</v>
      </c>
      <c r="P1938" t="str">
        <f t="shared" si="6136"/>
        <v>Large centralized electrolysis-Regulatory coverage</v>
      </c>
      <c r="Q1938" t="str">
        <f t="shared" si="6137"/>
        <v>Central gas storage-Regulatory coverage</v>
      </c>
      <c r="R1938" t="str">
        <f t="shared" si="6138"/>
        <v>Methanation-Regulatory coverage</v>
      </c>
      <c r="S1938" t="str">
        <f t="shared" si="6139"/>
        <v>Micro-CHP with natural gas fuel cell (heat)-Regulatory coverage</v>
      </c>
      <c r="T1938">
        <f ca="1">VLOOKUP($P1938,'TA database'!$I$8:$J$79,2,FALSE)</f>
        <v>100</v>
      </c>
      <c r="U1938">
        <f ca="1">VLOOKUP($Q1938,'TA database'!$I$86:$J$105,2,FALSE)</f>
        <v>80</v>
      </c>
      <c r="V1938">
        <f ca="1">VLOOKUP($R1938,'TA database'!$I$112:$J$139,2,FALSE)</f>
        <v>80</v>
      </c>
      <c r="W1938">
        <f ca="1">IFERROR(VLOOKUP($S1938,'TA database'!$I$146:$J$193,2,FALSE),0)</f>
        <v>100</v>
      </c>
      <c r="X1938">
        <f>IFERROR(VLOOKUP($S1938,'TA database'!$I$200:$J$271,2,FALSE),0)</f>
        <v>0</v>
      </c>
      <c r="Y1938">
        <f t="shared" ref="Y1938:Y1939" ca="1" si="6145">IF($W1938=0,SUM($T1938:$V1938,$X1938)/4,SUM($T1938:$W1938)/4)</f>
        <v>90</v>
      </c>
      <c r="Z1938" t="str">
        <f t="shared" si="6141"/>
        <v>ELCTRLYZ_LRG_C   →   C_GAS_STRG   →   METHANATION   →   NG_FC_mCHP_HEAT</v>
      </c>
      <c r="AA1938" t="str">
        <f t="shared" si="6142"/>
        <v>Building heat</v>
      </c>
      <c r="AB1938" t="str">
        <f t="shared" si="6143"/>
        <v>Regulatory coverage</v>
      </c>
      <c r="AC1938">
        <f t="shared" ca="1" si="6144"/>
        <v>90</v>
      </c>
      <c r="AD1938">
        <v>1879</v>
      </c>
      <c r="AE1938" t="str">
        <f>IF(AND(ISNUMBER(SEARCH(O1938,4)),ISNUMBER(SEARCH('(4) FCH pathway assessment'!$B$16,AB1938)),ISNUMBER(SEARCH('(4) FCH pathway assessment'!$B$10,AA1938))),AD1938,"")</f>
        <v/>
      </c>
      <c r="AF1938" t="str">
        <f t="shared" si="6046"/>
        <v/>
      </c>
      <c r="AG1938" t="str">
        <f>VLOOKUP(C1938,Assumptions!$B$116:$C$162,2,FALSE)</f>
        <v>ELCTRLYZ_LRG_C</v>
      </c>
      <c r="AH1938" t="str">
        <f>VLOOKUP(D1938,Assumptions!$B$116:$C$162,2,FALSE)</f>
        <v>C_GAS_STRG</v>
      </c>
      <c r="AI1938" t="str">
        <f>VLOOKUP(E1938,Assumptions!$B$116:$C$162,2,FALSE)</f>
        <v>METHANATION</v>
      </c>
      <c r="AJ1938" t="str">
        <f>VLOOKUP(F1938,Assumptions!$B$116:$C$162,2,FALSE)</f>
        <v>NG_FC_mCHP_HEAT</v>
      </c>
    </row>
    <row r="1939" spans="2:36" x14ac:dyDescent="0.25">
      <c r="B1939" t="s">
        <v>112</v>
      </c>
      <c r="C1939" t="s">
        <v>51</v>
      </c>
      <c r="D1939" t="s">
        <v>155</v>
      </c>
      <c r="E1939" t="s">
        <v>65</v>
      </c>
      <c r="F1939" t="s">
        <v>553</v>
      </c>
      <c r="G1939" t="s">
        <v>132</v>
      </c>
      <c r="H1939" t="s">
        <v>434</v>
      </c>
      <c r="I1939" t="s">
        <v>32</v>
      </c>
      <c r="J1939" t="s">
        <v>534</v>
      </c>
      <c r="K1939">
        <f t="shared" ref="K1939" si="6146">SUMPRODUCT(($C$7:$C$18=$C1939)*($D$6:$H$6=$D1939)*($D$7:$H$18))</f>
        <v>1</v>
      </c>
      <c r="L1939">
        <f t="shared" ref="L1939" si="6147">SUMPRODUCT(($C$19:$C$23=$D1939)*($I$6:$O$6=$E1939)*($I$19:$O$23))</f>
        <v>1</v>
      </c>
      <c r="M1939">
        <f t="shared" ref="M1939" si="6148">SUMPRODUCT(($C$24:$C$30=$E1939)*($P$6:$AI$6=$F1939)*($P$24:$AI$30))</f>
        <v>0</v>
      </c>
      <c r="N1939">
        <f t="shared" ref="N1939" si="6149">SUMPRODUCT(($C$31:$C$50=$F1939)*($AJ$6:$AM$6=$G1939)*($AJ$31:$AM$50))</f>
        <v>1</v>
      </c>
      <c r="O1939">
        <f t="shared" ref="O1939" si="6150">K1939+L1939+M1939+N1939</f>
        <v>3</v>
      </c>
      <c r="P1939" t="str">
        <f t="shared" ref="P1939" si="6151">CONCATENATE(C1939,"-",J1939)</f>
        <v>Medium centralized electrolysis-Regulatory coverage</v>
      </c>
      <c r="Q1939" t="str">
        <f t="shared" ref="Q1939" si="6152">CONCATENATE(D1939,"-",J1939)</f>
        <v>Central gas storage-Regulatory coverage</v>
      </c>
      <c r="R1939" t="str">
        <f t="shared" ref="R1939" si="6153">CONCATENATE(E1939,"-",J1939)</f>
        <v>Methanation-Regulatory coverage</v>
      </c>
      <c r="S1939" t="str">
        <f t="shared" ref="S1939" si="6154">CONCATENATE(F1939,"-",J1939)</f>
        <v>Micro-CHP with natural gas fuel cell (heat)-Regulatory coverage</v>
      </c>
      <c r="T1939">
        <f ca="1">VLOOKUP($P1939,'TA database'!$I$8:$J$79,2,FALSE)</f>
        <v>100</v>
      </c>
      <c r="U1939">
        <f ca="1">VLOOKUP($Q1939,'TA database'!$I$86:$J$105,2,FALSE)</f>
        <v>80</v>
      </c>
      <c r="V1939">
        <f ca="1">VLOOKUP($R1939,'TA database'!$I$112:$J$139,2,FALSE)</f>
        <v>80</v>
      </c>
      <c r="W1939">
        <f ca="1">IFERROR(VLOOKUP($S1939,'TA database'!$I$146:$J$193,2,FALSE),0)</f>
        <v>100</v>
      </c>
      <c r="X1939">
        <f>IFERROR(VLOOKUP($S1939,'TA database'!$I$200:$J$271,2,FALSE),0)</f>
        <v>0</v>
      </c>
      <c r="Y1939">
        <f t="shared" ca="1" si="6145"/>
        <v>90</v>
      </c>
      <c r="Z1939" t="str">
        <f t="shared" ref="Z1939" si="6155">CONCATENATE(AG1939,"   →   ",AH1939,"   →   ",AI1939,"   →   ",AJ1939)</f>
        <v>ELCTRLYZ_MED_C   →   C_GAS_STRG   →   METHANATION   →   NG_FC_mCHP_HEAT</v>
      </c>
      <c r="AA1939" t="str">
        <f t="shared" ref="AA1939" si="6156">G1939</f>
        <v>Building heat</v>
      </c>
      <c r="AB1939" t="str">
        <f t="shared" ref="AB1939" si="6157">J1939</f>
        <v>Regulatory coverage</v>
      </c>
      <c r="AC1939">
        <f t="shared" ref="AC1939" ca="1" si="6158">Y1939</f>
        <v>90</v>
      </c>
      <c r="AD1939">
        <v>1880</v>
      </c>
      <c r="AE1939" t="str">
        <f>IF(AND(ISNUMBER(SEARCH(O1939,4)),ISNUMBER(SEARCH('(4) FCH pathway assessment'!$B$16,AB1939)),ISNUMBER(SEARCH('(4) FCH pathway assessment'!$B$10,AA1939))),AD1939,"")</f>
        <v/>
      </c>
      <c r="AF1939" t="str">
        <f t="shared" si="6046"/>
        <v/>
      </c>
      <c r="AG1939" t="str">
        <f>VLOOKUP(C1939,Assumptions!$B$116:$C$162,2,FALSE)</f>
        <v>ELCTRLYZ_MED_C</v>
      </c>
      <c r="AH1939" t="str">
        <f>VLOOKUP(D1939,Assumptions!$B$116:$C$162,2,FALSE)</f>
        <v>C_GAS_STRG</v>
      </c>
      <c r="AI1939" t="str">
        <f>VLOOKUP(E1939,Assumptions!$B$116:$C$162,2,FALSE)</f>
        <v>METHANATION</v>
      </c>
      <c r="AJ1939" t="str">
        <f>VLOOKUP(F1939,Assumptions!$B$116:$C$162,2,FALSE)</f>
        <v>NG_FC_mCHP_HEAT</v>
      </c>
    </row>
    <row r="1940" spans="2:36" x14ac:dyDescent="0.25">
      <c r="B1940" t="s">
        <v>127</v>
      </c>
      <c r="C1940" t="s">
        <v>57</v>
      </c>
      <c r="D1940" t="s">
        <v>62</v>
      </c>
      <c r="E1940" t="s">
        <v>65</v>
      </c>
      <c r="F1940" t="s">
        <v>553</v>
      </c>
      <c r="G1940" t="s">
        <v>132</v>
      </c>
      <c r="H1940" t="s">
        <v>434</v>
      </c>
      <c r="I1940" t="s">
        <v>32</v>
      </c>
      <c r="J1940" t="s">
        <v>534</v>
      </c>
      <c r="K1940">
        <f t="shared" ref="K1940" si="6159">SUMPRODUCT(($C$7:$C$18=$C1940)*($D$6:$H$6=$D1940)*($D$7:$H$18))</f>
        <v>1</v>
      </c>
      <c r="L1940">
        <f t="shared" ref="L1940" si="6160">SUMPRODUCT(($C$19:$C$23=$D1940)*($I$6:$O$6=$E1940)*($I$19:$O$23))</f>
        <v>0</v>
      </c>
      <c r="M1940">
        <f t="shared" ref="M1940" si="6161">SUMPRODUCT(($C$24:$C$30=$E1940)*($P$6:$AI$6=$F1940)*($P$24:$AI$30))</f>
        <v>0</v>
      </c>
      <c r="N1940">
        <f t="shared" ref="N1940" si="6162">SUMPRODUCT(($C$31:$C$50=$F1940)*($AJ$6:$AM$6=$G1940)*($AJ$31:$AM$50))</f>
        <v>1</v>
      </c>
      <c r="O1940">
        <f t="shared" ref="O1940" si="6163">K1940+L1940+M1940+N1940</f>
        <v>2</v>
      </c>
      <c r="P1940" t="str">
        <f t="shared" ref="P1940" si="6164">CONCATENATE(C1940,"-",J1940)</f>
        <v>Large centralized natural gas steam reforming-Regulatory coverage</v>
      </c>
      <c r="Q1940" t="str">
        <f t="shared" ref="Q1940" si="6165">CONCATENATE(D1940,"-",J1940)</f>
        <v>Underground storage-Regulatory coverage</v>
      </c>
      <c r="R1940" t="str">
        <f t="shared" ref="R1940" si="6166">CONCATENATE(E1940,"-",J1940)</f>
        <v>Methanation-Regulatory coverage</v>
      </c>
      <c r="S1940" t="str">
        <f t="shared" ref="S1940" si="6167">CONCATENATE(F1940,"-",J1940)</f>
        <v>Micro-CHP with natural gas fuel cell (heat)-Regulatory coverage</v>
      </c>
      <c r="T1940">
        <f ca="1">VLOOKUP($P1940,'TA database'!$I$8:$J$79,2,FALSE)</f>
        <v>100</v>
      </c>
      <c r="U1940">
        <f ca="1">VLOOKUP($Q1940,'TA database'!$I$86:$J$105,2,FALSE)</f>
        <v>0</v>
      </c>
      <c r="V1940">
        <f ca="1">VLOOKUP($R1940,'TA database'!$I$112:$J$139,2,FALSE)</f>
        <v>80</v>
      </c>
      <c r="W1940">
        <f ca="1">IFERROR(VLOOKUP($S1940,'TA database'!$I$146:$J$193,2,FALSE),0)</f>
        <v>100</v>
      </c>
      <c r="X1940">
        <f>IFERROR(VLOOKUP($S1940,'TA database'!$I$200:$J$271,2,FALSE),0)</f>
        <v>0</v>
      </c>
      <c r="Y1940">
        <f t="shared" ref="Y1940" ca="1" si="6168">IF($W1940=0,SUM($T1940:$V1940,$X1940)/4,SUM($T1940:$W1940)/4)</f>
        <v>70</v>
      </c>
      <c r="Z1940" t="str">
        <f t="shared" ref="Z1940" si="6169">CONCATENATE(AG1940,"   →   ",AH1940,"   →   ",AI1940,"   →   ",AJ1940)</f>
        <v>NG_SR_LRG_C   →   C_UNDRGRND_STRG   →   METHANATION   →   NG_FC_mCHP_HEAT</v>
      </c>
      <c r="AA1940" t="str">
        <f t="shared" ref="AA1940" si="6170">G1940</f>
        <v>Building heat</v>
      </c>
      <c r="AB1940" t="str">
        <f t="shared" ref="AB1940" si="6171">J1940</f>
        <v>Regulatory coverage</v>
      </c>
      <c r="AC1940">
        <f t="shared" ref="AC1940" ca="1" si="6172">Y1940</f>
        <v>70</v>
      </c>
      <c r="AD1940">
        <v>1881</v>
      </c>
      <c r="AE1940" t="str">
        <f>IF(AND(ISNUMBER(SEARCH(O1940,4)),ISNUMBER(SEARCH('(4) FCH pathway assessment'!$B$16,AB1940)),ISNUMBER(SEARCH('(4) FCH pathway assessment'!$B$10,AA1940))),AD1940,"")</f>
        <v/>
      </c>
      <c r="AF1940" t="str">
        <f t="shared" si="6046"/>
        <v/>
      </c>
      <c r="AG1940" t="str">
        <f>VLOOKUP(C1940,Assumptions!$B$116:$C$162,2,FALSE)</f>
        <v>NG_SR_LRG_C</v>
      </c>
      <c r="AH1940" t="str">
        <f>VLOOKUP(D1940,Assumptions!$B$116:$C$162,2,FALSE)</f>
        <v>C_UNDRGRND_STRG</v>
      </c>
      <c r="AI1940" t="str">
        <f>VLOOKUP(E1940,Assumptions!$B$116:$C$162,2,FALSE)</f>
        <v>METHANATION</v>
      </c>
      <c r="AJ1940" t="str">
        <f>VLOOKUP(F1940,Assumptions!$B$116:$C$162,2,FALSE)</f>
        <v>NG_FC_mCHP_HEAT</v>
      </c>
    </row>
    <row r="1941" spans="2:36" x14ac:dyDescent="0.25">
      <c r="B1941" t="s">
        <v>127</v>
      </c>
      <c r="C1941" t="s">
        <v>58</v>
      </c>
      <c r="D1941" t="s">
        <v>155</v>
      </c>
      <c r="E1941" t="s">
        <v>65</v>
      </c>
      <c r="F1941" t="s">
        <v>553</v>
      </c>
      <c r="G1941" t="s">
        <v>132</v>
      </c>
      <c r="H1941" t="s">
        <v>434</v>
      </c>
      <c r="I1941" t="s">
        <v>32</v>
      </c>
      <c r="J1941" t="s">
        <v>534</v>
      </c>
      <c r="K1941">
        <f t="shared" ref="K1941" si="6173">SUMPRODUCT(($C$7:$C$18=$C1941)*($D$6:$H$6=$D1941)*($D$7:$H$18))</f>
        <v>1</v>
      </c>
      <c r="L1941">
        <f t="shared" ref="L1941" si="6174">SUMPRODUCT(($C$19:$C$23=$D1941)*($I$6:$O$6=$E1941)*($I$19:$O$23))</f>
        <v>1</v>
      </c>
      <c r="M1941">
        <f t="shared" ref="M1941" si="6175">SUMPRODUCT(($C$24:$C$30=$E1941)*($P$6:$AI$6=$F1941)*($P$24:$AI$30))</f>
        <v>0</v>
      </c>
      <c r="N1941">
        <f t="shared" ref="N1941" si="6176">SUMPRODUCT(($C$31:$C$50=$F1941)*($AJ$6:$AM$6=$G1941)*($AJ$31:$AM$50))</f>
        <v>1</v>
      </c>
      <c r="O1941">
        <f t="shared" ref="O1941" si="6177">K1941+L1941+M1941+N1941</f>
        <v>3</v>
      </c>
      <c r="P1941" t="str">
        <f t="shared" ref="P1941" si="6178">CONCATENATE(C1941,"-",J1941)</f>
        <v>Small centralized natural gas steam reforming-Regulatory coverage</v>
      </c>
      <c r="Q1941" t="str">
        <f t="shared" ref="Q1941" si="6179">CONCATENATE(D1941,"-",J1941)</f>
        <v>Central gas storage-Regulatory coverage</v>
      </c>
      <c r="R1941" t="str">
        <f t="shared" ref="R1941" si="6180">CONCATENATE(E1941,"-",J1941)</f>
        <v>Methanation-Regulatory coverage</v>
      </c>
      <c r="S1941" t="str">
        <f t="shared" ref="S1941" si="6181">CONCATENATE(F1941,"-",J1941)</f>
        <v>Micro-CHP with natural gas fuel cell (heat)-Regulatory coverage</v>
      </c>
      <c r="T1941">
        <f ca="1">VLOOKUP($P1941,'TA database'!$I$8:$J$79,2,FALSE)</f>
        <v>100</v>
      </c>
      <c r="U1941">
        <f ca="1">VLOOKUP($Q1941,'TA database'!$I$86:$J$105,2,FALSE)</f>
        <v>80</v>
      </c>
      <c r="V1941">
        <f ca="1">VLOOKUP($R1941,'TA database'!$I$112:$J$139,2,FALSE)</f>
        <v>80</v>
      </c>
      <c r="W1941">
        <f ca="1">IFERROR(VLOOKUP($S1941,'TA database'!$I$146:$J$193,2,FALSE),0)</f>
        <v>100</v>
      </c>
      <c r="X1941">
        <f>IFERROR(VLOOKUP($S1941,'TA database'!$I$200:$J$271,2,FALSE),0)</f>
        <v>0</v>
      </c>
      <c r="Y1941">
        <f t="shared" ref="Y1941" ca="1" si="6182">IF($W1941=0,SUM($T1941:$V1941,$X1941)/4,SUM($T1941:$W1941)/4)</f>
        <v>90</v>
      </c>
      <c r="Z1941" t="str">
        <f t="shared" ref="Z1941" si="6183">CONCATENATE(AG1941,"   →   ",AH1941,"   →   ",AI1941,"   →   ",AJ1941)</f>
        <v>NG_SR_SML_C   →   C_GAS_STRG   →   METHANATION   →   NG_FC_mCHP_HEAT</v>
      </c>
      <c r="AA1941" t="str">
        <f t="shared" ref="AA1941" si="6184">G1941</f>
        <v>Building heat</v>
      </c>
      <c r="AB1941" t="str">
        <f t="shared" ref="AB1941" si="6185">J1941</f>
        <v>Regulatory coverage</v>
      </c>
      <c r="AC1941">
        <f t="shared" ref="AC1941" ca="1" si="6186">Y1941</f>
        <v>90</v>
      </c>
      <c r="AD1941">
        <v>1882</v>
      </c>
      <c r="AE1941" t="str">
        <f>IF(AND(ISNUMBER(SEARCH(O1941,4)),ISNUMBER(SEARCH('(4) FCH pathway assessment'!$B$16,AB1941)),ISNUMBER(SEARCH('(4) FCH pathway assessment'!$B$10,AA1941))),AD1941,"")</f>
        <v/>
      </c>
      <c r="AF1941" t="str">
        <f t="shared" si="6046"/>
        <v/>
      </c>
      <c r="AG1941" t="str">
        <f>VLOOKUP(C1941,Assumptions!$B$116:$C$162,2,FALSE)</f>
        <v>NG_SR_SML_C</v>
      </c>
      <c r="AH1941" t="str">
        <f>VLOOKUP(D1941,Assumptions!$B$116:$C$162,2,FALSE)</f>
        <v>C_GAS_STRG</v>
      </c>
      <c r="AI1941" t="str">
        <f>VLOOKUP(E1941,Assumptions!$B$116:$C$162,2,FALSE)</f>
        <v>METHANATION</v>
      </c>
      <c r="AJ1941" t="str">
        <f>VLOOKUP(F1941,Assumptions!$B$116:$C$162,2,FALSE)</f>
        <v>NG_FC_mCHP_HEAT</v>
      </c>
    </row>
    <row r="1942" spans="2:36" x14ac:dyDescent="0.25">
      <c r="B1942" t="s">
        <v>127</v>
      </c>
      <c r="C1942" t="s">
        <v>174</v>
      </c>
      <c r="D1942" s="61" t="s">
        <v>177</v>
      </c>
      <c r="E1942" t="s">
        <v>180</v>
      </c>
      <c r="F1942" t="s">
        <v>553</v>
      </c>
      <c r="G1942" t="s">
        <v>132</v>
      </c>
      <c r="H1942" t="s">
        <v>434</v>
      </c>
      <c r="I1942" t="s">
        <v>32</v>
      </c>
      <c r="J1942" t="s">
        <v>534</v>
      </c>
      <c r="K1942">
        <f t="shared" ref="K1942:K1991" si="6187">SUMPRODUCT(($C$7:$C$18=$C1942)*($D$6:$H$6=$D1942)*($D$7:$H$18))</f>
        <v>1</v>
      </c>
      <c r="L1942">
        <f t="shared" ref="L1942:L1991" si="6188">SUMPRODUCT(($C$19:$C$23=$D1942)*($I$6:$O$6=$E1942)*($I$19:$O$23))</f>
        <v>1</v>
      </c>
      <c r="M1942">
        <f t="shared" ref="M1942:M1991" si="6189">SUMPRODUCT(($C$24:$C$30=$E1942)*($P$6:$AI$6=$F1942)*($P$24:$AI$30))</f>
        <v>1</v>
      </c>
      <c r="N1942">
        <f t="shared" ref="N1942:N1991" si="6190">SUMPRODUCT(($C$31:$C$50=$F1942)*($AJ$6:$AM$6=$G1942)*($AJ$31:$AM$50))</f>
        <v>1</v>
      </c>
      <c r="O1942">
        <f t="shared" ref="O1942:O1949" si="6191">K1942+L1942+M1942+N1942</f>
        <v>4</v>
      </c>
      <c r="P1942" t="str">
        <f t="shared" ref="P1942:P1991" si="6192">CONCATENATE(C1942,"-",J1942)</f>
        <v>Natural gas production-Regulatory coverage</v>
      </c>
      <c r="Q1942" t="str">
        <f t="shared" ref="Q1942:Q1991" si="6193">CONCATENATE(D1942,"-",J1942)</f>
        <v>Natural gas storage-Regulatory coverage</v>
      </c>
      <c r="R1942" t="str">
        <f t="shared" ref="R1942:R1991" si="6194">CONCATENATE(E1942,"-",J1942)</f>
        <v>Natural gas transport-Regulatory coverage</v>
      </c>
      <c r="S1942" t="str">
        <f t="shared" ref="S1942:S1991" si="6195">CONCATENATE(F1942,"-",J1942)</f>
        <v>Micro-CHP with natural gas fuel cell (heat)-Regulatory coverage</v>
      </c>
      <c r="T1942">
        <f ca="1">VLOOKUP($P1942,'TA database'!$I$8:$J$79,2,FALSE)</f>
        <v>100</v>
      </c>
      <c r="U1942">
        <f ca="1">VLOOKUP($Q1942,'TA database'!$I$86:$J$105,2,FALSE)</f>
        <v>100</v>
      </c>
      <c r="V1942">
        <f ca="1">VLOOKUP($R1942,'TA database'!$I$112:$J$139,2,FALSE)</f>
        <v>100</v>
      </c>
      <c r="W1942">
        <f ca="1">IFERROR(VLOOKUP($S1942,'TA database'!$I$146:$J$193,2,FALSE),0)</f>
        <v>100</v>
      </c>
      <c r="X1942">
        <f>IFERROR(VLOOKUP($S1942,'TA database'!$I$200:$J$271,2,FALSE),0)</f>
        <v>0</v>
      </c>
      <c r="Y1942">
        <f t="shared" ref="Y1942" ca="1" si="6196">IF($W1942=0,SUM($T1942:$V1942,$X1942)/4,SUM($T1942:$W1942)/4)</f>
        <v>100</v>
      </c>
      <c r="Z1942" t="str">
        <f t="shared" ref="Z1942:Z1949" si="6197">CONCATENATE(AG1942,"   →   ",AH1942,"   →   ",AI1942,"   →   ",AJ1942)</f>
        <v>[NG_PROD]   →   [NG_STRG]   →   [NG_TRNSP]   →   NG_FC_mCHP_HEAT</v>
      </c>
      <c r="AA1942" t="str">
        <f t="shared" ref="AA1942:AA1949" si="6198">G1942</f>
        <v>Building heat</v>
      </c>
      <c r="AB1942" t="str">
        <f t="shared" ref="AB1942:AB1949" si="6199">J1942</f>
        <v>Regulatory coverage</v>
      </c>
      <c r="AC1942">
        <f t="shared" ref="AC1942:AC1949" ca="1" si="6200">Y1942</f>
        <v>100</v>
      </c>
      <c r="AD1942">
        <v>1883</v>
      </c>
      <c r="AE1942" t="str">
        <f>IF(AND(ISNUMBER(SEARCH(O1942,4)),ISNUMBER(SEARCH('(4) FCH pathway assessment'!$B$16,AB1942)),ISNUMBER(SEARCH('(4) FCH pathway assessment'!$B$10,AA1942))),AD1942,"")</f>
        <v/>
      </c>
      <c r="AF1942" t="str">
        <f t="shared" si="6046"/>
        <v/>
      </c>
      <c r="AG1942" t="str">
        <f>VLOOKUP(C1942,Assumptions!$B$116:$C$162,2,FALSE)</f>
        <v>[NG_PROD]</v>
      </c>
      <c r="AH1942" t="str">
        <f>VLOOKUP(D1942,Assumptions!$B$116:$C$162,2,FALSE)</f>
        <v>[NG_STRG]</v>
      </c>
      <c r="AI1942" t="str">
        <f>VLOOKUP(E1942,Assumptions!$B$116:$C$162,2,FALSE)</f>
        <v>[NG_TRNSP]</v>
      </c>
      <c r="AJ1942" t="str">
        <f>VLOOKUP(F1942,Assumptions!$B$116:$C$162,2,FALSE)</f>
        <v>NG_FC_mCHP_HEAT</v>
      </c>
    </row>
    <row r="1943" spans="2:36" x14ac:dyDescent="0.25">
      <c r="B1943" t="s">
        <v>127</v>
      </c>
      <c r="C1943" t="s">
        <v>174</v>
      </c>
      <c r="D1943" t="s">
        <v>177</v>
      </c>
      <c r="E1943" t="s">
        <v>180</v>
      </c>
      <c r="F1943" t="s">
        <v>571</v>
      </c>
      <c r="G1943" t="s">
        <v>120</v>
      </c>
      <c r="H1943" t="s">
        <v>432</v>
      </c>
      <c r="I1943" t="s">
        <v>69</v>
      </c>
      <c r="J1943" t="s">
        <v>329</v>
      </c>
      <c r="K1943">
        <f t="shared" si="6187"/>
        <v>1</v>
      </c>
      <c r="L1943">
        <f t="shared" si="6188"/>
        <v>1</v>
      </c>
      <c r="M1943">
        <f t="shared" si="6189"/>
        <v>1</v>
      </c>
      <c r="N1943">
        <f t="shared" si="6190"/>
        <v>1</v>
      </c>
      <c r="O1943">
        <f t="shared" si="6191"/>
        <v>4</v>
      </c>
      <c r="P1943" t="str">
        <f t="shared" si="6192"/>
        <v>Natural gas production-CO2 emissions</v>
      </c>
      <c r="Q1943" t="str">
        <f t="shared" si="6193"/>
        <v>Natural gas storage-CO2 emissions</v>
      </c>
      <c r="R1943" t="str">
        <f t="shared" si="6194"/>
        <v>Natural gas transport-CO2 emissions</v>
      </c>
      <c r="S1943" t="str">
        <f t="shared" si="6195"/>
        <v>Gas-fired Industrial boiler-CO2 emissions</v>
      </c>
      <c r="T1943">
        <f ca="1">IF(timePeriod="2020-30",(VLOOKUP($P1943,'TA database'!$I$8:$J$79,2,FALSE)/VLOOKUP($D1943,'Merit calculation'!$B$48:$I$52,5,FALSE)/VLOOKUP($E1943,'Merit calculation'!$B$67:$I$73,5,FALSE)/VLOOKUP($F1943,'Merit calculation'!$B$117:$I$124,5,FALSE)),(VLOOKUP($P1943,'TA database'!$I$8:$J$79,2,FALSE)/VLOOKUP($D1943,'Merit calculation'!$B$48:$I$52,7,FALSE)/VLOOKUP($E1943,'Merit calculation'!$B$67:$I$73,7,FALSE)/VLOOKUP($F1943,'Merit calculation'!$B$117:$I$124,7,FALSE)))</f>
        <v>0</v>
      </c>
      <c r="U1943">
        <v>0</v>
      </c>
      <c r="V1943">
        <v>0</v>
      </c>
      <c r="W1943">
        <f ca="1">IFERROR(VLOOKUP($S1943,'TA database'!$I$146:$J$193,2,FALSE),0)</f>
        <v>6.8414634146341469E-2</v>
      </c>
      <c r="X1943">
        <f>IFERROR(VLOOKUP($S1943,'TA database'!$I$200:$J$271,2,FALSE),0)</f>
        <v>0</v>
      </c>
      <c r="Y1943">
        <f ca="1">IF($W1943=0,T1943+U1943+V1943+X1943,T1943+U1943+V1943+W1943)</f>
        <v>6.8414634146341469E-2</v>
      </c>
      <c r="Z1943" t="str">
        <f t="shared" si="6197"/>
        <v>[NG_PROD]   →   [NG_STRG]   →   [NG_TRNSP]   →   [NG_IND_BOIL_HEAT]</v>
      </c>
      <c r="AA1943" t="str">
        <f t="shared" si="6198"/>
        <v>Industrial heat</v>
      </c>
      <c r="AB1943" t="str">
        <f t="shared" si="6199"/>
        <v>CO2 emissions</v>
      </c>
      <c r="AC1943">
        <f t="shared" ca="1" si="6200"/>
        <v>6.8414634146341469E-2</v>
      </c>
      <c r="AD1943">
        <v>1884</v>
      </c>
      <c r="AE1943" t="str">
        <f>IF(AND(ISNUMBER(SEARCH(O1943,4)),ISNUMBER(SEARCH('(4) FCH pathway assessment'!$B$16,AB1943)),ISNUMBER(SEARCH('(4) FCH pathway assessment'!$B$10,AA1943))),AD1943,"")</f>
        <v/>
      </c>
      <c r="AF1943" t="str">
        <f t="shared" si="6046"/>
        <v/>
      </c>
      <c r="AG1943" t="str">
        <f>VLOOKUP(C1943,Assumptions!$B$116:$C$162,2,FALSE)</f>
        <v>[NG_PROD]</v>
      </c>
      <c r="AH1943" t="str">
        <f>VLOOKUP(D1943,Assumptions!$B$116:$C$162,2,FALSE)</f>
        <v>[NG_STRG]</v>
      </c>
      <c r="AI1943" t="str">
        <f>VLOOKUP(E1943,Assumptions!$B$116:$C$162,2,FALSE)</f>
        <v>[NG_TRNSP]</v>
      </c>
      <c r="AJ1943" t="str">
        <f>VLOOKUP(F1943,Assumptions!$B$116:$C$162,2,FALSE)</f>
        <v>[NG_IND_BOIL_HEAT]</v>
      </c>
    </row>
    <row r="1944" spans="2:36" x14ac:dyDescent="0.25">
      <c r="B1944" t="s">
        <v>127</v>
      </c>
      <c r="C1944" t="s">
        <v>174</v>
      </c>
      <c r="D1944" t="s">
        <v>177</v>
      </c>
      <c r="E1944" t="s">
        <v>180</v>
      </c>
      <c r="F1944" t="s">
        <v>444</v>
      </c>
      <c r="G1944" t="s">
        <v>132</v>
      </c>
      <c r="H1944" t="s">
        <v>434</v>
      </c>
      <c r="I1944" t="s">
        <v>69</v>
      </c>
      <c r="J1944" t="s">
        <v>329</v>
      </c>
      <c r="K1944">
        <f t="shared" si="6187"/>
        <v>1</v>
      </c>
      <c r="L1944">
        <f t="shared" si="6188"/>
        <v>1</v>
      </c>
      <c r="M1944">
        <f t="shared" si="6189"/>
        <v>1</v>
      </c>
      <c r="N1944">
        <f t="shared" si="6190"/>
        <v>1</v>
      </c>
      <c r="O1944">
        <f t="shared" si="6191"/>
        <v>4</v>
      </c>
      <c r="P1944" t="str">
        <f t="shared" si="6192"/>
        <v>Natural gas production-CO2 emissions</v>
      </c>
      <c r="Q1944" t="str">
        <f t="shared" si="6193"/>
        <v>Natural gas storage-CO2 emissions</v>
      </c>
      <c r="R1944" t="str">
        <f t="shared" si="6194"/>
        <v>Natural gas transport-CO2 emissions</v>
      </c>
      <c r="S1944" t="str">
        <f t="shared" si="6195"/>
        <v>Gas-fired residential boiler-CO2 emissions</v>
      </c>
      <c r="T1944">
        <f ca="1">IF(timePeriod="2020-30",(VLOOKUP($P1944,'TA database'!$I$8:$J$79,2,FALSE)/VLOOKUP($D1944,'Merit calculation'!$B$48:$I$52,5,FALSE)/VLOOKUP($E1944,'Merit calculation'!$B$67:$I$73,5,FALSE)/VLOOKUP($F1944,'Merit calculation'!$B$117:$I$124,5,FALSE)),(VLOOKUP($P1944,'TA database'!$I$8:$J$79,2,FALSE)/VLOOKUP($D1944,'Merit calculation'!$B$48:$I$52,7,FALSE)/VLOOKUP($E1944,'Merit calculation'!$B$67:$I$73,7,FALSE)/VLOOKUP($F1944,'Merit calculation'!$B$117:$I$124,7,FALSE)))</f>
        <v>0</v>
      </c>
      <c r="U1944">
        <v>0</v>
      </c>
      <c r="V1944">
        <v>0</v>
      </c>
      <c r="W1944">
        <f ca="1">IFERROR(VLOOKUP($S1944,'TA database'!$I$146:$J$193,2,FALSE),0)</f>
        <v>6.6785714285714282E-2</v>
      </c>
      <c r="X1944">
        <f>IFERROR(VLOOKUP($S1944,'TA database'!$I$200:$J$271,2,FALSE),0)</f>
        <v>0</v>
      </c>
      <c r="Y1944">
        <f t="shared" ref="Y1944:Y1948" ca="1" si="6201">IF($W1944=0,T1944+U1944+V1944+X1944,T1944+U1944+V1944+W1944)</f>
        <v>6.6785714285714282E-2</v>
      </c>
      <c r="Z1944" t="str">
        <f t="shared" si="6197"/>
        <v>[NG_PROD]   →   [NG_STRG]   →   [NG_TRNSP]   →   [NG_RES_BOIL_HEAT]</v>
      </c>
      <c r="AA1944" t="str">
        <f t="shared" si="6198"/>
        <v>Building heat</v>
      </c>
      <c r="AB1944" t="str">
        <f t="shared" si="6199"/>
        <v>CO2 emissions</v>
      </c>
      <c r="AC1944">
        <f t="shared" ca="1" si="6200"/>
        <v>6.6785714285714282E-2</v>
      </c>
      <c r="AD1944">
        <v>1885</v>
      </c>
      <c r="AE1944" t="str">
        <f>IF(AND(ISNUMBER(SEARCH(O1944,4)),ISNUMBER(SEARCH('(4) FCH pathway assessment'!$B$16,AB1944)),ISNUMBER(SEARCH('(4) FCH pathway assessment'!$B$10,AA1944))),AD1944,"")</f>
        <v/>
      </c>
      <c r="AF1944" t="str">
        <f t="shared" si="6046"/>
        <v/>
      </c>
      <c r="AG1944" t="str">
        <f>VLOOKUP(C1944,Assumptions!$B$116:$C$162,2,FALSE)</f>
        <v>[NG_PROD]</v>
      </c>
      <c r="AH1944" t="str">
        <f>VLOOKUP(D1944,Assumptions!$B$116:$C$162,2,FALSE)</f>
        <v>[NG_STRG]</v>
      </c>
      <c r="AI1944" t="str">
        <f>VLOOKUP(E1944,Assumptions!$B$116:$C$162,2,FALSE)</f>
        <v>[NG_TRNSP]</v>
      </c>
      <c r="AJ1944" t="str">
        <f>VLOOKUP(F1944,Assumptions!$B$116:$C$162,2,FALSE)</f>
        <v>[NG_RES_BOIL_HEAT]</v>
      </c>
    </row>
    <row r="1945" spans="2:36" x14ac:dyDescent="0.25">
      <c r="B1945" t="s">
        <v>127</v>
      </c>
      <c r="C1945" t="s">
        <v>174</v>
      </c>
      <c r="D1945" t="s">
        <v>177</v>
      </c>
      <c r="E1945" t="s">
        <v>180</v>
      </c>
      <c r="F1945" t="s">
        <v>446</v>
      </c>
      <c r="G1945" t="s">
        <v>132</v>
      </c>
      <c r="H1945" t="s">
        <v>434</v>
      </c>
      <c r="I1945" t="s">
        <v>69</v>
      </c>
      <c r="J1945" t="s">
        <v>329</v>
      </c>
      <c r="K1945">
        <f t="shared" si="6187"/>
        <v>1</v>
      </c>
      <c r="L1945">
        <f t="shared" si="6188"/>
        <v>1</v>
      </c>
      <c r="M1945">
        <f t="shared" si="6189"/>
        <v>1</v>
      </c>
      <c r="N1945">
        <f t="shared" si="6190"/>
        <v>1</v>
      </c>
      <c r="O1945">
        <f t="shared" si="6191"/>
        <v>4</v>
      </c>
      <c r="P1945" t="str">
        <f t="shared" si="6192"/>
        <v>Natural gas production-CO2 emissions</v>
      </c>
      <c r="Q1945" t="str">
        <f t="shared" si="6193"/>
        <v>Natural gas storage-CO2 emissions</v>
      </c>
      <c r="R1945" t="str">
        <f t="shared" si="6194"/>
        <v>Natural gas transport-CO2 emissions</v>
      </c>
      <c r="S1945" t="str">
        <f t="shared" si="6195"/>
        <v>Gas-fired District-CHP (heat)-CO2 emissions</v>
      </c>
      <c r="T1945">
        <f ca="1">IF(timePeriod="2020-30",(VLOOKUP($P1945,'TA database'!$I$8:$J$79,2,FALSE)/VLOOKUP($D1945,'Merit calculation'!$B$48:$I$52,5,FALSE)/VLOOKUP($E1945,'Merit calculation'!$B$67:$I$73,5,FALSE)/VLOOKUP($F1945,'Merit calculation'!$B$117:$I$124,5,FALSE)),(VLOOKUP($P1945,'TA database'!$I$8:$J$79,2,FALSE)/VLOOKUP($D1945,'Merit calculation'!$B$48:$I$52,7,FALSE)/VLOOKUP($E1945,'Merit calculation'!$B$67:$I$73,7,FALSE)/VLOOKUP($F1945,'Merit calculation'!$B$117:$I$124,7,FALSE)))</f>
        <v>0</v>
      </c>
      <c r="U1945">
        <v>0</v>
      </c>
      <c r="V1945">
        <v>0</v>
      </c>
      <c r="W1945">
        <f ca="1">IFERROR(VLOOKUP($S1945,'TA database'!$I$146:$J$193,2,FALSE),0)</f>
        <v>6.2333333333333331E-2</v>
      </c>
      <c r="X1945">
        <f>IFERROR(VLOOKUP($S1945,'TA database'!$I$200:$J$271,2,FALSE),0)</f>
        <v>0</v>
      </c>
      <c r="Y1945">
        <f t="shared" ca="1" si="6201"/>
        <v>6.2333333333333331E-2</v>
      </c>
      <c r="Z1945" t="str">
        <f t="shared" si="6197"/>
        <v>[NG_PROD]   →   [NG_STRG]   →   [NG_TRNSP]   →   [NG_DCHP_HEAT]</v>
      </c>
      <c r="AA1945" t="str">
        <f t="shared" si="6198"/>
        <v>Building heat</v>
      </c>
      <c r="AB1945" t="str">
        <f t="shared" si="6199"/>
        <v>CO2 emissions</v>
      </c>
      <c r="AC1945">
        <f t="shared" ca="1" si="6200"/>
        <v>6.2333333333333331E-2</v>
      </c>
      <c r="AD1945">
        <v>1886</v>
      </c>
      <c r="AE1945" t="str">
        <f>IF(AND(ISNUMBER(SEARCH(O1945,4)),ISNUMBER(SEARCH('(4) FCH pathway assessment'!$B$16,AB1945)),ISNUMBER(SEARCH('(4) FCH pathway assessment'!$B$10,AA1945))),AD1945,"")</f>
        <v/>
      </c>
      <c r="AF1945" t="str">
        <f t="shared" si="6046"/>
        <v/>
      </c>
      <c r="AG1945" t="str">
        <f>VLOOKUP(C1945,Assumptions!$B$116:$C$162,2,FALSE)</f>
        <v>[NG_PROD]</v>
      </c>
      <c r="AH1945" t="str">
        <f>VLOOKUP(D1945,Assumptions!$B$116:$C$162,2,FALSE)</f>
        <v>[NG_STRG]</v>
      </c>
      <c r="AI1945" t="str">
        <f>VLOOKUP(E1945,Assumptions!$B$116:$C$162,2,FALSE)</f>
        <v>[NG_TRNSP]</v>
      </c>
      <c r="AJ1945" t="str">
        <f>VLOOKUP(F1945,Assumptions!$B$116:$C$162,2,FALSE)</f>
        <v>[NG_DCHP_HEAT]</v>
      </c>
    </row>
    <row r="1946" spans="2:36" x14ac:dyDescent="0.25">
      <c r="B1946" t="s">
        <v>127</v>
      </c>
      <c r="C1946" t="s">
        <v>174</v>
      </c>
      <c r="D1946" t="s">
        <v>177</v>
      </c>
      <c r="E1946" t="s">
        <v>180</v>
      </c>
      <c r="F1946" s="54" t="s">
        <v>442</v>
      </c>
      <c r="G1946" t="s">
        <v>114</v>
      </c>
      <c r="H1946" t="s">
        <v>433</v>
      </c>
      <c r="I1946" t="s">
        <v>69</v>
      </c>
      <c r="J1946" t="s">
        <v>329</v>
      </c>
      <c r="K1946">
        <f t="shared" si="6187"/>
        <v>1</v>
      </c>
      <c r="L1946">
        <f t="shared" si="6188"/>
        <v>1</v>
      </c>
      <c r="M1946">
        <f t="shared" si="6189"/>
        <v>1</v>
      </c>
      <c r="N1946">
        <f t="shared" si="6190"/>
        <v>1</v>
      </c>
      <c r="O1946">
        <f t="shared" si="6191"/>
        <v>4</v>
      </c>
      <c r="P1946" t="str">
        <f t="shared" si="6192"/>
        <v>Natural gas production-CO2 emissions</v>
      </c>
      <c r="Q1946" t="str">
        <f t="shared" si="6193"/>
        <v>Natural gas storage-CO2 emissions</v>
      </c>
      <c r="R1946" t="str">
        <f t="shared" si="6194"/>
        <v>Natural gas transport-CO2 emissions</v>
      </c>
      <c r="S1946" t="str">
        <f t="shared" si="6195"/>
        <v>Natural gas turbine (OC) -CO2 emissions</v>
      </c>
      <c r="T1946">
        <f ca="1">IF(timePeriod="2020-30",(VLOOKUP($P1946,'TA database'!$I$8:$J$79,2,FALSE)/VLOOKUP($D1946,'Merit calculation'!$B$48:$I$52,5,FALSE)/VLOOKUP($E1946,'Merit calculation'!$B$67:$I$73,5,FALSE)/VLOOKUP($F1946,'Merit calculation'!$B$117:$I$124,5,FALSE)),(VLOOKUP($P1946,'TA database'!$I$8:$J$79,2,FALSE)/VLOOKUP($D1946,'Merit calculation'!$B$48:$I$52,7,FALSE)/VLOOKUP($E1946,'Merit calculation'!$B$67:$I$73,7,FALSE)/VLOOKUP($F1946,'Merit calculation'!$B$117:$I$124,7,FALSE)))</f>
        <v>0</v>
      </c>
      <c r="U1946">
        <v>0</v>
      </c>
      <c r="V1946">
        <v>0</v>
      </c>
      <c r="W1946">
        <f>IFERROR(VLOOKUP($S1946,'TA database'!$I$146:$J$193,2,FALSE),0)</f>
        <v>0</v>
      </c>
      <c r="X1946">
        <f ca="1">IFERROR(VLOOKUP($S1946,'TA database'!$I$200:$J$271,2,FALSE),0)</f>
        <v>0.44879999999999998</v>
      </c>
      <c r="Y1946">
        <f t="shared" ca="1" si="6201"/>
        <v>0.44879999999999998</v>
      </c>
      <c r="Z1946" t="str">
        <f t="shared" si="6197"/>
        <v>[NG_PROD]   →   [NG_STRG]   →   [NG_TRNSP]   →   [NG_OCGT_PWR]</v>
      </c>
      <c r="AA1946" t="str">
        <f t="shared" si="6198"/>
        <v>Grid electricity</v>
      </c>
      <c r="AB1946" t="str">
        <f t="shared" si="6199"/>
        <v>CO2 emissions</v>
      </c>
      <c r="AC1946">
        <f t="shared" ca="1" si="6200"/>
        <v>0.44879999999999998</v>
      </c>
      <c r="AD1946">
        <v>1887</v>
      </c>
      <c r="AE1946" t="str">
        <f>IF(AND(ISNUMBER(SEARCH(O1946,4)),ISNUMBER(SEARCH('(4) FCH pathway assessment'!$B$16,AB1946)),ISNUMBER(SEARCH('(4) FCH pathway assessment'!$B$10,AA1946))),AD1946,"")</f>
        <v/>
      </c>
      <c r="AF1946" t="str">
        <f t="shared" si="6046"/>
        <v/>
      </c>
      <c r="AG1946" t="str">
        <f>VLOOKUP(C1946,Assumptions!$B$116:$C$162,2,FALSE)</f>
        <v>[NG_PROD]</v>
      </c>
      <c r="AH1946" t="str">
        <f>VLOOKUP(D1946,Assumptions!$B$116:$C$162,2,FALSE)</f>
        <v>[NG_STRG]</v>
      </c>
      <c r="AI1946" t="str">
        <f>VLOOKUP(E1946,Assumptions!$B$116:$C$162,2,FALSE)</f>
        <v>[NG_TRNSP]</v>
      </c>
      <c r="AJ1946" t="str">
        <f>VLOOKUP(F1946,Assumptions!$B$116:$C$162,2,FALSE)</f>
        <v>[NG_OCGT_PWR]</v>
      </c>
    </row>
    <row r="1947" spans="2:36" x14ac:dyDescent="0.25">
      <c r="B1947" t="s">
        <v>127</v>
      </c>
      <c r="C1947" t="s">
        <v>174</v>
      </c>
      <c r="D1947" t="s">
        <v>177</v>
      </c>
      <c r="E1947" t="s">
        <v>180</v>
      </c>
      <c r="F1947" s="54" t="s">
        <v>440</v>
      </c>
      <c r="G1947" t="s">
        <v>114</v>
      </c>
      <c r="H1947" t="s">
        <v>433</v>
      </c>
      <c r="I1947" t="s">
        <v>69</v>
      </c>
      <c r="J1947" t="s">
        <v>329</v>
      </c>
      <c r="K1947">
        <f t="shared" si="6187"/>
        <v>1</v>
      </c>
      <c r="L1947">
        <f t="shared" si="6188"/>
        <v>1</v>
      </c>
      <c r="M1947">
        <f t="shared" si="6189"/>
        <v>1</v>
      </c>
      <c r="N1947">
        <f t="shared" si="6190"/>
        <v>1</v>
      </c>
      <c r="O1947">
        <f t="shared" si="6191"/>
        <v>4</v>
      </c>
      <c r="P1947" t="str">
        <f t="shared" si="6192"/>
        <v>Natural gas production-CO2 emissions</v>
      </c>
      <c r="Q1947" t="str">
        <f t="shared" si="6193"/>
        <v>Natural gas storage-CO2 emissions</v>
      </c>
      <c r="R1947" t="str">
        <f t="shared" si="6194"/>
        <v>Natural gas transport-CO2 emissions</v>
      </c>
      <c r="S1947" t="str">
        <f t="shared" si="6195"/>
        <v>Natural gas turbine (CC)-CO2 emissions</v>
      </c>
      <c r="T1947">
        <f ca="1">IF(timePeriod="2020-30",(VLOOKUP($P1947,'TA database'!$I$8:$J$79,2,FALSE)/VLOOKUP($D1947,'Merit calculation'!$B$48:$I$52,5,FALSE)/VLOOKUP($E1947,'Merit calculation'!$B$67:$I$73,5,FALSE)/VLOOKUP($F1947,'Merit calculation'!$B$117:$I$124,5,FALSE)),(VLOOKUP($P1947,'TA database'!$I$8:$J$79,2,FALSE)/VLOOKUP($D1947,'Merit calculation'!$B$48:$I$52,7,FALSE)/VLOOKUP($E1947,'Merit calculation'!$B$67:$I$73,7,FALSE)/VLOOKUP($F1947,'Merit calculation'!$B$117:$I$124,7,FALSE)))</f>
        <v>0</v>
      </c>
      <c r="U1947">
        <v>0</v>
      </c>
      <c r="V1947">
        <v>0</v>
      </c>
      <c r="W1947">
        <f>IFERROR(VLOOKUP($S1947,'TA database'!$I$146:$J$193,2,FALSE),0)</f>
        <v>0</v>
      </c>
      <c r="X1947">
        <f ca="1">IFERROR(VLOOKUP($S1947,'TA database'!$I$200:$J$271,2,FALSE),0)</f>
        <v>0.33108196721311478</v>
      </c>
      <c r="Y1947">
        <f t="shared" ca="1" si="6201"/>
        <v>0.33108196721311478</v>
      </c>
      <c r="Z1947" t="str">
        <f t="shared" si="6197"/>
        <v>[NG_PROD]   →   [NG_STRG]   →   [NG_TRNSP]   →   [NG_CCGT_PWR]</v>
      </c>
      <c r="AA1947" t="str">
        <f t="shared" si="6198"/>
        <v>Grid electricity</v>
      </c>
      <c r="AB1947" t="str">
        <f t="shared" si="6199"/>
        <v>CO2 emissions</v>
      </c>
      <c r="AC1947">
        <f t="shared" ca="1" si="6200"/>
        <v>0.33108196721311478</v>
      </c>
      <c r="AD1947">
        <v>1888</v>
      </c>
      <c r="AE1947" t="str">
        <f>IF(AND(ISNUMBER(SEARCH(O1947,4)),ISNUMBER(SEARCH('(4) FCH pathway assessment'!$B$16,AB1947)),ISNUMBER(SEARCH('(4) FCH pathway assessment'!$B$10,AA1947))),AD1947,"")</f>
        <v/>
      </c>
      <c r="AF1947" t="str">
        <f t="shared" si="6046"/>
        <v/>
      </c>
      <c r="AG1947" t="str">
        <f>VLOOKUP(C1947,Assumptions!$B$116:$C$162,2,FALSE)</f>
        <v>[NG_PROD]</v>
      </c>
      <c r="AH1947" t="str">
        <f>VLOOKUP(D1947,Assumptions!$B$116:$C$162,2,FALSE)</f>
        <v>[NG_STRG]</v>
      </c>
      <c r="AI1947" t="str">
        <f>VLOOKUP(E1947,Assumptions!$B$116:$C$162,2,FALSE)</f>
        <v>[NG_TRNSP]</v>
      </c>
      <c r="AJ1947" t="str">
        <f>VLOOKUP(F1947,Assumptions!$B$116:$C$162,2,FALSE)</f>
        <v>[NG_CCGT_PWR]</v>
      </c>
    </row>
    <row r="1948" spans="2:36" x14ac:dyDescent="0.25">
      <c r="B1948" t="s">
        <v>127</v>
      </c>
      <c r="C1948" t="s">
        <v>174</v>
      </c>
      <c r="D1948" t="s">
        <v>177</v>
      </c>
      <c r="E1948" t="s">
        <v>180</v>
      </c>
      <c r="F1948" s="54" t="s">
        <v>441</v>
      </c>
      <c r="G1948" t="s">
        <v>126</v>
      </c>
      <c r="H1948" t="s">
        <v>433</v>
      </c>
      <c r="I1948" t="s">
        <v>69</v>
      </c>
      <c r="J1948" t="s">
        <v>329</v>
      </c>
      <c r="K1948">
        <f t="shared" si="6187"/>
        <v>1</v>
      </c>
      <c r="L1948">
        <f t="shared" si="6188"/>
        <v>1</v>
      </c>
      <c r="M1948">
        <f t="shared" si="6189"/>
        <v>1</v>
      </c>
      <c r="N1948">
        <f t="shared" si="6190"/>
        <v>1</v>
      </c>
      <c r="O1948">
        <f t="shared" si="6191"/>
        <v>4</v>
      </c>
      <c r="P1948" t="str">
        <f t="shared" si="6192"/>
        <v>Natural gas production-CO2 emissions</v>
      </c>
      <c r="Q1948" t="str">
        <f t="shared" si="6193"/>
        <v>Natural gas storage-CO2 emissions</v>
      </c>
      <c r="R1948" t="str">
        <f t="shared" si="6194"/>
        <v>Natural gas transport-CO2 emissions</v>
      </c>
      <c r="S1948" t="str">
        <f t="shared" si="6195"/>
        <v>Gas engine-CO2 emissions</v>
      </c>
      <c r="T1948">
        <f ca="1">IF(timePeriod="2020-30",(VLOOKUP($P1948,'TA database'!$I$8:$J$79,2,FALSE)/VLOOKUP($D1948,'Merit calculation'!$B$48:$I$52,5,FALSE)/VLOOKUP($E1948,'Merit calculation'!$B$67:$I$73,5,FALSE)/VLOOKUP($F1948,'Merit calculation'!$B$117:$I$124,5,FALSE)),(VLOOKUP($P1948,'TA database'!$I$8:$J$79,2,FALSE)/VLOOKUP($D1948,'Merit calculation'!$B$48:$I$52,7,FALSE)/VLOOKUP($E1948,'Merit calculation'!$B$67:$I$73,7,FALSE)/VLOOKUP($F1948,'Merit calculation'!$B$117:$I$124,7,FALSE)))</f>
        <v>0</v>
      </c>
      <c r="U1948">
        <v>0</v>
      </c>
      <c r="V1948">
        <v>0</v>
      </c>
      <c r="W1948">
        <f>IFERROR(VLOOKUP($S1948,'TA database'!$I$146:$J$193,2,FALSE),0)</f>
        <v>0</v>
      </c>
      <c r="X1948">
        <f ca="1">IFERROR(VLOOKUP($S1948,'TA database'!$I$200:$J$271,2,FALSE),0)</f>
        <v>0.51129113924050629</v>
      </c>
      <c r="Y1948">
        <f t="shared" ca="1" si="6201"/>
        <v>0.51129113924050629</v>
      </c>
      <c r="Z1948" t="str">
        <f t="shared" si="6197"/>
        <v>[NG_PROD]   →   [NG_STRG]   →   [NG_TRNSP]   →   [NG_ICE_PWR]</v>
      </c>
      <c r="AA1948" t="str">
        <f t="shared" si="6198"/>
        <v>Onsite / Back-up power</v>
      </c>
      <c r="AB1948" t="str">
        <f t="shared" si="6199"/>
        <v>CO2 emissions</v>
      </c>
      <c r="AC1948">
        <f t="shared" ca="1" si="6200"/>
        <v>0.51129113924050629</v>
      </c>
      <c r="AD1948">
        <v>1889</v>
      </c>
      <c r="AE1948" t="str">
        <f>IF(AND(ISNUMBER(SEARCH(O1948,4)),ISNUMBER(SEARCH('(4) FCH pathway assessment'!$B$16,AB1948)),ISNUMBER(SEARCH('(4) FCH pathway assessment'!$B$10,AA1948))),AD1948,"")</f>
        <v/>
      </c>
      <c r="AF1948" t="str">
        <f t="shared" si="6046"/>
        <v/>
      </c>
      <c r="AG1948" t="str">
        <f>VLOOKUP(C1948,Assumptions!$B$116:$C$162,2,FALSE)</f>
        <v>[NG_PROD]</v>
      </c>
      <c r="AH1948" t="str">
        <f>VLOOKUP(D1948,Assumptions!$B$116:$C$162,2,FALSE)</f>
        <v>[NG_STRG]</v>
      </c>
      <c r="AI1948" t="str">
        <f>VLOOKUP(E1948,Assumptions!$B$116:$C$162,2,FALSE)</f>
        <v>[NG_TRNSP]</v>
      </c>
      <c r="AJ1948" t="str">
        <f>VLOOKUP(F1948,Assumptions!$B$116:$C$162,2,FALSE)</f>
        <v>[NG_ICE_PWR]</v>
      </c>
    </row>
    <row r="1949" spans="2:36" x14ac:dyDescent="0.25">
      <c r="B1949" t="s">
        <v>127</v>
      </c>
      <c r="C1949" t="s">
        <v>174</v>
      </c>
      <c r="D1949" t="s">
        <v>177</v>
      </c>
      <c r="E1949" t="s">
        <v>180</v>
      </c>
      <c r="F1949" s="54" t="s">
        <v>447</v>
      </c>
      <c r="G1949" t="s">
        <v>114</v>
      </c>
      <c r="H1949" t="s">
        <v>433</v>
      </c>
      <c r="I1949" t="s">
        <v>69</v>
      </c>
      <c r="J1949" t="s">
        <v>329</v>
      </c>
      <c r="K1949">
        <f t="shared" si="6187"/>
        <v>1</v>
      </c>
      <c r="L1949">
        <f t="shared" si="6188"/>
        <v>1</v>
      </c>
      <c r="M1949">
        <f t="shared" si="6189"/>
        <v>1</v>
      </c>
      <c r="N1949">
        <f t="shared" si="6190"/>
        <v>1</v>
      </c>
      <c r="O1949">
        <f t="shared" si="6191"/>
        <v>4</v>
      </c>
      <c r="P1949" t="str">
        <f t="shared" si="6192"/>
        <v>Natural gas production-CO2 emissions</v>
      </c>
      <c r="Q1949" t="str">
        <f t="shared" si="6193"/>
        <v>Natural gas storage-CO2 emissions</v>
      </c>
      <c r="R1949" t="str">
        <f t="shared" si="6194"/>
        <v>Natural gas transport-CO2 emissions</v>
      </c>
      <c r="S1949" t="str">
        <f t="shared" si="6195"/>
        <v>Gas-fired District-CHP (power)-CO2 emissions</v>
      </c>
      <c r="T1949">
        <f ca="1">IF(timePeriod="2020-30",(VLOOKUP($P1949,'TA database'!$I$8:$J$79,2,FALSE)/VLOOKUP($D1949,'Merit calculation'!$B$48:$I$52,5,FALSE)/VLOOKUP($E1949,'Merit calculation'!$B$67:$I$73,5,FALSE)/VLOOKUP($F1949,'Merit calculation'!$B$117:$I$124,5,FALSE)),(VLOOKUP($P1949,'TA database'!$I$8:$J$79,2,FALSE)/VLOOKUP($D1949,'Merit calculation'!$B$48:$I$52,7,FALSE)/VLOOKUP($E1949,'Merit calculation'!$B$67:$I$73,7,FALSE)/VLOOKUP($F1949,'Merit calculation'!$B$117:$I$124,7,FALSE)))</f>
        <v>0</v>
      </c>
      <c r="U1949">
        <v>0</v>
      </c>
      <c r="V1949">
        <v>0</v>
      </c>
      <c r="W1949">
        <f>IFERROR(VLOOKUP($S1949,'TA database'!$I$146:$J$193,2,FALSE),0)</f>
        <v>0</v>
      </c>
      <c r="X1949">
        <f ca="1">IFERROR(VLOOKUP($S1949,'TA database'!$I$200:$J$271,2,FALSE),0)</f>
        <v>0.40799999999999997</v>
      </c>
      <c r="Y1949">
        <f ca="1">IF($W1949=0,T1949+U1949+V1949+X1949,T1949+U1949+V1949+W1949)</f>
        <v>0.40799999999999997</v>
      </c>
      <c r="Z1949" t="str">
        <f t="shared" si="6197"/>
        <v>[NG_PROD]   →   [NG_STRG]   →   [NG_TRNSP]   →   [NG_DCHP_PWR]</v>
      </c>
      <c r="AA1949" t="str">
        <f t="shared" si="6198"/>
        <v>Grid electricity</v>
      </c>
      <c r="AB1949" t="str">
        <f t="shared" si="6199"/>
        <v>CO2 emissions</v>
      </c>
      <c r="AC1949">
        <f t="shared" ca="1" si="6200"/>
        <v>0.40799999999999997</v>
      </c>
      <c r="AD1949">
        <v>1890</v>
      </c>
      <c r="AE1949" t="str">
        <f>IF(AND(ISNUMBER(SEARCH(O1949,4)),ISNUMBER(SEARCH('(4) FCH pathway assessment'!$B$16,AB1949)),ISNUMBER(SEARCH('(4) FCH pathway assessment'!$B$10,AA1949))),AD1949,"")</f>
        <v/>
      </c>
      <c r="AF1949" t="str">
        <f t="shared" si="6046"/>
        <v/>
      </c>
      <c r="AG1949" t="str">
        <f>VLOOKUP(C1949,Assumptions!$B$116:$C$162,2,FALSE)</f>
        <v>[NG_PROD]</v>
      </c>
      <c r="AH1949" t="str">
        <f>VLOOKUP(D1949,Assumptions!$B$116:$C$162,2,FALSE)</f>
        <v>[NG_STRG]</v>
      </c>
      <c r="AI1949" t="str">
        <f>VLOOKUP(E1949,Assumptions!$B$116:$C$162,2,FALSE)</f>
        <v>[NG_TRNSP]</v>
      </c>
      <c r="AJ1949" t="str">
        <f>VLOOKUP(F1949,Assumptions!$B$116:$C$162,2,FALSE)</f>
        <v>[NG_DCHP_PWR]</v>
      </c>
    </row>
    <row r="1950" spans="2:36" x14ac:dyDescent="0.25">
      <c r="B1950" t="s">
        <v>127</v>
      </c>
      <c r="C1950" t="s">
        <v>174</v>
      </c>
      <c r="D1950" t="s">
        <v>177</v>
      </c>
      <c r="E1950" t="s">
        <v>180</v>
      </c>
      <c r="F1950" t="s">
        <v>571</v>
      </c>
      <c r="G1950" t="s">
        <v>120</v>
      </c>
      <c r="H1950" t="s">
        <v>432</v>
      </c>
      <c r="I1950" t="s">
        <v>69</v>
      </c>
      <c r="J1950" t="s">
        <v>80</v>
      </c>
      <c r="K1950">
        <f t="shared" si="6187"/>
        <v>1</v>
      </c>
      <c r="L1950">
        <f t="shared" si="6188"/>
        <v>1</v>
      </c>
      <c r="M1950">
        <f t="shared" si="6189"/>
        <v>1</v>
      </c>
      <c r="N1950">
        <f t="shared" si="6190"/>
        <v>1</v>
      </c>
      <c r="O1950">
        <f t="shared" ref="O1950:O1956" si="6202">K1950+L1950+M1950+N1950</f>
        <v>4</v>
      </c>
      <c r="P1950" t="str">
        <f t="shared" si="6192"/>
        <v>Natural gas production-Flexibility</v>
      </c>
      <c r="Q1950" t="str">
        <f t="shared" si="6193"/>
        <v>Natural gas storage-Flexibility</v>
      </c>
      <c r="R1950" t="str">
        <f t="shared" si="6194"/>
        <v>Natural gas transport-Flexibility</v>
      </c>
      <c r="S1950" t="str">
        <f t="shared" si="6195"/>
        <v>Gas-fired Industrial boiler-Flexibility</v>
      </c>
      <c r="T1950">
        <f ca="1">IFERROR(VLOOKUP($P1950,'TA database'!$I$8:$J$79,2,FALSE),0)</f>
        <v>0</v>
      </c>
      <c r="U1950">
        <f>IFERROR(VLOOKUP($Q1950,'TA database'!$I$86:$J$105,2,FALSE),0)</f>
        <v>0</v>
      </c>
      <c r="V1950">
        <f>IFERROR(VLOOKUP($R1950,'TA database'!$I$112:$J$139,2,FALSE),0)</f>
        <v>0</v>
      </c>
      <c r="W1950">
        <f>IFERROR(VLOOKUP($S1950,'TA database'!$I$146:$J$193,2,FALSE),0)</f>
        <v>0</v>
      </c>
      <c r="X1950">
        <f>IFERROR(VLOOKUP($S1950,'TA database'!$I$200:$J$271,2,FALSE),0)</f>
        <v>0</v>
      </c>
      <c r="Y1950">
        <f ca="1">IF($W1950=0,T1950+U1950+V1950+X1950,T1950+U1950+V1950+W1950)</f>
        <v>0</v>
      </c>
      <c r="Z1950" t="str">
        <f t="shared" ref="Z1950:Z1956" si="6203">CONCATENATE(AG1950,"   →   ",AH1950,"   →   ",AI1950,"   →   ",AJ1950)</f>
        <v>[NG_PROD]   →   [NG_STRG]   →   [NG_TRNSP]   →   [NG_IND_BOIL_HEAT]</v>
      </c>
      <c r="AA1950" t="str">
        <f t="shared" ref="AA1950:AA1956" si="6204">G1950</f>
        <v>Industrial heat</v>
      </c>
      <c r="AB1950" t="str">
        <f t="shared" ref="AB1950:AB1956" si="6205">J1950</f>
        <v>Flexibility</v>
      </c>
      <c r="AC1950">
        <f t="shared" ref="AC1950:AC1956" ca="1" si="6206">Y1950</f>
        <v>0</v>
      </c>
      <c r="AD1950">
        <v>1891</v>
      </c>
      <c r="AE1950" t="str">
        <f>IF(AND(ISNUMBER(SEARCH(O1950,4)),ISNUMBER(SEARCH('(4) FCH pathway assessment'!$B$16,AB1950)),ISNUMBER(SEARCH('(4) FCH pathway assessment'!$B$10,AA1950))),AD1950,"")</f>
        <v/>
      </c>
      <c r="AF1950" t="str">
        <f t="shared" si="6046"/>
        <v/>
      </c>
      <c r="AG1950" t="str">
        <f>VLOOKUP(C1950,Assumptions!$B$116:$C$162,2,FALSE)</f>
        <v>[NG_PROD]</v>
      </c>
      <c r="AH1950" t="str">
        <f>VLOOKUP(D1950,Assumptions!$B$116:$C$162,2,FALSE)</f>
        <v>[NG_STRG]</v>
      </c>
      <c r="AI1950" t="str">
        <f>VLOOKUP(E1950,Assumptions!$B$116:$C$162,2,FALSE)</f>
        <v>[NG_TRNSP]</v>
      </c>
      <c r="AJ1950" t="str">
        <f>VLOOKUP(F1950,Assumptions!$B$116:$C$162,2,FALSE)</f>
        <v>[NG_IND_BOIL_HEAT]</v>
      </c>
    </row>
    <row r="1951" spans="2:36" x14ac:dyDescent="0.25">
      <c r="B1951" t="s">
        <v>127</v>
      </c>
      <c r="C1951" t="s">
        <v>174</v>
      </c>
      <c r="D1951" t="s">
        <v>177</v>
      </c>
      <c r="E1951" t="s">
        <v>180</v>
      </c>
      <c r="F1951" t="s">
        <v>444</v>
      </c>
      <c r="G1951" t="s">
        <v>132</v>
      </c>
      <c r="H1951" t="s">
        <v>434</v>
      </c>
      <c r="I1951" t="s">
        <v>69</v>
      </c>
      <c r="J1951" t="s">
        <v>80</v>
      </c>
      <c r="K1951">
        <f t="shared" si="6187"/>
        <v>1</v>
      </c>
      <c r="L1951">
        <f t="shared" si="6188"/>
        <v>1</v>
      </c>
      <c r="M1951">
        <f t="shared" si="6189"/>
        <v>1</v>
      </c>
      <c r="N1951">
        <f t="shared" si="6190"/>
        <v>1</v>
      </c>
      <c r="O1951">
        <f t="shared" si="6202"/>
        <v>4</v>
      </c>
      <c r="P1951" t="str">
        <f t="shared" si="6192"/>
        <v>Natural gas production-Flexibility</v>
      </c>
      <c r="Q1951" t="str">
        <f t="shared" si="6193"/>
        <v>Natural gas storage-Flexibility</v>
      </c>
      <c r="R1951" t="str">
        <f t="shared" si="6194"/>
        <v>Natural gas transport-Flexibility</v>
      </c>
      <c r="S1951" t="str">
        <f t="shared" si="6195"/>
        <v>Gas-fired residential boiler-Flexibility</v>
      </c>
      <c r="T1951">
        <f ca="1">IFERROR(VLOOKUP($P1951,'TA database'!$I$8:$J$79,2,FALSE),0)</f>
        <v>0</v>
      </c>
      <c r="U1951">
        <f>IFERROR(VLOOKUP($Q1951,'TA database'!$I$86:$J$105,2,FALSE),0)</f>
        <v>0</v>
      </c>
      <c r="V1951">
        <f>IFERROR(VLOOKUP($R1951,'TA database'!$I$112:$J$139,2,FALSE),0)</f>
        <v>0</v>
      </c>
      <c r="W1951">
        <f>IFERROR(VLOOKUP($S1951,'TA database'!$I$146:$J$193,2,FALSE),0)</f>
        <v>0</v>
      </c>
      <c r="X1951">
        <f>IFERROR(VLOOKUP($S1951,'TA database'!$I$200:$J$271,2,FALSE),0)</f>
        <v>0</v>
      </c>
      <c r="Y1951">
        <f t="shared" ref="Y1951:Y1956" ca="1" si="6207">IF($W1951=0,T1951+U1951+V1951+X1951,T1951+U1951+V1951+W1951)</f>
        <v>0</v>
      </c>
      <c r="Z1951" t="str">
        <f t="shared" si="6203"/>
        <v>[NG_PROD]   →   [NG_STRG]   →   [NG_TRNSP]   →   [NG_RES_BOIL_HEAT]</v>
      </c>
      <c r="AA1951" t="str">
        <f t="shared" si="6204"/>
        <v>Building heat</v>
      </c>
      <c r="AB1951" t="str">
        <f t="shared" si="6205"/>
        <v>Flexibility</v>
      </c>
      <c r="AC1951">
        <f t="shared" ca="1" si="6206"/>
        <v>0</v>
      </c>
      <c r="AD1951">
        <v>1892</v>
      </c>
      <c r="AE1951" t="str">
        <f>IF(AND(ISNUMBER(SEARCH(O1951,4)),ISNUMBER(SEARCH('(4) FCH pathway assessment'!$B$16,AB1951)),ISNUMBER(SEARCH('(4) FCH pathway assessment'!$B$10,AA1951))),AD1951,"")</f>
        <v/>
      </c>
      <c r="AF1951" t="str">
        <f t="shared" si="6046"/>
        <v/>
      </c>
      <c r="AG1951" t="str">
        <f>VLOOKUP(C1951,Assumptions!$B$116:$C$162,2,FALSE)</f>
        <v>[NG_PROD]</v>
      </c>
      <c r="AH1951" t="str">
        <f>VLOOKUP(D1951,Assumptions!$B$116:$C$162,2,FALSE)</f>
        <v>[NG_STRG]</v>
      </c>
      <c r="AI1951" t="str">
        <f>VLOOKUP(E1951,Assumptions!$B$116:$C$162,2,FALSE)</f>
        <v>[NG_TRNSP]</v>
      </c>
      <c r="AJ1951" t="str">
        <f>VLOOKUP(F1951,Assumptions!$B$116:$C$162,2,FALSE)</f>
        <v>[NG_RES_BOIL_HEAT]</v>
      </c>
    </row>
    <row r="1952" spans="2:36" x14ac:dyDescent="0.25">
      <c r="B1952" t="s">
        <v>127</v>
      </c>
      <c r="C1952" t="s">
        <v>174</v>
      </c>
      <c r="D1952" t="s">
        <v>177</v>
      </c>
      <c r="E1952" t="s">
        <v>180</v>
      </c>
      <c r="F1952" t="s">
        <v>446</v>
      </c>
      <c r="G1952" t="s">
        <v>132</v>
      </c>
      <c r="H1952" t="s">
        <v>434</v>
      </c>
      <c r="I1952" t="s">
        <v>69</v>
      </c>
      <c r="J1952" t="s">
        <v>80</v>
      </c>
      <c r="K1952">
        <f t="shared" si="6187"/>
        <v>1</v>
      </c>
      <c r="L1952">
        <f t="shared" si="6188"/>
        <v>1</v>
      </c>
      <c r="M1952">
        <f t="shared" si="6189"/>
        <v>1</v>
      </c>
      <c r="N1952">
        <f t="shared" si="6190"/>
        <v>1</v>
      </c>
      <c r="O1952">
        <f t="shared" si="6202"/>
        <v>4</v>
      </c>
      <c r="P1952" t="str">
        <f t="shared" si="6192"/>
        <v>Natural gas production-Flexibility</v>
      </c>
      <c r="Q1952" t="str">
        <f t="shared" si="6193"/>
        <v>Natural gas storage-Flexibility</v>
      </c>
      <c r="R1952" t="str">
        <f t="shared" si="6194"/>
        <v>Natural gas transport-Flexibility</v>
      </c>
      <c r="S1952" t="str">
        <f t="shared" si="6195"/>
        <v>Gas-fired District-CHP (heat)-Flexibility</v>
      </c>
      <c r="T1952">
        <f ca="1">IFERROR(VLOOKUP($P1952,'TA database'!$I$8:$J$79,2,FALSE),0)</f>
        <v>0</v>
      </c>
      <c r="U1952">
        <f>IFERROR(VLOOKUP($Q1952,'TA database'!$I$86:$J$105,2,FALSE),0)</f>
        <v>0</v>
      </c>
      <c r="V1952">
        <f>IFERROR(VLOOKUP($R1952,'TA database'!$I$112:$J$139,2,FALSE),0)</f>
        <v>0</v>
      </c>
      <c r="W1952">
        <f>IFERROR(VLOOKUP($S1952,'TA database'!$I$146:$J$193,2,FALSE),0)</f>
        <v>0</v>
      </c>
      <c r="X1952">
        <f>IFERROR(VLOOKUP($S1952,'TA database'!$I$200:$J$271,2,FALSE),0)</f>
        <v>0</v>
      </c>
      <c r="Y1952">
        <f t="shared" ca="1" si="6207"/>
        <v>0</v>
      </c>
      <c r="Z1952" t="str">
        <f t="shared" si="6203"/>
        <v>[NG_PROD]   →   [NG_STRG]   →   [NG_TRNSP]   →   [NG_DCHP_HEAT]</v>
      </c>
      <c r="AA1952" t="str">
        <f t="shared" si="6204"/>
        <v>Building heat</v>
      </c>
      <c r="AB1952" t="str">
        <f t="shared" si="6205"/>
        <v>Flexibility</v>
      </c>
      <c r="AC1952">
        <f t="shared" ca="1" si="6206"/>
        <v>0</v>
      </c>
      <c r="AD1952">
        <v>1893</v>
      </c>
      <c r="AE1952" t="str">
        <f>IF(AND(ISNUMBER(SEARCH(O1952,4)),ISNUMBER(SEARCH('(4) FCH pathway assessment'!$B$16,AB1952)),ISNUMBER(SEARCH('(4) FCH pathway assessment'!$B$10,AA1952))),AD1952,"")</f>
        <v/>
      </c>
      <c r="AF1952" t="str">
        <f t="shared" si="6046"/>
        <v/>
      </c>
      <c r="AG1952" t="str">
        <f>VLOOKUP(C1952,Assumptions!$B$116:$C$162,2,FALSE)</f>
        <v>[NG_PROD]</v>
      </c>
      <c r="AH1952" t="str">
        <f>VLOOKUP(D1952,Assumptions!$B$116:$C$162,2,FALSE)</f>
        <v>[NG_STRG]</v>
      </c>
      <c r="AI1952" t="str">
        <f>VLOOKUP(E1952,Assumptions!$B$116:$C$162,2,FALSE)</f>
        <v>[NG_TRNSP]</v>
      </c>
      <c r="AJ1952" t="str">
        <f>VLOOKUP(F1952,Assumptions!$B$116:$C$162,2,FALSE)</f>
        <v>[NG_DCHP_HEAT]</v>
      </c>
    </row>
    <row r="1953" spans="2:36" x14ac:dyDescent="0.25">
      <c r="B1953" t="s">
        <v>127</v>
      </c>
      <c r="C1953" t="s">
        <v>174</v>
      </c>
      <c r="D1953" t="s">
        <v>177</v>
      </c>
      <c r="E1953" t="s">
        <v>180</v>
      </c>
      <c r="F1953" s="54" t="s">
        <v>442</v>
      </c>
      <c r="G1953" t="s">
        <v>114</v>
      </c>
      <c r="H1953" t="s">
        <v>433</v>
      </c>
      <c r="I1953" t="s">
        <v>69</v>
      </c>
      <c r="J1953" t="s">
        <v>80</v>
      </c>
      <c r="K1953">
        <f t="shared" si="6187"/>
        <v>1</v>
      </c>
      <c r="L1953">
        <f t="shared" si="6188"/>
        <v>1</v>
      </c>
      <c r="M1953">
        <f t="shared" si="6189"/>
        <v>1</v>
      </c>
      <c r="N1953">
        <f t="shared" si="6190"/>
        <v>1</v>
      </c>
      <c r="O1953">
        <f t="shared" si="6202"/>
        <v>4</v>
      </c>
      <c r="P1953" t="str">
        <f t="shared" si="6192"/>
        <v>Natural gas production-Flexibility</v>
      </c>
      <c r="Q1953" t="str">
        <f t="shared" si="6193"/>
        <v>Natural gas storage-Flexibility</v>
      </c>
      <c r="R1953" t="str">
        <f t="shared" si="6194"/>
        <v>Natural gas transport-Flexibility</v>
      </c>
      <c r="S1953" t="str">
        <f t="shared" si="6195"/>
        <v>Natural gas turbine (OC) -Flexibility</v>
      </c>
      <c r="T1953">
        <f ca="1">IFERROR(VLOOKUP($P1953,'TA database'!$I$8:$J$79,2,FALSE),0)</f>
        <v>0</v>
      </c>
      <c r="U1953">
        <f>IFERROR(VLOOKUP($Q1953,'TA database'!$I$86:$J$105,2,FALSE),0)</f>
        <v>0</v>
      </c>
      <c r="V1953">
        <f>IFERROR(VLOOKUP($R1953,'TA database'!$I$112:$J$139,2,FALSE),0)</f>
        <v>0</v>
      </c>
      <c r="W1953">
        <f>IFERROR(VLOOKUP($S1953,'TA database'!$I$146:$J$193,2,FALSE),0)</f>
        <v>0</v>
      </c>
      <c r="X1953">
        <f>IFERROR(VLOOKUP($S1953,'TA database'!$I$200:$J$271,2,FALSE),0)</f>
        <v>0</v>
      </c>
      <c r="Y1953">
        <f t="shared" ca="1" si="6207"/>
        <v>0</v>
      </c>
      <c r="Z1953" t="str">
        <f t="shared" si="6203"/>
        <v>[NG_PROD]   →   [NG_STRG]   →   [NG_TRNSP]   →   [NG_OCGT_PWR]</v>
      </c>
      <c r="AA1953" t="str">
        <f t="shared" si="6204"/>
        <v>Grid electricity</v>
      </c>
      <c r="AB1953" t="str">
        <f t="shared" si="6205"/>
        <v>Flexibility</v>
      </c>
      <c r="AC1953">
        <f t="shared" ca="1" si="6206"/>
        <v>0</v>
      </c>
      <c r="AD1953">
        <v>1894</v>
      </c>
      <c r="AE1953" t="str">
        <f>IF(AND(ISNUMBER(SEARCH(O1953,4)),ISNUMBER(SEARCH('(4) FCH pathway assessment'!$B$16,AB1953)),ISNUMBER(SEARCH('(4) FCH pathway assessment'!$B$10,AA1953))),AD1953,"")</f>
        <v/>
      </c>
      <c r="AF1953" t="str">
        <f t="shared" si="6046"/>
        <v/>
      </c>
      <c r="AG1953" t="str">
        <f>VLOOKUP(C1953,Assumptions!$B$116:$C$162,2,FALSE)</f>
        <v>[NG_PROD]</v>
      </c>
      <c r="AH1953" t="str">
        <f>VLOOKUP(D1953,Assumptions!$B$116:$C$162,2,FALSE)</f>
        <v>[NG_STRG]</v>
      </c>
      <c r="AI1953" t="str">
        <f>VLOOKUP(E1953,Assumptions!$B$116:$C$162,2,FALSE)</f>
        <v>[NG_TRNSP]</v>
      </c>
      <c r="AJ1953" t="str">
        <f>VLOOKUP(F1953,Assumptions!$B$116:$C$162,2,FALSE)</f>
        <v>[NG_OCGT_PWR]</v>
      </c>
    </row>
    <row r="1954" spans="2:36" x14ac:dyDescent="0.25">
      <c r="B1954" t="s">
        <v>127</v>
      </c>
      <c r="C1954" t="s">
        <v>174</v>
      </c>
      <c r="D1954" t="s">
        <v>177</v>
      </c>
      <c r="E1954" t="s">
        <v>180</v>
      </c>
      <c r="F1954" s="54" t="s">
        <v>440</v>
      </c>
      <c r="G1954" t="s">
        <v>114</v>
      </c>
      <c r="H1954" t="s">
        <v>433</v>
      </c>
      <c r="I1954" t="s">
        <v>69</v>
      </c>
      <c r="J1954" t="s">
        <v>80</v>
      </c>
      <c r="K1954">
        <f t="shared" si="6187"/>
        <v>1</v>
      </c>
      <c r="L1954">
        <f t="shared" si="6188"/>
        <v>1</v>
      </c>
      <c r="M1954">
        <f t="shared" si="6189"/>
        <v>1</v>
      </c>
      <c r="N1954">
        <f t="shared" si="6190"/>
        <v>1</v>
      </c>
      <c r="O1954">
        <f t="shared" si="6202"/>
        <v>4</v>
      </c>
      <c r="P1954" t="str">
        <f t="shared" si="6192"/>
        <v>Natural gas production-Flexibility</v>
      </c>
      <c r="Q1954" t="str">
        <f t="shared" si="6193"/>
        <v>Natural gas storage-Flexibility</v>
      </c>
      <c r="R1954" t="str">
        <f t="shared" si="6194"/>
        <v>Natural gas transport-Flexibility</v>
      </c>
      <c r="S1954" t="str">
        <f t="shared" si="6195"/>
        <v>Natural gas turbine (CC)-Flexibility</v>
      </c>
      <c r="T1954">
        <f ca="1">IFERROR(VLOOKUP($P1954,'TA database'!$I$8:$J$79,2,FALSE),0)</f>
        <v>0</v>
      </c>
      <c r="U1954">
        <f>IFERROR(VLOOKUP($Q1954,'TA database'!$I$86:$J$105,2,FALSE),0)</f>
        <v>0</v>
      </c>
      <c r="V1954">
        <f>IFERROR(VLOOKUP($R1954,'TA database'!$I$112:$J$139,2,FALSE),0)</f>
        <v>0</v>
      </c>
      <c r="W1954">
        <f>IFERROR(VLOOKUP($S1954,'TA database'!$I$146:$J$193,2,FALSE),0)</f>
        <v>0</v>
      </c>
      <c r="X1954">
        <f>IFERROR(VLOOKUP($S1954,'TA database'!$I$200:$J$271,2,FALSE),0)</f>
        <v>0</v>
      </c>
      <c r="Y1954">
        <f t="shared" ca="1" si="6207"/>
        <v>0</v>
      </c>
      <c r="Z1954" t="str">
        <f t="shared" si="6203"/>
        <v>[NG_PROD]   →   [NG_STRG]   →   [NG_TRNSP]   →   [NG_CCGT_PWR]</v>
      </c>
      <c r="AA1954" t="str">
        <f t="shared" si="6204"/>
        <v>Grid electricity</v>
      </c>
      <c r="AB1954" t="str">
        <f t="shared" si="6205"/>
        <v>Flexibility</v>
      </c>
      <c r="AC1954">
        <f t="shared" ca="1" si="6206"/>
        <v>0</v>
      </c>
      <c r="AD1954">
        <v>1895</v>
      </c>
      <c r="AE1954" t="str">
        <f>IF(AND(ISNUMBER(SEARCH(O1954,4)),ISNUMBER(SEARCH('(4) FCH pathway assessment'!$B$16,AB1954)),ISNUMBER(SEARCH('(4) FCH pathway assessment'!$B$10,AA1954))),AD1954,"")</f>
        <v/>
      </c>
      <c r="AF1954" t="str">
        <f t="shared" si="6046"/>
        <v/>
      </c>
      <c r="AG1954" t="str">
        <f>VLOOKUP(C1954,Assumptions!$B$116:$C$162,2,FALSE)</f>
        <v>[NG_PROD]</v>
      </c>
      <c r="AH1954" t="str">
        <f>VLOOKUP(D1954,Assumptions!$B$116:$C$162,2,FALSE)</f>
        <v>[NG_STRG]</v>
      </c>
      <c r="AI1954" t="str">
        <f>VLOOKUP(E1954,Assumptions!$B$116:$C$162,2,FALSE)</f>
        <v>[NG_TRNSP]</v>
      </c>
      <c r="AJ1954" t="str">
        <f>VLOOKUP(F1954,Assumptions!$B$116:$C$162,2,FALSE)</f>
        <v>[NG_CCGT_PWR]</v>
      </c>
    </row>
    <row r="1955" spans="2:36" x14ac:dyDescent="0.25">
      <c r="B1955" t="s">
        <v>127</v>
      </c>
      <c r="C1955" t="s">
        <v>174</v>
      </c>
      <c r="D1955" t="s">
        <v>177</v>
      </c>
      <c r="E1955" t="s">
        <v>180</v>
      </c>
      <c r="F1955" s="54" t="s">
        <v>441</v>
      </c>
      <c r="G1955" t="s">
        <v>126</v>
      </c>
      <c r="H1955" t="s">
        <v>433</v>
      </c>
      <c r="I1955" t="s">
        <v>69</v>
      </c>
      <c r="J1955" t="s">
        <v>80</v>
      </c>
      <c r="K1955">
        <f t="shared" si="6187"/>
        <v>1</v>
      </c>
      <c r="L1955">
        <f t="shared" si="6188"/>
        <v>1</v>
      </c>
      <c r="M1955">
        <f t="shared" si="6189"/>
        <v>1</v>
      </c>
      <c r="N1955">
        <f t="shared" si="6190"/>
        <v>1</v>
      </c>
      <c r="O1955">
        <f t="shared" si="6202"/>
        <v>4</v>
      </c>
      <c r="P1955" t="str">
        <f t="shared" si="6192"/>
        <v>Natural gas production-Flexibility</v>
      </c>
      <c r="Q1955" t="str">
        <f t="shared" si="6193"/>
        <v>Natural gas storage-Flexibility</v>
      </c>
      <c r="R1955" t="str">
        <f t="shared" si="6194"/>
        <v>Natural gas transport-Flexibility</v>
      </c>
      <c r="S1955" t="str">
        <f t="shared" si="6195"/>
        <v>Gas engine-Flexibility</v>
      </c>
      <c r="T1955">
        <f ca="1">IFERROR(VLOOKUP($P1955,'TA database'!$I$8:$J$79,2,FALSE),0)</f>
        <v>0</v>
      </c>
      <c r="U1955">
        <f>IFERROR(VLOOKUP($Q1955,'TA database'!$I$86:$J$105,2,FALSE),0)</f>
        <v>0</v>
      </c>
      <c r="V1955">
        <f>IFERROR(VLOOKUP($R1955,'TA database'!$I$112:$J$139,2,FALSE),0)</f>
        <v>0</v>
      </c>
      <c r="W1955">
        <f>IFERROR(VLOOKUP($S1955,'TA database'!$I$146:$J$193,2,FALSE),0)</f>
        <v>0</v>
      </c>
      <c r="X1955">
        <f>IFERROR(VLOOKUP($S1955,'TA database'!$I$200:$J$271,2,FALSE),0)</f>
        <v>0</v>
      </c>
      <c r="Y1955">
        <f t="shared" ca="1" si="6207"/>
        <v>0</v>
      </c>
      <c r="Z1955" t="str">
        <f t="shared" si="6203"/>
        <v>[NG_PROD]   →   [NG_STRG]   →   [NG_TRNSP]   →   [NG_ICE_PWR]</v>
      </c>
      <c r="AA1955" t="str">
        <f t="shared" si="6204"/>
        <v>Onsite / Back-up power</v>
      </c>
      <c r="AB1955" t="str">
        <f t="shared" si="6205"/>
        <v>Flexibility</v>
      </c>
      <c r="AC1955">
        <f t="shared" ca="1" si="6206"/>
        <v>0</v>
      </c>
      <c r="AD1955">
        <v>1896</v>
      </c>
      <c r="AE1955" t="str">
        <f>IF(AND(ISNUMBER(SEARCH(O1955,4)),ISNUMBER(SEARCH('(4) FCH pathway assessment'!$B$16,AB1955)),ISNUMBER(SEARCH('(4) FCH pathway assessment'!$B$10,AA1955))),AD1955,"")</f>
        <v/>
      </c>
      <c r="AF1955" t="str">
        <f t="shared" si="6046"/>
        <v/>
      </c>
      <c r="AG1955" t="str">
        <f>VLOOKUP(C1955,Assumptions!$B$116:$C$162,2,FALSE)</f>
        <v>[NG_PROD]</v>
      </c>
      <c r="AH1955" t="str">
        <f>VLOOKUP(D1955,Assumptions!$B$116:$C$162,2,FALSE)</f>
        <v>[NG_STRG]</v>
      </c>
      <c r="AI1955" t="str">
        <f>VLOOKUP(E1955,Assumptions!$B$116:$C$162,2,FALSE)</f>
        <v>[NG_TRNSP]</v>
      </c>
      <c r="AJ1955" t="str">
        <f>VLOOKUP(F1955,Assumptions!$B$116:$C$162,2,FALSE)</f>
        <v>[NG_ICE_PWR]</v>
      </c>
    </row>
    <row r="1956" spans="2:36" x14ac:dyDescent="0.25">
      <c r="B1956" t="s">
        <v>127</v>
      </c>
      <c r="C1956" t="s">
        <v>174</v>
      </c>
      <c r="D1956" t="s">
        <v>177</v>
      </c>
      <c r="E1956" t="s">
        <v>180</v>
      </c>
      <c r="F1956" s="54" t="s">
        <v>447</v>
      </c>
      <c r="G1956" t="s">
        <v>114</v>
      </c>
      <c r="H1956" t="s">
        <v>433</v>
      </c>
      <c r="I1956" t="s">
        <v>69</v>
      </c>
      <c r="J1956" t="s">
        <v>80</v>
      </c>
      <c r="K1956">
        <f t="shared" si="6187"/>
        <v>1</v>
      </c>
      <c r="L1956">
        <f t="shared" si="6188"/>
        <v>1</v>
      </c>
      <c r="M1956">
        <f t="shared" si="6189"/>
        <v>1</v>
      </c>
      <c r="N1956">
        <f t="shared" si="6190"/>
        <v>1</v>
      </c>
      <c r="O1956">
        <f t="shared" si="6202"/>
        <v>4</v>
      </c>
      <c r="P1956" t="str">
        <f t="shared" si="6192"/>
        <v>Natural gas production-Flexibility</v>
      </c>
      <c r="Q1956" t="str">
        <f t="shared" si="6193"/>
        <v>Natural gas storage-Flexibility</v>
      </c>
      <c r="R1956" t="str">
        <f t="shared" si="6194"/>
        <v>Natural gas transport-Flexibility</v>
      </c>
      <c r="S1956" t="str">
        <f t="shared" si="6195"/>
        <v>Gas-fired District-CHP (power)-Flexibility</v>
      </c>
      <c r="T1956">
        <f ca="1">IFERROR(VLOOKUP($P1956,'TA database'!$I$8:$J$79,2,FALSE),0)</f>
        <v>0</v>
      </c>
      <c r="U1956">
        <f>IFERROR(VLOOKUP($Q1956,'TA database'!$I$86:$J$105,2,FALSE),0)</f>
        <v>0</v>
      </c>
      <c r="V1956">
        <f>IFERROR(VLOOKUP($R1956,'TA database'!$I$112:$J$139,2,FALSE),0)</f>
        <v>0</v>
      </c>
      <c r="W1956">
        <f>IFERROR(VLOOKUP($S1956,'TA database'!$I$146:$J$193,2,FALSE),0)</f>
        <v>0</v>
      </c>
      <c r="X1956">
        <f>IFERROR(VLOOKUP($S1956,'TA database'!$I$200:$J$271,2,FALSE),0)</f>
        <v>0</v>
      </c>
      <c r="Y1956">
        <f t="shared" ca="1" si="6207"/>
        <v>0</v>
      </c>
      <c r="Z1956" t="str">
        <f t="shared" si="6203"/>
        <v>[NG_PROD]   →   [NG_STRG]   →   [NG_TRNSP]   →   [NG_DCHP_PWR]</v>
      </c>
      <c r="AA1956" t="str">
        <f t="shared" si="6204"/>
        <v>Grid electricity</v>
      </c>
      <c r="AB1956" t="str">
        <f t="shared" si="6205"/>
        <v>Flexibility</v>
      </c>
      <c r="AC1956">
        <f t="shared" ca="1" si="6206"/>
        <v>0</v>
      </c>
      <c r="AD1956">
        <v>1897</v>
      </c>
      <c r="AE1956" t="str">
        <f>IF(AND(ISNUMBER(SEARCH(O1956,4)),ISNUMBER(SEARCH('(4) FCH pathway assessment'!$B$16,AB1956)),ISNUMBER(SEARCH('(4) FCH pathway assessment'!$B$10,AA1956))),AD1956,"")</f>
        <v/>
      </c>
      <c r="AF1956" t="str">
        <f t="shared" si="6046"/>
        <v/>
      </c>
      <c r="AG1956" t="str">
        <f>VLOOKUP(C1956,Assumptions!$B$116:$C$162,2,FALSE)</f>
        <v>[NG_PROD]</v>
      </c>
      <c r="AH1956" t="str">
        <f>VLOOKUP(D1956,Assumptions!$B$116:$C$162,2,FALSE)</f>
        <v>[NG_STRG]</v>
      </c>
      <c r="AI1956" t="str">
        <f>VLOOKUP(E1956,Assumptions!$B$116:$C$162,2,FALSE)</f>
        <v>[NG_TRNSP]</v>
      </c>
      <c r="AJ1956" t="str">
        <f>VLOOKUP(F1956,Assumptions!$B$116:$C$162,2,FALSE)</f>
        <v>[NG_DCHP_PWR]</v>
      </c>
    </row>
    <row r="1957" spans="2:36" x14ac:dyDescent="0.25">
      <c r="B1957" t="s">
        <v>127</v>
      </c>
      <c r="C1957" t="s">
        <v>174</v>
      </c>
      <c r="D1957" t="s">
        <v>177</v>
      </c>
      <c r="E1957" t="s">
        <v>180</v>
      </c>
      <c r="F1957" t="s">
        <v>571</v>
      </c>
      <c r="G1957" t="s">
        <v>120</v>
      </c>
      <c r="H1957" t="s">
        <v>432</v>
      </c>
      <c r="I1957" t="s">
        <v>69</v>
      </c>
      <c r="J1957" t="s">
        <v>72</v>
      </c>
      <c r="K1957">
        <f t="shared" si="6187"/>
        <v>1</v>
      </c>
      <c r="L1957">
        <f t="shared" si="6188"/>
        <v>1</v>
      </c>
      <c r="M1957">
        <f t="shared" si="6189"/>
        <v>1</v>
      </c>
      <c r="N1957">
        <f t="shared" si="6190"/>
        <v>1</v>
      </c>
      <c r="O1957">
        <f t="shared" ref="O1957:O1963" si="6208">K1957+L1957+M1957+N1957</f>
        <v>4</v>
      </c>
      <c r="P1957" t="str">
        <f t="shared" si="6192"/>
        <v>Natural gas production-Levelized cost</v>
      </c>
      <c r="Q1957" t="str">
        <f t="shared" si="6193"/>
        <v>Natural gas storage-Levelized cost</v>
      </c>
      <c r="R1957" t="str">
        <f t="shared" si="6194"/>
        <v>Natural gas transport-Levelized cost</v>
      </c>
      <c r="S1957" t="str">
        <f t="shared" si="6195"/>
        <v>Gas-fired Industrial boiler-Levelized cost</v>
      </c>
      <c r="T1957">
        <f ca="1">VLOOKUP($P1957,'TA database'!$I$8:$J$79,2,FALSE)</f>
        <v>0</v>
      </c>
      <c r="U1957">
        <f ca="1">VLOOKUP($Q1957,'TA database'!$I$86:$J$105,2,FALSE)</f>
        <v>0</v>
      </c>
      <c r="V1957">
        <f ca="1">IF(timePeriod="2020-30",(VLOOKUP($R1957,'TA database'!$I$112:$J$139,2,FALSE)/VLOOKUP($F1957,'Merit calculation'!$B$117:$I$124,5,FALSE)/energyContentH2),(VLOOKUP($R1957,'TA database'!$I$112:$J$139,2,FALSE)/VLOOKUP($F1957,'Merit calculation'!$B$117:$I$124,7,FALSE)/energyContentH2))</f>
        <v>3.6585365853658534E-2</v>
      </c>
      <c r="W1957">
        <f ca="1">IFERROR(VLOOKUP($S1957,'TA database'!$I$146:$J$193,2,FALSE),0)</f>
        <v>1.1627844232052053E-3</v>
      </c>
      <c r="X1957">
        <f>IFERROR(VLOOKUP($S1957,'TA database'!$I$200:$J$271,2,FALSE),0)</f>
        <v>0</v>
      </c>
      <c r="Y1957">
        <f ca="1">IF($W1957=0,T1957+U1957+V1957+X1957,T1957+U1957+V1957+W1957)</f>
        <v>3.7748150276863741E-2</v>
      </c>
      <c r="Z1957" t="str">
        <f t="shared" ref="Z1957:Z1963" si="6209">CONCATENATE(AG1957,"   →   ",AH1957,"   →   ",AI1957,"   →   ",AJ1957)</f>
        <v>[NG_PROD]   →   [NG_STRG]   →   [NG_TRNSP]   →   [NG_IND_BOIL_HEAT]</v>
      </c>
      <c r="AA1957" t="str">
        <f t="shared" ref="AA1957:AA1963" si="6210">G1957</f>
        <v>Industrial heat</v>
      </c>
      <c r="AB1957" t="str">
        <f t="shared" ref="AB1957:AB1963" si="6211">J1957</f>
        <v>Levelized cost</v>
      </c>
      <c r="AC1957">
        <f t="shared" ref="AC1957:AC1963" ca="1" si="6212">Y1957</f>
        <v>3.7748150276863741E-2</v>
      </c>
      <c r="AD1957">
        <v>1898</v>
      </c>
      <c r="AE1957" t="str">
        <f>IF(AND(ISNUMBER(SEARCH(O1957,4)),ISNUMBER(SEARCH('(4) FCH pathway assessment'!$B$16,AB1957)),ISNUMBER(SEARCH('(4) FCH pathway assessment'!$B$10,AA1957))),AD1957,"")</f>
        <v/>
      </c>
      <c r="AF1957" t="str">
        <f t="shared" si="6046"/>
        <v/>
      </c>
      <c r="AG1957" t="str">
        <f>VLOOKUP(C1957,Assumptions!$B$116:$C$162,2,FALSE)</f>
        <v>[NG_PROD]</v>
      </c>
      <c r="AH1957" t="str">
        <f>VLOOKUP(D1957,Assumptions!$B$116:$C$162,2,FALSE)</f>
        <v>[NG_STRG]</v>
      </c>
      <c r="AI1957" t="str">
        <f>VLOOKUP(E1957,Assumptions!$B$116:$C$162,2,FALSE)</f>
        <v>[NG_TRNSP]</v>
      </c>
      <c r="AJ1957" t="str">
        <f>VLOOKUP(F1957,Assumptions!$B$116:$C$162,2,FALSE)</f>
        <v>[NG_IND_BOIL_HEAT]</v>
      </c>
    </row>
    <row r="1958" spans="2:36" x14ac:dyDescent="0.25">
      <c r="B1958" t="s">
        <v>127</v>
      </c>
      <c r="C1958" t="s">
        <v>174</v>
      </c>
      <c r="D1958" t="s">
        <v>177</v>
      </c>
      <c r="E1958" t="s">
        <v>180</v>
      </c>
      <c r="F1958" t="s">
        <v>444</v>
      </c>
      <c r="G1958" t="s">
        <v>132</v>
      </c>
      <c r="H1958" t="s">
        <v>434</v>
      </c>
      <c r="I1958" t="s">
        <v>69</v>
      </c>
      <c r="J1958" t="s">
        <v>72</v>
      </c>
      <c r="K1958">
        <f t="shared" si="6187"/>
        <v>1</v>
      </c>
      <c r="L1958">
        <f t="shared" si="6188"/>
        <v>1</v>
      </c>
      <c r="M1958">
        <f t="shared" si="6189"/>
        <v>1</v>
      </c>
      <c r="N1958">
        <f t="shared" si="6190"/>
        <v>1</v>
      </c>
      <c r="O1958">
        <f t="shared" si="6208"/>
        <v>4</v>
      </c>
      <c r="P1958" t="str">
        <f t="shared" si="6192"/>
        <v>Natural gas production-Levelized cost</v>
      </c>
      <c r="Q1958" t="str">
        <f t="shared" si="6193"/>
        <v>Natural gas storage-Levelized cost</v>
      </c>
      <c r="R1958" t="str">
        <f t="shared" si="6194"/>
        <v>Natural gas transport-Levelized cost</v>
      </c>
      <c r="S1958" t="str">
        <f t="shared" si="6195"/>
        <v>Gas-fired residential boiler-Levelized cost</v>
      </c>
      <c r="T1958">
        <f ca="1">VLOOKUP($P1958,'TA database'!$I$8:$J$79,2,FALSE)</f>
        <v>0</v>
      </c>
      <c r="U1958">
        <f ca="1">VLOOKUP($Q1958,'TA database'!$I$86:$J$105,2,FALSE)</f>
        <v>0</v>
      </c>
      <c r="V1958">
        <f ca="1">IF(timePeriod="2020-30",(VLOOKUP($R1958,'TA database'!$I$112:$J$139,2,FALSE)/VLOOKUP($F1958,'Merit calculation'!$B$117:$I$124,5,FALSE)/energyContentH2),(VLOOKUP($R1958,'TA database'!$I$112:$J$139,2,FALSE)/VLOOKUP($F1958,'Merit calculation'!$B$117:$I$124,7,FALSE)/energyContentH2))</f>
        <v>3.5714285714285712E-2</v>
      </c>
      <c r="W1958">
        <f ca="1">IFERROR(VLOOKUP($S1958,'TA database'!$I$146:$J$193,2,FALSE),0)</f>
        <v>1.2814358949608383E-3</v>
      </c>
      <c r="X1958">
        <f>IFERROR(VLOOKUP($S1958,'TA database'!$I$200:$J$271,2,FALSE),0)</f>
        <v>0</v>
      </c>
      <c r="Y1958">
        <f t="shared" ref="Y1958:Y1963" ca="1" si="6213">IF($W1958=0,T1958+U1958+V1958+X1958,T1958+U1958+V1958+W1958)</f>
        <v>3.6995721609246551E-2</v>
      </c>
      <c r="Z1958" t="str">
        <f t="shared" si="6209"/>
        <v>[NG_PROD]   →   [NG_STRG]   →   [NG_TRNSP]   →   [NG_RES_BOIL_HEAT]</v>
      </c>
      <c r="AA1958" t="str">
        <f t="shared" si="6210"/>
        <v>Building heat</v>
      </c>
      <c r="AB1958" t="str">
        <f t="shared" si="6211"/>
        <v>Levelized cost</v>
      </c>
      <c r="AC1958">
        <f t="shared" ca="1" si="6212"/>
        <v>3.6995721609246551E-2</v>
      </c>
      <c r="AD1958">
        <v>1899</v>
      </c>
      <c r="AE1958" t="str">
        <f>IF(AND(ISNUMBER(SEARCH(O1958,4)),ISNUMBER(SEARCH('(4) FCH pathway assessment'!$B$16,AB1958)),ISNUMBER(SEARCH('(4) FCH pathway assessment'!$B$10,AA1958))),AD1958,"")</f>
        <v/>
      </c>
      <c r="AF1958" t="str">
        <f t="shared" si="6046"/>
        <v/>
      </c>
      <c r="AG1958" t="str">
        <f>VLOOKUP(C1958,Assumptions!$B$116:$C$162,2,FALSE)</f>
        <v>[NG_PROD]</v>
      </c>
      <c r="AH1958" t="str">
        <f>VLOOKUP(D1958,Assumptions!$B$116:$C$162,2,FALSE)</f>
        <v>[NG_STRG]</v>
      </c>
      <c r="AI1958" t="str">
        <f>VLOOKUP(E1958,Assumptions!$B$116:$C$162,2,FALSE)</f>
        <v>[NG_TRNSP]</v>
      </c>
      <c r="AJ1958" t="str">
        <f>VLOOKUP(F1958,Assumptions!$B$116:$C$162,2,FALSE)</f>
        <v>[NG_RES_BOIL_HEAT]</v>
      </c>
    </row>
    <row r="1959" spans="2:36" x14ac:dyDescent="0.25">
      <c r="B1959" t="s">
        <v>127</v>
      </c>
      <c r="C1959" t="s">
        <v>174</v>
      </c>
      <c r="D1959" t="s">
        <v>177</v>
      </c>
      <c r="E1959" t="s">
        <v>180</v>
      </c>
      <c r="F1959" t="s">
        <v>446</v>
      </c>
      <c r="G1959" t="s">
        <v>132</v>
      </c>
      <c r="H1959" t="s">
        <v>434</v>
      </c>
      <c r="I1959" t="s">
        <v>69</v>
      </c>
      <c r="J1959" t="s">
        <v>72</v>
      </c>
      <c r="K1959">
        <f t="shared" si="6187"/>
        <v>1</v>
      </c>
      <c r="L1959">
        <f t="shared" si="6188"/>
        <v>1</v>
      </c>
      <c r="M1959">
        <f t="shared" si="6189"/>
        <v>1</v>
      </c>
      <c r="N1959">
        <f t="shared" si="6190"/>
        <v>1</v>
      </c>
      <c r="O1959">
        <f t="shared" si="6208"/>
        <v>4</v>
      </c>
      <c r="P1959" t="str">
        <f t="shared" si="6192"/>
        <v>Natural gas production-Levelized cost</v>
      </c>
      <c r="Q1959" t="str">
        <f t="shared" si="6193"/>
        <v>Natural gas storage-Levelized cost</v>
      </c>
      <c r="R1959" t="str">
        <f t="shared" si="6194"/>
        <v>Natural gas transport-Levelized cost</v>
      </c>
      <c r="S1959" t="str">
        <f t="shared" si="6195"/>
        <v>Gas-fired District-CHP (heat)-Levelized cost</v>
      </c>
      <c r="T1959">
        <f ca="1">VLOOKUP($P1959,'TA database'!$I$8:$J$79,2,FALSE)</f>
        <v>0</v>
      </c>
      <c r="U1959">
        <f ca="1">VLOOKUP($Q1959,'TA database'!$I$86:$J$105,2,FALSE)</f>
        <v>0</v>
      </c>
      <c r="V1959">
        <f ca="1">IF(timePeriod="2020-30",(VLOOKUP($R1959,'TA database'!$I$112:$J$139,2,FALSE)/VLOOKUP($F1959,'Merit calculation'!$B$117:$I$124,5,FALSE)/energyContentH2),(VLOOKUP($R1959,'TA database'!$I$112:$J$139,2,FALSE)/VLOOKUP($F1959,'Merit calculation'!$B$117:$I$124,7,FALSE)/energyContentH2))</f>
        <v>3.3333333333333333E-2</v>
      </c>
      <c r="W1959">
        <f ca="1">IFERROR(VLOOKUP($S1959,'TA database'!$I$146:$J$193,2,FALSE),0)</f>
        <v>3.5221601632282252E-4</v>
      </c>
      <c r="X1959">
        <f>IFERROR(VLOOKUP($S1959,'TA database'!$I$200:$J$271,2,FALSE),0)</f>
        <v>0</v>
      </c>
      <c r="Y1959">
        <f t="shared" ca="1" si="6213"/>
        <v>3.3685549349656153E-2</v>
      </c>
      <c r="Z1959" t="str">
        <f t="shared" si="6209"/>
        <v>[NG_PROD]   →   [NG_STRG]   →   [NG_TRNSP]   →   [NG_DCHP_HEAT]</v>
      </c>
      <c r="AA1959" t="str">
        <f t="shared" si="6210"/>
        <v>Building heat</v>
      </c>
      <c r="AB1959" t="str">
        <f t="shared" si="6211"/>
        <v>Levelized cost</v>
      </c>
      <c r="AC1959">
        <f t="shared" ca="1" si="6212"/>
        <v>3.3685549349656153E-2</v>
      </c>
      <c r="AD1959">
        <v>1900</v>
      </c>
      <c r="AE1959" t="str">
        <f>IF(AND(ISNUMBER(SEARCH(O1959,4)),ISNUMBER(SEARCH('(4) FCH pathway assessment'!$B$16,AB1959)),ISNUMBER(SEARCH('(4) FCH pathway assessment'!$B$10,AA1959))),AD1959,"")</f>
        <v/>
      </c>
      <c r="AF1959" t="str">
        <f t="shared" si="6046"/>
        <v/>
      </c>
      <c r="AG1959" t="str">
        <f>VLOOKUP(C1959,Assumptions!$B$116:$C$162,2,FALSE)</f>
        <v>[NG_PROD]</v>
      </c>
      <c r="AH1959" t="str">
        <f>VLOOKUP(D1959,Assumptions!$B$116:$C$162,2,FALSE)</f>
        <v>[NG_STRG]</v>
      </c>
      <c r="AI1959" t="str">
        <f>VLOOKUP(E1959,Assumptions!$B$116:$C$162,2,FALSE)</f>
        <v>[NG_TRNSP]</v>
      </c>
      <c r="AJ1959" t="str">
        <f>VLOOKUP(F1959,Assumptions!$B$116:$C$162,2,FALSE)</f>
        <v>[NG_DCHP_HEAT]</v>
      </c>
    </row>
    <row r="1960" spans="2:36" x14ac:dyDescent="0.25">
      <c r="B1960" t="s">
        <v>127</v>
      </c>
      <c r="C1960" t="s">
        <v>174</v>
      </c>
      <c r="D1960" t="s">
        <v>177</v>
      </c>
      <c r="E1960" t="s">
        <v>180</v>
      </c>
      <c r="F1960" s="54" t="s">
        <v>442</v>
      </c>
      <c r="G1960" t="s">
        <v>114</v>
      </c>
      <c r="H1960" t="s">
        <v>433</v>
      </c>
      <c r="I1960" t="s">
        <v>69</v>
      </c>
      <c r="J1960" t="s">
        <v>72</v>
      </c>
      <c r="K1960">
        <f t="shared" si="6187"/>
        <v>1</v>
      </c>
      <c r="L1960">
        <f t="shared" si="6188"/>
        <v>1</v>
      </c>
      <c r="M1960">
        <f t="shared" si="6189"/>
        <v>1</v>
      </c>
      <c r="N1960">
        <f t="shared" si="6190"/>
        <v>1</v>
      </c>
      <c r="O1960">
        <f t="shared" si="6208"/>
        <v>4</v>
      </c>
      <c r="P1960" t="str">
        <f t="shared" si="6192"/>
        <v>Natural gas production-Levelized cost</v>
      </c>
      <c r="Q1960" t="str">
        <f t="shared" si="6193"/>
        <v>Natural gas storage-Levelized cost</v>
      </c>
      <c r="R1960" t="str">
        <f t="shared" si="6194"/>
        <v>Natural gas transport-Levelized cost</v>
      </c>
      <c r="S1960" t="str">
        <f t="shared" si="6195"/>
        <v>Natural gas turbine (OC) -Levelized cost</v>
      </c>
      <c r="T1960">
        <f ca="1">VLOOKUP($P1960,'TA database'!$I$8:$J$79,2,FALSE)</f>
        <v>0</v>
      </c>
      <c r="U1960">
        <f ca="1">VLOOKUP($Q1960,'TA database'!$I$86:$J$105,2,FALSE)</f>
        <v>0</v>
      </c>
      <c r="V1960">
        <f ca="1">IF(timePeriod="2020-30",(VLOOKUP($R1960,'TA database'!$I$112:$J$139,2,FALSE)/VLOOKUP($F1960,'Merit calculation'!$B$117:$I$124,5,FALSE)/energyContentH2),(VLOOKUP($R1960,'TA database'!$I$112:$J$139,2,FALSE)/VLOOKUP($F1960,'Merit calculation'!$B$117:$I$124,7,FALSE)/energyContentH2))</f>
        <v>6.6666666666666666E-2</v>
      </c>
      <c r="W1960">
        <f>IFERROR(VLOOKUP($S1960,'TA database'!$I$146:$J$193,2,FALSE),0)</f>
        <v>0</v>
      </c>
      <c r="X1960">
        <f ca="1">IFERROR(VLOOKUP($S1960,'TA database'!$I$200:$J$271,2,FALSE),0)</f>
        <v>8.4754518952733504E-3</v>
      </c>
      <c r="Y1960">
        <f t="shared" ca="1" si="6213"/>
        <v>7.5142118561940016E-2</v>
      </c>
      <c r="Z1960" t="str">
        <f t="shared" si="6209"/>
        <v>[NG_PROD]   →   [NG_STRG]   →   [NG_TRNSP]   →   [NG_OCGT_PWR]</v>
      </c>
      <c r="AA1960" t="str">
        <f t="shared" si="6210"/>
        <v>Grid electricity</v>
      </c>
      <c r="AB1960" t="str">
        <f t="shared" si="6211"/>
        <v>Levelized cost</v>
      </c>
      <c r="AC1960">
        <f t="shared" ca="1" si="6212"/>
        <v>7.5142118561940016E-2</v>
      </c>
      <c r="AD1960">
        <v>1901</v>
      </c>
      <c r="AE1960">
        <f>IF(AND(ISNUMBER(SEARCH(O1960,4)),ISNUMBER(SEARCH('(4) FCH pathway assessment'!$B$16,AB1960)),ISNUMBER(SEARCH('(4) FCH pathway assessment'!$B$10,AA1960))),AD1960,"")</f>
        <v>1901</v>
      </c>
      <c r="AF1960" t="str">
        <f t="shared" si="6046"/>
        <v/>
      </c>
      <c r="AG1960" t="str">
        <f>VLOOKUP(C1960,Assumptions!$B$116:$C$162,2,FALSE)</f>
        <v>[NG_PROD]</v>
      </c>
      <c r="AH1960" t="str">
        <f>VLOOKUP(D1960,Assumptions!$B$116:$C$162,2,FALSE)</f>
        <v>[NG_STRG]</v>
      </c>
      <c r="AI1960" t="str">
        <f>VLOOKUP(E1960,Assumptions!$B$116:$C$162,2,FALSE)</f>
        <v>[NG_TRNSP]</v>
      </c>
      <c r="AJ1960" t="str">
        <f>VLOOKUP(F1960,Assumptions!$B$116:$C$162,2,FALSE)</f>
        <v>[NG_OCGT_PWR]</v>
      </c>
    </row>
    <row r="1961" spans="2:36" x14ac:dyDescent="0.25">
      <c r="B1961" t="s">
        <v>127</v>
      </c>
      <c r="C1961" t="s">
        <v>174</v>
      </c>
      <c r="D1961" t="s">
        <v>177</v>
      </c>
      <c r="E1961" t="s">
        <v>180</v>
      </c>
      <c r="F1961" s="54" t="s">
        <v>440</v>
      </c>
      <c r="G1961" t="s">
        <v>114</v>
      </c>
      <c r="H1961" t="s">
        <v>433</v>
      </c>
      <c r="I1961" t="s">
        <v>69</v>
      </c>
      <c r="J1961" t="s">
        <v>72</v>
      </c>
      <c r="K1961">
        <f t="shared" si="6187"/>
        <v>1</v>
      </c>
      <c r="L1961">
        <f t="shared" si="6188"/>
        <v>1</v>
      </c>
      <c r="M1961">
        <f t="shared" si="6189"/>
        <v>1</v>
      </c>
      <c r="N1961">
        <f t="shared" si="6190"/>
        <v>1</v>
      </c>
      <c r="O1961">
        <f t="shared" si="6208"/>
        <v>4</v>
      </c>
      <c r="P1961" t="str">
        <f t="shared" si="6192"/>
        <v>Natural gas production-Levelized cost</v>
      </c>
      <c r="Q1961" t="str">
        <f t="shared" si="6193"/>
        <v>Natural gas storage-Levelized cost</v>
      </c>
      <c r="R1961" t="str">
        <f t="shared" si="6194"/>
        <v>Natural gas transport-Levelized cost</v>
      </c>
      <c r="S1961" t="str">
        <f t="shared" si="6195"/>
        <v>Natural gas turbine (CC)-Levelized cost</v>
      </c>
      <c r="T1961">
        <f ca="1">VLOOKUP($P1961,'TA database'!$I$8:$J$79,2,FALSE)</f>
        <v>0</v>
      </c>
      <c r="U1961">
        <f ca="1">VLOOKUP($Q1961,'TA database'!$I$86:$J$105,2,FALSE)</f>
        <v>0</v>
      </c>
      <c r="V1961">
        <f ca="1">IF(timePeriod="2020-30",(VLOOKUP($R1961,'TA database'!$I$112:$J$139,2,FALSE)/VLOOKUP($F1961,'Merit calculation'!$B$117:$I$124,5,FALSE)/energyContentH2),(VLOOKUP($R1961,'TA database'!$I$112:$J$139,2,FALSE)/VLOOKUP($F1961,'Merit calculation'!$B$117:$I$124,7,FALSE)/energyContentH2))</f>
        <v>4.9180327868852451E-2</v>
      </c>
      <c r="W1961">
        <f>IFERROR(VLOOKUP($S1961,'TA database'!$I$146:$J$193,2,FALSE),0)</f>
        <v>0</v>
      </c>
      <c r="X1961">
        <f ca="1">IFERROR(VLOOKUP($S1961,'TA database'!$I$200:$J$271,2,FALSE),0)</f>
        <v>9.684597936591802E-3</v>
      </c>
      <c r="Y1961">
        <f t="shared" ca="1" si="6213"/>
        <v>5.8864925805444251E-2</v>
      </c>
      <c r="Z1961" t="str">
        <f t="shared" si="6209"/>
        <v>[NG_PROD]   →   [NG_STRG]   →   [NG_TRNSP]   →   [NG_CCGT_PWR]</v>
      </c>
      <c r="AA1961" t="str">
        <f t="shared" si="6210"/>
        <v>Grid electricity</v>
      </c>
      <c r="AB1961" t="str">
        <f t="shared" si="6211"/>
        <v>Levelized cost</v>
      </c>
      <c r="AC1961">
        <f t="shared" ca="1" si="6212"/>
        <v>5.8864925805444251E-2</v>
      </c>
      <c r="AD1961">
        <v>1902</v>
      </c>
      <c r="AE1961">
        <f>IF(AND(ISNUMBER(SEARCH(O1961,4)),ISNUMBER(SEARCH('(4) FCH pathway assessment'!$B$16,AB1961)),ISNUMBER(SEARCH('(4) FCH pathway assessment'!$B$10,AA1961))),AD1961,"")</f>
        <v>1902</v>
      </c>
      <c r="AF1961" t="str">
        <f t="shared" si="6046"/>
        <v/>
      </c>
      <c r="AG1961" t="str">
        <f>VLOOKUP(C1961,Assumptions!$B$116:$C$162,2,FALSE)</f>
        <v>[NG_PROD]</v>
      </c>
      <c r="AH1961" t="str">
        <f>VLOOKUP(D1961,Assumptions!$B$116:$C$162,2,FALSE)</f>
        <v>[NG_STRG]</v>
      </c>
      <c r="AI1961" t="str">
        <f>VLOOKUP(E1961,Assumptions!$B$116:$C$162,2,FALSE)</f>
        <v>[NG_TRNSP]</v>
      </c>
      <c r="AJ1961" t="str">
        <f>VLOOKUP(F1961,Assumptions!$B$116:$C$162,2,FALSE)</f>
        <v>[NG_CCGT_PWR]</v>
      </c>
    </row>
    <row r="1962" spans="2:36" x14ac:dyDescent="0.25">
      <c r="B1962" t="s">
        <v>127</v>
      </c>
      <c r="C1962" t="s">
        <v>174</v>
      </c>
      <c r="D1962" t="s">
        <v>177</v>
      </c>
      <c r="E1962" t="s">
        <v>180</v>
      </c>
      <c r="F1962" s="54" t="s">
        <v>441</v>
      </c>
      <c r="G1962" t="s">
        <v>126</v>
      </c>
      <c r="H1962" t="s">
        <v>433</v>
      </c>
      <c r="I1962" t="s">
        <v>69</v>
      </c>
      <c r="J1962" t="s">
        <v>72</v>
      </c>
      <c r="K1962">
        <f t="shared" si="6187"/>
        <v>1</v>
      </c>
      <c r="L1962">
        <f t="shared" si="6188"/>
        <v>1</v>
      </c>
      <c r="M1962">
        <f t="shared" si="6189"/>
        <v>1</v>
      </c>
      <c r="N1962">
        <f t="shared" si="6190"/>
        <v>1</v>
      </c>
      <c r="O1962">
        <f t="shared" si="6208"/>
        <v>4</v>
      </c>
      <c r="P1962" t="str">
        <f t="shared" si="6192"/>
        <v>Natural gas production-Levelized cost</v>
      </c>
      <c r="Q1962" t="str">
        <f t="shared" si="6193"/>
        <v>Natural gas storage-Levelized cost</v>
      </c>
      <c r="R1962" t="str">
        <f t="shared" si="6194"/>
        <v>Natural gas transport-Levelized cost</v>
      </c>
      <c r="S1962" t="str">
        <f t="shared" si="6195"/>
        <v>Gas engine-Levelized cost</v>
      </c>
      <c r="T1962">
        <f ca="1">VLOOKUP($P1962,'TA database'!$I$8:$J$79,2,FALSE)</f>
        <v>0</v>
      </c>
      <c r="U1962">
        <f ca="1">VLOOKUP($Q1962,'TA database'!$I$86:$J$105,2,FALSE)</f>
        <v>0</v>
      </c>
      <c r="V1962">
        <f ca="1">IF(timePeriod="2020-30",(VLOOKUP($R1962,'TA database'!$I$112:$J$139,2,FALSE)/VLOOKUP($F1962,'Merit calculation'!$B$117:$I$124,5,FALSE)/energyContentH2),(VLOOKUP($R1962,'TA database'!$I$112:$J$139,2,FALSE)/VLOOKUP($F1962,'Merit calculation'!$B$117:$I$124,7,FALSE)/energyContentH2))</f>
        <v>7.5949367088607583E-2</v>
      </c>
      <c r="W1962">
        <f>IFERROR(VLOOKUP($S1962,'TA database'!$I$146:$J$193,2,FALSE),0)</f>
        <v>0</v>
      </c>
      <c r="X1962">
        <f ca="1">IFERROR(VLOOKUP($S1962,'TA database'!$I$200:$J$271,2,FALSE),0)</f>
        <v>6.0330006857772503E-3</v>
      </c>
      <c r="Y1962">
        <f t="shared" ca="1" si="6213"/>
        <v>8.1982367774384834E-2</v>
      </c>
      <c r="Z1962" t="str">
        <f t="shared" si="6209"/>
        <v>[NG_PROD]   →   [NG_STRG]   →   [NG_TRNSP]   →   [NG_ICE_PWR]</v>
      </c>
      <c r="AA1962" t="str">
        <f t="shared" si="6210"/>
        <v>Onsite / Back-up power</v>
      </c>
      <c r="AB1962" t="str">
        <f t="shared" si="6211"/>
        <v>Levelized cost</v>
      </c>
      <c r="AC1962">
        <f t="shared" ca="1" si="6212"/>
        <v>8.1982367774384834E-2</v>
      </c>
      <c r="AD1962">
        <v>1903</v>
      </c>
      <c r="AE1962" t="str">
        <f>IF(AND(ISNUMBER(SEARCH(O1962,4)),ISNUMBER(SEARCH('(4) FCH pathway assessment'!$B$16,AB1962)),ISNUMBER(SEARCH('(4) FCH pathway assessment'!$B$10,AA1962))),AD1962,"")</f>
        <v/>
      </c>
      <c r="AF1962" t="str">
        <f t="shared" si="6046"/>
        <v/>
      </c>
      <c r="AG1962" t="str">
        <f>VLOOKUP(C1962,Assumptions!$B$116:$C$162,2,FALSE)</f>
        <v>[NG_PROD]</v>
      </c>
      <c r="AH1962" t="str">
        <f>VLOOKUP(D1962,Assumptions!$B$116:$C$162,2,FALSE)</f>
        <v>[NG_STRG]</v>
      </c>
      <c r="AI1962" t="str">
        <f>VLOOKUP(E1962,Assumptions!$B$116:$C$162,2,FALSE)</f>
        <v>[NG_TRNSP]</v>
      </c>
      <c r="AJ1962" t="str">
        <f>VLOOKUP(F1962,Assumptions!$B$116:$C$162,2,FALSE)</f>
        <v>[NG_ICE_PWR]</v>
      </c>
    </row>
    <row r="1963" spans="2:36" x14ac:dyDescent="0.25">
      <c r="B1963" t="s">
        <v>127</v>
      </c>
      <c r="C1963" t="s">
        <v>174</v>
      </c>
      <c r="D1963" t="s">
        <v>177</v>
      </c>
      <c r="E1963" t="s">
        <v>180</v>
      </c>
      <c r="F1963" s="54" t="s">
        <v>447</v>
      </c>
      <c r="G1963" t="s">
        <v>114</v>
      </c>
      <c r="H1963" t="s">
        <v>433</v>
      </c>
      <c r="I1963" t="s">
        <v>69</v>
      </c>
      <c r="J1963" t="s">
        <v>72</v>
      </c>
      <c r="K1963">
        <f t="shared" si="6187"/>
        <v>1</v>
      </c>
      <c r="L1963">
        <f t="shared" si="6188"/>
        <v>1</v>
      </c>
      <c r="M1963">
        <f t="shared" si="6189"/>
        <v>1</v>
      </c>
      <c r="N1963">
        <f t="shared" si="6190"/>
        <v>1</v>
      </c>
      <c r="O1963">
        <f t="shared" si="6208"/>
        <v>4</v>
      </c>
      <c r="P1963" t="str">
        <f t="shared" si="6192"/>
        <v>Natural gas production-Levelized cost</v>
      </c>
      <c r="Q1963" t="str">
        <f t="shared" si="6193"/>
        <v>Natural gas storage-Levelized cost</v>
      </c>
      <c r="R1963" t="str">
        <f t="shared" si="6194"/>
        <v>Natural gas transport-Levelized cost</v>
      </c>
      <c r="S1963" t="str">
        <f t="shared" si="6195"/>
        <v>Gas-fired District-CHP (power)-Levelized cost</v>
      </c>
      <c r="T1963">
        <f ca="1">VLOOKUP($P1963,'TA database'!$I$8:$J$79,2,FALSE)</f>
        <v>0</v>
      </c>
      <c r="U1963">
        <f ca="1">VLOOKUP($Q1963,'TA database'!$I$86:$J$105,2,FALSE)</f>
        <v>0</v>
      </c>
      <c r="V1963">
        <f ca="1">IF(timePeriod="2020-30",(VLOOKUP($R1963,'TA database'!$I$112:$J$139,2,FALSE)/VLOOKUP($F1963,'Merit calculation'!$B$117:$I$124,5,FALSE)/energyContentH2),(VLOOKUP($R1963,'TA database'!$I$112:$J$139,2,FALSE)/VLOOKUP($F1963,'Merit calculation'!$B$117:$I$124,7,FALSE)/energyContentH2))</f>
        <v>6.0606060606060601E-2</v>
      </c>
      <c r="W1963">
        <f>IFERROR(VLOOKUP($S1963,'TA database'!$I$146:$J$193,2,FALSE),0)</f>
        <v>0</v>
      </c>
      <c r="X1963">
        <f ca="1">IFERROR(VLOOKUP($S1963,'TA database'!$I$200:$J$271,2,FALSE),0)</f>
        <v>9.5035466561890526E-3</v>
      </c>
      <c r="Y1963">
        <f t="shared" ca="1" si="6213"/>
        <v>7.0109607262249657E-2</v>
      </c>
      <c r="Z1963" t="str">
        <f t="shared" si="6209"/>
        <v>[NG_PROD]   →   [NG_STRG]   →   [NG_TRNSP]   →   [NG_DCHP_PWR]</v>
      </c>
      <c r="AA1963" t="str">
        <f t="shared" si="6210"/>
        <v>Grid electricity</v>
      </c>
      <c r="AB1963" t="str">
        <f t="shared" si="6211"/>
        <v>Levelized cost</v>
      </c>
      <c r="AC1963">
        <f t="shared" ca="1" si="6212"/>
        <v>7.0109607262249657E-2</v>
      </c>
      <c r="AD1963">
        <v>1904</v>
      </c>
      <c r="AE1963">
        <f>IF(AND(ISNUMBER(SEARCH(O1963,4)),ISNUMBER(SEARCH('(4) FCH pathway assessment'!$B$16,AB1963)),ISNUMBER(SEARCH('(4) FCH pathway assessment'!$B$10,AA1963))),AD1963,"")</f>
        <v>1904</v>
      </c>
      <c r="AF1963" t="str">
        <f t="shared" si="6046"/>
        <v/>
      </c>
      <c r="AG1963" t="str">
        <f>VLOOKUP(C1963,Assumptions!$B$116:$C$162,2,FALSE)</f>
        <v>[NG_PROD]</v>
      </c>
      <c r="AH1963" t="str">
        <f>VLOOKUP(D1963,Assumptions!$B$116:$C$162,2,FALSE)</f>
        <v>[NG_STRG]</v>
      </c>
      <c r="AI1963" t="str">
        <f>VLOOKUP(E1963,Assumptions!$B$116:$C$162,2,FALSE)</f>
        <v>[NG_TRNSP]</v>
      </c>
      <c r="AJ1963" t="str">
        <f>VLOOKUP(F1963,Assumptions!$B$116:$C$162,2,FALSE)</f>
        <v>[NG_DCHP_PWR]</v>
      </c>
    </row>
    <row r="1964" spans="2:36" x14ac:dyDescent="0.25">
      <c r="B1964" t="s">
        <v>127</v>
      </c>
      <c r="C1964" t="s">
        <v>174</v>
      </c>
      <c r="D1964" t="s">
        <v>177</v>
      </c>
      <c r="E1964" t="s">
        <v>180</v>
      </c>
      <c r="F1964" t="s">
        <v>571</v>
      </c>
      <c r="G1964" t="s">
        <v>120</v>
      </c>
      <c r="H1964" t="s">
        <v>432</v>
      </c>
      <c r="I1964" t="s">
        <v>69</v>
      </c>
      <c r="J1964" t="s">
        <v>77</v>
      </c>
      <c r="K1964">
        <f t="shared" si="6187"/>
        <v>1</v>
      </c>
      <c r="L1964">
        <f t="shared" si="6188"/>
        <v>1</v>
      </c>
      <c r="M1964">
        <f t="shared" si="6189"/>
        <v>1</v>
      </c>
      <c r="N1964">
        <f t="shared" si="6190"/>
        <v>1</v>
      </c>
      <c r="O1964">
        <f t="shared" ref="O1964:O1969" si="6214">K1964+L1964+M1964+N1964</f>
        <v>4</v>
      </c>
      <c r="P1964" t="str">
        <f t="shared" si="6192"/>
        <v>Natural gas production-Marginal abatement cost</v>
      </c>
      <c r="Q1964" t="str">
        <f t="shared" si="6193"/>
        <v>Natural gas storage-Marginal abatement cost</v>
      </c>
      <c r="R1964" t="str">
        <f t="shared" si="6194"/>
        <v>Natural gas transport-Marginal abatement cost</v>
      </c>
      <c r="S1964" t="str">
        <f t="shared" si="6195"/>
        <v>Gas-fired Industrial boiler-Marginal abatement cost</v>
      </c>
      <c r="T1964">
        <f>IFERROR(IF(timePeriod="2020-30",(VLOOKUP($P1964,'TA database'!$I$8:$J$79,2,FALSE)/VLOOKUP($D1964,'Merit calculation'!$B$48:$I$52,5,FALSE)/VLOOKUP($E1964,'Merit calculation'!$B$67:$I$73,5,FALSE)/VLOOKUP($F1964,'Merit calculation'!$B$117:$I$124,5,FALSE)),(VLOOKUP($P1964,'TA database'!$I$8:$J$79,2,FALSE)/VLOOKUP($D1964,'Merit calculation'!$B$48:$I$52,7,FALSE)/VLOOKUP($E1964,'Merit calculation'!$B$67:$I$73,7,FALSE)/VLOOKUP($F1964,'Merit calculation'!$B$117:$I$124,7,FALSE))),0)</f>
        <v>0</v>
      </c>
      <c r="U1964">
        <f>IFERROR(IF(timePeriod="2020-30",(VLOOKUP($Q1964,'TA database'!$I$86:$J$105,2,FALSE)/VLOOKUP($E1964,'Merit calculation'!$B$67:$I$73,5,FALSE)/VLOOKUP($F1964,'Merit calculation'!$B$117:$I$124,5,FALSE)),VLOOKUP($Q1964,'TA database'!$I$86:$J$105,2,FALSE)/VLOOKUP($E1964,'Merit calculation'!$B$67:$I$73,7,FALSE)/VLOOKUP($F1964,'Merit calculation'!$B$117:$I$124,7,FALSE)),0)</f>
        <v>0</v>
      </c>
      <c r="V1964">
        <f>IFERROR(IF(timePeriod="2020-30",VLOOKUP($R1964,'TA database'!$I$112:$J$139,2,FALSE)/VLOOKUP($F1964,'Merit calculation'!$B$117:$I$124,5,FALSE)/energyContentH2*3.6,VLOOKUP($R1964,'TA database'!$I$112:$J$139,2,FALSE)/VLOOKUP($F1964,'Merit calculation'!$B$117:$I$124,7,FALSE)/energyContentH2),0)</f>
        <v>0</v>
      </c>
      <c r="W1964">
        <f>IFERROR(VLOOKUP($S1964,'TA database'!$I$146:$J$193,2,FALSE),0)</f>
        <v>0</v>
      </c>
      <c r="X1964">
        <f>IFERROR(VLOOKUP($S1964,'TA database'!$I$200:$J$271,2,FALSE),0)</f>
        <v>0</v>
      </c>
      <c r="Y1964">
        <f>IF($W1964=0,T1964+U1964+V1964+X1964,T1964+U1964+V1964+W1964)</f>
        <v>0</v>
      </c>
      <c r="Z1964" t="str">
        <f t="shared" ref="Z1964:Z1969" si="6215">CONCATENATE(AG1964,"   →   ",AH1964,"   →   ",AI1964,"   →   ",AJ1964)</f>
        <v>[NG_PROD]   →   [NG_STRG]   →   [NG_TRNSP]   →   [NG_IND_BOIL_HEAT]</v>
      </c>
      <c r="AA1964" t="str">
        <f t="shared" ref="AA1964:AA1969" si="6216">G1964</f>
        <v>Industrial heat</v>
      </c>
      <c r="AB1964" t="str">
        <f t="shared" ref="AB1964:AB1969" si="6217">J1964</f>
        <v>Marginal abatement cost</v>
      </c>
      <c r="AC1964">
        <f t="shared" ref="AC1964:AC1969" si="6218">Y1964</f>
        <v>0</v>
      </c>
      <c r="AD1964">
        <v>1905</v>
      </c>
      <c r="AE1964" t="str">
        <f>IF(AND(ISNUMBER(SEARCH(O1964,4)),ISNUMBER(SEARCH('(4) FCH pathway assessment'!$B$16,AB1964)),ISNUMBER(SEARCH('(4) FCH pathway assessment'!$B$10,AA1964))),AD1964,"")</f>
        <v/>
      </c>
      <c r="AF1964" t="str">
        <f t="shared" si="6046"/>
        <v/>
      </c>
      <c r="AG1964" t="str">
        <f>VLOOKUP(C1964,Assumptions!$B$116:$C$162,2,FALSE)</f>
        <v>[NG_PROD]</v>
      </c>
      <c r="AH1964" t="str">
        <f>VLOOKUP(D1964,Assumptions!$B$116:$C$162,2,FALSE)</f>
        <v>[NG_STRG]</v>
      </c>
      <c r="AI1964" t="str">
        <f>VLOOKUP(E1964,Assumptions!$B$116:$C$162,2,FALSE)</f>
        <v>[NG_TRNSP]</v>
      </c>
      <c r="AJ1964" t="str">
        <f>VLOOKUP(F1964,Assumptions!$B$116:$C$162,2,FALSE)</f>
        <v>[NG_IND_BOIL_HEAT]</v>
      </c>
    </row>
    <row r="1965" spans="2:36" x14ac:dyDescent="0.25">
      <c r="B1965" t="s">
        <v>127</v>
      </c>
      <c r="C1965" t="s">
        <v>174</v>
      </c>
      <c r="D1965" t="s">
        <v>177</v>
      </c>
      <c r="E1965" t="s">
        <v>180</v>
      </c>
      <c r="F1965" t="s">
        <v>444</v>
      </c>
      <c r="G1965" t="s">
        <v>132</v>
      </c>
      <c r="H1965" t="s">
        <v>434</v>
      </c>
      <c r="I1965" t="s">
        <v>69</v>
      </c>
      <c r="J1965" t="s">
        <v>77</v>
      </c>
      <c r="K1965">
        <f t="shared" si="6187"/>
        <v>1</v>
      </c>
      <c r="L1965">
        <f t="shared" si="6188"/>
        <v>1</v>
      </c>
      <c r="M1965">
        <f t="shared" si="6189"/>
        <v>1</v>
      </c>
      <c r="N1965">
        <f t="shared" si="6190"/>
        <v>1</v>
      </c>
      <c r="O1965">
        <f t="shared" si="6214"/>
        <v>4</v>
      </c>
      <c r="P1965" t="str">
        <f t="shared" si="6192"/>
        <v>Natural gas production-Marginal abatement cost</v>
      </c>
      <c r="Q1965" t="str">
        <f t="shared" si="6193"/>
        <v>Natural gas storage-Marginal abatement cost</v>
      </c>
      <c r="R1965" t="str">
        <f t="shared" si="6194"/>
        <v>Natural gas transport-Marginal abatement cost</v>
      </c>
      <c r="S1965" t="str">
        <f t="shared" si="6195"/>
        <v>Gas-fired residential boiler-Marginal abatement cost</v>
      </c>
      <c r="T1965">
        <f>IFERROR(IF(timePeriod="2020-30",(VLOOKUP($P1965,'TA database'!$I$8:$J$79,2,FALSE)/VLOOKUP($D1965,'Merit calculation'!$B$48:$I$52,5,FALSE)/VLOOKUP($E1965,'Merit calculation'!$B$67:$I$73,5,FALSE)/VLOOKUP($F1965,'Merit calculation'!$B$117:$I$124,5,FALSE)),(VLOOKUP($P1965,'TA database'!$I$8:$J$79,2,FALSE)/VLOOKUP($D1965,'Merit calculation'!$B$48:$I$52,7,FALSE)/VLOOKUP($E1965,'Merit calculation'!$B$67:$I$73,7,FALSE)/VLOOKUP($F1965,'Merit calculation'!$B$117:$I$124,7,FALSE))),0)</f>
        <v>0</v>
      </c>
      <c r="U1965">
        <f>IFERROR(IF(timePeriod="2020-30",(VLOOKUP($Q1965,'TA database'!$I$86:$J$105,2,FALSE)/VLOOKUP($E1965,'Merit calculation'!$B$67:$I$73,5,FALSE)/VLOOKUP($F1965,'Merit calculation'!$B$117:$I$124,5,FALSE)),VLOOKUP($Q1965,'TA database'!$I$86:$J$105,2,FALSE)/VLOOKUP($E1965,'Merit calculation'!$B$67:$I$73,7,FALSE)/VLOOKUP($F1965,'Merit calculation'!$B$117:$I$124,7,FALSE)),0)</f>
        <v>0</v>
      </c>
      <c r="V1965">
        <f>IFERROR(IF(timePeriod="2020-30",VLOOKUP($R1965,'TA database'!$I$112:$J$139,2,FALSE)/VLOOKUP($F1965,'Merit calculation'!$B$117:$I$124,5,FALSE)/energyContentH2*3.6,VLOOKUP($R1965,'TA database'!$I$112:$J$139,2,FALSE)/VLOOKUP($F1965,'Merit calculation'!$B$117:$I$124,7,FALSE)/energyContentH2),0)</f>
        <v>0</v>
      </c>
      <c r="W1965">
        <f>IFERROR(VLOOKUP($S1965,'TA database'!$I$146:$J$193,2,FALSE),0)</f>
        <v>0</v>
      </c>
      <c r="X1965">
        <f>IFERROR(VLOOKUP($S1965,'TA database'!$I$200:$J$271,2,FALSE),0)</f>
        <v>0</v>
      </c>
      <c r="Y1965">
        <f t="shared" ref="Y1965:Y1970" si="6219">IF($W1965=0,T1965+U1965+V1965+X1965,T1965+U1965+V1965+W1965)</f>
        <v>0</v>
      </c>
      <c r="Z1965" t="str">
        <f t="shared" si="6215"/>
        <v>[NG_PROD]   →   [NG_STRG]   →   [NG_TRNSP]   →   [NG_RES_BOIL_HEAT]</v>
      </c>
      <c r="AA1965" t="str">
        <f t="shared" si="6216"/>
        <v>Building heat</v>
      </c>
      <c r="AB1965" t="str">
        <f t="shared" si="6217"/>
        <v>Marginal abatement cost</v>
      </c>
      <c r="AC1965">
        <f t="shared" si="6218"/>
        <v>0</v>
      </c>
      <c r="AD1965">
        <v>1906</v>
      </c>
      <c r="AE1965" t="str">
        <f>IF(AND(ISNUMBER(SEARCH(O1965,4)),ISNUMBER(SEARCH('(4) FCH pathway assessment'!$B$16,AB1965)),ISNUMBER(SEARCH('(4) FCH pathway assessment'!$B$10,AA1965))),AD1965,"")</f>
        <v/>
      </c>
      <c r="AF1965" t="str">
        <f t="shared" si="6046"/>
        <v/>
      </c>
      <c r="AG1965" t="str">
        <f>VLOOKUP(C1965,Assumptions!$B$116:$C$162,2,FALSE)</f>
        <v>[NG_PROD]</v>
      </c>
      <c r="AH1965" t="str">
        <f>VLOOKUP(D1965,Assumptions!$B$116:$C$162,2,FALSE)</f>
        <v>[NG_STRG]</v>
      </c>
      <c r="AI1965" t="str">
        <f>VLOOKUP(E1965,Assumptions!$B$116:$C$162,2,FALSE)</f>
        <v>[NG_TRNSP]</v>
      </c>
      <c r="AJ1965" t="str">
        <f>VLOOKUP(F1965,Assumptions!$B$116:$C$162,2,FALSE)</f>
        <v>[NG_RES_BOIL_HEAT]</v>
      </c>
    </row>
    <row r="1966" spans="2:36" x14ac:dyDescent="0.25">
      <c r="B1966" t="s">
        <v>127</v>
      </c>
      <c r="C1966" t="s">
        <v>174</v>
      </c>
      <c r="D1966" t="s">
        <v>177</v>
      </c>
      <c r="E1966" t="s">
        <v>180</v>
      </c>
      <c r="F1966" t="s">
        <v>446</v>
      </c>
      <c r="G1966" t="s">
        <v>132</v>
      </c>
      <c r="H1966" t="s">
        <v>434</v>
      </c>
      <c r="I1966" t="s">
        <v>69</v>
      </c>
      <c r="J1966" t="s">
        <v>77</v>
      </c>
      <c r="K1966">
        <f t="shared" si="6187"/>
        <v>1</v>
      </c>
      <c r="L1966">
        <f t="shared" si="6188"/>
        <v>1</v>
      </c>
      <c r="M1966">
        <f t="shared" si="6189"/>
        <v>1</v>
      </c>
      <c r="N1966">
        <f t="shared" si="6190"/>
        <v>1</v>
      </c>
      <c r="O1966">
        <f t="shared" si="6214"/>
        <v>4</v>
      </c>
      <c r="P1966" t="str">
        <f t="shared" si="6192"/>
        <v>Natural gas production-Marginal abatement cost</v>
      </c>
      <c r="Q1966" t="str">
        <f t="shared" si="6193"/>
        <v>Natural gas storage-Marginal abatement cost</v>
      </c>
      <c r="R1966" t="str">
        <f t="shared" si="6194"/>
        <v>Natural gas transport-Marginal abatement cost</v>
      </c>
      <c r="S1966" t="str">
        <f t="shared" si="6195"/>
        <v>Gas-fired District-CHP (heat)-Marginal abatement cost</v>
      </c>
      <c r="T1966">
        <f>IFERROR(IF(timePeriod="2020-30",(VLOOKUP($P1966,'TA database'!$I$8:$J$79,2,FALSE)/VLOOKUP($D1966,'Merit calculation'!$B$48:$I$52,5,FALSE)/VLOOKUP($E1966,'Merit calculation'!$B$67:$I$73,5,FALSE)/VLOOKUP($F1966,'Merit calculation'!$B$117:$I$124,5,FALSE)),(VLOOKUP($P1966,'TA database'!$I$8:$J$79,2,FALSE)/VLOOKUP($D1966,'Merit calculation'!$B$48:$I$52,7,FALSE)/VLOOKUP($E1966,'Merit calculation'!$B$67:$I$73,7,FALSE)/VLOOKUP($F1966,'Merit calculation'!$B$117:$I$124,7,FALSE))),0)</f>
        <v>0</v>
      </c>
      <c r="U1966">
        <f>IFERROR(IF(timePeriod="2020-30",(VLOOKUP($Q1966,'TA database'!$I$86:$J$105,2,FALSE)/VLOOKUP($E1966,'Merit calculation'!$B$67:$I$73,5,FALSE)/VLOOKUP($F1966,'Merit calculation'!$B$117:$I$124,5,FALSE)),VLOOKUP($Q1966,'TA database'!$I$86:$J$105,2,FALSE)/VLOOKUP($E1966,'Merit calculation'!$B$67:$I$73,7,FALSE)/VLOOKUP($F1966,'Merit calculation'!$B$117:$I$124,7,FALSE)),0)</f>
        <v>0</v>
      </c>
      <c r="V1966">
        <f>IFERROR(IF(timePeriod="2020-30",VLOOKUP($R1966,'TA database'!$I$112:$J$139,2,FALSE)/VLOOKUP($F1966,'Merit calculation'!$B$117:$I$124,5,FALSE)/energyContentH2*3.6,VLOOKUP($R1966,'TA database'!$I$112:$J$139,2,FALSE)/VLOOKUP($F1966,'Merit calculation'!$B$117:$I$124,7,FALSE)/energyContentH2),0)</f>
        <v>0</v>
      </c>
      <c r="W1966">
        <f>IFERROR(VLOOKUP($S1966,'TA database'!$I$146:$J$193,2,FALSE),0)</f>
        <v>0</v>
      </c>
      <c r="X1966">
        <f>IFERROR(VLOOKUP($S1966,'TA database'!$I$200:$J$271,2,FALSE),0)</f>
        <v>0</v>
      </c>
      <c r="Y1966">
        <f t="shared" si="6219"/>
        <v>0</v>
      </c>
      <c r="Z1966" t="str">
        <f t="shared" si="6215"/>
        <v>[NG_PROD]   →   [NG_STRG]   →   [NG_TRNSP]   →   [NG_DCHP_HEAT]</v>
      </c>
      <c r="AA1966" t="str">
        <f t="shared" si="6216"/>
        <v>Building heat</v>
      </c>
      <c r="AB1966" t="str">
        <f t="shared" si="6217"/>
        <v>Marginal abatement cost</v>
      </c>
      <c r="AC1966">
        <f t="shared" si="6218"/>
        <v>0</v>
      </c>
      <c r="AD1966">
        <v>1907</v>
      </c>
      <c r="AE1966" t="str">
        <f>IF(AND(ISNUMBER(SEARCH(O1966,4)),ISNUMBER(SEARCH('(4) FCH pathway assessment'!$B$16,AB1966)),ISNUMBER(SEARCH('(4) FCH pathway assessment'!$B$10,AA1966))),AD1966,"")</f>
        <v/>
      </c>
      <c r="AF1966" t="str">
        <f t="shared" si="6046"/>
        <v/>
      </c>
      <c r="AG1966" t="str">
        <f>VLOOKUP(C1966,Assumptions!$B$116:$C$162,2,FALSE)</f>
        <v>[NG_PROD]</v>
      </c>
      <c r="AH1966" t="str">
        <f>VLOOKUP(D1966,Assumptions!$B$116:$C$162,2,FALSE)</f>
        <v>[NG_STRG]</v>
      </c>
      <c r="AI1966" t="str">
        <f>VLOOKUP(E1966,Assumptions!$B$116:$C$162,2,FALSE)</f>
        <v>[NG_TRNSP]</v>
      </c>
      <c r="AJ1966" t="str">
        <f>VLOOKUP(F1966,Assumptions!$B$116:$C$162,2,FALSE)</f>
        <v>[NG_DCHP_HEAT]</v>
      </c>
    </row>
    <row r="1967" spans="2:36" x14ac:dyDescent="0.25">
      <c r="B1967" t="s">
        <v>127</v>
      </c>
      <c r="C1967" t="s">
        <v>174</v>
      </c>
      <c r="D1967" t="s">
        <v>177</v>
      </c>
      <c r="E1967" t="s">
        <v>180</v>
      </c>
      <c r="F1967" s="54" t="s">
        <v>442</v>
      </c>
      <c r="G1967" t="s">
        <v>114</v>
      </c>
      <c r="H1967" t="s">
        <v>433</v>
      </c>
      <c r="I1967" t="s">
        <v>69</v>
      </c>
      <c r="J1967" t="s">
        <v>77</v>
      </c>
      <c r="K1967">
        <f t="shared" si="6187"/>
        <v>1</v>
      </c>
      <c r="L1967">
        <f t="shared" si="6188"/>
        <v>1</v>
      </c>
      <c r="M1967">
        <f t="shared" si="6189"/>
        <v>1</v>
      </c>
      <c r="N1967">
        <f t="shared" si="6190"/>
        <v>1</v>
      </c>
      <c r="O1967">
        <f t="shared" si="6214"/>
        <v>4</v>
      </c>
      <c r="P1967" t="str">
        <f t="shared" si="6192"/>
        <v>Natural gas production-Marginal abatement cost</v>
      </c>
      <c r="Q1967" t="str">
        <f t="shared" si="6193"/>
        <v>Natural gas storage-Marginal abatement cost</v>
      </c>
      <c r="R1967" t="str">
        <f t="shared" si="6194"/>
        <v>Natural gas transport-Marginal abatement cost</v>
      </c>
      <c r="S1967" t="str">
        <f t="shared" si="6195"/>
        <v>Natural gas turbine (OC) -Marginal abatement cost</v>
      </c>
      <c r="T1967">
        <f>IFERROR(IF(timePeriod="2020-30",(VLOOKUP($P1967,'TA database'!$I$8:$J$79,2,FALSE)/VLOOKUP($D1967,'Merit calculation'!$B$48:$I$52,5,FALSE)/VLOOKUP($E1967,'Merit calculation'!$B$67:$I$73,5,FALSE)/VLOOKUP($F1967,'Merit calculation'!$B$117:$I$124,5,FALSE)),(VLOOKUP($P1967,'TA database'!$I$8:$J$79,2,FALSE)/VLOOKUP($D1967,'Merit calculation'!$B$48:$I$52,7,FALSE)/VLOOKUP($E1967,'Merit calculation'!$B$67:$I$73,7,FALSE)/VLOOKUP($F1967,'Merit calculation'!$B$117:$I$124,7,FALSE))),0)</f>
        <v>0</v>
      </c>
      <c r="U1967">
        <f>IFERROR(IF(timePeriod="2020-30",(VLOOKUP($Q1967,'TA database'!$I$86:$J$105,2,FALSE)/VLOOKUP($E1967,'Merit calculation'!$B$67:$I$73,5,FALSE)/VLOOKUP($F1967,'Merit calculation'!$B$117:$I$124,5,FALSE)),VLOOKUP($Q1967,'TA database'!$I$86:$J$105,2,FALSE)/VLOOKUP($E1967,'Merit calculation'!$B$67:$I$73,7,FALSE)/VLOOKUP($F1967,'Merit calculation'!$B$117:$I$124,7,FALSE)),0)</f>
        <v>0</v>
      </c>
      <c r="V1967">
        <f>IFERROR(IF(timePeriod="2020-30",VLOOKUP($R1967,'TA database'!$I$112:$J$139,2,FALSE)/VLOOKUP($F1967,'Merit calculation'!$B$117:$I$124,5,FALSE)/energyContentH2*3.6,VLOOKUP($R1967,'TA database'!$I$112:$J$139,2,FALSE)/VLOOKUP($F1967,'Merit calculation'!$B$117:$I$124,7,FALSE)/energyContentH2),0)</f>
        <v>0</v>
      </c>
      <c r="W1967">
        <f>IFERROR(VLOOKUP($S1967,'TA database'!$I$146:$J$193,2,FALSE),0)</f>
        <v>0</v>
      </c>
      <c r="X1967">
        <f>IFERROR(VLOOKUP($S1967,'TA database'!$I$200:$J$271,2,FALSE),0)</f>
        <v>0</v>
      </c>
      <c r="Y1967">
        <f t="shared" si="6219"/>
        <v>0</v>
      </c>
      <c r="Z1967" t="str">
        <f t="shared" si="6215"/>
        <v>[NG_PROD]   →   [NG_STRG]   →   [NG_TRNSP]   →   [NG_OCGT_PWR]</v>
      </c>
      <c r="AA1967" t="str">
        <f t="shared" si="6216"/>
        <v>Grid electricity</v>
      </c>
      <c r="AB1967" t="str">
        <f t="shared" si="6217"/>
        <v>Marginal abatement cost</v>
      </c>
      <c r="AC1967">
        <f t="shared" si="6218"/>
        <v>0</v>
      </c>
      <c r="AD1967">
        <v>1908</v>
      </c>
      <c r="AE1967" t="str">
        <f>IF(AND(ISNUMBER(SEARCH(O1967,4)),ISNUMBER(SEARCH('(4) FCH pathway assessment'!$B$16,AB1967)),ISNUMBER(SEARCH('(4) FCH pathway assessment'!$B$10,AA1967))),AD1967,"")</f>
        <v/>
      </c>
      <c r="AF1967" t="str">
        <f t="shared" si="6046"/>
        <v/>
      </c>
      <c r="AG1967" t="str">
        <f>VLOOKUP(C1967,Assumptions!$B$116:$C$162,2,FALSE)</f>
        <v>[NG_PROD]</v>
      </c>
      <c r="AH1967" t="str">
        <f>VLOOKUP(D1967,Assumptions!$B$116:$C$162,2,FALSE)</f>
        <v>[NG_STRG]</v>
      </c>
      <c r="AI1967" t="str">
        <f>VLOOKUP(E1967,Assumptions!$B$116:$C$162,2,FALSE)</f>
        <v>[NG_TRNSP]</v>
      </c>
      <c r="AJ1967" t="str">
        <f>VLOOKUP(F1967,Assumptions!$B$116:$C$162,2,FALSE)</f>
        <v>[NG_OCGT_PWR]</v>
      </c>
    </row>
    <row r="1968" spans="2:36" x14ac:dyDescent="0.25">
      <c r="B1968" t="s">
        <v>127</v>
      </c>
      <c r="C1968" t="s">
        <v>174</v>
      </c>
      <c r="D1968" t="s">
        <v>177</v>
      </c>
      <c r="E1968" t="s">
        <v>180</v>
      </c>
      <c r="F1968" s="54" t="s">
        <v>440</v>
      </c>
      <c r="G1968" t="s">
        <v>114</v>
      </c>
      <c r="H1968" t="s">
        <v>433</v>
      </c>
      <c r="I1968" t="s">
        <v>69</v>
      </c>
      <c r="J1968" t="s">
        <v>77</v>
      </c>
      <c r="K1968">
        <f t="shared" si="6187"/>
        <v>1</v>
      </c>
      <c r="L1968">
        <f t="shared" si="6188"/>
        <v>1</v>
      </c>
      <c r="M1968">
        <f t="shared" si="6189"/>
        <v>1</v>
      </c>
      <c r="N1968">
        <f t="shared" si="6190"/>
        <v>1</v>
      </c>
      <c r="O1968">
        <f t="shared" si="6214"/>
        <v>4</v>
      </c>
      <c r="P1968" t="str">
        <f t="shared" si="6192"/>
        <v>Natural gas production-Marginal abatement cost</v>
      </c>
      <c r="Q1968" t="str">
        <f t="shared" si="6193"/>
        <v>Natural gas storage-Marginal abatement cost</v>
      </c>
      <c r="R1968" t="str">
        <f t="shared" si="6194"/>
        <v>Natural gas transport-Marginal abatement cost</v>
      </c>
      <c r="S1968" t="str">
        <f t="shared" si="6195"/>
        <v>Natural gas turbine (CC)-Marginal abatement cost</v>
      </c>
      <c r="T1968">
        <f>IFERROR(IF(timePeriod="2020-30",(VLOOKUP($P1968,'TA database'!$I$8:$J$79,2,FALSE)/VLOOKUP($D1968,'Merit calculation'!$B$48:$I$52,5,FALSE)/VLOOKUP($E1968,'Merit calculation'!$B$67:$I$73,5,FALSE)/VLOOKUP($F1968,'Merit calculation'!$B$117:$I$124,5,FALSE)),(VLOOKUP($P1968,'TA database'!$I$8:$J$79,2,FALSE)/VLOOKUP($D1968,'Merit calculation'!$B$48:$I$52,7,FALSE)/VLOOKUP($E1968,'Merit calculation'!$B$67:$I$73,7,FALSE)/VLOOKUP($F1968,'Merit calculation'!$B$117:$I$124,7,FALSE))),0)</f>
        <v>0</v>
      </c>
      <c r="U1968">
        <f>IFERROR(IF(timePeriod="2020-30",(VLOOKUP($Q1968,'TA database'!$I$86:$J$105,2,FALSE)/VLOOKUP($E1968,'Merit calculation'!$B$67:$I$73,5,FALSE)/VLOOKUP($F1968,'Merit calculation'!$B$117:$I$124,5,FALSE)),VLOOKUP($Q1968,'TA database'!$I$86:$J$105,2,FALSE)/VLOOKUP($E1968,'Merit calculation'!$B$67:$I$73,7,FALSE)/VLOOKUP($F1968,'Merit calculation'!$B$117:$I$124,7,FALSE)),0)</f>
        <v>0</v>
      </c>
      <c r="V1968">
        <f>IFERROR(IF(timePeriod="2020-30",VLOOKUP($R1968,'TA database'!$I$112:$J$139,2,FALSE)/VLOOKUP($F1968,'Merit calculation'!$B$117:$I$124,5,FALSE)/energyContentH2*3.6,VLOOKUP($R1968,'TA database'!$I$112:$J$139,2,FALSE)/VLOOKUP($F1968,'Merit calculation'!$B$117:$I$124,7,FALSE)/energyContentH2),0)</f>
        <v>0</v>
      </c>
      <c r="W1968">
        <f>IFERROR(VLOOKUP($S1968,'TA database'!$I$146:$J$193,2,FALSE),0)</f>
        <v>0</v>
      </c>
      <c r="X1968">
        <f>IFERROR(VLOOKUP($S1968,'TA database'!$I$200:$J$271,2,FALSE),0)</f>
        <v>0</v>
      </c>
      <c r="Y1968">
        <f t="shared" si="6219"/>
        <v>0</v>
      </c>
      <c r="Z1968" t="str">
        <f t="shared" si="6215"/>
        <v>[NG_PROD]   →   [NG_STRG]   →   [NG_TRNSP]   →   [NG_CCGT_PWR]</v>
      </c>
      <c r="AA1968" t="str">
        <f t="shared" si="6216"/>
        <v>Grid electricity</v>
      </c>
      <c r="AB1968" t="str">
        <f t="shared" si="6217"/>
        <v>Marginal abatement cost</v>
      </c>
      <c r="AC1968">
        <f t="shared" si="6218"/>
        <v>0</v>
      </c>
      <c r="AD1968">
        <v>1909</v>
      </c>
      <c r="AE1968" t="str">
        <f>IF(AND(ISNUMBER(SEARCH(O1968,4)),ISNUMBER(SEARCH('(4) FCH pathway assessment'!$B$16,AB1968)),ISNUMBER(SEARCH('(4) FCH pathway assessment'!$B$10,AA1968))),AD1968,"")</f>
        <v/>
      </c>
      <c r="AF1968" t="str">
        <f t="shared" si="6046"/>
        <v/>
      </c>
      <c r="AG1968" t="str">
        <f>VLOOKUP(C1968,Assumptions!$B$116:$C$162,2,FALSE)</f>
        <v>[NG_PROD]</v>
      </c>
      <c r="AH1968" t="str">
        <f>VLOOKUP(D1968,Assumptions!$B$116:$C$162,2,FALSE)</f>
        <v>[NG_STRG]</v>
      </c>
      <c r="AI1968" t="str">
        <f>VLOOKUP(E1968,Assumptions!$B$116:$C$162,2,FALSE)</f>
        <v>[NG_TRNSP]</v>
      </c>
      <c r="AJ1968" t="str">
        <f>VLOOKUP(F1968,Assumptions!$B$116:$C$162,2,FALSE)</f>
        <v>[NG_CCGT_PWR]</v>
      </c>
    </row>
    <row r="1969" spans="2:36" x14ac:dyDescent="0.25">
      <c r="B1969" t="s">
        <v>127</v>
      </c>
      <c r="C1969" t="s">
        <v>174</v>
      </c>
      <c r="D1969" t="s">
        <v>177</v>
      </c>
      <c r="E1969" t="s">
        <v>180</v>
      </c>
      <c r="F1969" s="54" t="s">
        <v>441</v>
      </c>
      <c r="G1969" t="s">
        <v>126</v>
      </c>
      <c r="H1969" t="s">
        <v>433</v>
      </c>
      <c r="I1969" t="s">
        <v>69</v>
      </c>
      <c r="J1969" t="s">
        <v>77</v>
      </c>
      <c r="K1969">
        <f t="shared" si="6187"/>
        <v>1</v>
      </c>
      <c r="L1969">
        <f t="shared" si="6188"/>
        <v>1</v>
      </c>
      <c r="M1969">
        <f t="shared" si="6189"/>
        <v>1</v>
      </c>
      <c r="N1969">
        <f t="shared" si="6190"/>
        <v>1</v>
      </c>
      <c r="O1969">
        <f t="shared" si="6214"/>
        <v>4</v>
      </c>
      <c r="P1969" t="str">
        <f t="shared" si="6192"/>
        <v>Natural gas production-Marginal abatement cost</v>
      </c>
      <c r="Q1969" t="str">
        <f t="shared" si="6193"/>
        <v>Natural gas storage-Marginal abatement cost</v>
      </c>
      <c r="R1969" t="str">
        <f t="shared" si="6194"/>
        <v>Natural gas transport-Marginal abatement cost</v>
      </c>
      <c r="S1969" t="str">
        <f t="shared" si="6195"/>
        <v>Gas engine-Marginal abatement cost</v>
      </c>
      <c r="T1969">
        <f>IFERROR(IF(timePeriod="2020-30",(VLOOKUP($P1969,'TA database'!$I$8:$J$79,2,FALSE)/VLOOKUP($D1969,'Merit calculation'!$B$48:$I$52,5,FALSE)/VLOOKUP($E1969,'Merit calculation'!$B$67:$I$73,5,FALSE)/VLOOKUP($F1969,'Merit calculation'!$B$117:$I$124,5,FALSE)),(VLOOKUP($P1969,'TA database'!$I$8:$J$79,2,FALSE)/VLOOKUP($D1969,'Merit calculation'!$B$48:$I$52,7,FALSE)/VLOOKUP($E1969,'Merit calculation'!$B$67:$I$73,7,FALSE)/VLOOKUP($F1969,'Merit calculation'!$B$117:$I$124,7,FALSE))),0)</f>
        <v>0</v>
      </c>
      <c r="U1969">
        <f>IFERROR(IF(timePeriod="2020-30",(VLOOKUP($Q1969,'TA database'!$I$86:$J$105,2,FALSE)/VLOOKUP($E1969,'Merit calculation'!$B$67:$I$73,5,FALSE)/VLOOKUP($F1969,'Merit calculation'!$B$117:$I$124,5,FALSE)),VLOOKUP($Q1969,'TA database'!$I$86:$J$105,2,FALSE)/VLOOKUP($E1969,'Merit calculation'!$B$67:$I$73,7,FALSE)/VLOOKUP($F1969,'Merit calculation'!$B$117:$I$124,7,FALSE)),0)</f>
        <v>0</v>
      </c>
      <c r="V1969">
        <f>IFERROR(IF(timePeriod="2020-30",VLOOKUP($R1969,'TA database'!$I$112:$J$139,2,FALSE)/VLOOKUP($F1969,'Merit calculation'!$B$117:$I$124,5,FALSE)/energyContentH2*3.6,VLOOKUP($R1969,'TA database'!$I$112:$J$139,2,FALSE)/VLOOKUP($F1969,'Merit calculation'!$B$117:$I$124,7,FALSE)/energyContentH2),0)</f>
        <v>0</v>
      </c>
      <c r="W1969">
        <f>IFERROR(VLOOKUP($S1969,'TA database'!$I$146:$J$193,2,FALSE),0)</f>
        <v>0</v>
      </c>
      <c r="X1969">
        <f>IFERROR(VLOOKUP($S1969,'TA database'!$I$200:$J$271,2,FALSE),0)</f>
        <v>0</v>
      </c>
      <c r="Y1969">
        <f t="shared" si="6219"/>
        <v>0</v>
      </c>
      <c r="Z1969" t="str">
        <f t="shared" si="6215"/>
        <v>[NG_PROD]   →   [NG_STRG]   →   [NG_TRNSP]   →   [NG_ICE_PWR]</v>
      </c>
      <c r="AA1969" t="str">
        <f t="shared" si="6216"/>
        <v>Onsite / Back-up power</v>
      </c>
      <c r="AB1969" t="str">
        <f t="shared" si="6217"/>
        <v>Marginal abatement cost</v>
      </c>
      <c r="AC1969">
        <f t="shared" si="6218"/>
        <v>0</v>
      </c>
      <c r="AD1969">
        <v>1910</v>
      </c>
      <c r="AE1969" t="str">
        <f>IF(AND(ISNUMBER(SEARCH(O1969,4)),ISNUMBER(SEARCH('(4) FCH pathway assessment'!$B$16,AB1969)),ISNUMBER(SEARCH('(4) FCH pathway assessment'!$B$10,AA1969))),AD1969,"")</f>
        <v/>
      </c>
      <c r="AF1969" t="str">
        <f t="shared" si="6046"/>
        <v/>
      </c>
      <c r="AG1969" t="str">
        <f>VLOOKUP(C1969,Assumptions!$B$116:$C$162,2,FALSE)</f>
        <v>[NG_PROD]</v>
      </c>
      <c r="AH1969" t="str">
        <f>VLOOKUP(D1969,Assumptions!$B$116:$C$162,2,FALSE)</f>
        <v>[NG_STRG]</v>
      </c>
      <c r="AI1969" t="str">
        <f>VLOOKUP(E1969,Assumptions!$B$116:$C$162,2,FALSE)</f>
        <v>[NG_TRNSP]</v>
      </c>
      <c r="AJ1969" t="str">
        <f>VLOOKUP(F1969,Assumptions!$B$116:$C$162,2,FALSE)</f>
        <v>[NG_ICE_PWR]</v>
      </c>
    </row>
    <row r="1970" spans="2:36" x14ac:dyDescent="0.25">
      <c r="B1970" t="s">
        <v>127</v>
      </c>
      <c r="C1970" t="s">
        <v>174</v>
      </c>
      <c r="D1970" t="s">
        <v>177</v>
      </c>
      <c r="E1970" t="s">
        <v>180</v>
      </c>
      <c r="F1970" s="54" t="s">
        <v>447</v>
      </c>
      <c r="G1970" t="s">
        <v>114</v>
      </c>
      <c r="H1970" t="s">
        <v>433</v>
      </c>
      <c r="I1970" t="s">
        <v>69</v>
      </c>
      <c r="J1970" t="s">
        <v>77</v>
      </c>
      <c r="K1970">
        <f t="shared" si="6187"/>
        <v>1</v>
      </c>
      <c r="L1970">
        <f t="shared" si="6188"/>
        <v>1</v>
      </c>
      <c r="M1970">
        <f t="shared" si="6189"/>
        <v>1</v>
      </c>
      <c r="N1970">
        <f t="shared" si="6190"/>
        <v>1</v>
      </c>
      <c r="O1970">
        <f>K1970+L1970+M1970+N1970</f>
        <v>4</v>
      </c>
      <c r="P1970" t="str">
        <f t="shared" si="6192"/>
        <v>Natural gas production-Marginal abatement cost</v>
      </c>
      <c r="Q1970" t="str">
        <f t="shared" si="6193"/>
        <v>Natural gas storage-Marginal abatement cost</v>
      </c>
      <c r="R1970" t="str">
        <f t="shared" si="6194"/>
        <v>Natural gas transport-Marginal abatement cost</v>
      </c>
      <c r="S1970" t="str">
        <f t="shared" si="6195"/>
        <v>Gas-fired District-CHP (power)-Marginal abatement cost</v>
      </c>
      <c r="T1970">
        <f>IFERROR(IF(timePeriod="2020-30",(VLOOKUP($P1970,'TA database'!$I$8:$J$79,2,FALSE)/VLOOKUP($D1970,'Merit calculation'!$B$48:$I$52,5,FALSE)/VLOOKUP($E1970,'Merit calculation'!$B$67:$I$73,5,FALSE)/VLOOKUP($F1970,'Merit calculation'!$B$117:$I$124,5,FALSE)),(VLOOKUP($P1970,'TA database'!$I$8:$J$79,2,FALSE)/VLOOKUP($D1970,'Merit calculation'!$B$48:$I$52,7,FALSE)/VLOOKUP($E1970,'Merit calculation'!$B$67:$I$73,7,FALSE)/VLOOKUP($F1970,'Merit calculation'!$B$117:$I$124,7,FALSE))),0)</f>
        <v>0</v>
      </c>
      <c r="U1970">
        <f>IFERROR(IF(timePeriod="2020-30",(VLOOKUP($Q1970,'TA database'!$I$86:$J$105,2,FALSE)/VLOOKUP($E1970,'Merit calculation'!$B$67:$I$73,5,FALSE)/VLOOKUP($F1970,'Merit calculation'!$B$117:$I$124,5,FALSE)),VLOOKUP($Q1970,'TA database'!$I$86:$J$105,2,FALSE)/VLOOKUP($E1970,'Merit calculation'!$B$67:$I$73,7,FALSE)/VLOOKUP($F1970,'Merit calculation'!$B$117:$I$124,7,FALSE)),0)</f>
        <v>0</v>
      </c>
      <c r="V1970">
        <f>IFERROR(IF(timePeriod="2020-30",VLOOKUP($R1970,'TA database'!$I$112:$J$139,2,FALSE)/VLOOKUP($F1970,'Merit calculation'!$B$117:$I$124,5,FALSE)/energyContentH2*3.6,VLOOKUP($R1970,'TA database'!$I$112:$J$139,2,FALSE)/VLOOKUP($F1970,'Merit calculation'!$B$117:$I$124,7,FALSE)/energyContentH2),0)</f>
        <v>0</v>
      </c>
      <c r="W1970">
        <f>IFERROR(VLOOKUP($S1970,'TA database'!$I$146:$J$193,2,FALSE),0)</f>
        <v>0</v>
      </c>
      <c r="X1970">
        <f>IFERROR(VLOOKUP($S1970,'TA database'!$I$200:$J$271,2,FALSE),0)</f>
        <v>0</v>
      </c>
      <c r="Y1970">
        <f t="shared" si="6219"/>
        <v>0</v>
      </c>
      <c r="Z1970" t="str">
        <f>CONCATENATE(AG1970,"   →   ",AH1970,"   →   ",AI1970,"   →   ",AJ1970)</f>
        <v>[NG_PROD]   →   [NG_STRG]   →   [NG_TRNSP]   →   [NG_DCHP_PWR]</v>
      </c>
      <c r="AA1970" t="str">
        <f>G1970</f>
        <v>Grid electricity</v>
      </c>
      <c r="AB1970" t="str">
        <f>J1970</f>
        <v>Marginal abatement cost</v>
      </c>
      <c r="AC1970">
        <f>Y1970</f>
        <v>0</v>
      </c>
      <c r="AD1970">
        <v>1911</v>
      </c>
      <c r="AE1970" t="str">
        <f>IF(AND(ISNUMBER(SEARCH(O1970,4)),ISNUMBER(SEARCH('(4) FCH pathway assessment'!$B$16,AB1970)),ISNUMBER(SEARCH('(4) FCH pathway assessment'!$B$10,AA1970))),AD1970,"")</f>
        <v/>
      </c>
      <c r="AF1970" t="str">
        <f t="shared" si="6046"/>
        <v/>
      </c>
      <c r="AG1970" t="str">
        <f>VLOOKUP(C1970,Assumptions!$B$116:$C$162,2,FALSE)</f>
        <v>[NG_PROD]</v>
      </c>
      <c r="AH1970" t="str">
        <f>VLOOKUP(D1970,Assumptions!$B$116:$C$162,2,FALSE)</f>
        <v>[NG_STRG]</v>
      </c>
      <c r="AI1970" t="str">
        <f>VLOOKUP(E1970,Assumptions!$B$116:$C$162,2,FALSE)</f>
        <v>[NG_TRNSP]</v>
      </c>
      <c r="AJ1970" t="str">
        <f>VLOOKUP(F1970,Assumptions!$B$116:$C$162,2,FALSE)</f>
        <v>[NG_DCHP_PWR]</v>
      </c>
    </row>
    <row r="1971" spans="2:36" x14ac:dyDescent="0.25">
      <c r="B1971" t="s">
        <v>127</v>
      </c>
      <c r="C1971" t="s">
        <v>174</v>
      </c>
      <c r="D1971" t="s">
        <v>177</v>
      </c>
      <c r="E1971" t="s">
        <v>180</v>
      </c>
      <c r="F1971" t="s">
        <v>571</v>
      </c>
      <c r="G1971" t="s">
        <v>120</v>
      </c>
      <c r="H1971" t="s">
        <v>432</v>
      </c>
      <c r="I1971" t="s">
        <v>69</v>
      </c>
      <c r="J1971" t="s">
        <v>78</v>
      </c>
      <c r="K1971">
        <f t="shared" si="6187"/>
        <v>1</v>
      </c>
      <c r="L1971">
        <f t="shared" si="6188"/>
        <v>1</v>
      </c>
      <c r="M1971">
        <f t="shared" si="6189"/>
        <v>1</v>
      </c>
      <c r="N1971">
        <f t="shared" si="6190"/>
        <v>1</v>
      </c>
      <c r="O1971">
        <f t="shared" ref="O1971:O1977" si="6220">K1971+L1971+M1971+N1971</f>
        <v>4</v>
      </c>
      <c r="P1971" t="str">
        <f t="shared" si="6192"/>
        <v>Natural gas production-Maturity</v>
      </c>
      <c r="Q1971" t="str">
        <f t="shared" si="6193"/>
        <v>Natural gas storage-Maturity</v>
      </c>
      <c r="R1971" t="str">
        <f t="shared" si="6194"/>
        <v>Natural gas transport-Maturity</v>
      </c>
      <c r="S1971" t="str">
        <f t="shared" si="6195"/>
        <v>Gas-fired Industrial boiler-Maturity</v>
      </c>
      <c r="T1971">
        <f ca="1">VLOOKUP($P1971,'TA database'!$I$8:$J$79,2,FALSE)</f>
        <v>9</v>
      </c>
      <c r="U1971">
        <f ca="1">VLOOKUP($Q1971,'TA database'!$I$86:$J$105,2,FALSE)</f>
        <v>9</v>
      </c>
      <c r="V1971">
        <f ca="1">VLOOKUP($R1971,'TA database'!$I$112:$J$139,2,FALSE)</f>
        <v>9</v>
      </c>
      <c r="W1971">
        <f ca="1">IFERROR(VLOOKUP($S1971,'TA database'!$I$146:$J$193,2,FALSE),0)</f>
        <v>9</v>
      </c>
      <c r="X1971">
        <f>IFERROR(VLOOKUP($S1971,'TA database'!$I$200:$J$271,2,FALSE),0)</f>
        <v>0</v>
      </c>
      <c r="Y1971">
        <f t="shared" ref="Y1971:Y1977" ca="1" si="6221">IF($W1971=0,MIN($T1971:$V1971,$X1971),MIN($T1971:$W1971))</f>
        <v>9</v>
      </c>
      <c r="Z1971" t="str">
        <f t="shared" ref="Z1971:Z1977" si="6222">CONCATENATE(AG1971,"   →   ",AH1971,"   →   ",AI1971,"   →   ",AJ1971)</f>
        <v>[NG_PROD]   →   [NG_STRG]   →   [NG_TRNSP]   →   [NG_IND_BOIL_HEAT]</v>
      </c>
      <c r="AA1971" t="str">
        <f t="shared" ref="AA1971:AA1977" si="6223">G1971</f>
        <v>Industrial heat</v>
      </c>
      <c r="AB1971" t="str">
        <f t="shared" ref="AB1971:AB1977" si="6224">J1971</f>
        <v>Maturity</v>
      </c>
      <c r="AC1971">
        <f t="shared" ref="AC1971:AC1977" ca="1" si="6225">Y1971</f>
        <v>9</v>
      </c>
      <c r="AD1971">
        <v>1912</v>
      </c>
      <c r="AE1971" t="str">
        <f>IF(AND(ISNUMBER(SEARCH(O1971,4)),ISNUMBER(SEARCH('(4) FCH pathway assessment'!$B$16,AB1971)),ISNUMBER(SEARCH('(4) FCH pathway assessment'!$B$10,AA1971))),AD1971,"")</f>
        <v/>
      </c>
      <c r="AF1971" t="str">
        <f t="shared" si="6046"/>
        <v/>
      </c>
      <c r="AG1971" t="str">
        <f>VLOOKUP(C1971,Assumptions!$B$116:$C$162,2,FALSE)</f>
        <v>[NG_PROD]</v>
      </c>
      <c r="AH1971" t="str">
        <f>VLOOKUP(D1971,Assumptions!$B$116:$C$162,2,FALSE)</f>
        <v>[NG_STRG]</v>
      </c>
      <c r="AI1971" t="str">
        <f>VLOOKUP(E1971,Assumptions!$B$116:$C$162,2,FALSE)</f>
        <v>[NG_TRNSP]</v>
      </c>
      <c r="AJ1971" t="str">
        <f>VLOOKUP(F1971,Assumptions!$B$116:$C$162,2,FALSE)</f>
        <v>[NG_IND_BOIL_HEAT]</v>
      </c>
    </row>
    <row r="1972" spans="2:36" x14ac:dyDescent="0.25">
      <c r="B1972" t="s">
        <v>127</v>
      </c>
      <c r="C1972" t="s">
        <v>174</v>
      </c>
      <c r="D1972" t="s">
        <v>177</v>
      </c>
      <c r="E1972" t="s">
        <v>180</v>
      </c>
      <c r="F1972" t="s">
        <v>444</v>
      </c>
      <c r="G1972" t="s">
        <v>132</v>
      </c>
      <c r="H1972" t="s">
        <v>434</v>
      </c>
      <c r="I1972" t="s">
        <v>69</v>
      </c>
      <c r="J1972" t="s">
        <v>78</v>
      </c>
      <c r="K1972">
        <f t="shared" si="6187"/>
        <v>1</v>
      </c>
      <c r="L1972">
        <f t="shared" si="6188"/>
        <v>1</v>
      </c>
      <c r="M1972">
        <f t="shared" si="6189"/>
        <v>1</v>
      </c>
      <c r="N1972">
        <f t="shared" si="6190"/>
        <v>1</v>
      </c>
      <c r="O1972">
        <f t="shared" si="6220"/>
        <v>4</v>
      </c>
      <c r="P1972" t="str">
        <f t="shared" si="6192"/>
        <v>Natural gas production-Maturity</v>
      </c>
      <c r="Q1972" t="str">
        <f t="shared" si="6193"/>
        <v>Natural gas storage-Maturity</v>
      </c>
      <c r="R1972" t="str">
        <f t="shared" si="6194"/>
        <v>Natural gas transport-Maturity</v>
      </c>
      <c r="S1972" t="str">
        <f t="shared" si="6195"/>
        <v>Gas-fired residential boiler-Maturity</v>
      </c>
      <c r="T1972">
        <f ca="1">VLOOKUP($P1972,'TA database'!$I$8:$J$79,2,FALSE)</f>
        <v>9</v>
      </c>
      <c r="U1972">
        <f ca="1">VLOOKUP($Q1972,'TA database'!$I$86:$J$105,2,FALSE)</f>
        <v>9</v>
      </c>
      <c r="V1972">
        <f ca="1">VLOOKUP($R1972,'TA database'!$I$112:$J$139,2,FALSE)</f>
        <v>9</v>
      </c>
      <c r="W1972">
        <f ca="1">IFERROR(VLOOKUP($S1972,'TA database'!$I$146:$J$193,2,FALSE),0)</f>
        <v>9</v>
      </c>
      <c r="X1972">
        <f>IFERROR(VLOOKUP($S1972,'TA database'!$I$200:$J$271,2,FALSE),0)</f>
        <v>0</v>
      </c>
      <c r="Y1972">
        <f t="shared" ca="1" si="6221"/>
        <v>9</v>
      </c>
      <c r="Z1972" t="str">
        <f t="shared" si="6222"/>
        <v>[NG_PROD]   →   [NG_STRG]   →   [NG_TRNSP]   →   [NG_RES_BOIL_HEAT]</v>
      </c>
      <c r="AA1972" t="str">
        <f t="shared" si="6223"/>
        <v>Building heat</v>
      </c>
      <c r="AB1972" t="str">
        <f t="shared" si="6224"/>
        <v>Maturity</v>
      </c>
      <c r="AC1972">
        <f t="shared" ca="1" si="6225"/>
        <v>9</v>
      </c>
      <c r="AD1972">
        <v>1913</v>
      </c>
      <c r="AE1972" t="str">
        <f>IF(AND(ISNUMBER(SEARCH(O1972,4)),ISNUMBER(SEARCH('(4) FCH pathway assessment'!$B$16,AB1972)),ISNUMBER(SEARCH('(4) FCH pathway assessment'!$B$10,AA1972))),AD1972,"")</f>
        <v/>
      </c>
      <c r="AF1972" t="str">
        <f t="shared" si="6046"/>
        <v/>
      </c>
      <c r="AG1972" t="str">
        <f>VLOOKUP(C1972,Assumptions!$B$116:$C$162,2,FALSE)</f>
        <v>[NG_PROD]</v>
      </c>
      <c r="AH1972" t="str">
        <f>VLOOKUP(D1972,Assumptions!$B$116:$C$162,2,FALSE)</f>
        <v>[NG_STRG]</v>
      </c>
      <c r="AI1972" t="str">
        <f>VLOOKUP(E1972,Assumptions!$B$116:$C$162,2,FALSE)</f>
        <v>[NG_TRNSP]</v>
      </c>
      <c r="AJ1972" t="str">
        <f>VLOOKUP(F1972,Assumptions!$B$116:$C$162,2,FALSE)</f>
        <v>[NG_RES_BOIL_HEAT]</v>
      </c>
    </row>
    <row r="1973" spans="2:36" x14ac:dyDescent="0.25">
      <c r="B1973" t="s">
        <v>127</v>
      </c>
      <c r="C1973" t="s">
        <v>174</v>
      </c>
      <c r="D1973" t="s">
        <v>177</v>
      </c>
      <c r="E1973" t="s">
        <v>180</v>
      </c>
      <c r="F1973" t="s">
        <v>446</v>
      </c>
      <c r="G1973" t="s">
        <v>132</v>
      </c>
      <c r="H1973" t="s">
        <v>434</v>
      </c>
      <c r="I1973" t="s">
        <v>69</v>
      </c>
      <c r="J1973" t="s">
        <v>78</v>
      </c>
      <c r="K1973">
        <f t="shared" si="6187"/>
        <v>1</v>
      </c>
      <c r="L1973">
        <f t="shared" si="6188"/>
        <v>1</v>
      </c>
      <c r="M1973">
        <f t="shared" si="6189"/>
        <v>1</v>
      </c>
      <c r="N1973">
        <f t="shared" si="6190"/>
        <v>1</v>
      </c>
      <c r="O1973">
        <f t="shared" si="6220"/>
        <v>4</v>
      </c>
      <c r="P1973" t="str">
        <f t="shared" si="6192"/>
        <v>Natural gas production-Maturity</v>
      </c>
      <c r="Q1973" t="str">
        <f t="shared" si="6193"/>
        <v>Natural gas storage-Maturity</v>
      </c>
      <c r="R1973" t="str">
        <f t="shared" si="6194"/>
        <v>Natural gas transport-Maturity</v>
      </c>
      <c r="S1973" t="str">
        <f t="shared" si="6195"/>
        <v>Gas-fired District-CHP (heat)-Maturity</v>
      </c>
      <c r="T1973">
        <f ca="1">VLOOKUP($P1973,'TA database'!$I$8:$J$79,2,FALSE)</f>
        <v>9</v>
      </c>
      <c r="U1973">
        <f ca="1">VLOOKUP($Q1973,'TA database'!$I$86:$J$105,2,FALSE)</f>
        <v>9</v>
      </c>
      <c r="V1973">
        <f ca="1">VLOOKUP($R1973,'TA database'!$I$112:$J$139,2,FALSE)</f>
        <v>9</v>
      </c>
      <c r="W1973">
        <f ca="1">IFERROR(VLOOKUP($S1973,'TA database'!$I$146:$J$193,2,FALSE),0)</f>
        <v>9</v>
      </c>
      <c r="X1973">
        <f>IFERROR(VLOOKUP($S1973,'TA database'!$I$200:$J$271,2,FALSE),0)</f>
        <v>0</v>
      </c>
      <c r="Y1973">
        <f t="shared" ca="1" si="6221"/>
        <v>9</v>
      </c>
      <c r="Z1973" t="str">
        <f t="shared" si="6222"/>
        <v>[NG_PROD]   →   [NG_STRG]   →   [NG_TRNSP]   →   [NG_DCHP_HEAT]</v>
      </c>
      <c r="AA1973" t="str">
        <f t="shared" si="6223"/>
        <v>Building heat</v>
      </c>
      <c r="AB1973" t="str">
        <f t="shared" si="6224"/>
        <v>Maturity</v>
      </c>
      <c r="AC1973">
        <f t="shared" ca="1" si="6225"/>
        <v>9</v>
      </c>
      <c r="AD1973">
        <v>1914</v>
      </c>
      <c r="AE1973" t="str">
        <f>IF(AND(ISNUMBER(SEARCH(O1973,4)),ISNUMBER(SEARCH('(4) FCH pathway assessment'!$B$16,AB1973)),ISNUMBER(SEARCH('(4) FCH pathway assessment'!$B$10,AA1973))),AD1973,"")</f>
        <v/>
      </c>
      <c r="AF1973" t="str">
        <f t="shared" si="6046"/>
        <v/>
      </c>
      <c r="AG1973" t="str">
        <f>VLOOKUP(C1973,Assumptions!$B$116:$C$162,2,FALSE)</f>
        <v>[NG_PROD]</v>
      </c>
      <c r="AH1973" t="str">
        <f>VLOOKUP(D1973,Assumptions!$B$116:$C$162,2,FALSE)</f>
        <v>[NG_STRG]</v>
      </c>
      <c r="AI1973" t="str">
        <f>VLOOKUP(E1973,Assumptions!$B$116:$C$162,2,FALSE)</f>
        <v>[NG_TRNSP]</v>
      </c>
      <c r="AJ1973" t="str">
        <f>VLOOKUP(F1973,Assumptions!$B$116:$C$162,2,FALSE)</f>
        <v>[NG_DCHP_HEAT]</v>
      </c>
    </row>
    <row r="1974" spans="2:36" x14ac:dyDescent="0.25">
      <c r="B1974" t="s">
        <v>127</v>
      </c>
      <c r="C1974" t="s">
        <v>174</v>
      </c>
      <c r="D1974" t="s">
        <v>177</v>
      </c>
      <c r="E1974" t="s">
        <v>180</v>
      </c>
      <c r="F1974" s="54" t="s">
        <v>442</v>
      </c>
      <c r="G1974" t="s">
        <v>114</v>
      </c>
      <c r="H1974" t="s">
        <v>433</v>
      </c>
      <c r="I1974" t="s">
        <v>69</v>
      </c>
      <c r="J1974" t="s">
        <v>78</v>
      </c>
      <c r="K1974">
        <f t="shared" si="6187"/>
        <v>1</v>
      </c>
      <c r="L1974">
        <f t="shared" si="6188"/>
        <v>1</v>
      </c>
      <c r="M1974">
        <f t="shared" si="6189"/>
        <v>1</v>
      </c>
      <c r="N1974">
        <f t="shared" si="6190"/>
        <v>1</v>
      </c>
      <c r="O1974">
        <f t="shared" si="6220"/>
        <v>4</v>
      </c>
      <c r="P1974" t="str">
        <f t="shared" si="6192"/>
        <v>Natural gas production-Maturity</v>
      </c>
      <c r="Q1974" t="str">
        <f t="shared" si="6193"/>
        <v>Natural gas storage-Maturity</v>
      </c>
      <c r="R1974" t="str">
        <f t="shared" si="6194"/>
        <v>Natural gas transport-Maturity</v>
      </c>
      <c r="S1974" t="str">
        <f t="shared" si="6195"/>
        <v>Natural gas turbine (OC) -Maturity</v>
      </c>
      <c r="T1974">
        <f ca="1">VLOOKUP($P1974,'TA database'!$I$8:$J$79,2,FALSE)</f>
        <v>9</v>
      </c>
      <c r="U1974">
        <f ca="1">VLOOKUP($Q1974,'TA database'!$I$86:$J$105,2,FALSE)</f>
        <v>9</v>
      </c>
      <c r="V1974">
        <f ca="1">VLOOKUP($R1974,'TA database'!$I$112:$J$139,2,FALSE)</f>
        <v>9</v>
      </c>
      <c r="W1974">
        <f>IFERROR(VLOOKUP($S1974,'TA database'!$I$146:$J$193,2,FALSE),0)</f>
        <v>0</v>
      </c>
      <c r="X1974">
        <f ca="1">IFERROR(VLOOKUP($S1974,'TA database'!$I$200:$J$271,2,FALSE),0)</f>
        <v>9</v>
      </c>
      <c r="Y1974">
        <f t="shared" ca="1" si="6221"/>
        <v>9</v>
      </c>
      <c r="Z1974" t="str">
        <f t="shared" si="6222"/>
        <v>[NG_PROD]   →   [NG_STRG]   →   [NG_TRNSP]   →   [NG_OCGT_PWR]</v>
      </c>
      <c r="AA1974" t="str">
        <f t="shared" si="6223"/>
        <v>Grid electricity</v>
      </c>
      <c r="AB1974" t="str">
        <f t="shared" si="6224"/>
        <v>Maturity</v>
      </c>
      <c r="AC1974">
        <f t="shared" ca="1" si="6225"/>
        <v>9</v>
      </c>
      <c r="AD1974">
        <v>1915</v>
      </c>
      <c r="AE1974" t="str">
        <f>IF(AND(ISNUMBER(SEARCH(O1974,4)),ISNUMBER(SEARCH('(4) FCH pathway assessment'!$B$16,AB1974)),ISNUMBER(SEARCH('(4) FCH pathway assessment'!$B$10,AA1974))),AD1974,"")</f>
        <v/>
      </c>
      <c r="AF1974" t="str">
        <f t="shared" si="6046"/>
        <v/>
      </c>
      <c r="AG1974" t="str">
        <f>VLOOKUP(C1974,Assumptions!$B$116:$C$162,2,FALSE)</f>
        <v>[NG_PROD]</v>
      </c>
      <c r="AH1974" t="str">
        <f>VLOOKUP(D1974,Assumptions!$B$116:$C$162,2,FALSE)</f>
        <v>[NG_STRG]</v>
      </c>
      <c r="AI1974" t="str">
        <f>VLOOKUP(E1974,Assumptions!$B$116:$C$162,2,FALSE)</f>
        <v>[NG_TRNSP]</v>
      </c>
      <c r="AJ1974" t="str">
        <f>VLOOKUP(F1974,Assumptions!$B$116:$C$162,2,FALSE)</f>
        <v>[NG_OCGT_PWR]</v>
      </c>
    </row>
    <row r="1975" spans="2:36" x14ac:dyDescent="0.25">
      <c r="B1975" t="s">
        <v>127</v>
      </c>
      <c r="C1975" t="s">
        <v>174</v>
      </c>
      <c r="D1975" t="s">
        <v>177</v>
      </c>
      <c r="E1975" t="s">
        <v>180</v>
      </c>
      <c r="F1975" s="54" t="s">
        <v>440</v>
      </c>
      <c r="G1975" t="s">
        <v>114</v>
      </c>
      <c r="H1975" t="s">
        <v>433</v>
      </c>
      <c r="I1975" t="s">
        <v>69</v>
      </c>
      <c r="J1975" t="s">
        <v>78</v>
      </c>
      <c r="K1975">
        <f t="shared" si="6187"/>
        <v>1</v>
      </c>
      <c r="L1975">
        <f t="shared" si="6188"/>
        <v>1</v>
      </c>
      <c r="M1975">
        <f t="shared" si="6189"/>
        <v>1</v>
      </c>
      <c r="N1975">
        <f t="shared" si="6190"/>
        <v>1</v>
      </c>
      <c r="O1975">
        <f t="shared" si="6220"/>
        <v>4</v>
      </c>
      <c r="P1975" t="str">
        <f t="shared" si="6192"/>
        <v>Natural gas production-Maturity</v>
      </c>
      <c r="Q1975" t="str">
        <f t="shared" si="6193"/>
        <v>Natural gas storage-Maturity</v>
      </c>
      <c r="R1975" t="str">
        <f t="shared" si="6194"/>
        <v>Natural gas transport-Maturity</v>
      </c>
      <c r="S1975" t="str">
        <f t="shared" si="6195"/>
        <v>Natural gas turbine (CC)-Maturity</v>
      </c>
      <c r="T1975">
        <f ca="1">VLOOKUP($P1975,'TA database'!$I$8:$J$79,2,FALSE)</f>
        <v>9</v>
      </c>
      <c r="U1975">
        <f ca="1">VLOOKUP($Q1975,'TA database'!$I$86:$J$105,2,FALSE)</f>
        <v>9</v>
      </c>
      <c r="V1975">
        <f ca="1">VLOOKUP($R1975,'TA database'!$I$112:$J$139,2,FALSE)</f>
        <v>9</v>
      </c>
      <c r="W1975">
        <f>IFERROR(VLOOKUP($S1975,'TA database'!$I$146:$J$193,2,FALSE),0)</f>
        <v>0</v>
      </c>
      <c r="X1975">
        <f ca="1">IFERROR(VLOOKUP($S1975,'TA database'!$I$200:$J$271,2,FALSE),0)</f>
        <v>9</v>
      </c>
      <c r="Y1975">
        <f t="shared" ca="1" si="6221"/>
        <v>9</v>
      </c>
      <c r="Z1975" t="str">
        <f t="shared" si="6222"/>
        <v>[NG_PROD]   →   [NG_STRG]   →   [NG_TRNSP]   →   [NG_CCGT_PWR]</v>
      </c>
      <c r="AA1975" t="str">
        <f t="shared" si="6223"/>
        <v>Grid electricity</v>
      </c>
      <c r="AB1975" t="str">
        <f t="shared" si="6224"/>
        <v>Maturity</v>
      </c>
      <c r="AC1975">
        <f t="shared" ca="1" si="6225"/>
        <v>9</v>
      </c>
      <c r="AD1975">
        <v>1916</v>
      </c>
      <c r="AE1975" t="str">
        <f>IF(AND(ISNUMBER(SEARCH(O1975,4)),ISNUMBER(SEARCH('(4) FCH pathway assessment'!$B$16,AB1975)),ISNUMBER(SEARCH('(4) FCH pathway assessment'!$B$10,AA1975))),AD1975,"")</f>
        <v/>
      </c>
      <c r="AF1975" t="str">
        <f t="shared" si="6046"/>
        <v/>
      </c>
      <c r="AG1975" t="str">
        <f>VLOOKUP(C1975,Assumptions!$B$116:$C$162,2,FALSE)</f>
        <v>[NG_PROD]</v>
      </c>
      <c r="AH1975" t="str">
        <f>VLOOKUP(D1975,Assumptions!$B$116:$C$162,2,FALSE)</f>
        <v>[NG_STRG]</v>
      </c>
      <c r="AI1975" t="str">
        <f>VLOOKUP(E1975,Assumptions!$B$116:$C$162,2,FALSE)</f>
        <v>[NG_TRNSP]</v>
      </c>
      <c r="AJ1975" t="str">
        <f>VLOOKUP(F1975,Assumptions!$B$116:$C$162,2,FALSE)</f>
        <v>[NG_CCGT_PWR]</v>
      </c>
    </row>
    <row r="1976" spans="2:36" x14ac:dyDescent="0.25">
      <c r="B1976" t="s">
        <v>127</v>
      </c>
      <c r="C1976" t="s">
        <v>174</v>
      </c>
      <c r="D1976" t="s">
        <v>177</v>
      </c>
      <c r="E1976" t="s">
        <v>180</v>
      </c>
      <c r="F1976" s="54" t="s">
        <v>441</v>
      </c>
      <c r="G1976" t="s">
        <v>126</v>
      </c>
      <c r="H1976" t="s">
        <v>433</v>
      </c>
      <c r="I1976" t="s">
        <v>69</v>
      </c>
      <c r="J1976" t="s">
        <v>78</v>
      </c>
      <c r="K1976">
        <f t="shared" si="6187"/>
        <v>1</v>
      </c>
      <c r="L1976">
        <f t="shared" si="6188"/>
        <v>1</v>
      </c>
      <c r="M1976">
        <f t="shared" si="6189"/>
        <v>1</v>
      </c>
      <c r="N1976">
        <f t="shared" si="6190"/>
        <v>1</v>
      </c>
      <c r="O1976">
        <f t="shared" si="6220"/>
        <v>4</v>
      </c>
      <c r="P1976" t="str">
        <f t="shared" si="6192"/>
        <v>Natural gas production-Maturity</v>
      </c>
      <c r="Q1976" t="str">
        <f t="shared" si="6193"/>
        <v>Natural gas storage-Maturity</v>
      </c>
      <c r="R1976" t="str">
        <f t="shared" si="6194"/>
        <v>Natural gas transport-Maturity</v>
      </c>
      <c r="S1976" t="str">
        <f t="shared" si="6195"/>
        <v>Gas engine-Maturity</v>
      </c>
      <c r="T1976">
        <f ca="1">VLOOKUP($P1976,'TA database'!$I$8:$J$79,2,FALSE)</f>
        <v>9</v>
      </c>
      <c r="U1976">
        <f ca="1">VLOOKUP($Q1976,'TA database'!$I$86:$J$105,2,FALSE)</f>
        <v>9</v>
      </c>
      <c r="V1976">
        <f ca="1">VLOOKUP($R1976,'TA database'!$I$112:$J$139,2,FALSE)</f>
        <v>9</v>
      </c>
      <c r="W1976">
        <f>IFERROR(VLOOKUP($S1976,'TA database'!$I$146:$J$193,2,FALSE),0)</f>
        <v>0</v>
      </c>
      <c r="X1976">
        <f ca="1">IFERROR(VLOOKUP($S1976,'TA database'!$I$200:$J$271,2,FALSE),0)</f>
        <v>9</v>
      </c>
      <c r="Y1976">
        <f t="shared" ca="1" si="6221"/>
        <v>9</v>
      </c>
      <c r="Z1976" t="str">
        <f t="shared" si="6222"/>
        <v>[NG_PROD]   →   [NG_STRG]   →   [NG_TRNSP]   →   [NG_ICE_PWR]</v>
      </c>
      <c r="AA1976" t="str">
        <f t="shared" si="6223"/>
        <v>Onsite / Back-up power</v>
      </c>
      <c r="AB1976" t="str">
        <f t="shared" si="6224"/>
        <v>Maturity</v>
      </c>
      <c r="AC1976">
        <f t="shared" ca="1" si="6225"/>
        <v>9</v>
      </c>
      <c r="AD1976">
        <v>1917</v>
      </c>
      <c r="AE1976" t="str">
        <f>IF(AND(ISNUMBER(SEARCH(O1976,4)),ISNUMBER(SEARCH('(4) FCH pathway assessment'!$B$16,AB1976)),ISNUMBER(SEARCH('(4) FCH pathway assessment'!$B$10,AA1976))),AD1976,"")</f>
        <v/>
      </c>
      <c r="AF1976" t="str">
        <f t="shared" si="6046"/>
        <v/>
      </c>
      <c r="AG1976" t="str">
        <f>VLOOKUP(C1976,Assumptions!$B$116:$C$162,2,FALSE)</f>
        <v>[NG_PROD]</v>
      </c>
      <c r="AH1976" t="str">
        <f>VLOOKUP(D1976,Assumptions!$B$116:$C$162,2,FALSE)</f>
        <v>[NG_STRG]</v>
      </c>
      <c r="AI1976" t="str">
        <f>VLOOKUP(E1976,Assumptions!$B$116:$C$162,2,FALSE)</f>
        <v>[NG_TRNSP]</v>
      </c>
      <c r="AJ1976" t="str">
        <f>VLOOKUP(F1976,Assumptions!$B$116:$C$162,2,FALSE)</f>
        <v>[NG_ICE_PWR]</v>
      </c>
    </row>
    <row r="1977" spans="2:36" x14ac:dyDescent="0.25">
      <c r="B1977" t="s">
        <v>127</v>
      </c>
      <c r="C1977" t="s">
        <v>174</v>
      </c>
      <c r="D1977" t="s">
        <v>177</v>
      </c>
      <c r="E1977" t="s">
        <v>180</v>
      </c>
      <c r="F1977" s="54" t="s">
        <v>447</v>
      </c>
      <c r="G1977" t="s">
        <v>114</v>
      </c>
      <c r="H1977" t="s">
        <v>433</v>
      </c>
      <c r="I1977" t="s">
        <v>69</v>
      </c>
      <c r="J1977" t="s">
        <v>78</v>
      </c>
      <c r="K1977">
        <f t="shared" si="6187"/>
        <v>1</v>
      </c>
      <c r="L1977">
        <f t="shared" si="6188"/>
        <v>1</v>
      </c>
      <c r="M1977">
        <f t="shared" si="6189"/>
        <v>1</v>
      </c>
      <c r="N1977">
        <f t="shared" si="6190"/>
        <v>1</v>
      </c>
      <c r="O1977">
        <f t="shared" si="6220"/>
        <v>4</v>
      </c>
      <c r="P1977" t="str">
        <f t="shared" si="6192"/>
        <v>Natural gas production-Maturity</v>
      </c>
      <c r="Q1977" t="str">
        <f t="shared" si="6193"/>
        <v>Natural gas storage-Maturity</v>
      </c>
      <c r="R1977" t="str">
        <f t="shared" si="6194"/>
        <v>Natural gas transport-Maturity</v>
      </c>
      <c r="S1977" t="str">
        <f t="shared" si="6195"/>
        <v>Gas-fired District-CHP (power)-Maturity</v>
      </c>
      <c r="T1977">
        <f ca="1">VLOOKUP($P1977,'TA database'!$I$8:$J$79,2,FALSE)</f>
        <v>9</v>
      </c>
      <c r="U1977">
        <f ca="1">VLOOKUP($Q1977,'TA database'!$I$86:$J$105,2,FALSE)</f>
        <v>9</v>
      </c>
      <c r="V1977">
        <f ca="1">VLOOKUP($R1977,'TA database'!$I$112:$J$139,2,FALSE)</f>
        <v>9</v>
      </c>
      <c r="W1977">
        <f>IFERROR(VLOOKUP($S1977,'TA database'!$I$146:$J$193,2,FALSE),0)</f>
        <v>0</v>
      </c>
      <c r="X1977">
        <f ca="1">IFERROR(VLOOKUP($S1977,'TA database'!$I$200:$J$271,2,FALSE),0)</f>
        <v>9</v>
      </c>
      <c r="Y1977">
        <f t="shared" ca="1" si="6221"/>
        <v>9</v>
      </c>
      <c r="Z1977" t="str">
        <f t="shared" si="6222"/>
        <v>[NG_PROD]   →   [NG_STRG]   →   [NG_TRNSP]   →   [NG_DCHP_PWR]</v>
      </c>
      <c r="AA1977" t="str">
        <f t="shared" si="6223"/>
        <v>Grid electricity</v>
      </c>
      <c r="AB1977" t="str">
        <f t="shared" si="6224"/>
        <v>Maturity</v>
      </c>
      <c r="AC1977">
        <f t="shared" ca="1" si="6225"/>
        <v>9</v>
      </c>
      <c r="AD1977">
        <v>1918</v>
      </c>
      <c r="AE1977" t="str">
        <f>IF(AND(ISNUMBER(SEARCH(O1977,4)),ISNUMBER(SEARCH('(4) FCH pathway assessment'!$B$16,AB1977)),ISNUMBER(SEARCH('(4) FCH pathway assessment'!$B$10,AA1977))),AD1977,"")</f>
        <v/>
      </c>
      <c r="AF1977" t="str">
        <f t="shared" si="6046"/>
        <v/>
      </c>
      <c r="AG1977" t="str">
        <f>VLOOKUP(C1977,Assumptions!$B$116:$C$162,2,FALSE)</f>
        <v>[NG_PROD]</v>
      </c>
      <c r="AH1977" t="str">
        <f>VLOOKUP(D1977,Assumptions!$B$116:$C$162,2,FALSE)</f>
        <v>[NG_STRG]</v>
      </c>
      <c r="AI1977" t="str">
        <f>VLOOKUP(E1977,Assumptions!$B$116:$C$162,2,FALSE)</f>
        <v>[NG_TRNSP]</v>
      </c>
      <c r="AJ1977" t="str">
        <f>VLOOKUP(F1977,Assumptions!$B$116:$C$162,2,FALSE)</f>
        <v>[NG_DCHP_PWR]</v>
      </c>
    </row>
    <row r="1978" spans="2:36" x14ac:dyDescent="0.25">
      <c r="B1978" t="s">
        <v>127</v>
      </c>
      <c r="C1978" t="s">
        <v>174</v>
      </c>
      <c r="D1978" t="s">
        <v>177</v>
      </c>
      <c r="E1978" t="s">
        <v>180</v>
      </c>
      <c r="F1978" t="s">
        <v>571</v>
      </c>
      <c r="G1978" t="s">
        <v>120</v>
      </c>
      <c r="H1978" t="s">
        <v>432</v>
      </c>
      <c r="I1978" t="s">
        <v>69</v>
      </c>
      <c r="J1978" t="s">
        <v>82</v>
      </c>
      <c r="K1978">
        <f t="shared" si="6187"/>
        <v>1</v>
      </c>
      <c r="L1978">
        <f t="shared" si="6188"/>
        <v>1</v>
      </c>
      <c r="M1978">
        <f t="shared" si="6189"/>
        <v>1</v>
      </c>
      <c r="N1978">
        <f t="shared" si="6190"/>
        <v>1</v>
      </c>
      <c r="O1978">
        <f t="shared" ref="O1978:O1984" si="6226">K1978+L1978+M1978+N1978</f>
        <v>4</v>
      </c>
      <c r="P1978" t="str">
        <f t="shared" si="6192"/>
        <v>Natural gas production-Public acceptability</v>
      </c>
      <c r="Q1978" t="str">
        <f t="shared" si="6193"/>
        <v>Natural gas storage-Public acceptability</v>
      </c>
      <c r="R1978" t="str">
        <f t="shared" si="6194"/>
        <v>Natural gas transport-Public acceptability</v>
      </c>
      <c r="S1978" t="str">
        <f t="shared" si="6195"/>
        <v>Gas-fired Industrial boiler-Public acceptability</v>
      </c>
      <c r="T1978">
        <f ca="1">VLOOKUP($P1978,'TA database'!$I$8:$J$79,2,FALSE)</f>
        <v>100</v>
      </c>
      <c r="U1978">
        <f ca="1">VLOOKUP($Q1978,'TA database'!$I$86:$J$105,2,FALSE)</f>
        <v>80</v>
      </c>
      <c r="V1978">
        <f ca="1">VLOOKUP($R1978,'TA database'!$I$112:$J$139,2,FALSE)</f>
        <v>90</v>
      </c>
      <c r="W1978">
        <f ca="1">IFERROR(VLOOKUP($S1978,'TA database'!$I$146:$J$193,2,FALSE),0)</f>
        <v>100</v>
      </c>
      <c r="X1978">
        <f>IFERROR(VLOOKUP($S1978,'TA database'!$I$200:$J$271,2,FALSE),0)</f>
        <v>0</v>
      </c>
      <c r="Y1978" s="59">
        <f ca="1">IF($W1978=0,(PRODUCT($T1978:$V1978,$X1978))/1000000,(PRODUCT($T1978:$W1978))/1000000)</f>
        <v>72</v>
      </c>
      <c r="Z1978" t="str">
        <f t="shared" ref="Z1978:Z1984" si="6227">CONCATENATE(AG1978,"   →   ",AH1978,"   →   ",AI1978,"   →   ",AJ1978)</f>
        <v>[NG_PROD]   →   [NG_STRG]   →   [NG_TRNSP]   →   [NG_IND_BOIL_HEAT]</v>
      </c>
      <c r="AA1978" t="str">
        <f t="shared" ref="AA1978:AA1984" si="6228">G1978</f>
        <v>Industrial heat</v>
      </c>
      <c r="AB1978" t="str">
        <f t="shared" ref="AB1978:AB1984" si="6229">J1978</f>
        <v>Public acceptability</v>
      </c>
      <c r="AC1978">
        <f t="shared" ref="AC1978:AC1984" ca="1" si="6230">Y1978</f>
        <v>72</v>
      </c>
      <c r="AD1978">
        <v>1919</v>
      </c>
      <c r="AE1978" t="str">
        <f>IF(AND(ISNUMBER(SEARCH(O1978,4)),ISNUMBER(SEARCH('(4) FCH pathway assessment'!$B$16,AB1978)),ISNUMBER(SEARCH('(4) FCH pathway assessment'!$B$10,AA1978))),AD1978,"")</f>
        <v/>
      </c>
      <c r="AF1978" t="str">
        <f t="shared" si="6046"/>
        <v/>
      </c>
      <c r="AG1978" t="str">
        <f>VLOOKUP(C1978,Assumptions!$B$116:$C$162,2,FALSE)</f>
        <v>[NG_PROD]</v>
      </c>
      <c r="AH1978" t="str">
        <f>VLOOKUP(D1978,Assumptions!$B$116:$C$162,2,FALSE)</f>
        <v>[NG_STRG]</v>
      </c>
      <c r="AI1978" t="str">
        <f>VLOOKUP(E1978,Assumptions!$B$116:$C$162,2,FALSE)</f>
        <v>[NG_TRNSP]</v>
      </c>
      <c r="AJ1978" t="str">
        <f>VLOOKUP(F1978,Assumptions!$B$116:$C$162,2,FALSE)</f>
        <v>[NG_IND_BOIL_HEAT]</v>
      </c>
    </row>
    <row r="1979" spans="2:36" x14ac:dyDescent="0.25">
      <c r="B1979" t="s">
        <v>127</v>
      </c>
      <c r="C1979" t="s">
        <v>174</v>
      </c>
      <c r="D1979" t="s">
        <v>177</v>
      </c>
      <c r="E1979" t="s">
        <v>180</v>
      </c>
      <c r="F1979" t="s">
        <v>444</v>
      </c>
      <c r="G1979" t="s">
        <v>132</v>
      </c>
      <c r="H1979" t="s">
        <v>434</v>
      </c>
      <c r="I1979" t="s">
        <v>69</v>
      </c>
      <c r="J1979" t="s">
        <v>82</v>
      </c>
      <c r="K1979">
        <f t="shared" si="6187"/>
        <v>1</v>
      </c>
      <c r="L1979">
        <f t="shared" si="6188"/>
        <v>1</v>
      </c>
      <c r="M1979">
        <f t="shared" si="6189"/>
        <v>1</v>
      </c>
      <c r="N1979">
        <f t="shared" si="6190"/>
        <v>1</v>
      </c>
      <c r="O1979">
        <f t="shared" si="6226"/>
        <v>4</v>
      </c>
      <c r="P1979" t="str">
        <f t="shared" si="6192"/>
        <v>Natural gas production-Public acceptability</v>
      </c>
      <c r="Q1979" t="str">
        <f t="shared" si="6193"/>
        <v>Natural gas storage-Public acceptability</v>
      </c>
      <c r="R1979" t="str">
        <f t="shared" si="6194"/>
        <v>Natural gas transport-Public acceptability</v>
      </c>
      <c r="S1979" t="str">
        <f t="shared" si="6195"/>
        <v>Gas-fired residential boiler-Public acceptability</v>
      </c>
      <c r="T1979">
        <f ca="1">VLOOKUP($P1979,'TA database'!$I$8:$J$79,2,FALSE)</f>
        <v>100</v>
      </c>
      <c r="U1979">
        <f ca="1">VLOOKUP($Q1979,'TA database'!$I$86:$J$105,2,FALSE)</f>
        <v>80</v>
      </c>
      <c r="V1979">
        <f ca="1">VLOOKUP($R1979,'TA database'!$I$112:$J$139,2,FALSE)</f>
        <v>90</v>
      </c>
      <c r="W1979">
        <f ca="1">IFERROR(VLOOKUP($S1979,'TA database'!$I$146:$J$193,2,FALSE),0)</f>
        <v>100</v>
      </c>
      <c r="X1979">
        <f>IFERROR(VLOOKUP($S1979,'TA database'!$I$200:$J$271,2,FALSE),0)</f>
        <v>0</v>
      </c>
      <c r="Y1979" s="59">
        <f t="shared" ref="Y1979:Y1984" ca="1" si="6231">IF($W1979=0,(PRODUCT($T1979:$V1979,$X1979))/1000000,(PRODUCT($T1979:$W1979))/1000000)</f>
        <v>72</v>
      </c>
      <c r="Z1979" t="str">
        <f t="shared" si="6227"/>
        <v>[NG_PROD]   →   [NG_STRG]   →   [NG_TRNSP]   →   [NG_RES_BOIL_HEAT]</v>
      </c>
      <c r="AA1979" t="str">
        <f t="shared" si="6228"/>
        <v>Building heat</v>
      </c>
      <c r="AB1979" t="str">
        <f t="shared" si="6229"/>
        <v>Public acceptability</v>
      </c>
      <c r="AC1979">
        <f t="shared" ca="1" si="6230"/>
        <v>72</v>
      </c>
      <c r="AD1979">
        <v>1920</v>
      </c>
      <c r="AE1979" t="str">
        <f>IF(AND(ISNUMBER(SEARCH(O1979,4)),ISNUMBER(SEARCH('(4) FCH pathway assessment'!$B$16,AB1979)),ISNUMBER(SEARCH('(4) FCH pathway assessment'!$B$10,AA1979))),AD1979,"")</f>
        <v/>
      </c>
      <c r="AF1979" t="str">
        <f t="shared" si="6046"/>
        <v/>
      </c>
      <c r="AG1979" t="str">
        <f>VLOOKUP(C1979,Assumptions!$B$116:$C$162,2,FALSE)</f>
        <v>[NG_PROD]</v>
      </c>
      <c r="AH1979" t="str">
        <f>VLOOKUP(D1979,Assumptions!$B$116:$C$162,2,FALSE)</f>
        <v>[NG_STRG]</v>
      </c>
      <c r="AI1979" t="str">
        <f>VLOOKUP(E1979,Assumptions!$B$116:$C$162,2,FALSE)</f>
        <v>[NG_TRNSP]</v>
      </c>
      <c r="AJ1979" t="str">
        <f>VLOOKUP(F1979,Assumptions!$B$116:$C$162,2,FALSE)</f>
        <v>[NG_RES_BOIL_HEAT]</v>
      </c>
    </row>
    <row r="1980" spans="2:36" x14ac:dyDescent="0.25">
      <c r="B1980" t="s">
        <v>127</v>
      </c>
      <c r="C1980" t="s">
        <v>174</v>
      </c>
      <c r="D1980" t="s">
        <v>177</v>
      </c>
      <c r="E1980" t="s">
        <v>180</v>
      </c>
      <c r="F1980" t="s">
        <v>446</v>
      </c>
      <c r="G1980" t="s">
        <v>132</v>
      </c>
      <c r="H1980" t="s">
        <v>434</v>
      </c>
      <c r="I1980" t="s">
        <v>69</v>
      </c>
      <c r="J1980" t="s">
        <v>82</v>
      </c>
      <c r="K1980">
        <f t="shared" si="6187"/>
        <v>1</v>
      </c>
      <c r="L1980">
        <f t="shared" si="6188"/>
        <v>1</v>
      </c>
      <c r="M1980">
        <f t="shared" si="6189"/>
        <v>1</v>
      </c>
      <c r="N1980">
        <f t="shared" si="6190"/>
        <v>1</v>
      </c>
      <c r="O1980">
        <f t="shared" si="6226"/>
        <v>4</v>
      </c>
      <c r="P1980" t="str">
        <f t="shared" si="6192"/>
        <v>Natural gas production-Public acceptability</v>
      </c>
      <c r="Q1980" t="str">
        <f t="shared" si="6193"/>
        <v>Natural gas storage-Public acceptability</v>
      </c>
      <c r="R1980" t="str">
        <f t="shared" si="6194"/>
        <v>Natural gas transport-Public acceptability</v>
      </c>
      <c r="S1980" t="str">
        <f t="shared" si="6195"/>
        <v>Gas-fired District-CHP (heat)-Public acceptability</v>
      </c>
      <c r="T1980">
        <f ca="1">VLOOKUP($P1980,'TA database'!$I$8:$J$79,2,FALSE)</f>
        <v>100</v>
      </c>
      <c r="U1980">
        <f ca="1">VLOOKUP($Q1980,'TA database'!$I$86:$J$105,2,FALSE)</f>
        <v>80</v>
      </c>
      <c r="V1980">
        <f ca="1">VLOOKUP($R1980,'TA database'!$I$112:$J$139,2,FALSE)</f>
        <v>90</v>
      </c>
      <c r="W1980">
        <f ca="1">IFERROR(VLOOKUP($S1980,'TA database'!$I$146:$J$193,2,FALSE),0)</f>
        <v>100</v>
      </c>
      <c r="X1980">
        <f>IFERROR(VLOOKUP($S1980,'TA database'!$I$200:$J$271,2,FALSE),0)</f>
        <v>0</v>
      </c>
      <c r="Y1980" s="59">
        <f t="shared" ca="1" si="6231"/>
        <v>72</v>
      </c>
      <c r="Z1980" t="str">
        <f t="shared" si="6227"/>
        <v>[NG_PROD]   →   [NG_STRG]   →   [NG_TRNSP]   →   [NG_DCHP_HEAT]</v>
      </c>
      <c r="AA1980" t="str">
        <f t="shared" si="6228"/>
        <v>Building heat</v>
      </c>
      <c r="AB1980" t="str">
        <f t="shared" si="6229"/>
        <v>Public acceptability</v>
      </c>
      <c r="AC1980">
        <f t="shared" ca="1" si="6230"/>
        <v>72</v>
      </c>
      <c r="AD1980">
        <v>1921</v>
      </c>
      <c r="AE1980" t="str">
        <f>IF(AND(ISNUMBER(SEARCH(O1980,4)),ISNUMBER(SEARCH('(4) FCH pathway assessment'!$B$16,AB1980)),ISNUMBER(SEARCH('(4) FCH pathway assessment'!$B$10,AA1980))),AD1980,"")</f>
        <v/>
      </c>
      <c r="AF1980" t="str">
        <f t="shared" ref="AF1980:AF1991" si="6232">IFERROR(SMALL($AE$60:$AE$1991,AD1980),"")</f>
        <v/>
      </c>
      <c r="AG1980" t="str">
        <f>VLOOKUP(C1980,Assumptions!$B$116:$C$162,2,FALSE)</f>
        <v>[NG_PROD]</v>
      </c>
      <c r="AH1980" t="str">
        <f>VLOOKUP(D1980,Assumptions!$B$116:$C$162,2,FALSE)</f>
        <v>[NG_STRG]</v>
      </c>
      <c r="AI1980" t="str">
        <f>VLOOKUP(E1980,Assumptions!$B$116:$C$162,2,FALSE)</f>
        <v>[NG_TRNSP]</v>
      </c>
      <c r="AJ1980" t="str">
        <f>VLOOKUP(F1980,Assumptions!$B$116:$C$162,2,FALSE)</f>
        <v>[NG_DCHP_HEAT]</v>
      </c>
    </row>
    <row r="1981" spans="2:36" x14ac:dyDescent="0.25">
      <c r="B1981" t="s">
        <v>127</v>
      </c>
      <c r="C1981" t="s">
        <v>174</v>
      </c>
      <c r="D1981" t="s">
        <v>177</v>
      </c>
      <c r="E1981" t="s">
        <v>180</v>
      </c>
      <c r="F1981" s="54" t="s">
        <v>442</v>
      </c>
      <c r="G1981" t="s">
        <v>114</v>
      </c>
      <c r="H1981" t="s">
        <v>433</v>
      </c>
      <c r="I1981" t="s">
        <v>69</v>
      </c>
      <c r="J1981" t="s">
        <v>82</v>
      </c>
      <c r="K1981">
        <f t="shared" si="6187"/>
        <v>1</v>
      </c>
      <c r="L1981">
        <f t="shared" si="6188"/>
        <v>1</v>
      </c>
      <c r="M1981">
        <f t="shared" si="6189"/>
        <v>1</v>
      </c>
      <c r="N1981">
        <f t="shared" si="6190"/>
        <v>1</v>
      </c>
      <c r="O1981">
        <f t="shared" si="6226"/>
        <v>4</v>
      </c>
      <c r="P1981" t="str">
        <f t="shared" si="6192"/>
        <v>Natural gas production-Public acceptability</v>
      </c>
      <c r="Q1981" t="str">
        <f t="shared" si="6193"/>
        <v>Natural gas storage-Public acceptability</v>
      </c>
      <c r="R1981" t="str">
        <f t="shared" si="6194"/>
        <v>Natural gas transport-Public acceptability</v>
      </c>
      <c r="S1981" t="str">
        <f t="shared" si="6195"/>
        <v>Natural gas turbine (OC) -Public acceptability</v>
      </c>
      <c r="T1981">
        <f ca="1">VLOOKUP($P1981,'TA database'!$I$8:$J$79,2,FALSE)</f>
        <v>100</v>
      </c>
      <c r="U1981">
        <f ca="1">VLOOKUP($Q1981,'TA database'!$I$86:$J$105,2,FALSE)</f>
        <v>80</v>
      </c>
      <c r="V1981">
        <f ca="1">VLOOKUP($R1981,'TA database'!$I$112:$J$139,2,FALSE)</f>
        <v>90</v>
      </c>
      <c r="W1981">
        <f>IFERROR(VLOOKUP($S1981,'TA database'!$I$146:$J$193,2,FALSE),0)</f>
        <v>0</v>
      </c>
      <c r="X1981">
        <f ca="1">IFERROR(VLOOKUP($S1981,'TA database'!$I$200:$J$271,2,FALSE),0)</f>
        <v>100</v>
      </c>
      <c r="Y1981" s="59">
        <f t="shared" ca="1" si="6231"/>
        <v>72</v>
      </c>
      <c r="Z1981" t="str">
        <f t="shared" si="6227"/>
        <v>[NG_PROD]   →   [NG_STRG]   →   [NG_TRNSP]   →   [NG_OCGT_PWR]</v>
      </c>
      <c r="AA1981" t="str">
        <f t="shared" si="6228"/>
        <v>Grid electricity</v>
      </c>
      <c r="AB1981" t="str">
        <f t="shared" si="6229"/>
        <v>Public acceptability</v>
      </c>
      <c r="AC1981">
        <f t="shared" ca="1" si="6230"/>
        <v>72</v>
      </c>
      <c r="AD1981">
        <v>1922</v>
      </c>
      <c r="AE1981" t="str">
        <f>IF(AND(ISNUMBER(SEARCH(O1981,4)),ISNUMBER(SEARCH('(4) FCH pathway assessment'!$B$16,AB1981)),ISNUMBER(SEARCH('(4) FCH pathway assessment'!$B$10,AA1981))),AD1981,"")</f>
        <v/>
      </c>
      <c r="AF1981" t="str">
        <f t="shared" si="6232"/>
        <v/>
      </c>
      <c r="AG1981" t="str">
        <f>VLOOKUP(C1981,Assumptions!$B$116:$C$162,2,FALSE)</f>
        <v>[NG_PROD]</v>
      </c>
      <c r="AH1981" t="str">
        <f>VLOOKUP(D1981,Assumptions!$B$116:$C$162,2,FALSE)</f>
        <v>[NG_STRG]</v>
      </c>
      <c r="AI1981" t="str">
        <f>VLOOKUP(E1981,Assumptions!$B$116:$C$162,2,FALSE)</f>
        <v>[NG_TRNSP]</v>
      </c>
      <c r="AJ1981" t="str">
        <f>VLOOKUP(F1981,Assumptions!$B$116:$C$162,2,FALSE)</f>
        <v>[NG_OCGT_PWR]</v>
      </c>
    </row>
    <row r="1982" spans="2:36" x14ac:dyDescent="0.25">
      <c r="B1982" t="s">
        <v>127</v>
      </c>
      <c r="C1982" t="s">
        <v>174</v>
      </c>
      <c r="D1982" t="s">
        <v>177</v>
      </c>
      <c r="E1982" t="s">
        <v>180</v>
      </c>
      <c r="F1982" s="54" t="s">
        <v>440</v>
      </c>
      <c r="G1982" t="s">
        <v>114</v>
      </c>
      <c r="H1982" t="s">
        <v>433</v>
      </c>
      <c r="I1982" t="s">
        <v>69</v>
      </c>
      <c r="J1982" t="s">
        <v>82</v>
      </c>
      <c r="K1982">
        <f t="shared" si="6187"/>
        <v>1</v>
      </c>
      <c r="L1982">
        <f t="shared" si="6188"/>
        <v>1</v>
      </c>
      <c r="M1982">
        <f t="shared" si="6189"/>
        <v>1</v>
      </c>
      <c r="N1982">
        <f t="shared" si="6190"/>
        <v>1</v>
      </c>
      <c r="O1982">
        <f t="shared" si="6226"/>
        <v>4</v>
      </c>
      <c r="P1982" t="str">
        <f t="shared" si="6192"/>
        <v>Natural gas production-Public acceptability</v>
      </c>
      <c r="Q1982" t="str">
        <f t="shared" si="6193"/>
        <v>Natural gas storage-Public acceptability</v>
      </c>
      <c r="R1982" t="str">
        <f t="shared" si="6194"/>
        <v>Natural gas transport-Public acceptability</v>
      </c>
      <c r="S1982" t="str">
        <f t="shared" si="6195"/>
        <v>Natural gas turbine (CC)-Public acceptability</v>
      </c>
      <c r="T1982">
        <f ca="1">VLOOKUP($P1982,'TA database'!$I$8:$J$79,2,FALSE)</f>
        <v>100</v>
      </c>
      <c r="U1982">
        <f ca="1">VLOOKUP($Q1982,'TA database'!$I$86:$J$105,2,FALSE)</f>
        <v>80</v>
      </c>
      <c r="V1982">
        <f ca="1">VLOOKUP($R1982,'TA database'!$I$112:$J$139,2,FALSE)</f>
        <v>90</v>
      </c>
      <c r="W1982">
        <f>IFERROR(VLOOKUP($S1982,'TA database'!$I$146:$J$193,2,FALSE),0)</f>
        <v>0</v>
      </c>
      <c r="X1982">
        <f ca="1">IFERROR(VLOOKUP($S1982,'TA database'!$I$200:$J$271,2,FALSE),0)</f>
        <v>100</v>
      </c>
      <c r="Y1982" s="59">
        <f t="shared" ca="1" si="6231"/>
        <v>72</v>
      </c>
      <c r="Z1982" t="str">
        <f t="shared" si="6227"/>
        <v>[NG_PROD]   →   [NG_STRG]   →   [NG_TRNSP]   →   [NG_CCGT_PWR]</v>
      </c>
      <c r="AA1982" t="str">
        <f t="shared" si="6228"/>
        <v>Grid electricity</v>
      </c>
      <c r="AB1982" t="str">
        <f t="shared" si="6229"/>
        <v>Public acceptability</v>
      </c>
      <c r="AC1982">
        <f t="shared" ca="1" si="6230"/>
        <v>72</v>
      </c>
      <c r="AD1982">
        <v>1923</v>
      </c>
      <c r="AE1982" t="str">
        <f>IF(AND(ISNUMBER(SEARCH(O1982,4)),ISNUMBER(SEARCH('(4) FCH pathway assessment'!$B$16,AB1982)),ISNUMBER(SEARCH('(4) FCH pathway assessment'!$B$10,AA1982))),AD1982,"")</f>
        <v/>
      </c>
      <c r="AF1982" t="str">
        <f t="shared" si="6232"/>
        <v/>
      </c>
      <c r="AG1982" t="str">
        <f>VLOOKUP(C1982,Assumptions!$B$116:$C$162,2,FALSE)</f>
        <v>[NG_PROD]</v>
      </c>
      <c r="AH1982" t="str">
        <f>VLOOKUP(D1982,Assumptions!$B$116:$C$162,2,FALSE)</f>
        <v>[NG_STRG]</v>
      </c>
      <c r="AI1982" t="str">
        <f>VLOOKUP(E1982,Assumptions!$B$116:$C$162,2,FALSE)</f>
        <v>[NG_TRNSP]</v>
      </c>
      <c r="AJ1982" t="str">
        <f>VLOOKUP(F1982,Assumptions!$B$116:$C$162,2,FALSE)</f>
        <v>[NG_CCGT_PWR]</v>
      </c>
    </row>
    <row r="1983" spans="2:36" x14ac:dyDescent="0.25">
      <c r="B1983" t="s">
        <v>127</v>
      </c>
      <c r="C1983" t="s">
        <v>174</v>
      </c>
      <c r="D1983" t="s">
        <v>177</v>
      </c>
      <c r="E1983" t="s">
        <v>180</v>
      </c>
      <c r="F1983" s="54" t="s">
        <v>441</v>
      </c>
      <c r="G1983" t="s">
        <v>126</v>
      </c>
      <c r="H1983" t="s">
        <v>433</v>
      </c>
      <c r="I1983" t="s">
        <v>69</v>
      </c>
      <c r="J1983" t="s">
        <v>82</v>
      </c>
      <c r="K1983">
        <f t="shared" si="6187"/>
        <v>1</v>
      </c>
      <c r="L1983">
        <f t="shared" si="6188"/>
        <v>1</v>
      </c>
      <c r="M1983">
        <f t="shared" si="6189"/>
        <v>1</v>
      </c>
      <c r="N1983">
        <f t="shared" si="6190"/>
        <v>1</v>
      </c>
      <c r="O1983">
        <f t="shared" si="6226"/>
        <v>4</v>
      </c>
      <c r="P1983" t="str">
        <f t="shared" si="6192"/>
        <v>Natural gas production-Public acceptability</v>
      </c>
      <c r="Q1983" t="str">
        <f t="shared" si="6193"/>
        <v>Natural gas storage-Public acceptability</v>
      </c>
      <c r="R1983" t="str">
        <f t="shared" si="6194"/>
        <v>Natural gas transport-Public acceptability</v>
      </c>
      <c r="S1983" t="str">
        <f t="shared" si="6195"/>
        <v>Gas engine-Public acceptability</v>
      </c>
      <c r="T1983">
        <f ca="1">VLOOKUP($P1983,'TA database'!$I$8:$J$79,2,FALSE)</f>
        <v>100</v>
      </c>
      <c r="U1983">
        <f ca="1">VLOOKUP($Q1983,'TA database'!$I$86:$J$105,2,FALSE)</f>
        <v>80</v>
      </c>
      <c r="V1983">
        <f ca="1">VLOOKUP($R1983,'TA database'!$I$112:$J$139,2,FALSE)</f>
        <v>90</v>
      </c>
      <c r="W1983">
        <f>IFERROR(VLOOKUP($S1983,'TA database'!$I$146:$J$193,2,FALSE),0)</f>
        <v>0</v>
      </c>
      <c r="X1983">
        <f ca="1">IFERROR(VLOOKUP($S1983,'TA database'!$I$200:$J$271,2,FALSE),0)</f>
        <v>100</v>
      </c>
      <c r="Y1983" s="59">
        <f t="shared" ca="1" si="6231"/>
        <v>72</v>
      </c>
      <c r="Z1983" t="str">
        <f t="shared" si="6227"/>
        <v>[NG_PROD]   →   [NG_STRG]   →   [NG_TRNSP]   →   [NG_ICE_PWR]</v>
      </c>
      <c r="AA1983" t="str">
        <f t="shared" si="6228"/>
        <v>Onsite / Back-up power</v>
      </c>
      <c r="AB1983" t="str">
        <f t="shared" si="6229"/>
        <v>Public acceptability</v>
      </c>
      <c r="AC1983">
        <f t="shared" ca="1" si="6230"/>
        <v>72</v>
      </c>
      <c r="AD1983">
        <v>1924</v>
      </c>
      <c r="AE1983" t="str">
        <f>IF(AND(ISNUMBER(SEARCH(O1983,4)),ISNUMBER(SEARCH('(4) FCH pathway assessment'!$B$16,AB1983)),ISNUMBER(SEARCH('(4) FCH pathway assessment'!$B$10,AA1983))),AD1983,"")</f>
        <v/>
      </c>
      <c r="AF1983" t="str">
        <f t="shared" si="6232"/>
        <v/>
      </c>
      <c r="AG1983" t="str">
        <f>VLOOKUP(C1983,Assumptions!$B$116:$C$162,2,FALSE)</f>
        <v>[NG_PROD]</v>
      </c>
      <c r="AH1983" t="str">
        <f>VLOOKUP(D1983,Assumptions!$B$116:$C$162,2,FALSE)</f>
        <v>[NG_STRG]</v>
      </c>
      <c r="AI1983" t="str">
        <f>VLOOKUP(E1983,Assumptions!$B$116:$C$162,2,FALSE)</f>
        <v>[NG_TRNSP]</v>
      </c>
      <c r="AJ1983" t="str">
        <f>VLOOKUP(F1983,Assumptions!$B$116:$C$162,2,FALSE)</f>
        <v>[NG_ICE_PWR]</v>
      </c>
    </row>
    <row r="1984" spans="2:36" x14ac:dyDescent="0.25">
      <c r="B1984" t="s">
        <v>127</v>
      </c>
      <c r="C1984" t="s">
        <v>174</v>
      </c>
      <c r="D1984" t="s">
        <v>177</v>
      </c>
      <c r="E1984" t="s">
        <v>180</v>
      </c>
      <c r="F1984" s="54" t="s">
        <v>447</v>
      </c>
      <c r="G1984" t="s">
        <v>114</v>
      </c>
      <c r="H1984" t="s">
        <v>433</v>
      </c>
      <c r="I1984" t="s">
        <v>69</v>
      </c>
      <c r="J1984" t="s">
        <v>82</v>
      </c>
      <c r="K1984">
        <f t="shared" si="6187"/>
        <v>1</v>
      </c>
      <c r="L1984">
        <f t="shared" si="6188"/>
        <v>1</v>
      </c>
      <c r="M1984">
        <f t="shared" si="6189"/>
        <v>1</v>
      </c>
      <c r="N1984">
        <f t="shared" si="6190"/>
        <v>1</v>
      </c>
      <c r="O1984">
        <f t="shared" si="6226"/>
        <v>4</v>
      </c>
      <c r="P1984" t="str">
        <f t="shared" si="6192"/>
        <v>Natural gas production-Public acceptability</v>
      </c>
      <c r="Q1984" t="str">
        <f t="shared" si="6193"/>
        <v>Natural gas storage-Public acceptability</v>
      </c>
      <c r="R1984" t="str">
        <f t="shared" si="6194"/>
        <v>Natural gas transport-Public acceptability</v>
      </c>
      <c r="S1984" t="str">
        <f t="shared" si="6195"/>
        <v>Gas-fired District-CHP (power)-Public acceptability</v>
      </c>
      <c r="T1984">
        <f ca="1">VLOOKUP($P1984,'TA database'!$I$8:$J$79,2,FALSE)</f>
        <v>100</v>
      </c>
      <c r="U1984">
        <f ca="1">VLOOKUP($Q1984,'TA database'!$I$86:$J$105,2,FALSE)</f>
        <v>80</v>
      </c>
      <c r="V1984">
        <f ca="1">VLOOKUP($R1984,'TA database'!$I$112:$J$139,2,FALSE)</f>
        <v>90</v>
      </c>
      <c r="W1984">
        <f>IFERROR(VLOOKUP($S1984,'TA database'!$I$146:$J$193,2,FALSE),0)</f>
        <v>0</v>
      </c>
      <c r="X1984">
        <f ca="1">IFERROR(VLOOKUP($S1984,'TA database'!$I$200:$J$271,2,FALSE),0)</f>
        <v>100</v>
      </c>
      <c r="Y1984" s="59">
        <f t="shared" ca="1" si="6231"/>
        <v>72</v>
      </c>
      <c r="Z1984" t="str">
        <f t="shared" si="6227"/>
        <v>[NG_PROD]   →   [NG_STRG]   →   [NG_TRNSP]   →   [NG_DCHP_PWR]</v>
      </c>
      <c r="AA1984" t="str">
        <f t="shared" si="6228"/>
        <v>Grid electricity</v>
      </c>
      <c r="AB1984" t="str">
        <f t="shared" si="6229"/>
        <v>Public acceptability</v>
      </c>
      <c r="AC1984">
        <f t="shared" ca="1" si="6230"/>
        <v>72</v>
      </c>
      <c r="AD1984">
        <v>1925</v>
      </c>
      <c r="AE1984" t="str">
        <f>IF(AND(ISNUMBER(SEARCH(O1984,4)),ISNUMBER(SEARCH('(4) FCH pathway assessment'!$B$16,AB1984)),ISNUMBER(SEARCH('(4) FCH pathway assessment'!$B$10,AA1984))),AD1984,"")</f>
        <v/>
      </c>
      <c r="AF1984" t="str">
        <f t="shared" si="6232"/>
        <v/>
      </c>
      <c r="AG1984" t="str">
        <f>VLOOKUP(C1984,Assumptions!$B$116:$C$162,2,FALSE)</f>
        <v>[NG_PROD]</v>
      </c>
      <c r="AH1984" t="str">
        <f>VLOOKUP(D1984,Assumptions!$B$116:$C$162,2,FALSE)</f>
        <v>[NG_STRG]</v>
      </c>
      <c r="AI1984" t="str">
        <f>VLOOKUP(E1984,Assumptions!$B$116:$C$162,2,FALSE)</f>
        <v>[NG_TRNSP]</v>
      </c>
      <c r="AJ1984" t="str">
        <f>VLOOKUP(F1984,Assumptions!$B$116:$C$162,2,FALSE)</f>
        <v>[NG_DCHP_PWR]</v>
      </c>
    </row>
    <row r="1985" spans="2:36" x14ac:dyDescent="0.25">
      <c r="B1985" t="s">
        <v>127</v>
      </c>
      <c r="C1985" t="s">
        <v>174</v>
      </c>
      <c r="D1985" t="s">
        <v>177</v>
      </c>
      <c r="E1985" t="s">
        <v>180</v>
      </c>
      <c r="F1985" t="s">
        <v>571</v>
      </c>
      <c r="G1985" t="s">
        <v>120</v>
      </c>
      <c r="H1985" t="s">
        <v>432</v>
      </c>
      <c r="I1985" t="s">
        <v>69</v>
      </c>
      <c r="J1985" t="s">
        <v>534</v>
      </c>
      <c r="K1985">
        <f t="shared" si="6187"/>
        <v>1</v>
      </c>
      <c r="L1985">
        <f t="shared" si="6188"/>
        <v>1</v>
      </c>
      <c r="M1985">
        <f t="shared" si="6189"/>
        <v>1</v>
      </c>
      <c r="N1985">
        <f t="shared" si="6190"/>
        <v>1</v>
      </c>
      <c r="O1985">
        <f t="shared" ref="O1985:O1991" si="6233">K1985+L1985+M1985+N1985</f>
        <v>4</v>
      </c>
      <c r="P1985" t="str">
        <f t="shared" si="6192"/>
        <v>Natural gas production-Regulatory coverage</v>
      </c>
      <c r="Q1985" t="str">
        <f t="shared" si="6193"/>
        <v>Natural gas storage-Regulatory coverage</v>
      </c>
      <c r="R1985" t="str">
        <f t="shared" si="6194"/>
        <v>Natural gas transport-Regulatory coverage</v>
      </c>
      <c r="S1985" t="str">
        <f t="shared" si="6195"/>
        <v>Gas-fired Industrial boiler-Regulatory coverage</v>
      </c>
      <c r="T1985">
        <f ca="1">VLOOKUP($P1985,'TA database'!$I$8:$J$79,2,FALSE)</f>
        <v>100</v>
      </c>
      <c r="U1985">
        <f ca="1">VLOOKUP($Q1985,'TA database'!$I$86:$J$105,2,FALSE)</f>
        <v>100</v>
      </c>
      <c r="V1985">
        <f ca="1">VLOOKUP($R1985,'TA database'!$I$112:$J$139,2,FALSE)</f>
        <v>100</v>
      </c>
      <c r="W1985">
        <f ca="1">IFERROR(VLOOKUP($S1985,'TA database'!$I$146:$J$193,2,FALSE),0)</f>
        <v>100</v>
      </c>
      <c r="X1985">
        <f>IFERROR(VLOOKUP($S1985,'TA database'!$I$200:$J$271,2,FALSE),0)</f>
        <v>0</v>
      </c>
      <c r="Y1985">
        <f ca="1">IF($W1985=0,SUM($T1985:$V1985,$X1985)/4,SUM($T1985:$W1985)/4)</f>
        <v>100</v>
      </c>
      <c r="Z1985" t="str">
        <f t="shared" ref="Z1985:Z1991" si="6234">CONCATENATE(AG1985,"   →   ",AH1985,"   →   ",AI1985,"   →   ",AJ1985)</f>
        <v>[NG_PROD]   →   [NG_STRG]   →   [NG_TRNSP]   →   [NG_IND_BOIL_HEAT]</v>
      </c>
      <c r="AA1985" t="str">
        <f t="shared" ref="AA1985:AA1991" si="6235">G1985</f>
        <v>Industrial heat</v>
      </c>
      <c r="AB1985" t="str">
        <f t="shared" ref="AB1985:AB1991" si="6236">J1985</f>
        <v>Regulatory coverage</v>
      </c>
      <c r="AC1985">
        <f t="shared" ref="AC1985:AC1991" ca="1" si="6237">Y1985</f>
        <v>100</v>
      </c>
      <c r="AD1985">
        <v>1926</v>
      </c>
      <c r="AE1985" t="str">
        <f>IF(AND(ISNUMBER(SEARCH(O1985,4)),ISNUMBER(SEARCH('(4) FCH pathway assessment'!$B$16,AB1985)),ISNUMBER(SEARCH('(4) FCH pathway assessment'!$B$10,AA1985))),AD1985,"")</f>
        <v/>
      </c>
      <c r="AF1985" t="str">
        <f t="shared" si="6232"/>
        <v/>
      </c>
      <c r="AG1985" t="str">
        <f>VLOOKUP(C1985,Assumptions!$B$116:$C$162,2,FALSE)</f>
        <v>[NG_PROD]</v>
      </c>
      <c r="AH1985" t="str">
        <f>VLOOKUP(D1985,Assumptions!$B$116:$C$162,2,FALSE)</f>
        <v>[NG_STRG]</v>
      </c>
      <c r="AI1985" t="str">
        <f>VLOOKUP(E1985,Assumptions!$B$116:$C$162,2,FALSE)</f>
        <v>[NG_TRNSP]</v>
      </c>
      <c r="AJ1985" t="str">
        <f>VLOOKUP(F1985,Assumptions!$B$116:$C$162,2,FALSE)</f>
        <v>[NG_IND_BOIL_HEAT]</v>
      </c>
    </row>
    <row r="1986" spans="2:36" x14ac:dyDescent="0.25">
      <c r="B1986" t="s">
        <v>127</v>
      </c>
      <c r="C1986" t="s">
        <v>174</v>
      </c>
      <c r="D1986" t="s">
        <v>177</v>
      </c>
      <c r="E1986" t="s">
        <v>180</v>
      </c>
      <c r="F1986" t="s">
        <v>444</v>
      </c>
      <c r="G1986" t="s">
        <v>132</v>
      </c>
      <c r="H1986" t="s">
        <v>434</v>
      </c>
      <c r="I1986" t="s">
        <v>69</v>
      </c>
      <c r="J1986" t="s">
        <v>534</v>
      </c>
      <c r="K1986">
        <f t="shared" si="6187"/>
        <v>1</v>
      </c>
      <c r="L1986">
        <f t="shared" si="6188"/>
        <v>1</v>
      </c>
      <c r="M1986">
        <f t="shared" si="6189"/>
        <v>1</v>
      </c>
      <c r="N1986">
        <f t="shared" si="6190"/>
        <v>1</v>
      </c>
      <c r="O1986">
        <f t="shared" si="6233"/>
        <v>4</v>
      </c>
      <c r="P1986" t="str">
        <f t="shared" si="6192"/>
        <v>Natural gas production-Regulatory coverage</v>
      </c>
      <c r="Q1986" t="str">
        <f t="shared" si="6193"/>
        <v>Natural gas storage-Regulatory coverage</v>
      </c>
      <c r="R1986" t="str">
        <f t="shared" si="6194"/>
        <v>Natural gas transport-Regulatory coverage</v>
      </c>
      <c r="S1986" t="str">
        <f t="shared" si="6195"/>
        <v>Gas-fired residential boiler-Regulatory coverage</v>
      </c>
      <c r="T1986">
        <f ca="1">VLOOKUP($P1986,'TA database'!$I$8:$J$79,2,FALSE)</f>
        <v>100</v>
      </c>
      <c r="U1986">
        <f ca="1">VLOOKUP($Q1986,'TA database'!$I$86:$J$105,2,FALSE)</f>
        <v>100</v>
      </c>
      <c r="V1986">
        <f ca="1">VLOOKUP($R1986,'TA database'!$I$112:$J$139,2,FALSE)</f>
        <v>100</v>
      </c>
      <c r="W1986">
        <f ca="1">IFERROR(VLOOKUP($S1986,'TA database'!$I$146:$J$193,2,FALSE),0)</f>
        <v>100</v>
      </c>
      <c r="X1986">
        <f>IFERROR(VLOOKUP($S1986,'TA database'!$I$200:$J$271,2,FALSE),0)</f>
        <v>0</v>
      </c>
      <c r="Y1986">
        <f t="shared" ref="Y1986:Y1991" ca="1" si="6238">IF($W1986=0,SUM($T1986:$V1986,$X1986)/4,SUM($T1986:$W1986)/4)</f>
        <v>100</v>
      </c>
      <c r="Z1986" t="str">
        <f t="shared" si="6234"/>
        <v>[NG_PROD]   →   [NG_STRG]   →   [NG_TRNSP]   →   [NG_RES_BOIL_HEAT]</v>
      </c>
      <c r="AA1986" t="str">
        <f t="shared" si="6235"/>
        <v>Building heat</v>
      </c>
      <c r="AB1986" t="str">
        <f t="shared" si="6236"/>
        <v>Regulatory coverage</v>
      </c>
      <c r="AC1986">
        <f t="shared" ca="1" si="6237"/>
        <v>100</v>
      </c>
      <c r="AD1986">
        <v>1927</v>
      </c>
      <c r="AE1986" t="str">
        <f>IF(AND(ISNUMBER(SEARCH(O1986,4)),ISNUMBER(SEARCH('(4) FCH pathway assessment'!$B$16,AB1986)),ISNUMBER(SEARCH('(4) FCH pathway assessment'!$B$10,AA1986))),AD1986,"")</f>
        <v/>
      </c>
      <c r="AF1986" t="str">
        <f t="shared" si="6232"/>
        <v/>
      </c>
      <c r="AG1986" t="str">
        <f>VLOOKUP(C1986,Assumptions!$B$116:$C$162,2,FALSE)</f>
        <v>[NG_PROD]</v>
      </c>
      <c r="AH1986" t="str">
        <f>VLOOKUP(D1986,Assumptions!$B$116:$C$162,2,FALSE)</f>
        <v>[NG_STRG]</v>
      </c>
      <c r="AI1986" t="str">
        <f>VLOOKUP(E1986,Assumptions!$B$116:$C$162,2,FALSE)</f>
        <v>[NG_TRNSP]</v>
      </c>
      <c r="AJ1986" t="str">
        <f>VLOOKUP(F1986,Assumptions!$B$116:$C$162,2,FALSE)</f>
        <v>[NG_RES_BOIL_HEAT]</v>
      </c>
    </row>
    <row r="1987" spans="2:36" x14ac:dyDescent="0.25">
      <c r="B1987" t="s">
        <v>127</v>
      </c>
      <c r="C1987" t="s">
        <v>174</v>
      </c>
      <c r="D1987" t="s">
        <v>177</v>
      </c>
      <c r="E1987" t="s">
        <v>180</v>
      </c>
      <c r="F1987" t="s">
        <v>446</v>
      </c>
      <c r="G1987" t="s">
        <v>132</v>
      </c>
      <c r="H1987" t="s">
        <v>434</v>
      </c>
      <c r="I1987" t="s">
        <v>69</v>
      </c>
      <c r="J1987" t="s">
        <v>534</v>
      </c>
      <c r="K1987">
        <f t="shared" si="6187"/>
        <v>1</v>
      </c>
      <c r="L1987">
        <f t="shared" si="6188"/>
        <v>1</v>
      </c>
      <c r="M1987">
        <f t="shared" si="6189"/>
        <v>1</v>
      </c>
      <c r="N1987">
        <f t="shared" si="6190"/>
        <v>1</v>
      </c>
      <c r="O1987">
        <f t="shared" si="6233"/>
        <v>4</v>
      </c>
      <c r="P1987" t="str">
        <f t="shared" si="6192"/>
        <v>Natural gas production-Regulatory coverage</v>
      </c>
      <c r="Q1987" t="str">
        <f t="shared" si="6193"/>
        <v>Natural gas storage-Regulatory coverage</v>
      </c>
      <c r="R1987" t="str">
        <f t="shared" si="6194"/>
        <v>Natural gas transport-Regulatory coverage</v>
      </c>
      <c r="S1987" t="str">
        <f t="shared" si="6195"/>
        <v>Gas-fired District-CHP (heat)-Regulatory coverage</v>
      </c>
      <c r="T1987">
        <f ca="1">VLOOKUP($P1987,'TA database'!$I$8:$J$79,2,FALSE)</f>
        <v>100</v>
      </c>
      <c r="U1987">
        <f ca="1">VLOOKUP($Q1987,'TA database'!$I$86:$J$105,2,FALSE)</f>
        <v>100</v>
      </c>
      <c r="V1987">
        <f ca="1">VLOOKUP($R1987,'TA database'!$I$112:$J$139,2,FALSE)</f>
        <v>100</v>
      </c>
      <c r="W1987">
        <f ca="1">IFERROR(VLOOKUP($S1987,'TA database'!$I$146:$J$193,2,FALSE),0)</f>
        <v>100</v>
      </c>
      <c r="X1987">
        <f>IFERROR(VLOOKUP($S1987,'TA database'!$I$200:$J$271,2,FALSE),0)</f>
        <v>0</v>
      </c>
      <c r="Y1987">
        <f t="shared" ca="1" si="6238"/>
        <v>100</v>
      </c>
      <c r="Z1987" t="str">
        <f t="shared" si="6234"/>
        <v>[NG_PROD]   →   [NG_STRG]   →   [NG_TRNSP]   →   [NG_DCHP_HEAT]</v>
      </c>
      <c r="AA1987" t="str">
        <f t="shared" si="6235"/>
        <v>Building heat</v>
      </c>
      <c r="AB1987" t="str">
        <f t="shared" si="6236"/>
        <v>Regulatory coverage</v>
      </c>
      <c r="AC1987">
        <f t="shared" ca="1" si="6237"/>
        <v>100</v>
      </c>
      <c r="AD1987">
        <v>1928</v>
      </c>
      <c r="AE1987" t="str">
        <f>IF(AND(ISNUMBER(SEARCH(O1987,4)),ISNUMBER(SEARCH('(4) FCH pathway assessment'!$B$16,AB1987)),ISNUMBER(SEARCH('(4) FCH pathway assessment'!$B$10,AA1987))),AD1987,"")</f>
        <v/>
      </c>
      <c r="AF1987" t="str">
        <f t="shared" si="6232"/>
        <v/>
      </c>
      <c r="AG1987" t="str">
        <f>VLOOKUP(C1987,Assumptions!$B$116:$C$162,2,FALSE)</f>
        <v>[NG_PROD]</v>
      </c>
      <c r="AH1987" t="str">
        <f>VLOOKUP(D1987,Assumptions!$B$116:$C$162,2,FALSE)</f>
        <v>[NG_STRG]</v>
      </c>
      <c r="AI1987" t="str">
        <f>VLOOKUP(E1987,Assumptions!$B$116:$C$162,2,FALSE)</f>
        <v>[NG_TRNSP]</v>
      </c>
      <c r="AJ1987" t="str">
        <f>VLOOKUP(F1987,Assumptions!$B$116:$C$162,2,FALSE)</f>
        <v>[NG_DCHP_HEAT]</v>
      </c>
    </row>
    <row r="1988" spans="2:36" x14ac:dyDescent="0.25">
      <c r="B1988" t="s">
        <v>127</v>
      </c>
      <c r="C1988" t="s">
        <v>174</v>
      </c>
      <c r="D1988" t="s">
        <v>177</v>
      </c>
      <c r="E1988" t="s">
        <v>180</v>
      </c>
      <c r="F1988" s="54" t="s">
        <v>442</v>
      </c>
      <c r="G1988" t="s">
        <v>114</v>
      </c>
      <c r="H1988" t="s">
        <v>433</v>
      </c>
      <c r="I1988" t="s">
        <v>69</v>
      </c>
      <c r="J1988" t="s">
        <v>534</v>
      </c>
      <c r="K1988">
        <f t="shared" si="6187"/>
        <v>1</v>
      </c>
      <c r="L1988">
        <f t="shared" si="6188"/>
        <v>1</v>
      </c>
      <c r="M1988">
        <f t="shared" si="6189"/>
        <v>1</v>
      </c>
      <c r="N1988">
        <f t="shared" si="6190"/>
        <v>1</v>
      </c>
      <c r="O1988">
        <f t="shared" si="6233"/>
        <v>4</v>
      </c>
      <c r="P1988" t="str">
        <f t="shared" si="6192"/>
        <v>Natural gas production-Regulatory coverage</v>
      </c>
      <c r="Q1988" t="str">
        <f t="shared" si="6193"/>
        <v>Natural gas storage-Regulatory coverage</v>
      </c>
      <c r="R1988" t="str">
        <f t="shared" si="6194"/>
        <v>Natural gas transport-Regulatory coverage</v>
      </c>
      <c r="S1988" t="str">
        <f t="shared" si="6195"/>
        <v>Natural gas turbine (OC) -Regulatory coverage</v>
      </c>
      <c r="T1988">
        <f ca="1">VLOOKUP($P1988,'TA database'!$I$8:$J$79,2,FALSE)</f>
        <v>100</v>
      </c>
      <c r="U1988">
        <f ca="1">VLOOKUP($Q1988,'TA database'!$I$86:$J$105,2,FALSE)</f>
        <v>100</v>
      </c>
      <c r="V1988">
        <f ca="1">VLOOKUP($R1988,'TA database'!$I$112:$J$139,2,FALSE)</f>
        <v>100</v>
      </c>
      <c r="W1988">
        <f>IFERROR(VLOOKUP($S1988,'TA database'!$I$146:$J$193,2,FALSE),0)</f>
        <v>0</v>
      </c>
      <c r="X1988">
        <f ca="1">IFERROR(VLOOKUP($S1988,'TA database'!$I$200:$J$271,2,FALSE),0)</f>
        <v>100</v>
      </c>
      <c r="Y1988">
        <f t="shared" ca="1" si="6238"/>
        <v>100</v>
      </c>
      <c r="Z1988" t="str">
        <f t="shared" si="6234"/>
        <v>[NG_PROD]   →   [NG_STRG]   →   [NG_TRNSP]   →   [NG_OCGT_PWR]</v>
      </c>
      <c r="AA1988" t="str">
        <f t="shared" si="6235"/>
        <v>Grid electricity</v>
      </c>
      <c r="AB1988" t="str">
        <f t="shared" si="6236"/>
        <v>Regulatory coverage</v>
      </c>
      <c r="AC1988">
        <f t="shared" ca="1" si="6237"/>
        <v>100</v>
      </c>
      <c r="AD1988">
        <v>1929</v>
      </c>
      <c r="AE1988" t="str">
        <f>IF(AND(ISNUMBER(SEARCH(O1988,4)),ISNUMBER(SEARCH('(4) FCH pathway assessment'!$B$16,AB1988)),ISNUMBER(SEARCH('(4) FCH pathway assessment'!$B$10,AA1988))),AD1988,"")</f>
        <v/>
      </c>
      <c r="AF1988" t="str">
        <f t="shared" si="6232"/>
        <v/>
      </c>
      <c r="AG1988" t="str">
        <f>VLOOKUP(C1988,Assumptions!$B$116:$C$162,2,FALSE)</f>
        <v>[NG_PROD]</v>
      </c>
      <c r="AH1988" t="str">
        <f>VLOOKUP(D1988,Assumptions!$B$116:$C$162,2,FALSE)</f>
        <v>[NG_STRG]</v>
      </c>
      <c r="AI1988" t="str">
        <f>VLOOKUP(E1988,Assumptions!$B$116:$C$162,2,FALSE)</f>
        <v>[NG_TRNSP]</v>
      </c>
      <c r="AJ1988" t="str">
        <f>VLOOKUP(F1988,Assumptions!$B$116:$C$162,2,FALSE)</f>
        <v>[NG_OCGT_PWR]</v>
      </c>
    </row>
    <row r="1989" spans="2:36" x14ac:dyDescent="0.25">
      <c r="B1989" t="s">
        <v>127</v>
      </c>
      <c r="C1989" t="s">
        <v>174</v>
      </c>
      <c r="D1989" t="s">
        <v>177</v>
      </c>
      <c r="E1989" t="s">
        <v>180</v>
      </c>
      <c r="F1989" s="54" t="s">
        <v>440</v>
      </c>
      <c r="G1989" t="s">
        <v>114</v>
      </c>
      <c r="H1989" t="s">
        <v>433</v>
      </c>
      <c r="I1989" t="s">
        <v>69</v>
      </c>
      <c r="J1989" t="s">
        <v>534</v>
      </c>
      <c r="K1989">
        <f t="shared" si="6187"/>
        <v>1</v>
      </c>
      <c r="L1989">
        <f t="shared" si="6188"/>
        <v>1</v>
      </c>
      <c r="M1989">
        <f t="shared" si="6189"/>
        <v>1</v>
      </c>
      <c r="N1989">
        <f t="shared" si="6190"/>
        <v>1</v>
      </c>
      <c r="O1989">
        <f t="shared" si="6233"/>
        <v>4</v>
      </c>
      <c r="P1989" t="str">
        <f t="shared" si="6192"/>
        <v>Natural gas production-Regulatory coverage</v>
      </c>
      <c r="Q1989" t="str">
        <f t="shared" si="6193"/>
        <v>Natural gas storage-Regulatory coverage</v>
      </c>
      <c r="R1989" t="str">
        <f t="shared" si="6194"/>
        <v>Natural gas transport-Regulatory coverage</v>
      </c>
      <c r="S1989" t="str">
        <f t="shared" si="6195"/>
        <v>Natural gas turbine (CC)-Regulatory coverage</v>
      </c>
      <c r="T1989">
        <f ca="1">VLOOKUP($P1989,'TA database'!$I$8:$J$79,2,FALSE)</f>
        <v>100</v>
      </c>
      <c r="U1989">
        <f ca="1">VLOOKUP($Q1989,'TA database'!$I$86:$J$105,2,FALSE)</f>
        <v>100</v>
      </c>
      <c r="V1989">
        <f ca="1">VLOOKUP($R1989,'TA database'!$I$112:$J$139,2,FALSE)</f>
        <v>100</v>
      </c>
      <c r="W1989">
        <f>IFERROR(VLOOKUP($S1989,'TA database'!$I$146:$J$193,2,FALSE),0)</f>
        <v>0</v>
      </c>
      <c r="X1989">
        <f ca="1">IFERROR(VLOOKUP($S1989,'TA database'!$I$200:$J$271,2,FALSE),0)</f>
        <v>100</v>
      </c>
      <c r="Y1989">
        <f t="shared" ca="1" si="6238"/>
        <v>100</v>
      </c>
      <c r="Z1989" t="str">
        <f t="shared" si="6234"/>
        <v>[NG_PROD]   →   [NG_STRG]   →   [NG_TRNSP]   →   [NG_CCGT_PWR]</v>
      </c>
      <c r="AA1989" t="str">
        <f t="shared" si="6235"/>
        <v>Grid electricity</v>
      </c>
      <c r="AB1989" t="str">
        <f t="shared" si="6236"/>
        <v>Regulatory coverage</v>
      </c>
      <c r="AC1989">
        <f t="shared" ca="1" si="6237"/>
        <v>100</v>
      </c>
      <c r="AD1989">
        <v>1930</v>
      </c>
      <c r="AE1989" t="str">
        <f>IF(AND(ISNUMBER(SEARCH(O1989,4)),ISNUMBER(SEARCH('(4) FCH pathway assessment'!$B$16,AB1989)),ISNUMBER(SEARCH('(4) FCH pathway assessment'!$B$10,AA1989))),AD1989,"")</f>
        <v/>
      </c>
      <c r="AF1989" t="str">
        <f t="shared" si="6232"/>
        <v/>
      </c>
      <c r="AG1989" t="str">
        <f>VLOOKUP(C1989,Assumptions!$B$116:$C$162,2,FALSE)</f>
        <v>[NG_PROD]</v>
      </c>
      <c r="AH1989" t="str">
        <f>VLOOKUP(D1989,Assumptions!$B$116:$C$162,2,FALSE)</f>
        <v>[NG_STRG]</v>
      </c>
      <c r="AI1989" t="str">
        <f>VLOOKUP(E1989,Assumptions!$B$116:$C$162,2,FALSE)</f>
        <v>[NG_TRNSP]</v>
      </c>
      <c r="AJ1989" t="str">
        <f>VLOOKUP(F1989,Assumptions!$B$116:$C$162,2,FALSE)</f>
        <v>[NG_CCGT_PWR]</v>
      </c>
    </row>
    <row r="1990" spans="2:36" x14ac:dyDescent="0.25">
      <c r="B1990" t="s">
        <v>127</v>
      </c>
      <c r="C1990" t="s">
        <v>174</v>
      </c>
      <c r="D1990" t="s">
        <v>177</v>
      </c>
      <c r="E1990" t="s">
        <v>180</v>
      </c>
      <c r="F1990" s="54" t="s">
        <v>441</v>
      </c>
      <c r="G1990" t="s">
        <v>126</v>
      </c>
      <c r="H1990" t="s">
        <v>433</v>
      </c>
      <c r="I1990" t="s">
        <v>69</v>
      </c>
      <c r="J1990" t="s">
        <v>534</v>
      </c>
      <c r="K1990">
        <f t="shared" si="6187"/>
        <v>1</v>
      </c>
      <c r="L1990">
        <f t="shared" si="6188"/>
        <v>1</v>
      </c>
      <c r="M1990">
        <f t="shared" si="6189"/>
        <v>1</v>
      </c>
      <c r="N1990">
        <f t="shared" si="6190"/>
        <v>1</v>
      </c>
      <c r="O1990">
        <f t="shared" si="6233"/>
        <v>4</v>
      </c>
      <c r="P1990" t="str">
        <f t="shared" si="6192"/>
        <v>Natural gas production-Regulatory coverage</v>
      </c>
      <c r="Q1990" t="str">
        <f t="shared" si="6193"/>
        <v>Natural gas storage-Regulatory coverage</v>
      </c>
      <c r="R1990" t="str">
        <f t="shared" si="6194"/>
        <v>Natural gas transport-Regulatory coverage</v>
      </c>
      <c r="S1990" t="str">
        <f t="shared" si="6195"/>
        <v>Gas engine-Regulatory coverage</v>
      </c>
      <c r="T1990">
        <f ca="1">VLOOKUP($P1990,'TA database'!$I$8:$J$79,2,FALSE)</f>
        <v>100</v>
      </c>
      <c r="U1990">
        <f ca="1">VLOOKUP($Q1990,'TA database'!$I$86:$J$105,2,FALSE)</f>
        <v>100</v>
      </c>
      <c r="V1990">
        <f ca="1">VLOOKUP($R1990,'TA database'!$I$112:$J$139,2,FALSE)</f>
        <v>100</v>
      </c>
      <c r="W1990">
        <f>IFERROR(VLOOKUP($S1990,'TA database'!$I$146:$J$193,2,FALSE),0)</f>
        <v>0</v>
      </c>
      <c r="X1990">
        <f ca="1">IFERROR(VLOOKUP($S1990,'TA database'!$I$200:$J$271,2,FALSE),0)</f>
        <v>100</v>
      </c>
      <c r="Y1990">
        <f t="shared" ca="1" si="6238"/>
        <v>100</v>
      </c>
      <c r="Z1990" t="str">
        <f t="shared" si="6234"/>
        <v>[NG_PROD]   →   [NG_STRG]   →   [NG_TRNSP]   →   [NG_ICE_PWR]</v>
      </c>
      <c r="AA1990" t="str">
        <f t="shared" si="6235"/>
        <v>Onsite / Back-up power</v>
      </c>
      <c r="AB1990" t="str">
        <f t="shared" si="6236"/>
        <v>Regulatory coverage</v>
      </c>
      <c r="AC1990">
        <f t="shared" ca="1" si="6237"/>
        <v>100</v>
      </c>
      <c r="AD1990">
        <v>1931</v>
      </c>
      <c r="AE1990" t="str">
        <f>IF(AND(ISNUMBER(SEARCH(O1990,4)),ISNUMBER(SEARCH('(4) FCH pathway assessment'!$B$16,AB1990)),ISNUMBER(SEARCH('(4) FCH pathway assessment'!$B$10,AA1990))),AD1990,"")</f>
        <v/>
      </c>
      <c r="AF1990" t="str">
        <f t="shared" si="6232"/>
        <v/>
      </c>
      <c r="AG1990" t="str">
        <f>VLOOKUP(C1990,Assumptions!$B$116:$C$162,2,FALSE)</f>
        <v>[NG_PROD]</v>
      </c>
      <c r="AH1990" t="str">
        <f>VLOOKUP(D1990,Assumptions!$B$116:$C$162,2,FALSE)</f>
        <v>[NG_STRG]</v>
      </c>
      <c r="AI1990" t="str">
        <f>VLOOKUP(E1990,Assumptions!$B$116:$C$162,2,FALSE)</f>
        <v>[NG_TRNSP]</v>
      </c>
      <c r="AJ1990" t="str">
        <f>VLOOKUP(F1990,Assumptions!$B$116:$C$162,2,FALSE)</f>
        <v>[NG_ICE_PWR]</v>
      </c>
    </row>
    <row r="1991" spans="2:36" x14ac:dyDescent="0.25">
      <c r="B1991" t="s">
        <v>127</v>
      </c>
      <c r="C1991" t="s">
        <v>174</v>
      </c>
      <c r="D1991" t="s">
        <v>177</v>
      </c>
      <c r="E1991" t="s">
        <v>180</v>
      </c>
      <c r="F1991" s="54" t="s">
        <v>447</v>
      </c>
      <c r="G1991" t="s">
        <v>114</v>
      </c>
      <c r="H1991" t="s">
        <v>433</v>
      </c>
      <c r="I1991" t="s">
        <v>69</v>
      </c>
      <c r="J1991" t="s">
        <v>534</v>
      </c>
      <c r="K1991">
        <f t="shared" si="6187"/>
        <v>1</v>
      </c>
      <c r="L1991">
        <f t="shared" si="6188"/>
        <v>1</v>
      </c>
      <c r="M1991">
        <f t="shared" si="6189"/>
        <v>1</v>
      </c>
      <c r="N1991">
        <f t="shared" si="6190"/>
        <v>1</v>
      </c>
      <c r="O1991">
        <f t="shared" si="6233"/>
        <v>4</v>
      </c>
      <c r="P1991" t="str">
        <f t="shared" si="6192"/>
        <v>Natural gas production-Regulatory coverage</v>
      </c>
      <c r="Q1991" t="str">
        <f t="shared" si="6193"/>
        <v>Natural gas storage-Regulatory coverage</v>
      </c>
      <c r="R1991" t="str">
        <f t="shared" si="6194"/>
        <v>Natural gas transport-Regulatory coverage</v>
      </c>
      <c r="S1991" t="str">
        <f t="shared" si="6195"/>
        <v>Gas-fired District-CHP (power)-Regulatory coverage</v>
      </c>
      <c r="T1991">
        <f ca="1">VLOOKUP($P1991,'TA database'!$I$8:$J$79,2,FALSE)</f>
        <v>100</v>
      </c>
      <c r="U1991">
        <f ca="1">VLOOKUP($Q1991,'TA database'!$I$86:$J$105,2,FALSE)</f>
        <v>100</v>
      </c>
      <c r="V1991">
        <f ca="1">VLOOKUP($R1991,'TA database'!$I$112:$J$139,2,FALSE)</f>
        <v>100</v>
      </c>
      <c r="W1991">
        <f>IFERROR(VLOOKUP($S1991,'TA database'!$I$146:$J$193,2,FALSE),0)</f>
        <v>0</v>
      </c>
      <c r="X1991">
        <f ca="1">IFERROR(VLOOKUP($S1991,'TA database'!$I$200:$J$271,2,FALSE),0)</f>
        <v>100</v>
      </c>
      <c r="Y1991">
        <f t="shared" ca="1" si="6238"/>
        <v>100</v>
      </c>
      <c r="Z1991" t="str">
        <f t="shared" si="6234"/>
        <v>[NG_PROD]   →   [NG_STRG]   →   [NG_TRNSP]   →   [NG_DCHP_PWR]</v>
      </c>
      <c r="AA1991" t="str">
        <f t="shared" si="6235"/>
        <v>Grid electricity</v>
      </c>
      <c r="AB1991" t="str">
        <f t="shared" si="6236"/>
        <v>Regulatory coverage</v>
      </c>
      <c r="AC1991">
        <f t="shared" ca="1" si="6237"/>
        <v>100</v>
      </c>
      <c r="AD1991">
        <v>1932</v>
      </c>
      <c r="AE1991" t="str">
        <f>IF(AND(ISNUMBER(SEARCH(O1991,4)),ISNUMBER(SEARCH('(4) FCH pathway assessment'!$B$16,AB1991)),ISNUMBER(SEARCH('(4) FCH pathway assessment'!$B$10,AA1991))),AD1991,"")</f>
        <v/>
      </c>
      <c r="AF1991" t="str">
        <f t="shared" si="6232"/>
        <v/>
      </c>
      <c r="AG1991" t="str">
        <f>VLOOKUP(C1991,Assumptions!$B$116:$C$162,2,FALSE)</f>
        <v>[NG_PROD]</v>
      </c>
      <c r="AH1991" t="str">
        <f>VLOOKUP(D1991,Assumptions!$B$116:$C$162,2,FALSE)</f>
        <v>[NG_STRG]</v>
      </c>
      <c r="AI1991" t="str">
        <f>VLOOKUP(E1991,Assumptions!$B$116:$C$162,2,FALSE)</f>
        <v>[NG_TRNSP]</v>
      </c>
      <c r="AJ1991" t="str">
        <f>VLOOKUP(F1991,Assumptions!$B$116:$C$162,2,FALSE)</f>
        <v>[NG_DCHP_PWR]</v>
      </c>
    </row>
  </sheetData>
  <mergeCells count="8">
    <mergeCell ref="AJ5:AM5"/>
    <mergeCell ref="P5:AI5"/>
    <mergeCell ref="B24:B30"/>
    <mergeCell ref="B31:B50"/>
    <mergeCell ref="D5:G5"/>
    <mergeCell ref="I5:O5"/>
    <mergeCell ref="B7:B18"/>
    <mergeCell ref="B19:B2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111</vt:i4>
      </vt:variant>
    </vt:vector>
  </HeadingPairs>
  <TitlesOfParts>
    <vt:vector size="121" baseType="lpstr">
      <vt:lpstr>(1) Introduction</vt:lpstr>
      <vt:lpstr>(2) FCH pathways</vt:lpstr>
      <vt:lpstr>(3) FCH technology assessment</vt:lpstr>
      <vt:lpstr>(4) FCH pathway assessment</vt:lpstr>
      <vt:lpstr>Assumptions</vt:lpstr>
      <vt:lpstr>Unit conversions</vt:lpstr>
      <vt:lpstr>Merit calculation</vt:lpstr>
      <vt:lpstr>TA database</vt:lpstr>
      <vt:lpstr>Paths database</vt:lpstr>
      <vt:lpstr>H2-FlexibilityCurtailment</vt:lpstr>
      <vt:lpstr>'H2-FlexibilityCurtailment'!biomassPrice</vt:lpstr>
      <vt:lpstr>biomassPrice</vt:lpstr>
      <vt:lpstr>'H2-FlexibilityCurtailment'!CHFInEuro2010</vt:lpstr>
      <vt:lpstr>CHFInEuro2010</vt:lpstr>
      <vt:lpstr>'H2-FlexibilityCurtailment'!CO2emissionBiomass</vt:lpstr>
      <vt:lpstr>CO2emissionBiomass</vt:lpstr>
      <vt:lpstr>'H2-FlexibilityCurtailment'!CO2emissionNG</vt:lpstr>
      <vt:lpstr>CO2emissionNG</vt:lpstr>
      <vt:lpstr>'H2-FlexibilityCurtailment'!CO2price</vt:lpstr>
      <vt:lpstr>CO2price</vt:lpstr>
      <vt:lpstr>'TA database'!Criteria</vt:lpstr>
      <vt:lpstr>DollarInEuro2000</vt:lpstr>
      <vt:lpstr>DollarInEuro2010</vt:lpstr>
      <vt:lpstr>DollarInPound2000</vt:lpstr>
      <vt:lpstr>DollarInPound2001</vt:lpstr>
      <vt:lpstr>DollarInPound2002</vt:lpstr>
      <vt:lpstr>DollarInPound2003</vt:lpstr>
      <vt:lpstr>DollarInPound2004</vt:lpstr>
      <vt:lpstr>DollarInPound2005</vt:lpstr>
      <vt:lpstr>DollarInPound2006</vt:lpstr>
      <vt:lpstr>DollarInPound2007</vt:lpstr>
      <vt:lpstr>DollarInPound2008</vt:lpstr>
      <vt:lpstr>DollarInPound2009</vt:lpstr>
      <vt:lpstr>DollarInPound2010</vt:lpstr>
      <vt:lpstr>DollarInPound2011</vt:lpstr>
      <vt:lpstr>DollarInPound2012</vt:lpstr>
      <vt:lpstr>DollarInPound2013</vt:lpstr>
      <vt:lpstr>DollarInPound2014</vt:lpstr>
      <vt:lpstr>'H2-FlexibilityCurtailment'!electricityMix</vt:lpstr>
      <vt:lpstr>electricityMix</vt:lpstr>
      <vt:lpstr>'H2-FlexibilityCurtailment'!electricityPrice</vt:lpstr>
      <vt:lpstr>electricityPrice</vt:lpstr>
      <vt:lpstr>'H2-FlexibilityCurtailment'!energyContentH2</vt:lpstr>
      <vt:lpstr>energyContentH2</vt:lpstr>
      <vt:lpstr>energyContentNG</vt:lpstr>
      <vt:lpstr>energyContentWood</vt:lpstr>
      <vt:lpstr>euroDeflator2000</vt:lpstr>
      <vt:lpstr>euroDeflator2001</vt:lpstr>
      <vt:lpstr>euroDeflator2002</vt:lpstr>
      <vt:lpstr>euroDeflator2003</vt:lpstr>
      <vt:lpstr>euroDeflator2004</vt:lpstr>
      <vt:lpstr>euroDeflator2005</vt:lpstr>
      <vt:lpstr>euroDeflator2006</vt:lpstr>
      <vt:lpstr>euroDeflator2007</vt:lpstr>
      <vt:lpstr>euroDeflator2008</vt:lpstr>
      <vt:lpstr>euroDeflator2009</vt:lpstr>
      <vt:lpstr>'H2-FlexibilityCurtailment'!euroDeflator2010</vt:lpstr>
      <vt:lpstr>euroDeflator2010</vt:lpstr>
      <vt:lpstr>euroDeflator2011</vt:lpstr>
      <vt:lpstr>euroDeflator2012</vt:lpstr>
      <vt:lpstr>euroDeflator2013</vt:lpstr>
      <vt:lpstr>euroDeflator2014</vt:lpstr>
      <vt:lpstr>EuroInPound2000</vt:lpstr>
      <vt:lpstr>EuroInPound2001</vt:lpstr>
      <vt:lpstr>EuroInPound2002</vt:lpstr>
      <vt:lpstr>EuroInPound2003</vt:lpstr>
      <vt:lpstr>EuroInPound2004</vt:lpstr>
      <vt:lpstr>EuroInPound2005</vt:lpstr>
      <vt:lpstr>EuroInPound2006</vt:lpstr>
      <vt:lpstr>EuroInPound2007</vt:lpstr>
      <vt:lpstr>EuroInPound2008</vt:lpstr>
      <vt:lpstr>EuroInPound2009</vt:lpstr>
      <vt:lpstr>EuroInPound2010</vt:lpstr>
      <vt:lpstr>EuroInPound2011</vt:lpstr>
      <vt:lpstr>EuroInPound2012</vt:lpstr>
      <vt:lpstr>EuroInPound2013</vt:lpstr>
      <vt:lpstr>EuroInPound2014</vt:lpstr>
      <vt:lpstr>H2generationTechs</vt:lpstr>
      <vt:lpstr>'H2-FlexibilityCurtailment'!H2use</vt:lpstr>
      <vt:lpstr>H2use</vt:lpstr>
      <vt:lpstr>'H2-FlexibilityCurtailment'!hydrogenPrice</vt:lpstr>
      <vt:lpstr>hydrogenPrice</vt:lpstr>
      <vt:lpstr>'H2-FlexibilityCurtailment'!interestRate</vt:lpstr>
      <vt:lpstr>interestRate</vt:lpstr>
      <vt:lpstr>'H2-FlexibilityCurtailment'!merits1</vt:lpstr>
      <vt:lpstr>merits1</vt:lpstr>
      <vt:lpstr>'H2-FlexibilityCurtailment'!merits2</vt:lpstr>
      <vt:lpstr>merits2</vt:lpstr>
      <vt:lpstr>'H2-FlexibilityCurtailment'!merits3</vt:lpstr>
      <vt:lpstr>merits3</vt:lpstr>
      <vt:lpstr>'H2-FlexibilityCurtailment'!merits4</vt:lpstr>
      <vt:lpstr>merits4</vt:lpstr>
      <vt:lpstr>'H2-FlexibilityCurtailment'!naturalGasPrice</vt:lpstr>
      <vt:lpstr>naturalGasPrice</vt:lpstr>
      <vt:lpstr>'H2-FlexibilityCurtailment'!PAlong</vt:lpstr>
      <vt:lpstr>PAlong</vt:lpstr>
      <vt:lpstr>'H2-FlexibilityCurtailment'!PAmedium</vt:lpstr>
      <vt:lpstr>PAmedium</vt:lpstr>
      <vt:lpstr>poundDeflator2000</vt:lpstr>
      <vt:lpstr>poundDeflator2001</vt:lpstr>
      <vt:lpstr>poundDeflator2002</vt:lpstr>
      <vt:lpstr>poundDeflator2003</vt:lpstr>
      <vt:lpstr>poundDeflator2004</vt:lpstr>
      <vt:lpstr>poundDeflator2005</vt:lpstr>
      <vt:lpstr>poundDeflator2006</vt:lpstr>
      <vt:lpstr>poundDeflator2007</vt:lpstr>
      <vt:lpstr>poundDeflator2008</vt:lpstr>
      <vt:lpstr>poundDeflator2009</vt:lpstr>
      <vt:lpstr>poundDeflator2010</vt:lpstr>
      <vt:lpstr>poundDeflator2011</vt:lpstr>
      <vt:lpstr>poundDeflator2012</vt:lpstr>
      <vt:lpstr>poundDeflator2013</vt:lpstr>
      <vt:lpstr>poundDeflator2014</vt:lpstr>
      <vt:lpstr>'H2-FlexibilityCurtailment'!startYearWeighting</vt:lpstr>
      <vt:lpstr>startYearWeighting</vt:lpstr>
      <vt:lpstr>'H2-FlexibilityCurtailment'!timePeriod</vt:lpstr>
      <vt:lpstr>timePeriod</vt:lpstr>
      <vt:lpstr>'H2-FlexibilityCurtailment'!TRLthreshold</vt:lpstr>
      <vt:lpstr>TRLthreshold</vt:lpstr>
      <vt:lpstr>'H2-FlexibilityCurtailment'!VRShare</vt:lpstr>
      <vt:lpstr>VRshare</vt:lpstr>
    </vt:vector>
  </TitlesOfParts>
  <Company>PSI - Paul Scherrer Institut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Volkart Kathrin Andrea</dc:creator>
  <cp:lastModifiedBy>Volkart Kathrin Andrea</cp:lastModifiedBy>
  <cp:lastPrinted>2016-02-02T16:36:15Z</cp:lastPrinted>
  <dcterms:created xsi:type="dcterms:W3CDTF">2016-02-02T15:46:28Z</dcterms:created>
  <dcterms:modified xsi:type="dcterms:W3CDTF">2016-04-23T20:42:33Z</dcterms:modified>
</cp:coreProperties>
</file>